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 state="visible" name="Confirmed Damaged Russian Equip" sheetId="2" r:id="rId5"/>
    <sheet state="visible" name="Sheet rules" sheetId="3" r:id="rId6"/>
    <sheet state="visible" name="Resources" sheetId="4" r:id="rId7"/>
  </sheets>
  <definedNames>
    <definedName hidden="1" localSheetId="0" name="Z_13C65BB3_9611_4E4E_8E86_82258D478922_.wvu.FilterData">Worksheet!$A$1:$AW$2576</definedName>
    <definedName hidden="1" localSheetId="0" name="Z_EE3E0F9C_0AAF_4AF7_A6A9_28E468788F27_.wvu.FilterData">Worksheet!$A$1:$AW$2576</definedName>
    <definedName hidden="1" localSheetId="0" name="Z_4518233D_80F9_4CB9_91D1_C4CC5D644157_.wvu.FilterData">Worksheet!$A$1:$AW$2576</definedName>
    <definedName hidden="1" localSheetId="0" name="Z_4DC02477_FA32_4096_A05F_9E915F895EAD_.wvu.FilterData">Worksheet!$A$1:$AW$1969</definedName>
    <definedName hidden="1" localSheetId="0" name="Z_08033B68_94CC_40C2_801A_95D29235795E_.wvu.FilterData">Worksheet!$A$1:$AW$2576</definedName>
  </definedNames>
  <calcPr/>
  <customWorkbookViews>
    <customWorkbookView activeSheetId="0" maximized="1" windowHeight="0" windowWidth="0" guid="{13C65BB3-9611-4E4E-8E86-82258D478922}" name="Filter 2"/>
    <customWorkbookView activeSheetId="0" maximized="1" windowHeight="0" windowWidth="0" guid="{4518233D-80F9-4CB9-91D1-C4CC5D644157}" name="REVIEW MARCH 10"/>
    <customWorkbookView activeSheetId="0" maximized="1" windowHeight="0" windowWidth="0" guid="{EE3E0F9C-0AAF-4AF7-A6A9-28E468788F27}" name="Filter 1"/>
    <customWorkbookView activeSheetId="0" maximized="1" windowHeight="0" windowWidth="0" guid="{4DC02477-FA32-4096-A05F-9E915F895EAD}" name="UNFINISHED BELLINGCAT"/>
    <customWorkbookView activeSheetId="0" maximized="1" windowHeight="0" windowWidth="0" guid="{08033B68-94CC-40C2-801A-95D29235795E}" name="Filter 8"/>
  </customWorkbookViews>
</workbook>
</file>

<file path=xl/sharedStrings.xml><?xml version="1.0" encoding="utf-8"?>
<sst xmlns="http://schemas.openxmlformats.org/spreadsheetml/2006/main" count="39743" uniqueCount="20198">
  <si>
    <t>VERIFIED LOCATION/DATE</t>
  </si>
  <si>
    <t>ENTRY INFO</t>
  </si>
  <si>
    <t>DESCRIPTION</t>
  </si>
  <si>
    <t>CREDIT</t>
  </si>
  <si>
    <t>VERIFIED LOCATION</t>
  </si>
  <si>
    <t>READ THE TAB 'SHEET RULES'</t>
  </si>
  <si>
    <t>X</t>
  </si>
  <si>
    <t>ANALYSIS</t>
  </si>
  <si>
    <t>MAP INFO</t>
  </si>
  <si>
    <t>In progress</t>
  </si>
  <si>
    <t>NEEDS UPDATING</t>
  </si>
  <si>
    <t>ARCHIVING (UTC)</t>
  </si>
  <si>
    <t>DO NOT TOUCH</t>
  </si>
  <si>
    <t>REVIEW</t>
  </si>
  <si>
    <t>Status</t>
  </si>
  <si>
    <t>NAME (DO NOT ADD)</t>
  </si>
  <si>
    <t>DATE</t>
  </si>
  <si>
    <t>LATITUDE</t>
  </si>
  <si>
    <t>LONGITUDE</t>
  </si>
  <si>
    <t>VIOLENCE LEVEL</t>
  </si>
  <si>
    <t>LINK</t>
  </si>
  <si>
    <t>Type</t>
  </si>
  <si>
    <t>INV#</t>
  </si>
  <si>
    <t>BRIEF DESCRIPTION</t>
  </si>
  <si>
    <t>URL of Geolocation</t>
  </si>
  <si>
    <t>COUNTRY</t>
  </si>
  <si>
    <t>PROVINCE</t>
  </si>
  <si>
    <t>DISTRICT</t>
  </si>
  <si>
    <t>TOWN/CITY</t>
  </si>
  <si>
    <r>
      <rPr>
        <rFont val="Calibri"/>
        <color theme="1"/>
        <sz val="11.0"/>
      </rPr>
      <t xml:space="preserve">TRUE COORDINATES </t>
    </r>
    <r>
      <rPr>
        <rFont val="Calibri"/>
        <color rgb="FF980000"/>
        <sz val="11.0"/>
      </rPr>
      <t xml:space="preserve">(DO NOT TOUCH, AUTOMATED COLUMN D&amp;E </t>
    </r>
    <r>
      <rPr>
        <rFont val="Calibri"/>
        <color theme="1"/>
        <sz val="11.0"/>
      </rPr>
      <t>)</t>
    </r>
  </si>
  <si>
    <r>
      <rPr>
        <rFont val="Calibri"/>
        <color theme="1"/>
        <sz val="11.0"/>
      </rPr>
      <t>PUBLIC COORDINATES (</t>
    </r>
    <r>
      <rPr>
        <rFont val="Calibri"/>
        <color rgb="FFCC0000"/>
        <sz val="11.0"/>
      </rPr>
      <t>DO NOT TOUCH</t>
    </r>
    <r>
      <rPr>
        <rFont val="Calibri"/>
        <color theme="1"/>
        <sz val="11.0"/>
      </rPr>
      <t>)</t>
    </r>
  </si>
  <si>
    <t>PUBLIC LATITUDE (DO NOT TOUCH)</t>
  </si>
  <si>
    <t>PUBLIC LONGITUDE (DO NOT TOUCH)</t>
  </si>
  <si>
    <t>Other verification notes</t>
  </si>
  <si>
    <t>ARMS/MUNITION</t>
  </si>
  <si>
    <t>ENTRY</t>
  </si>
  <si>
    <t>Category map</t>
  </si>
  <si>
    <t xml:space="preserve">In MapHub </t>
  </si>
  <si>
    <t>Privacy issue</t>
  </si>
  <si>
    <t>Privacy detail</t>
  </si>
  <si>
    <t xml:space="preserve">Category </t>
  </si>
  <si>
    <t>Tags</t>
  </si>
  <si>
    <t>Male</t>
  </si>
  <si>
    <t>Female</t>
  </si>
  <si>
    <t xml:space="preserve">Other </t>
  </si>
  <si>
    <t>Unknown</t>
  </si>
  <si>
    <t>Group</t>
  </si>
  <si>
    <t>None</t>
  </si>
  <si>
    <t>Actor</t>
  </si>
  <si>
    <t>Other analysis note</t>
  </si>
  <si>
    <t>Archive status</t>
  </si>
  <si>
    <t>Archive location</t>
  </si>
  <si>
    <t>Archive date</t>
  </si>
  <si>
    <t>Screenshot</t>
  </si>
  <si>
    <t>Hash</t>
  </si>
  <si>
    <t>Thumbnail</t>
  </si>
  <si>
    <t>Thumbnail index</t>
  </si>
  <si>
    <t>Upload title</t>
  </si>
  <si>
    <t>Upload timestamp</t>
  </si>
  <si>
    <t>Duration</t>
  </si>
  <si>
    <t>Analyst</t>
  </si>
  <si>
    <t>Reviewer</t>
  </si>
  <si>
    <t>Reviewer notes</t>
  </si>
  <si>
    <t>BEN B</t>
  </si>
  <si>
    <t>21/01/2022</t>
  </si>
  <si>
    <t>https://twitter.com/MotolkoHelp/status/1484436102295523329</t>
  </si>
  <si>
    <t>Video</t>
  </si>
  <si>
    <t>INV001</t>
  </si>
  <si>
    <t>Train transporting russian military equipment</t>
  </si>
  <si>
    <t>Belarus</t>
  </si>
  <si>
    <t>Gomel</t>
  </si>
  <si>
    <t>Rechytsa</t>
  </si>
  <si>
    <t xml:space="preserve">https://www.google.com/maps/@52.3493033,30.3925194,3a,75y,71.41h,89.23t/data=!3m8!1e1!3m6!1sAF1QipMKUqHENONJR2PKcqtzkGq4eOtSlHxlMEN_15Kp!2e10!3e11!6shttps:%2F%2Flh5.googleusercontent.com%2Fp%2FAF1QipMKUqHENONJR2PKcqtzkGq4eOtSlHxlMEN_15Kp%3Dw203-h100-k-no-pi-0-ya153.74431-ro-0-fo100!7i10240!8i5120 </t>
  </si>
  <si>
    <t>UW0001</t>
  </si>
  <si>
    <t>Russian Military Movements</t>
  </si>
  <si>
    <t>yes</t>
  </si>
  <si>
    <t>N</t>
  </si>
  <si>
    <t>Equipment</t>
  </si>
  <si>
    <t>Heavy weaponry</t>
  </si>
  <si>
    <t>Russia</t>
  </si>
  <si>
    <t>success</t>
  </si>
  <si>
    <t>https://bellingcat-archive.nyc3.cdn.digitaloceanspaces.com/ukraine_witness_test/Worksheet/youtube_dl_1484436102295523329.mp4</t>
  </si>
  <si>
    <t>2022-02-25T10:18:49+00:00</t>
  </si>
  <si>
    <t>https://bellingcat-archive.nyc3.cdn.digitaloceanspaces.com/ukraine_witness_test/Worksheet/youtube_dl__MotolkoHelp_status_14844361022955233292022-02-25T10:18:36.152225.png</t>
  </si>
  <si>
    <t>3bd06f1670eb49a0ec0cfa4c80bb6ea91c8e2a1de3015bac618b723c6e0fba44</t>
  </si>
  <si>
    <t>https://bellingcat-archive.nyc3.cdn.digitaloceanspaces.com/ukraine_witness_test/Worksheet/youtube_dl_1484436102295523329/index.html</t>
  </si>
  <si>
    <t>MotolkoHelp - Russian train with military equipment was spotted today (21.01) in Rechitsa.  Tanks, armoured personnel carriers, various ZILs, KAMAZ trucks and even an excavator can be seen on the platforms.  It’s reported that some of the arriving military have Asian appearance.</t>
  </si>
  <si>
    <t>2022-01-21T09:02:00+00:00</t>
  </si>
  <si>
    <t>kangoo</t>
  </si>
  <si>
    <t>20/01/2022</t>
  </si>
  <si>
    <t>https://twitter.com/MotolkoHelp/status/1484446475773960192</t>
  </si>
  <si>
    <t>image</t>
  </si>
  <si>
    <t>Iskender missile system spotted for alleged exercise</t>
  </si>
  <si>
    <t>Mahilyow</t>
  </si>
  <si>
    <t>Asipovicky</t>
  </si>
  <si>
    <t>https://www.google.com/maps/place/%D0%9F%D0%B0%D1%80%D0%B0%D0%B2%D0%BE%D0%B7/@53.3037857,28.6360932,3a,75y,90t/data=!3m8!1e2!3m6!1sAF1QipMFlcnxFSgTvrYBO4mx7pIfJ1jvrX1paYNNUO-6!2e10!3e12!6shttps:%2F%2Flh5.googleusercontent.com%2Fp%2FAF1QipMFlcnxFSgTvrYBO4mx7pIfJ1jvrX1paYNNUO-6%3Dw203-h134-k-no!7i1192!8i791!4m13!1m7!3m6!1s0x0:0x50e62924144110f7!2zNTPCsDE4JzEyLjIiTiAyOMKwMzgnMTIuOCJF!3b1!8m2!3d53.303394!4d28.636886!3m4!1s0x46d756b64cff3ca5:0xc4ad8603358013ed!8m2!3d53.3035897!4d28.6359323</t>
  </si>
  <si>
    <t>Iskender</t>
  </si>
  <si>
    <t>UW0002</t>
  </si>
  <si>
    <t>https://bellingcat-archive.nyc3.cdn.digitaloceanspaces.com/ukraine_witness_test3/Worksheet/twitter__MotolkoHelp_status_1484446475773960192.html</t>
  </si>
  <si>
    <t>2022-02-25T11:12:27+00:00</t>
  </si>
  <si>
    <t>https://bellingcat-archive.nyc3.cdn.digitaloceanspaces.com/ukraine_witness_test3/Worksheet/twitter__MotolkoHelp_status_14844464757739601922022-02-25T11:12:15.757919.png</t>
  </si>
  <si>
    <t>2bbf883ce5bf61a8712bb51e50d39b1e03ae1260be56b28bbbfead138e891dae</t>
  </si>
  <si>
    <t>https://twitter.com/MotolkoHelp/status/1484482329452204032</t>
  </si>
  <si>
    <t>https://www.google.com/maps/place/Osipovichy+1/@53.2997984,28.6462825,3a,75y,90t/data=!3m8!1e2!3m6!1sAF1QipM4Wd7VUF7rFxnJc6Qy923Xox71kuy1yB6326hj!2e10!3e12!6shttps:%2F%2Flh5.googleusercontent.com%2Fp%2FAF1QipM4Wd7VUF7rFxnJc6Qy923Xox71kuy1yB6326hj%3Dw141-h86-k-no!7i5139!8i3130!4m13!1m7!3m6!1s0x0:0x50e62924144110f7!2zNTPCsDE4JzEyLjIiTiAyOMKwMzgnMTIuOCJF!3b1!8m2!3d53.303394!4d28.636886!3m4!1s0x46d756b54e753ea1:0xbf0874f48ba8f5d3!8m2!3d53.2997984!4d28.6462825</t>
  </si>
  <si>
    <t>UW0003</t>
  </si>
  <si>
    <t>https://bellingcat-archive.nyc3.cdn.digitaloceanspaces.com/ukraine_witness_test/Worksheet/youtube_dl_1484482329452204032.mp4</t>
  </si>
  <si>
    <t>2022-02-25T10:19:16+00:00</t>
  </si>
  <si>
    <t>https://bellingcat-archive.nyc3.cdn.digitaloceanspaces.com/ukraine_witness_test/Worksheet/youtube_dl__MotolkoHelp_status_14844823294522040322022-02-25T10:19:02.714125.png</t>
  </si>
  <si>
    <t>88e11cd162684c2d8d513066cee9ffa6d8fed241d6353487c271b9cb023e0679</t>
  </si>
  <si>
    <t>https://bellingcat-archive.nyc3.cdn.digitaloceanspaces.com/ukraine_witness_test/Worksheet/youtube_dl_1484482329452204032/index.html</t>
  </si>
  <si>
    <t>MotolkoHelp - Asipovichy. A Russian train with military equipment was spotted yesterday (20.01). In addition, there were more than 10 reserved seat cars of Russian Railways with soldiers of the Russian Federation at the station.</t>
  </si>
  <si>
    <t>2022-01-21T12:05:42+00:00</t>
  </si>
  <si>
    <t>https://twitter.com/GirkinGirkin/status/1484580547892592647</t>
  </si>
  <si>
    <t>Large number of tanks gathered</t>
  </si>
  <si>
    <t>Geolocate comms tower and wall</t>
  </si>
  <si>
    <t>UW0004</t>
  </si>
  <si>
    <t>https://bellingcat-archive.nyc3.cdn.digitaloceanspaces.com/ukraine_witness_test/Worksheet/youtube_dl_1484580547892592647.mp4</t>
  </si>
  <si>
    <t>2022-02-25T10:19:30+00:00</t>
  </si>
  <si>
    <t>https://bellingcat-archive.nyc3.cdn.digitaloceanspaces.com/ukraine_witness_test/Worksheet/youtube_dl__GirkinGirkin_status_14845805478925926472022-02-25T10:19:19.260146.png</t>
  </si>
  <si>
    <t>48f02ff7009dd316715c34caa0a9e2aef0ec8984ebda44e2abe1acca8d81fb6a</t>
  </si>
  <si>
    <t>https://bellingcat-archive.nyc3.cdn.digitaloceanspaces.com/ukraine_witness_test/Worksheet/youtube_dl_1484580547892592647/index.html</t>
  </si>
  <si>
    <t>IgorGirkin - Речица, Беларусь</t>
  </si>
  <si>
    <t>2022-01-21T18:35:59+00:00</t>
  </si>
  <si>
    <t>22/01/2022</t>
  </si>
  <si>
    <t>https://twitter.com/GirkinGirkin/status/1484684181410131970</t>
  </si>
  <si>
    <t>https://twitter.com/war_matter/status/1484717236443303937</t>
  </si>
  <si>
    <t>Lipetsk</t>
  </si>
  <si>
    <t>Gryazinsky</t>
  </si>
  <si>
    <t>Gryazi</t>
  </si>
  <si>
    <t xml:space="preserve">Geolocate train bridge </t>
  </si>
  <si>
    <t>UW0005</t>
  </si>
  <si>
    <t>https://bellingcat-archive.nyc3.cdn.digitaloceanspaces.com/ukraine_witness_test/Worksheet/youtube_dl_1484684181410131970.mp4</t>
  </si>
  <si>
    <t>2022-02-25T10:19:43+00:00</t>
  </si>
  <si>
    <t>https://bellingcat-archive.nyc3.cdn.digitaloceanspaces.com/ukraine_witness_test/Worksheet/youtube_dl__GirkinGirkin_status_14846841814101319702022-02-25T10:19:32.772462.png</t>
  </si>
  <si>
    <t>f4b9bf00b32a40f193e9a0405e2ae87e42ca7b95d9434a271d1ade8f48e3882a</t>
  </si>
  <si>
    <t>https://bellingcat-archive.nyc3.cdn.digitaloceanspaces.com/ukraine_witness_test/Worksheet/youtube_dl_1484684181410131970/index.html</t>
  </si>
  <si>
    <t>IgorGirkin - Липецкая обл</t>
  </si>
  <si>
    <t>2022-01-22T01:27:47+00:00</t>
  </si>
  <si>
    <t>23/01/2022</t>
  </si>
  <si>
    <t>https://twitter.com/MarQs__/status/1485235147997917187</t>
  </si>
  <si>
    <t>Geolocate buildings in background</t>
  </si>
  <si>
    <t>UW0006</t>
  </si>
  <si>
    <t>https://bellingcat-archive.nyc3.cdn.digitaloceanspaces.com/ukraine_witness_test/Worksheet/youtube_dl_1485235147997917187.mp4</t>
  </si>
  <si>
    <t>2022-02-25T10:19:57+00:00</t>
  </si>
  <si>
    <t>https://bellingcat-archive.nyc3.cdn.digitaloceanspaces.com/ukraine_witness_test/Worksheet/youtube_dl__MarQs___status_14852351479979171872022-02-25T10:19:46.812377.png</t>
  </si>
  <si>
    <t>0a2794f10d58a9b17e934baf43ced7366f3b9bc1fc1a103b10fc312426be2bdc</t>
  </si>
  <si>
    <t>https://bellingcat-archive.nyc3.cdn.digitaloceanspaces.com/ukraine_witness_test/Worksheet/youtube_dl_1485235147997917187/index.html</t>
  </si>
  <si>
    <t>marqs - Gomel, #Belarus, reportedly from today</t>
  </si>
  <si>
    <t>2022-01-23T13:57:08+00:00</t>
  </si>
  <si>
    <t>https://twitter.com/GirkinGirkin/status/1484949051590205449</t>
  </si>
  <si>
    <t>Smolensk</t>
  </si>
  <si>
    <t>Zadneprovskiy Rayon</t>
  </si>
  <si>
    <t>https://www.google.com/maps/place/Zheleznodorozhnyy+vokzal/@54.798138,32.038185,3a,75y,90t/data=!3m8!1e2!3m6!1sAF1QipMuC-manusAgXJVyRTqC_4x_RuwM-8qZbxdXTY!2e10!3e12!6shttps:%2F%2Flh5.googleusercontent.com%2Fp%2FAF1QipMuC-manusAgXJVyRTqC_4x_RuwM-8qZbxdXTY%3Dw114-h86-k-no!7i4608!8i3456!4m13!1m7!3m6!1s0x0:0x67f4d5785236d6d6!2zNTTCsDQ3JzUwLjYiTiAzMsKwMDInMTAuOSJF!3b1!8m2!3d54.79738!4d32.03637!3m4!1s0x46cef81c4f39d587:0x63b1becfd2d3352c!8m2!3d54.798138!4d32.038185</t>
  </si>
  <si>
    <t>UW0007</t>
  </si>
  <si>
    <t>https://bellingcat-archive.nyc3.cdn.digitaloceanspaces.com/ukraine_witness_test/Worksheet/youtube_dl_1484949051590205449.mp4</t>
  </si>
  <si>
    <t>2022-02-25T10:20:11+00:00</t>
  </si>
  <si>
    <t>https://bellingcat-archive.nyc3.cdn.digitaloceanspaces.com/ukraine_witness_test/Worksheet/youtube_dl__GirkinGirkin_status_14849490515902054492022-02-25T10:20:00.456739.png</t>
  </si>
  <si>
    <t>ec21aa910b475d27442c513fd65b63bc894edd971fcfb7f9314f77ab11eaeaa0</t>
  </si>
  <si>
    <t>https://bellingcat-archive.nyc3.cdn.digitaloceanspaces.com/ukraine_witness_test/Worksheet/youtube_dl_1484949051590205449/index.html</t>
  </si>
  <si>
    <t>IgorGirkin - Смоленск</t>
  </si>
  <si>
    <t>2022-01-22T19:00:17+00:00</t>
  </si>
  <si>
    <t>https://twitter.com/MotolkoHelp/status/1485579157060866049</t>
  </si>
  <si>
    <t>https://twitter.com/MotolkoHelp/status/1485579157060866049/retweets/with_comments</t>
  </si>
  <si>
    <t>Minsk</t>
  </si>
  <si>
    <t>Geolocate the bridge in background</t>
  </si>
  <si>
    <t>UW0008</t>
  </si>
  <si>
    <t>https://bellingcat-archive.nyc3.cdn.digitaloceanspaces.com/ukraine_witness_test3/Worksheet/twitter__MotolkoHelp_status_1485579157060866049.html</t>
  </si>
  <si>
    <t>2022-02-25T11:12:44+00:00</t>
  </si>
  <si>
    <t>https://bellingcat-archive.nyc3.cdn.digitaloceanspaces.com/ukraine_witness_test3/Worksheet/twitter__MotolkoHelp_status_14855791570608660492022-02-25T11:12:35.638071.png</t>
  </si>
  <si>
    <t>df3304e9017adb0ba222ef510f988982e2252e5928d55cea72a348e9c353830e</t>
  </si>
  <si>
    <t xml:space="preserve">Or </t>
  </si>
  <si>
    <t>https://twitter.com/MarQs__/status/1485244257703460867</t>
  </si>
  <si>
    <t xml:space="preserve">russian military equipment being unloaded </t>
  </si>
  <si>
    <t>https://twitter.com/war_matter/status/1485246909413748738</t>
  </si>
  <si>
    <t>Geolocate the electricity tower in the background</t>
  </si>
  <si>
    <t>UW0009</t>
  </si>
  <si>
    <t>https://bellingcat-archive.nyc3.cdn.digitaloceanspaces.com/ukraine_witness_test/Worksheet/youtube_dl_1485244257703460867.mp4</t>
  </si>
  <si>
    <t>2022-02-25T10:20:26+00:00</t>
  </si>
  <si>
    <t>https://bellingcat-archive.nyc3.cdn.digitaloceanspaces.com/ukraine_witness_test/Worksheet/youtube_dl__MarQs___status_14852442577034608672022-02-25T10:20:15.609327.png</t>
  </si>
  <si>
    <t>829aae03eadf0c5c00b6414b9b43f5b42b81e4b4a3f000c279ae2ccf0157aafd</t>
  </si>
  <si>
    <t>https://bellingcat-archive.nyc3.cdn.digitaloceanspaces.com/ukraine_witness_test/Worksheet/youtube_dl_1485244257703460867/index.html</t>
  </si>
  <si>
    <t>marqs - Rechitsa, #Belarus yesterday. More and more equipment is accumulating in this camp.</t>
  </si>
  <si>
    <t>2022-01-23T14:33:20+00:00</t>
  </si>
  <si>
    <t>OR</t>
  </si>
  <si>
    <t>https://twitter.com/GirkinGirkin/status/1484505789452754946</t>
  </si>
  <si>
    <t>https://twitter.com/war_matter/status/1484527116058521600</t>
  </si>
  <si>
    <t xml:space="preserve">Geolocated through removed fence </t>
  </si>
  <si>
    <t>UW0010</t>
  </si>
  <si>
    <t>https://bellingcat-archive.nyc3.cdn.digitaloceanspaces.com/ukraine_witness_test/Worksheet/youtube_dl_1484505789452754946.mp4</t>
  </si>
  <si>
    <t>2022-02-25T10:20:41+00:00</t>
  </si>
  <si>
    <t>https://bellingcat-archive.nyc3.cdn.digitaloceanspaces.com/ukraine_witness_test/Worksheet/youtube_dl__GirkinGirkin_status_14845057894527549462022-02-25T10:20:30.110952.png</t>
  </si>
  <si>
    <t>6e06404ac820d699fabaeec1238d539beadc26042ee0dc737fe9bbb57753bbad</t>
  </si>
  <si>
    <t>https://bellingcat-archive.nyc3.cdn.digitaloceanspaces.com/ukraine_witness_test/Worksheet/youtube_dl_1484505789452754946/index.html</t>
  </si>
  <si>
    <t>IgorGirkin - Речица</t>
  </si>
  <si>
    <t>2022-01-21T13:38:55+00:00</t>
  </si>
  <si>
    <t>17/01/2022</t>
  </si>
  <si>
    <t>https://twitter.com/GirkinGirkin/status/1483070921304940547</t>
  </si>
  <si>
    <t>Novosibirsk Oblast</t>
  </si>
  <si>
    <t>Novosibirsk</t>
  </si>
  <si>
    <t>Karagat</t>
  </si>
  <si>
    <t xml:space="preserve">Geolocated through green-post </t>
  </si>
  <si>
    <t>UW0011</t>
  </si>
  <si>
    <t>https://bellingcat-archive.nyc3.cdn.digitaloceanspaces.com/ukraine_witness_test/Worksheet/youtube_dl_1483070921304940547.mp4</t>
  </si>
  <si>
    <t>2022-02-25T10:20:54+00:00</t>
  </si>
  <si>
    <t>https://bellingcat-archive.nyc3.cdn.digitaloceanspaces.com/ukraine_witness_test/Worksheet/youtube_dl__GirkinGirkin_status_14830709213049405472022-02-25T10:20:43.272771.png</t>
  </si>
  <si>
    <t>d35defda6fe04236404e7d8a0b3709a0bccb28854b1409beeb0da302ba25f81e</t>
  </si>
  <si>
    <t>https://bellingcat-archive.nyc3.cdn.digitaloceanspaces.com/ukraine_witness_test/Worksheet/youtube_dl_1483070921304940547/index.html</t>
  </si>
  <si>
    <t>IgorGirkin - Новосибирская обл</t>
  </si>
  <si>
    <t>2022-01-17T14:37:16+00:00</t>
  </si>
  <si>
    <t>25/01/2022</t>
  </si>
  <si>
    <t>https://twitter.com/GirkinGirkin/status/1485930045860458496</t>
  </si>
  <si>
    <t>Dagastan</t>
  </si>
  <si>
    <t>Makhachkala</t>
  </si>
  <si>
    <t>Geolocate silos in background</t>
  </si>
  <si>
    <t>UW0012</t>
  </si>
  <si>
    <t>https://bellingcat-archive.nyc3.cdn.digitaloceanspaces.com/ukraine_witness_test/Worksheet/youtube_dl_1485930045860458496.mp4</t>
  </si>
  <si>
    <t>2022-02-25T10:21:07+00:00</t>
  </si>
  <si>
    <t>https://bellingcat-archive.nyc3.cdn.digitaloceanspaces.com/ukraine_witness_test/Worksheet/youtube_dl__GirkinGirkin_status_14859300458604584962022-02-25T10:20:56.688465.png</t>
  </si>
  <si>
    <t>14b77fb83d7c6318ff3a2e6dbc2c87e213681951e679b823d179247a94776c9d</t>
  </si>
  <si>
    <t>https://bellingcat-archive.nyc3.cdn.digitaloceanspaces.com/ukraine_witness_test/Worksheet/youtube_dl_1485930045860458496/index.html</t>
  </si>
  <si>
    <t>IgorGirkin - Махачкала</t>
  </si>
  <si>
    <t>2022-01-25T11:58:24+00:00</t>
  </si>
  <si>
    <t>12/01/2022</t>
  </si>
  <si>
    <t>https://twitter.com/GirkinGirkin/status/1481246660588093441</t>
  </si>
  <si>
    <t xml:space="preserve">Novosibirsk </t>
  </si>
  <si>
    <t xml:space="preserve">Tsentral'nyy </t>
  </si>
  <si>
    <t>Krasnoyarsk</t>
  </si>
  <si>
    <t xml:space="preserve">Geolocated using three buildings in the background </t>
  </si>
  <si>
    <t>UW0013</t>
  </si>
  <si>
    <t>https://bellingcat-archive.nyc3.cdn.digitaloceanspaces.com/ukraine_witness_test/Worksheet/youtube_dl_1481246660588093441.mp4</t>
  </si>
  <si>
    <t>2022-02-25T10:21:22+00:00</t>
  </si>
  <si>
    <t>https://bellingcat-archive.nyc3.cdn.digitaloceanspaces.com/ukraine_witness_test/Worksheet/youtube_dl__GirkinGirkin_status_14812466605880934412022-02-25T10:21:10.885436.png</t>
  </si>
  <si>
    <t>1922dd55e25caf300a847ae5978c2f50eca6a186c3b1b15d46b7f6c2f5ee8f7f</t>
  </si>
  <si>
    <t>https://bellingcat-archive.nyc3.cdn.digitaloceanspaces.com/ukraine_witness_test/Worksheet/youtube_dl_1481246660588093441/index.html</t>
  </si>
  <si>
    <t>IgorGirkin - "slavik_boy94:это только половина, вчера таких поездов 12 было за весь день😳"  Красноярск</t>
  </si>
  <si>
    <t>2022-01-12T13:48:18+00:00</t>
  </si>
  <si>
    <t>TOM</t>
  </si>
  <si>
    <t>27/01/2022</t>
  </si>
  <si>
    <t>https://twitter.com/MarQs__/status/1486652617858158593</t>
  </si>
  <si>
    <t>Low loaders carrying T-72s, one with mine plough</t>
  </si>
  <si>
    <t>Bryansk</t>
  </si>
  <si>
    <t>Mglinsky</t>
  </si>
  <si>
    <t>Mglin</t>
  </si>
  <si>
    <t>Geolocate 2 churches in background</t>
  </si>
  <si>
    <t>T-72B1 and T72-BAs</t>
  </si>
  <si>
    <t>UW0014</t>
  </si>
  <si>
    <t>Second one looks like a T-72B3, third one a T-72B1</t>
  </si>
  <si>
    <t>https://bellingcat-archive.nyc3.cdn.digitaloceanspaces.com/ukraine_witness_test/Worksheet/youtube_dl_1486652617858158593.mp4</t>
  </si>
  <si>
    <t>2022-02-25T10:22:00+00:00</t>
  </si>
  <si>
    <t>https://bellingcat-archive.nyc3.cdn.digitaloceanspaces.com/ukraine_witness_test/Worksheet/youtube_dl__MarQs___status_14866526178581585932022-02-25T10:21:39.918973.png</t>
  </si>
  <si>
    <t>d4ec05c03ed6e84933f06cd004ca9e80158a1bd9bb14937c234e1fb76c1eebcc</t>
  </si>
  <si>
    <t>https://bellingcat-archive.nyc3.cdn.digitaloceanspaces.com/ukraine_witness_test/Worksheet/youtube_dl_1486652617858158593/index.html</t>
  </si>
  <si>
    <t>marqs - Bryansk, #Russia</t>
  </si>
  <si>
    <t>2022-01-27T11:49:39+00:00</t>
  </si>
  <si>
    <t>PIERRE</t>
  </si>
  <si>
    <t>https://twitter.com/GirkinGirkin/status/1486659703891546115</t>
  </si>
  <si>
    <t>Trucks carrying unknown military equipment</t>
  </si>
  <si>
    <t>Fokinsky</t>
  </si>
  <si>
    <t>Geolocated using the Metro cash and cary, flags and pylons</t>
  </si>
  <si>
    <t>UW0015</t>
  </si>
  <si>
    <t>I dont think we can say it's for the Buk just because of the truck</t>
  </si>
  <si>
    <t>https://bellingcat-archive.nyc3.cdn.digitaloceanspaces.com/ukraine_witness_test/Worksheet/youtube_dl_1486659703891546115.mp4</t>
  </si>
  <si>
    <t>2022-02-25T10:22:15+00:00</t>
  </si>
  <si>
    <t>https://bellingcat-archive.nyc3.cdn.digitaloceanspaces.com/ukraine_witness_test/Worksheet/youtube_dl__GirkinGirkin_status_14866597038915461152022-02-25T10:22:03.718950.png</t>
  </si>
  <si>
    <t>ac698cf93f20a5cb804ed0dc477c53b559814d047cd98b519581268209d0226d</t>
  </si>
  <si>
    <t>https://bellingcat-archive.nyc3.cdn.digitaloceanspaces.com/ukraine_witness_test/Worksheet/youtube_dl_1486659703891546115/index.html</t>
  </si>
  <si>
    <t>IgorGirkin - Брянск, "28 машин"</t>
  </si>
  <si>
    <t>2022-01-27T12:17:48+00:00</t>
  </si>
  <si>
    <t>26/01/2022</t>
  </si>
  <si>
    <t>https://twitter.com/GirkinGirkin/status/1486154729520574467</t>
  </si>
  <si>
    <t>Military equipment stationed around train tracks</t>
  </si>
  <si>
    <t>Kalinkavichy</t>
  </si>
  <si>
    <t>Geollocate building and fence on left</t>
  </si>
  <si>
    <t>UW0016</t>
  </si>
  <si>
    <t>https://bellingcat-archive.nyc3.cdn.digitaloceanspaces.com/ukraine_witness_test/Worksheet/youtube_dl_1486154729520574467.mp4</t>
  </si>
  <si>
    <t>2022-02-25T10:22:29+00:00</t>
  </si>
  <si>
    <t>https://bellingcat-archive.nyc3.cdn.digitaloceanspaces.com/ukraine_witness_test/Worksheet/youtube_dl__GirkinGirkin_status_14861547295205744672022-02-25T10:22:17.767001.png</t>
  </si>
  <si>
    <t>ef2ad5241cc507d83f4633cadebb87290d6257e6c38c2492f54457c03b5bf8e4</t>
  </si>
  <si>
    <t>https://bellingcat-archive.nyc3.cdn.digitaloceanspaces.com/ukraine_witness_test/Worksheet/youtube_dl_1486154729520574467/index.html</t>
  </si>
  <si>
    <t>IgorGirkin - Калинковичи</t>
  </si>
  <si>
    <t>2022-01-26T02:51:13+00:00</t>
  </si>
  <si>
    <t>19/01/2022</t>
  </si>
  <si>
    <t>https://twitter.com/GirkinGirkin/status/1484228889807409155</t>
  </si>
  <si>
    <t>Tyumen</t>
  </si>
  <si>
    <t>Tyumensky</t>
  </si>
  <si>
    <t>Geolocated buildings in background, Cross reference with UW0017-22, 26-28</t>
  </si>
  <si>
    <t>UW0017</t>
  </si>
  <si>
    <t>https://bellingcat-archive.nyc3.cdn.digitaloceanspaces.com/ukraine_witness_test/Worksheet/youtube_dl_1484228889807409155.mp4</t>
  </si>
  <si>
    <t>2022-02-25T10:22:44+00:00</t>
  </si>
  <si>
    <t>https://bellingcat-archive.nyc3.cdn.digitaloceanspaces.com/ukraine_witness_test/Worksheet/youtube_dl__GirkinGirkin_status_14842288898074091552022-02-25T10:22:32.452018.png</t>
  </si>
  <si>
    <t>2bbce5180f78970abead572ad3d5f24c33b5b405fedac4cb6481c7d3e66f9758</t>
  </si>
  <si>
    <t>https://bellingcat-archive.nyc3.cdn.digitaloceanspaces.com/ukraine_witness_test/Worksheet/youtube_dl_1484228889807409155/index.html</t>
  </si>
  <si>
    <t>IgorGirkin - Тюмень</t>
  </si>
  <si>
    <t>2022-01-20T19:18:37+00:00</t>
  </si>
  <si>
    <t>https://twitter.com/GirkinGirkin/status/1484837416959627267</t>
  </si>
  <si>
    <t>UW0018</t>
  </si>
  <si>
    <t>https://bellingcat-archive.nyc3.cdn.digitaloceanspaces.com/ukraine_witness_test/Worksheet/youtube_dl_1484837416959627267.mp4</t>
  </si>
  <si>
    <t>2022-02-25T10:22:59+00:00</t>
  </si>
  <si>
    <t>https://bellingcat-archive.nyc3.cdn.digitaloceanspaces.com/ukraine_witness_test/Worksheet/youtube_dl__GirkinGirkin_status_14848374169596272672022-02-25T10:22:47.851262.png</t>
  </si>
  <si>
    <t>652127bbd08d363d49b2654dc3da412f22a83c9e15e4e73301bfc4e88ea89cb2</t>
  </si>
  <si>
    <t>https://bellingcat-archive.nyc3.cdn.digitaloceanspaces.com/ukraine_witness_test/Worksheet/youtube_dl_1484837416959627267/index.html</t>
  </si>
  <si>
    <t>2022-01-22T11:36:41+00:00</t>
  </si>
  <si>
    <t>https://www.tiktok.com/@alexpaul_1990/video/7056334111664819458?is_copy_url=1&amp;is_from_webapp=v1</t>
  </si>
  <si>
    <t>UW0019</t>
  </si>
  <si>
    <t>https://bellingcat-archive.nyc3.cdn.digitaloceanspaces.com/ukraine_witness_test/Worksheet/tiktok_7056334111664819458.mp4</t>
  </si>
  <si>
    <t>2022-02-25T10:23:38+00:00</t>
  </si>
  <si>
    <t>https://bellingcat-archive.nyc3.cdn.digitaloceanspaces.com/ukraine_witness_test/Worksheet/tiktok__@alexpaul_1990_video_70563341116648194582022-02-25T10:23:28.384048.png</t>
  </si>
  <si>
    <t>5221d104e360fe4cbe155ab759d717edaf71a630c1add561ecfbae11f21ec25d</t>
  </si>
  <si>
    <t>https://bellingcat-archive.nyc3.cdn.digitaloceanspaces.com/ukraine_witness_test/Worksheet/tiktok_7056334111664819458/index.html</t>
  </si>
  <si>
    <t>#россия #армия #военнаятехника #НЕПРОМОРГАЙПЕЧЕНЬЕ #рекомендации #солдаты #тюмень</t>
  </si>
  <si>
    <t>2022-01-23T10:40:14+00:00</t>
  </si>
  <si>
    <t>https://twitter.com/GirkinGirkin/status/1485215101867200515</t>
  </si>
  <si>
    <t>UW0020</t>
  </si>
  <si>
    <t>https://bellingcat-archive.nyc3.cdn.digitaloceanspaces.com/ukraine_witness_test/Worksheet/youtube_dl_1485215101867200515.mp4</t>
  </si>
  <si>
    <t>2022-02-25T10:23:58+00:00</t>
  </si>
  <si>
    <t>https://bellingcat-archive.nyc3.cdn.digitaloceanspaces.com/ukraine_witness_test/Worksheet/youtube_dl__GirkinGirkin_status_14852151018672005152022-02-25T10:23:43.852753.png</t>
  </si>
  <si>
    <t>57eb116a3200ccd0ac7a71b0fdd15ae2da8ebf3b15d3c7dd2f8ffc0970848aff</t>
  </si>
  <si>
    <t>https://bellingcat-archive.nyc3.cdn.digitaloceanspaces.com/ukraine_witness_test/Worksheet/youtube_dl_1485215101867200515/index.html</t>
  </si>
  <si>
    <t>2022-01-23T12:37:28+00:00</t>
  </si>
  <si>
    <t>13/01/2022</t>
  </si>
  <si>
    <t>https://twitter.com/GirkinGirkin/status/1485310938903367693</t>
  </si>
  <si>
    <t>UW0021</t>
  </si>
  <si>
    <t>https://bellingcat-archive.nyc3.cdn.digitaloceanspaces.com/ukraine_witness_test/Worksheet/youtube_dl_1485310938903367693.mp4</t>
  </si>
  <si>
    <t>2022-02-25T10:24:12+00:00</t>
  </si>
  <si>
    <t>https://bellingcat-archive.nyc3.cdn.digitaloceanspaces.com/ukraine_witness_test/Worksheet/youtube_dl__GirkinGirkin_status_14853109389033676932022-02-25T10:24:01.054304.png</t>
  </si>
  <si>
    <t>0ef4843254daf945dee03e0378e838dd2ddb1c3aceb92d91e4fd0a9119eacf6d</t>
  </si>
  <si>
    <t>https://bellingcat-archive.nyc3.cdn.digitaloceanspaces.com/ukraine_witness_test/Worksheet/youtube_dl_1485310938903367693/index.html</t>
  </si>
  <si>
    <t>2022-01-23T18:58:18+00:00</t>
  </si>
  <si>
    <t>https://twitter.com/GirkinGirkin/status/1484837601810993154</t>
  </si>
  <si>
    <t>UW0022</t>
  </si>
  <si>
    <t>https://bellingcat-archive.nyc3.cdn.digitaloceanspaces.com/ukraine_witness_test/Worksheet/youtube_dl_1484837601810993154.mp4</t>
  </si>
  <si>
    <t>2022-02-25T10:24:25+00:00</t>
  </si>
  <si>
    <t>https://bellingcat-archive.nyc3.cdn.digitaloceanspaces.com/ukraine_witness_test/Worksheet/youtube_dl__GirkinGirkin_status_14848376018109931542022-02-25T10:24:14.529996.png</t>
  </si>
  <si>
    <t>31de0bfad524783a8a4891d446a38f2a3090fa73ffbdcae0894039ffd694b26a</t>
  </si>
  <si>
    <t>https://bellingcat-archive.nyc3.cdn.digitaloceanspaces.com/ukraine_witness_test/Worksheet/youtube_dl_1484837601810993154/index.html</t>
  </si>
  <si>
    <t>2022-01-22T11:37:25+00:00</t>
  </si>
  <si>
    <t>https://twitter.com/GirkinGirkin/status/1486709938810282000</t>
  </si>
  <si>
    <t>Geolocated removed fence and bus station in the background, cross reference with UW0010</t>
  </si>
  <si>
    <t>UW0023</t>
  </si>
  <si>
    <t>https://bellingcat-archive.nyc3.cdn.digitaloceanspaces.com/ukraine_witness_test/Worksheet/youtube_dl_1486709938810282000.mp4</t>
  </si>
  <si>
    <t>2022-02-25T10:24:39+00:00</t>
  </si>
  <si>
    <t>https://bellingcat-archive.nyc3.cdn.digitaloceanspaces.com/ukraine_witness_test/Worksheet/youtube_dl__GirkinGirkin_status_14867099388102820002022-02-25T10:24:28.913201.png</t>
  </si>
  <si>
    <t>14504593c0a1867a92921cd3cb2849edeee5b46f529d2e01eefea9319d4d77c5</t>
  </si>
  <si>
    <t>https://bellingcat-archive.nyc3.cdn.digitaloceanspaces.com/ukraine_witness_test/Worksheet/youtube_dl_1486709938810282000/index.html</t>
  </si>
  <si>
    <t>IgorGirkin - Беларусь</t>
  </si>
  <si>
    <t>2022-01-27T15:37:25+00:00</t>
  </si>
  <si>
    <t>https://www.tiktok.com/@jora2506/video/7057843530831498498?is_from_webapp=1&amp;sender_device=pc&amp;web_id7028892818824480262</t>
  </si>
  <si>
    <t>SAM missiles on the move</t>
  </si>
  <si>
    <t>https://twitter.com/Michael1Sheldon/status/1487907513718788097</t>
  </si>
  <si>
    <t>Rostov</t>
  </si>
  <si>
    <t>Kagalnitsky</t>
  </si>
  <si>
    <t>Kagal'nitskaya</t>
  </si>
  <si>
    <t>Geolocated surrounding buildings</t>
  </si>
  <si>
    <t>SAM missiles (likely S300 or 400)</t>
  </si>
  <si>
    <t>UW0024</t>
  </si>
  <si>
    <t>https://bellingcat-archive.nyc3.cdn.digitaloceanspaces.com/ukraine_witness_test/Worksheet/tiktok_7057843530831498498.mp4</t>
  </si>
  <si>
    <t>2022-02-25T10:25:12+00:00</t>
  </si>
  <si>
    <t>https://bellingcat-archive.nyc3.cdn.digitaloceanspaces.com/ukraine_witness_test/Worksheet/tiktok__@jora2506_video_70578435308314984982022-02-25T10:25:02.910624.png</t>
  </si>
  <si>
    <t>9e247a6398bc2023c5941e3e1d1887efceb98b81dce2757076b88ddd85670d60</t>
  </si>
  <si>
    <t>https://bellingcat-archive.nyc3.cdn.digitaloceanspaces.com/ukraine_witness_test/Worksheet/tiktok_7057843530831498498/index.html</t>
  </si>
  <si>
    <t>#война #украина</t>
  </si>
  <si>
    <t>2022-01-27T12:17:32+00:00</t>
  </si>
  <si>
    <t>Twitter</t>
  </si>
  <si>
    <t>https://twitter.com/CasusBellii/status/1486648257061298177</t>
  </si>
  <si>
    <t>Photo</t>
  </si>
  <si>
    <t>Multiple train loads of military equipement</t>
  </si>
  <si>
    <t>Geolocated buildings on left</t>
  </si>
  <si>
    <t>9P162 Kornet-T</t>
  </si>
  <si>
    <t>UW0025</t>
  </si>
  <si>
    <t>https://bellingcat-archive.nyc3.cdn.digitaloceanspaces.com/ukraine_witness_test/Worksheet/youtube_dl_1486629075863183366.mp4</t>
  </si>
  <si>
    <t>2022-02-25T10:25:25+00:00</t>
  </si>
  <si>
    <t>https://bellingcat-archive.nyc3.cdn.digitaloceanspaces.com/ukraine_witness_test/Worksheet/youtube_dl__CasusBellii_status_14866482570612981772022-02-25T10:25:14.819858.png</t>
  </si>
  <si>
    <t>7341002b0e4999db007ef372b2a2cc22c11eecc6337d89e534d38cfc903f90d3</t>
  </si>
  <si>
    <t>https://bellingcat-archive.nyc3.cdn.digitaloceanspaces.com/ukraine_witness_test/Worksheet/youtube_dl_1486629075863183366/index.html</t>
  </si>
  <si>
    <t>Casus Belli 📡 - 🇷🇺🇺🇦🇧🇾🇺🇸🚨| Toujours au Belarus, des trains acheminant des dizaines de blindés dont des BMP-2, camions logistiques Ural (..).</t>
  </si>
  <si>
    <t>2022-01-27T10:16:06+00:00</t>
  </si>
  <si>
    <t>https://www.tiktok.com/@alexpaul_1990/video/7055947746200636673?is_copy_url=1&amp;is_from_webapp=v1</t>
  </si>
  <si>
    <t>UW0026</t>
  </si>
  <si>
    <t>https://bellingcat-archive.nyc3.cdn.digitaloceanspaces.com/ukraine_witness_test/Worksheet/tiktok_7055947746200636673.mp4</t>
  </si>
  <si>
    <t>2022-02-25T10:26:13+00:00</t>
  </si>
  <si>
    <t>https://bellingcat-archive.nyc3.cdn.digitaloceanspaces.com/ukraine_witness_test/Worksheet/tiktok__@alexpaul_1990_video_70559477462006366732022-02-25T10:26:03.804975.png</t>
  </si>
  <si>
    <t>e86ecdcf08bb2d558a151dcec5c04c4e74500ff4622ffc840deac2ba18a89d4f</t>
  </si>
  <si>
    <t>https://bellingcat-archive.nyc3.cdn.digitaloceanspaces.com/ukraine_witness_test/Worksheet/tiktok_7055947746200636673/index.html</t>
  </si>
  <si>
    <t>#НЕПРОМОРГАЙПЕЧЕНЬЕ #рекомендации #военнаятехника #армия #танки #россия</t>
  </si>
  <si>
    <t>2022-01-22T09:40:56+00:00</t>
  </si>
  <si>
    <t>https://www.tiktok.com/@alexpaul_1990/video/7055946974075440385?is_copy_url=1&amp;is_from_webapp=v1</t>
  </si>
  <si>
    <t xml:space="preserve">ZS-88 </t>
  </si>
  <si>
    <t>UW0027</t>
  </si>
  <si>
    <t>https://bellingcat-archive.nyc3.cdn.digitaloceanspaces.com/ukraine_witness_test/Worksheet/tiktok_7055946974075440385.mp4</t>
  </si>
  <si>
    <t>2022-02-25T10:26:52+00:00</t>
  </si>
  <si>
    <t>https://bellingcat-archive.nyc3.cdn.digitaloceanspaces.com/ukraine_witness_test/Worksheet/tiktok__@alexpaul_1990_video_70559469740754403852022-02-25T10:26:43.574792.png</t>
  </si>
  <si>
    <t>0e99608f0a002e3e5fc89a955092c6b0942d93a503cf599fb9f35b01a28d73cd</t>
  </si>
  <si>
    <t>https://bellingcat-archive.nyc3.cdn.digitaloceanspaces.com/ukraine_witness_test/Worksheet/tiktok_7055946974075440385/index.html</t>
  </si>
  <si>
    <t>#солдаты #НЕПРОМОРГАЙПЕЧЕНЬЕ #рекомендации #военнаятехника #армия #танки #россия</t>
  </si>
  <si>
    <t>2022-01-22T09:37:56+00:00</t>
  </si>
  <si>
    <t>https://www.tiktok.com/@alexpaul_1990/video/7055945726563568897?is_copy_url=1&amp;is_from_webapp=v1</t>
  </si>
  <si>
    <t>UW0028</t>
  </si>
  <si>
    <t>https://bellingcat-archive.nyc3.cdn.digitaloceanspaces.com/ukraine_witness_test/Worksheet/tiktok_7055945726563568897.mp4</t>
  </si>
  <si>
    <t>2022-02-25T10:27:08+00:00</t>
  </si>
  <si>
    <t>https://bellingcat-archive.nyc3.cdn.digitaloceanspaces.com/ukraine_witness_test/Worksheet/tiktok__@alexpaul_1990_video_70559457265635688972022-02-25T10:27:00.195068.png</t>
  </si>
  <si>
    <t>b0f14591a9be2bfc399d49524b87b4de99ae7c8545df72476f89e3b99d236fb5</t>
  </si>
  <si>
    <t>https://bellingcat-archive.nyc3.cdn.digitaloceanspaces.com/ukraine_witness_test/Worksheet/tiktok_7055945726563568897/index.html</t>
  </si>
  <si>
    <t>#россия #танки #армия #военнаятехника #рекомендации #солдаты</t>
  </si>
  <si>
    <t>2022-01-22T09:33:06+00:00</t>
  </si>
  <si>
    <t>28/01/2022</t>
  </si>
  <si>
    <t>https://twitter.com/juzhanin/status/1487057498825764865</t>
  </si>
  <si>
    <t xml:space="preserve">Convoy of miltary equipment </t>
  </si>
  <si>
    <t>Crimea</t>
  </si>
  <si>
    <t>Geolocated based on road sign an bridge</t>
  </si>
  <si>
    <t>UW0029</t>
  </si>
  <si>
    <t>https://bellingcat-archive.nyc3.cdn.digitaloceanspaces.com/ukraine_witness_test/Worksheet/youtube_dl_1487057498825764865.mp4</t>
  </si>
  <si>
    <t>2022-02-25T10:27:23+00:00</t>
  </si>
  <si>
    <t>https://bellingcat-archive.nyc3.cdn.digitaloceanspaces.com/ukraine_witness_test/Worksheet/youtube_dl__juzhanin_status_14870574988257648652022-02-25T10:27:12.442709.png</t>
  </si>
  <si>
    <t>2ba3e5bc08a334ac9f39901bb911a3cffeceaa6243f116a6cdeed8289d48aa85</t>
  </si>
  <si>
    <t>https://bellingcat-archive.nyc3.cdn.digitaloceanspaces.com/ukraine_witness_test/Worksheet/youtube_dl_1487057498825764865/index.html</t>
  </si>
  <si>
    <t>Август Ландмессер - Военная техника оккупантов. 15 км от Керчи в сторону Феодосии.  Сегодня 28.01.22   14.00 по украинскому времени</t>
  </si>
  <si>
    <t>2022-01-28T14:38:30+00:00</t>
  </si>
  <si>
    <t>https://twitter.com/juzhanin/status/1487059379266465797</t>
  </si>
  <si>
    <t>Logistics convoy</t>
  </si>
  <si>
    <t xml:space="preserve">Geolocated 2 bridges </t>
  </si>
  <si>
    <t>UW0030</t>
  </si>
  <si>
    <t>Logistics</t>
  </si>
  <si>
    <t>https://bellingcat-archive.nyc3.cdn.digitaloceanspaces.com/ukraine_witness_test/Worksheet/youtube_dl_1487059379266465797.mp4</t>
  </si>
  <si>
    <t>2022-02-25T10:27:38+00:00</t>
  </si>
  <si>
    <t>https://bellingcat-archive.nyc3.cdn.digitaloceanspaces.com/ukraine_witness_test/Worksheet/youtube_dl__juzhanin_status_14870593792664657972022-02-25T10:27:26.850753.png</t>
  </si>
  <si>
    <t>876c9462d8ff3c1421d64e5dc60fd2350018af6100ae72850bd01faef17fd386</t>
  </si>
  <si>
    <t>https://bellingcat-archive.nyc3.cdn.digitaloceanspaces.com/ukraine_witness_test/Worksheet/youtube_dl_1487059379266465797/index.html</t>
  </si>
  <si>
    <t>Август Ландмессер - Трасса от Керчи до Феодосии вся в военной технике</t>
  </si>
  <si>
    <t>2022-01-28T14:45:58+00:00</t>
  </si>
  <si>
    <t>https://twitter.com/GirkinGirkin/status/1487074717555216389</t>
  </si>
  <si>
    <t>Krasnodar rai</t>
  </si>
  <si>
    <t>Temryuksky</t>
  </si>
  <si>
    <t>Geolocate drainage system and gate in fence</t>
  </si>
  <si>
    <t>2S19 “MSTA-S”</t>
  </si>
  <si>
    <t>UW0031</t>
  </si>
  <si>
    <t>https://bellingcat-archive.nyc3.cdn.digitaloceanspaces.com/ukraine_witness_test/Worksheet/youtube_dl_1487074717555216389.mp4</t>
  </si>
  <si>
    <t>2022-02-25T10:27:51+00:00</t>
  </si>
  <si>
    <t>https://bellingcat-archive.nyc3.cdn.digitaloceanspaces.com/ukraine_witness_test/Worksheet/youtube_dl__GirkinGirkin_status_14870747175552163892022-02-25T10:27:40.701022.png</t>
  </si>
  <si>
    <t>9674d31f07c894a3ca40b1e6bab70a3d54d05d091747ccf949001ce79a6eff20</t>
  </si>
  <si>
    <t>https://bellingcat-archive.nyc3.cdn.digitaloceanspaces.com/ukraine_witness_test/Worksheet/youtube_dl_1487074717555216389/index.html</t>
  </si>
  <si>
    <t>IgorGirkin - В хэштеге к видео указан крым</t>
  </si>
  <si>
    <t>2022-01-28T15:46:55+00:00</t>
  </si>
  <si>
    <t>29/01/2022</t>
  </si>
  <si>
    <t>https://twitter.com/GirkinGirkin/status/1487433437292208132</t>
  </si>
  <si>
    <t>https://twitter.com/gfusfus/status/1487438107951644675</t>
  </si>
  <si>
    <t>Krasnodar</t>
  </si>
  <si>
    <t>Geolocated by buildings in background</t>
  </si>
  <si>
    <t>UW0032</t>
  </si>
  <si>
    <t>https://bellingcat-archive.nyc3.cdn.digitaloceanspaces.com/ukraine_witness_test/Worksheet/youtube_dl_1487433437292208132.mp4</t>
  </si>
  <si>
    <t>2022-02-25T10:28:05+00:00</t>
  </si>
  <si>
    <t>https://bellingcat-archive.nyc3.cdn.digitaloceanspaces.com/ukraine_witness_test/Worksheet/youtube_dl__GirkinGirkin_status_14874334372922081322022-02-25T10:27:54.089090.png</t>
  </si>
  <si>
    <t>52e8fa8e0e82c3ce3800b338146944faac7fa63543d15a487f75dad2982beeaa</t>
  </si>
  <si>
    <t>https://bellingcat-archive.nyc3.cdn.digitaloceanspaces.com/ukraine_witness_test/Worksheet/youtube_dl_1487433437292208132/index.html</t>
  </si>
  <si>
    <t>IgorGirkin - Краснодар</t>
  </si>
  <si>
    <t>2022-01-29T15:32:21+00:00</t>
  </si>
  <si>
    <t>https://twitter.com/GirkinGirkin/status/1487433627306807297</t>
  </si>
  <si>
    <t>UW0033</t>
  </si>
  <si>
    <t>https://bellingcat-archive.nyc3.cdn.digitaloceanspaces.com/ukraine_witness_test/Worksheet/youtube_dl_1487433627306807297.mp4</t>
  </si>
  <si>
    <t>2022-02-25T10:28:19+00:00</t>
  </si>
  <si>
    <t>https://bellingcat-archive.nyc3.cdn.digitaloceanspaces.com/ukraine_witness_test/Worksheet/youtube_dl__GirkinGirkin_status_14874336273068072972022-02-25T10:28:08.067312.png</t>
  </si>
  <si>
    <t>ae0a823918051c0e3258d00632606c914f1fd8ab297aac5f520b7b3eb5e7e66a</t>
  </si>
  <si>
    <t>https://bellingcat-archive.nyc3.cdn.digitaloceanspaces.com/ukraine_witness_test/Worksheet/youtube_dl_1487433627306807297/index.html</t>
  </si>
  <si>
    <t>IgorGirkin - Красеодар, ч.2</t>
  </si>
  <si>
    <t>2022-01-29T15:33:06+00:00</t>
  </si>
  <si>
    <t>https://twitter.com/GirkinGirkin/status/1487451465526435844</t>
  </si>
  <si>
    <t>Geolocated by small building on left</t>
  </si>
  <si>
    <t>UW0034</t>
  </si>
  <si>
    <t>https://bellingcat-archive.nyc3.cdn.digitaloceanspaces.com/ukraine_witness_test/Worksheet/youtube_dl_1487451465526435844.mp4</t>
  </si>
  <si>
    <t>2022-02-25T10:28:32+00:00</t>
  </si>
  <si>
    <t>https://bellingcat-archive.nyc3.cdn.digitaloceanspaces.com/ukraine_witness_test/Worksheet/youtube_dl__GirkinGirkin_status_14874514655264358442022-02-25T10:28:21.364314.png</t>
  </si>
  <si>
    <t>d6b94fb00b7d8013c6f0dd53400c16dcd9a577915ea0f584f450e378a4f753d7</t>
  </si>
  <si>
    <t>https://bellingcat-archive.nyc3.cdn.digitaloceanspaces.com/ukraine_witness_test/Worksheet/youtube_dl_1487451465526435844/index.html</t>
  </si>
  <si>
    <t>2022-01-29T16:43:59+00:00</t>
  </si>
  <si>
    <t>https://twitter.com/jp_clancy/status/1485980462451466240</t>
  </si>
  <si>
    <t>https://twitter.com/jp_clancy/status/1485984251845689350</t>
  </si>
  <si>
    <t>Geolocated gas station and medestrian bridge</t>
  </si>
  <si>
    <t>UW0035</t>
  </si>
  <si>
    <t>https://bellingcat-archive.nyc3.cdn.digitaloceanspaces.com/ukraine_witness_test/Worksheet/youtube_dl_1485980462451466240.mp4</t>
  </si>
  <si>
    <t>2022-02-25T10:28:45+00:00</t>
  </si>
  <si>
    <t>https://bellingcat-archive.nyc3.cdn.digitaloceanspaces.com/ukraine_witness_test/Worksheet/youtube_dl__jp_clancy_status_14859804624514662402022-02-25T10:28:34.608788.png</t>
  </si>
  <si>
    <t>80a39af595540523101b7ac4469d5e26b1423851894bae4678b4e349521f9932</t>
  </si>
  <si>
    <t>https://bellingcat-archive.nyc3.cdn.digitaloceanspaces.com/ukraine_witness_test/Worksheet/youtube_dl_1485980462451466240/index.html</t>
  </si>
  <si>
    <t>JC_Monitoring - Convoy of Russian logistics vehicles including several KamAZ-5350, KamAZ-43501 cargo trucks and 1x KS-45731. Reportedly spotted in the M-1 heading towards Minsk, Belarus</t>
  </si>
  <si>
    <t>2022-01-25T15:18:45+00:00</t>
  </si>
  <si>
    <t>https://twitter.com/jp_clancy/status/1485957117555224580</t>
  </si>
  <si>
    <t>https://twitter.com/jp_clancy/status/1485959178346766336</t>
  </si>
  <si>
    <t>Gagarinsky</t>
  </si>
  <si>
    <t xml:space="preserve">Geolocated based on road sign </t>
  </si>
  <si>
    <t>UW0036</t>
  </si>
  <si>
    <t>https://bellingcat-archive.nyc3.cdn.digitaloceanspaces.com/ukraine_witness_test/Worksheet/youtube_dl_1485957117555224580.mp4</t>
  </si>
  <si>
    <t>2022-02-25T10:29:00+00:00</t>
  </si>
  <si>
    <t>https://bellingcat-archive.nyc3.cdn.digitaloceanspaces.com/ukraine_witness_test/Worksheet/youtube_dl__jp_clancy_status_14859571175552245802022-02-25T10:28:49.527118.png</t>
  </si>
  <si>
    <t>1ff7dead2471e10ea0823b90d6387d49671bfe2e508117b02e75199ac3e3f346</t>
  </si>
  <si>
    <t>https://bellingcat-archive.nyc3.cdn.digitaloceanspaces.com/ukraine_witness_test/Worksheet/youtube_dl_1485957117555224580/index.html</t>
  </si>
  <si>
    <t>JC_Monitoring - Russian military convoy near Budaevo, Smolensk Oblast, heading West. Exact Geolocation - 55.50358977, 35.14451376</t>
  </si>
  <si>
    <t>2022-01-25T13:45:59+00:00</t>
  </si>
  <si>
    <t>https://www.tiktok.com/@frenk4940/video/7056881356541791489?is_copy_url=1&amp;is_from_webapp=v1&amp;q=frenk4940&amp;t=1643480551848</t>
  </si>
  <si>
    <t>Nizhny Novgorod</t>
  </si>
  <si>
    <t>Arzamas</t>
  </si>
  <si>
    <t>Geolocated 2 train shelters</t>
  </si>
  <si>
    <t>UW0037</t>
  </si>
  <si>
    <t>https://bellingcat-archive.nyc3.cdn.digitaloceanspaces.com/ukraine_witness_test/Worksheet/tiktok_7056881356541791489.mp4</t>
  </si>
  <si>
    <t>2022-02-25T10:29:11+00:00</t>
  </si>
  <si>
    <t>https://bellingcat-archive.nyc3.cdn.digitaloceanspaces.com/ukraine_witness_test/Worksheet/tiktok__@frenk4940_video_70568813565417914892022-02-25T10:29:02.589416.png</t>
  </si>
  <si>
    <t>e3b0c44298fc1c149afbf4c8996fb92427ae41e4649b934ca495991b7852b855</t>
  </si>
  <si>
    <t>error creating thumbnails</t>
  </si>
  <si>
    <t>эшелон с военной техникой в Арзамасе.в сторону Украины.</t>
  </si>
  <si>
    <t>2022-01-24T22:03:49+00:00</t>
  </si>
  <si>
    <t>https://www.tiktok.com/@stas_283/video/7057057306021793029?is_copy_url=1&amp;is_from_webapp=v1&amp;q=stas_283&amp;t=1643481691138</t>
  </si>
  <si>
    <t>https://twitter.com/jp_clancy/status/1485914479418392580</t>
  </si>
  <si>
    <t>Mazyr</t>
  </si>
  <si>
    <t>Geolocated mast and road blocks</t>
  </si>
  <si>
    <t>UW0038</t>
  </si>
  <si>
    <t>https://bellingcat-archive.nyc3.cdn.digitaloceanspaces.com/ukraine_witness_test/Worksheet/tiktok_7057057306021793029.mp4</t>
  </si>
  <si>
    <t>2022-02-25T10:29:30+00:00</t>
  </si>
  <si>
    <t>https://bellingcat-archive.nyc3.cdn.digitaloceanspaces.com/ukraine_witness_test/Worksheet/tiktok__@stas_283_video_70570573060217930292022-02-25T10:29:21.799303.png</t>
  </si>
  <si>
    <t>8da54ee48f49b0ce9e0dbf3e119a375e864c73470c0b3024e3b7b9e92bd74b83</t>
  </si>
  <si>
    <t>https://bellingcat-archive.nyc3.cdn.digitaloceanspaces.com/ukraine_witness_test/Worksheet/tiktok_7057057306021793029/index.html</t>
  </si>
  <si>
    <t>#давайврек #военная техника#беларусь</t>
  </si>
  <si>
    <t>2022-01-25T09:26:38+00:00</t>
  </si>
  <si>
    <t>24/01/2022</t>
  </si>
  <si>
    <t>https://twitter.com/GirkinGirkin/status/1485475887801937920</t>
  </si>
  <si>
    <t>https://twitter.com/danvan71/status/1485565993577496577</t>
  </si>
  <si>
    <t>Geolocated 2 buildings and curve in track</t>
  </si>
  <si>
    <t>UW0039</t>
  </si>
  <si>
    <t>https://bellingcat-archive.nyc3.cdn.digitaloceanspaces.com/ukraine_witness_test/Worksheet/youtube_dl_1485475887801937920.mp4</t>
  </si>
  <si>
    <t>2022-02-25T10:29:43+00:00</t>
  </si>
  <si>
    <t>https://bellingcat-archive.nyc3.cdn.digitaloceanspaces.com/ukraine_witness_test/Worksheet/youtube_dl__GirkinGirkin_status_14854758878019379202022-02-25T10:29:32.723555.png</t>
  </si>
  <si>
    <t>563a2689574e59dc54894f4f60d1ea3a75ca036af1ed61d8e0fff76e7a37accf</t>
  </si>
  <si>
    <t>https://bellingcat-archive.nyc3.cdn.digitaloceanspaces.com/ukraine_witness_test/Worksheet/youtube_dl_1485475887801937920/index.html</t>
  </si>
  <si>
    <t>IgorGirkin - Краснодарский край</t>
  </si>
  <si>
    <t>2022-01-24T05:53:45+00:00</t>
  </si>
  <si>
    <t>https://twitter.com/GirkinGirkin/status/1484791666024271874</t>
  </si>
  <si>
    <t>https://twitter.com/jp_clancy/status/1484798333399052290</t>
  </si>
  <si>
    <t>Oryol</t>
  </si>
  <si>
    <t>Zavodskoy Rayon</t>
  </si>
  <si>
    <t>geolocated eagle</t>
  </si>
  <si>
    <t>UW0040</t>
  </si>
  <si>
    <t>https://bellingcat-archive.nyc3.cdn.digitaloceanspaces.com/ukraine_witness_test/Worksheet/youtube_dl_1484791666024271874.mp4</t>
  </si>
  <si>
    <t>2022-02-25T10:29:57+00:00</t>
  </si>
  <si>
    <t>https://bellingcat-archive.nyc3.cdn.digitaloceanspaces.com/ukraine_witness_test/Worksheet/youtube_dl__GirkinGirkin_status_14847916660242718742022-02-25T10:29:46.048205.png</t>
  </si>
  <si>
    <t>b577b116cf9aa4850d18b7619b1994d3f7c78ba44c5c0779cfa7f9521cce8b49</t>
  </si>
  <si>
    <t>https://bellingcat-archive.nyc3.cdn.digitaloceanspaces.com/ukraine_witness_test/Worksheet/youtube_dl_1484791666024271874/index.html</t>
  </si>
  <si>
    <t>IgorGirkin - Орел</t>
  </si>
  <si>
    <t>2022-01-22T08:34:53+00:00</t>
  </si>
  <si>
    <t>https://www.tiktok.com/@vados_andreevich/video/7058529998977699073?is_copy_url=1&amp;is_from_webapp=v1</t>
  </si>
  <si>
    <t>Soldier patroling residential building</t>
  </si>
  <si>
    <t>Belgorod</t>
  </si>
  <si>
    <t>Valuyki</t>
  </si>
  <si>
    <t>Geolocated appartment builing and little hut in background</t>
  </si>
  <si>
    <t>UW0041</t>
  </si>
  <si>
    <t>Y</t>
  </si>
  <si>
    <t>Filmed from house</t>
  </si>
  <si>
    <t>Military movement</t>
  </si>
  <si>
    <t>Soldier</t>
  </si>
  <si>
    <t>https://bellingcat-archive.nyc3.cdn.digitaloceanspaces.com/ukraine_witness_test/Worksheet/tiktok_7058529998977699073.mp4</t>
  </si>
  <si>
    <t>2022-02-25T10:30:15+00:00</t>
  </si>
  <si>
    <t>https://bellingcat-archive.nyc3.cdn.digitaloceanspaces.com/ukraine_witness_test/Worksheet/tiktok__@vados_andreevich_video_70585299989776990732022-02-25T10:30:07.027350.png</t>
  </si>
  <si>
    <t>65e048b552ddac72fec7f2da11245c7ddaf8dee815d68a96a3bb77de15f05d9c</t>
  </si>
  <si>
    <t>https://bellingcat-archive.nyc3.cdn.digitaloceanspaces.com/ukraine_witness_test/Worksheet/tiktok_7058529998977699073/index.html</t>
  </si>
  <si>
    <t>#врек #VADOS #военные а это нормально, так около жилых домов ходить?</t>
  </si>
  <si>
    <t>2022-01-29T08:41:24+00:00</t>
  </si>
  <si>
    <t>https://www.tiktok.com/@user97580963417951/video/7058593644382522626?is_copy_url=1&amp;is_from_webapp=v1</t>
  </si>
  <si>
    <t>Voronezh</t>
  </si>
  <si>
    <t>Buturlinovsky</t>
  </si>
  <si>
    <t>Buturlinovka</t>
  </si>
  <si>
    <t>geolocated house on right</t>
  </si>
  <si>
    <t>RLM-M, RLM-D Nebo-M</t>
  </si>
  <si>
    <t>UW0041b</t>
  </si>
  <si>
    <t>https://bellingcat-archive.nyc3.cdn.digitaloceanspaces.com/ukraine_witness_test/Worksheet/tiktok_7058593644382522626.mp4</t>
  </si>
  <si>
    <t>2022-02-25T10:30:38+00:00</t>
  </si>
  <si>
    <t>https://bellingcat-archive.nyc3.cdn.digitaloceanspaces.com/ukraine_witness_test/Worksheet/tiktok__@user97580963417951_video_70585936443825226262022-02-25T10:30:29.241816.png</t>
  </si>
  <si>
    <t>f8c9d98c25683eaf707ada5cd2b5d7d9e0d7e196c1c3428132792d9dd4856adb</t>
  </si>
  <si>
    <t>https://bellingcat-archive.nyc3.cdn.digitaloceanspaces.com/ukraine_witness_test/Worksheet/tiktok_7058593644382522626/index.html</t>
  </si>
  <si>
    <t>бутурлиновка собирают эшелон учение наверно</t>
  </si>
  <si>
    <t>2022-01-29T12:48:22+00:00</t>
  </si>
  <si>
    <t>https://twitter.com/4emberlen/status/1486776568118665218</t>
  </si>
  <si>
    <t>https://twitter.com/danvan71/status/1486855902628093958</t>
  </si>
  <si>
    <t>Ostrogozhsky</t>
  </si>
  <si>
    <t>Divista</t>
  </si>
  <si>
    <t>Geolocate building on left</t>
  </si>
  <si>
    <t>UW0042</t>
  </si>
  <si>
    <t>https://bellingcat-archive.nyc3.cdn.digitaloceanspaces.com/ukraine_witness_test/Worksheet/youtube_dl_1486776568118665218.mp4</t>
  </si>
  <si>
    <t>2022-02-25T10:30:51+00:00</t>
  </si>
  <si>
    <t>https://bellingcat-archive.nyc3.cdn.digitaloceanspaces.com/ukraine_witness_test/Worksheet/youtube_dl__4emberlen_status_14867765681186652182022-02-25T10:30:40.413128.png</t>
  </si>
  <si>
    <t>f9bd1628cf8b4f384ad6e5e2c8b50766a529e864bf3b787fecd41dbf0b9be932</t>
  </si>
  <si>
    <t>https://bellingcat-archive.nyc3.cdn.digitaloceanspaces.com/ukraine_witness_test/Worksheet/youtube_dl_1486776568118665218/index.html</t>
  </si>
  <si>
    <t>4emberlen - Вороніж 27.01.2022</t>
  </si>
  <si>
    <t>2022-01-27T20:02:11+00:00</t>
  </si>
  <si>
    <t>https://twitter.com/GirkinGirkin/status/1486934318425456644</t>
  </si>
  <si>
    <t>https://twitter.com/danvan71/status/1487083062269730820</t>
  </si>
  <si>
    <t>Geolocate surrounding buildings</t>
  </si>
  <si>
    <t>UW0043</t>
  </si>
  <si>
    <t>Possibly same convoy as UW00042</t>
  </si>
  <si>
    <t>https://bellingcat-archive.nyc3.cdn.digitaloceanspaces.com/ukraine_witness_test/Worksheet/youtube_dl_1486934318425456644.mp4</t>
  </si>
  <si>
    <t>2022-02-25T10:31:09+00:00</t>
  </si>
  <si>
    <t>https://bellingcat-archive.nyc3.cdn.digitaloceanspaces.com/ukraine_witness_test/Worksheet/youtube_dl__GirkinGirkin_status_14869343184254566442022-02-25T10:30:55.619462.png</t>
  </si>
  <si>
    <t>c6a207646318a9435c6fc6dbc26804b557496f3bc6a7181e3b506bc6690fe966</t>
  </si>
  <si>
    <t>https://bellingcat-archive.nyc3.cdn.digitaloceanspaces.com/ukraine_witness_test/Worksheet/youtube_dl_1486934318425456644/index.html</t>
  </si>
  <si>
    <t>IgorGirkin - Воронеж</t>
  </si>
  <si>
    <t>2022-01-28T06:29:02+00:00</t>
  </si>
  <si>
    <t>https://www.youtube.com/watch?v=SA0QmOg6Vu8</t>
  </si>
  <si>
    <t>https://twitter.com/4emberlen/status/1486050681052176389</t>
  </si>
  <si>
    <t>Fokinskiy Rayon</t>
  </si>
  <si>
    <t>Geolocated trainyard</t>
  </si>
  <si>
    <t xml:space="preserve">7x BM-27 Uragan, 5x 9T452  3x 1V18/19 artillery command, 5x GAZ-2975,  4 Tigr-M </t>
  </si>
  <si>
    <t>UW0044</t>
  </si>
  <si>
    <t>https://bellingcat-archive.nyc3.cdn.digitaloceanspaces.com/ukraine_witness_test/Worksheet/youtube_dl_SA0QmOg6Vu8.webm</t>
  </si>
  <si>
    <t>2022-02-25T11:38:20+00:00</t>
  </si>
  <si>
    <t>https://bellingcat-archive.nyc3.cdn.digitaloceanspaces.com/ukraine_witness_test/Worksheet/youtube_dl__watch2022-02-25T11:36:01.870334.png</t>
  </si>
  <si>
    <t>2eb4c3b0e4fb7abf188c221fca9c210b77101edbad406152110d9e4200a81793</t>
  </si>
  <si>
    <t>https://bellingcat-archive.nyc3.cdn.digitaloceanspaces.com/ukraine_witness_test/Worksheet/youtube_dl_SA0QmOg6Vu8/index.html</t>
  </si>
  <si>
    <t>Грузовые поезда на жд мосту и военная техника на сортировочной станции</t>
  </si>
  <si>
    <t>2022-01-25T00:00:00+00:00</t>
  </si>
  <si>
    <t>https://www.tiktok.com/@vladislavzavadich3/video/7056698808381541637?is_copy_url=1&amp;is_from_webapp=v1&amp;q=vladislavsavadich&amp;t=1643540661207</t>
  </si>
  <si>
    <t>Krasnoe</t>
  </si>
  <si>
    <t>Geolocated highway off ramp</t>
  </si>
  <si>
    <t>UW0045</t>
  </si>
  <si>
    <t>https://bellingcat-archive.nyc3.cdn.digitaloceanspaces.com/ukraine_witness_test/Worksheet/tiktok_7056698808381541637.mp4</t>
  </si>
  <si>
    <t>2022-02-25T11:18:25+00:00</t>
  </si>
  <si>
    <t>https://bellingcat-archive.nyc3.cdn.digitaloceanspaces.com/ukraine_witness_test/Worksheet/tiktok__@vladislavzavadich3_video_70566988083815416372022-02-25T11:18:14.150937.png</t>
  </si>
  <si>
    <t>1accb0ca8f2e12ebae555e4ed8842934bd4bd9ed0b9a3d766d1b2e420a9a75e7</t>
  </si>
  <si>
    <t>https://bellingcat-archive.nyc3.cdn.digitaloceanspaces.com/ukraine_witness_test/Worksheet/tiktok_7056698808381541637/index.html</t>
  </si>
  <si>
    <t>#новостисегодня #новоститиктока #гомель #топ #смотретьдоконца #армия #учения #россия</t>
  </si>
  <si>
    <t>2022-01-24T10:15:29+00:00</t>
  </si>
  <si>
    <t>https://www.tiktok.com/@leva235181/video/7057074329506417925?is_copy_url=1&amp;is_from_webapp=v1&amp;q=Leva235181&amp;t=1643546183423</t>
  </si>
  <si>
    <r>
      <rPr>
        <rFont val="Calibri"/>
        <color theme="1"/>
        <sz val="11.0"/>
      </rPr>
      <t xml:space="preserve">Russian </t>
    </r>
    <r>
      <rPr>
        <rFont val="Calibri"/>
        <color rgb="FF980000"/>
        <sz val="11.0"/>
      </rPr>
      <t>self-propelled howitzers</t>
    </r>
    <r>
      <rPr>
        <rFont val="Calibri"/>
        <color theme="1"/>
        <sz val="11.0"/>
      </rPr>
      <t xml:space="preserve"> on the move</t>
    </r>
  </si>
  <si>
    <t>Kamenka</t>
  </si>
  <si>
    <t>Geolocated intersection and surrounding builsings</t>
  </si>
  <si>
    <t xml:space="preserve"> 2S1 Gvozdika</t>
  </si>
  <si>
    <t>UW0046</t>
  </si>
  <si>
    <t>Russia, 64th Separate Motor Rifle Brigade</t>
  </si>
  <si>
    <t>https://bellingcat-archive.nyc3.cdn.digitaloceanspaces.com/ukraine_witness_test/Worksheet/tiktok_7057074329506417925.mp4</t>
  </si>
  <si>
    <t>2022-02-25T11:19:06+00:00</t>
  </si>
  <si>
    <t>https://bellingcat-archive.nyc3.cdn.digitaloceanspaces.com/ukraine_witness_test/Worksheet/tiktok__@leva235181_video_70570743295064179252022-02-25T11:18:57.320500.png</t>
  </si>
  <si>
    <t>a45c0b1ef599e2677619b7551a5c70a1d7727563eadae008c3ff262d356ab1b4</t>
  </si>
  <si>
    <t>https://bellingcat-archive.nyc3.cdn.digitaloceanspaces.com/ukraine_witness_test/Worksheet/tiktok_7057074329506417925/index.html</t>
  </si>
  <si>
    <t>2022-01-25T10:32:43+00:00</t>
  </si>
  <si>
    <t>10/01/2022</t>
  </si>
  <si>
    <t>https://www.youtube.com/watch?v=ohY2GBG7yk8</t>
  </si>
  <si>
    <t>https://twitter.com/danvan71/status/1480922262488367112</t>
  </si>
  <si>
    <t>Stavropolskiy krai</t>
  </si>
  <si>
    <t>Stavropol</t>
  </si>
  <si>
    <t>Geolocate intersection</t>
  </si>
  <si>
    <t>R-166-0.5, BTR-80, P-260T Redut-2US</t>
  </si>
  <si>
    <t>UW0047</t>
  </si>
  <si>
    <t>https://bellingcat-archive.nyc3.cdn.digitaloceanspaces.com/ukraine_witness_test/Worksheet/youtube_dl_ohY2GBG7yk8.webm</t>
  </si>
  <si>
    <t>2022-02-25T11:37:41+00:00</t>
  </si>
  <si>
    <t>https://bellingcat-archive.nyc3.cdn.digitaloceanspaces.com/ukraine_witness_test/Worksheet/youtube_dl__watch2022-02-25T11:36:56.680613.png</t>
  </si>
  <si>
    <t>fc7e96fa8855f5096b88e61a01c32fb6caa88d2dab708f08e06d7582fdd38893</t>
  </si>
  <si>
    <t>https://bellingcat-archive.nyc3.cdn.digitaloceanspaces.com/ukraine_witness_test/Worksheet/youtube_dl_ohY2GBG7yk8/index.html</t>
  </si>
  <si>
    <t>Военная техника</t>
  </si>
  <si>
    <t>2022-01-10T00:00:00+00:00</t>
  </si>
  <si>
    <t>https://twitter.com/4emberlen/status/1485721493199892485</t>
  </si>
  <si>
    <t>https://twitter.com/danvan71/status/1485766684430544902</t>
  </si>
  <si>
    <t>geolocated mast in background</t>
  </si>
  <si>
    <t>1x MT-LB, 12x 2S3 Akatsiya, 1x 1V13-16, R-330BMV</t>
  </si>
  <si>
    <t>UW0048</t>
  </si>
  <si>
    <t>Russia, 38th Guards Motor Rifle Brigade</t>
  </si>
  <si>
    <t>https://bellingcat-archive.nyc3.cdn.digitaloceanspaces.com/ukraine_witness_test/Worksheet/youtube_dl_1485721493199892485.mp4</t>
  </si>
  <si>
    <t>2022-02-25T11:37:22+00:00</t>
  </si>
  <si>
    <t>https://bellingcat-archive.nyc3.cdn.digitaloceanspaces.com/ukraine_witness_test/Worksheet/youtube_dl__4emberlen_status_14857214931998924852022-02-25T11:37:05.699497.png</t>
  </si>
  <si>
    <t>e8c9ca38ef9bb955fe5a2df845a9732dfedfcaae53eec48d49bed23007377ec1</t>
  </si>
  <si>
    <t>https://bellingcat-archive.nyc3.cdn.digitaloceanspaces.com/ukraine_witness_test/Worksheet/youtube_dl_1485721493199892485/index.html</t>
  </si>
  <si>
    <t>4emberlen - ржд 24.01.2022</t>
  </si>
  <si>
    <t>2022-01-24T22:09:42+00:00</t>
  </si>
  <si>
    <t>https://twitter.com/4emberlen/status/1485924749653983235</t>
  </si>
  <si>
    <t>https://twitter.com/Danspiun/status/1487140934068449285</t>
  </si>
  <si>
    <t>Geolocated tall building in background</t>
  </si>
  <si>
    <t>2x 9P149 Shturm-S, 4x 9T452 transloaders, 1L219 Zoopark1</t>
  </si>
  <si>
    <t>UW0049</t>
  </si>
  <si>
    <t>https://bellingcat-archive.nyc3.cdn.digitaloceanspaces.com/ukraine_witness_test/Worksheet/youtube_dl_1485924749653983235.mp4</t>
  </si>
  <si>
    <t>https://bellingcat-archive.nyc3.cdn.digitaloceanspaces.com/ukraine_witness_test/Worksheet/youtube_dl__4emberlen_status_14859247496539832352022-02-25T11:37:28.613917.png</t>
  </si>
  <si>
    <t>6b944e4dd2788eff1cdde6f6a0b91989900a68d91f3435b515cbac84b7019d57</t>
  </si>
  <si>
    <t>https://bellingcat-archive.nyc3.cdn.digitaloceanspaces.com/ukraine_witness_test/Worksheet/youtube_dl_1485924749653983235/index.html</t>
  </si>
  <si>
    <t>4emberlen - Речіца 25.01.2022</t>
  </si>
  <si>
    <t>2022-01-25T11:37:22+00:00</t>
  </si>
  <si>
    <t>https://twitter.com/GirkinGirkin/status/1487647994296033283</t>
  </si>
  <si>
    <t>Claiming start date 04/02/2022</t>
  </si>
  <si>
    <t>Pantsir-S</t>
  </si>
  <si>
    <t>UW0050</t>
  </si>
  <si>
    <t>Heavy weaponry, Claim</t>
  </si>
  <si>
    <t>https://bellingcat-archive.nyc3.cdn.digitaloceanspaces.com/ukraine_witness_test/Worksheet/youtube_dl_1487647994296033283.mp4</t>
  </si>
  <si>
    <t>2022-02-25T11:37:58+00:00</t>
  </si>
  <si>
    <t>https://bellingcat-archive.nyc3.cdn.digitaloceanspaces.com/ukraine_witness_test/Worksheet/youtube_dl__GirkinGirkin_status_14876479942960332832022-02-25T11:37:46.284031.png</t>
  </si>
  <si>
    <t>1231e7a868d4ae2b61f9f1baa6c150d42a27030eed4483c6872fbf54777530c2</t>
  </si>
  <si>
    <t>https://bellingcat-archive.nyc3.cdn.digitaloceanspaces.com/ukraine_witness_test/Worksheet/youtube_dl_1487647994296033283/index.html</t>
  </si>
  <si>
    <t>IgorGirkin - ржд</t>
  </si>
  <si>
    <t>2022-01-30T05:44:55+00:00</t>
  </si>
  <si>
    <t>https://twitter.com/GirkinGirkin/status/1487505180455227394</t>
  </si>
  <si>
    <t>Pipiline unit, convoy on the move</t>
  </si>
  <si>
    <t>MNUG-60 pumping units, PSG-160 pumping station</t>
  </si>
  <si>
    <t>UW0051</t>
  </si>
  <si>
    <t>https://bellingcat-archive.nyc3.cdn.digitaloceanspaces.com/ukraine_witness_test/Worksheet/youtube_dl_1487505180455227394.mp4</t>
  </si>
  <si>
    <t>2022-02-25T11:39:23+00:00</t>
  </si>
  <si>
    <t>https://bellingcat-archive.nyc3.cdn.digitaloceanspaces.com/ukraine_witness_test/Worksheet/youtube_dl__GirkinGirkin_status_14875051804552273942022-02-25T11:39:00.994180.png</t>
  </si>
  <si>
    <t>2c62549981941192f7fc40d2b9a46ec1075f9a259418f2af6efdb59d3ba303cb</t>
  </si>
  <si>
    <t>https://bellingcat-archive.nyc3.cdn.digitaloceanspaces.com/ukraine_witness_test/Worksheet/youtube_dl_1487505180455227394/index.html</t>
  </si>
  <si>
    <t>2022-01-29T20:17:26+00:00</t>
  </si>
  <si>
    <t>30/01/2022</t>
  </si>
  <si>
    <t>https://twitter.com/GirkinGirkin/status/1487773497346732036</t>
  </si>
  <si>
    <t>Russian boats on the move via land</t>
  </si>
  <si>
    <t>Rogachevka</t>
  </si>
  <si>
    <t>geolocated trees, road and road signs</t>
  </si>
  <si>
    <t>Project 03160 Raptors</t>
  </si>
  <si>
    <t>UW0052</t>
  </si>
  <si>
    <t>Amfibious</t>
  </si>
  <si>
    <t>https://bellingcat-archive.nyc3.cdn.digitaloceanspaces.com/ukraine_witness_test/Worksheet/youtube_dl_1487773497346732036.mp4</t>
  </si>
  <si>
    <t>2022-02-25T11:39:40+00:00</t>
  </si>
  <si>
    <t>https://bellingcat-archive.nyc3.cdn.digitaloceanspaces.com/ukraine_witness_test/Worksheet/youtube_dl__GirkinGirkin_status_14877734973467320362022-02-25T11:39:28.108732.png</t>
  </si>
  <si>
    <t>35b1ad1bef9adb977dd4a8f4dc80c1b1a1908383728f6b2761360f18d826f499</t>
  </si>
  <si>
    <t>https://bellingcat-archive.nyc3.cdn.digitaloceanspaces.com/ukraine_witness_test/Worksheet/youtube_dl_1487773497346732036/index.html</t>
  </si>
  <si>
    <t>IgorGirkin - М4</t>
  </si>
  <si>
    <t>2022-01-30T14:03:37+00:00</t>
  </si>
  <si>
    <t>https://www.tiktok.com/@alexpaul_1990/video/7058989146882247937?is_copy_url=1&amp;is_from_webapp=v1</t>
  </si>
  <si>
    <t>UW0053</t>
  </si>
  <si>
    <t>https://bellingcat-archive.nyc3.cdn.digitaloceanspaces.com/ukraine_witness_test/Worksheet/tiktok_7058989146882247937.mp4</t>
  </si>
  <si>
    <t>2022-02-25T11:40:12+00:00</t>
  </si>
  <si>
    <t>https://bellingcat-archive.nyc3.cdn.digitaloceanspaces.com/ukraine_witness_test/Worksheet/tiktok__@alexpaul_1990_video_70589891468822479372022-02-25T11:39:59.936502.png</t>
  </si>
  <si>
    <t>4a473d57380148fe230f4dc301da79d7df3cb46c540b5d9652ad29f163bbaae6</t>
  </si>
  <si>
    <t>https://bellingcat-archive.nyc3.cdn.digitaloceanspaces.com/ukraine_witness_test/Worksheet/tiktok_7058989146882247937/index.html</t>
  </si>
  <si>
    <t>#танки #артиллерия #россия #армия #военнаятехника #рекомендации #тюмень ##солдаты #мир</t>
  </si>
  <si>
    <t>2022-01-30T14:23:07+00:00</t>
  </si>
  <si>
    <t>https://twitter.com/GirkinGirkin/status/1487873819826139143</t>
  </si>
  <si>
    <t>https://twitter.com/gfusfus/status/1487920079325089800</t>
  </si>
  <si>
    <t xml:space="preserve">Geolocated using unique sign in the background </t>
  </si>
  <si>
    <t>UW0054</t>
  </si>
  <si>
    <t>https://bellingcat-archive.nyc3.cdn.digitaloceanspaces.com/ukraine_witness_test/Worksheet/youtube_dl_1487873819826139143.mp4</t>
  </si>
  <si>
    <t>2022-02-25T11:40:29+00:00</t>
  </si>
  <si>
    <t>https://bellingcat-archive.nyc3.cdn.digitaloceanspaces.com/ukraine_witness_test/Worksheet/youtube_dl__GirkinGirkin_status_14878738198261391432022-02-25T11:40:17.780131.png</t>
  </si>
  <si>
    <t>3dc96ca147e52bb597d5f882f719d472f50319c7ce771bfafec8f0e8b2f6cf0c</t>
  </si>
  <si>
    <t>https://bellingcat-archive.nyc3.cdn.digitaloceanspaces.com/ukraine_witness_test/Worksheet/youtube_dl_1487873819826139143/index.html</t>
  </si>
  <si>
    <t>IgorGirkin - Лужки-Орловские (Luzhki Orlovskie)  Ж/д станция в Орле, Россия</t>
  </si>
  <si>
    <t>2022-01-30T20:42:16+00:00</t>
  </si>
  <si>
    <t>https://twitter.com/GirkinGirkin/status/1487871906216914946</t>
  </si>
  <si>
    <t>https://twitter.com/gfusfus/status/1487878419916464135</t>
  </si>
  <si>
    <t>Kalinkavicy</t>
  </si>
  <si>
    <t>Geolocated using unique building in the background</t>
  </si>
  <si>
    <t>UW0055</t>
  </si>
  <si>
    <t>Heavy weaponry and logistics</t>
  </si>
  <si>
    <t>https://bellingcat-archive.nyc3.cdn.digitaloceanspaces.com/ukraine_witness_test/Worksheet/youtube_dl_1487871906216914946.mp4</t>
  </si>
  <si>
    <t>2022-02-25T11:40:51+00:00</t>
  </si>
  <si>
    <t>https://bellingcat-archive.nyc3.cdn.digitaloceanspaces.com/ukraine_witness_test/Worksheet/youtube_dl__GirkinGirkin_status_14878719062169149462022-02-25T11:40:37.050755.png</t>
  </si>
  <si>
    <t>bb9a49801c2421e52e6f6b568d21fe1908c90d400d0adc1aaa937f1000ddefd7</t>
  </si>
  <si>
    <t>https://bellingcat-archive.nyc3.cdn.digitaloceanspaces.com/ukraine_witness_test/Worksheet/youtube_dl_1487871906216914946/index.html</t>
  </si>
  <si>
    <t>2022-01-30T20:34:40+00:00</t>
  </si>
  <si>
    <t>https://twitter.com/4emberlen/status/1487842167053852674</t>
  </si>
  <si>
    <t>Geolocated using traintracks and location of the station</t>
  </si>
  <si>
    <t>UW0056</t>
  </si>
  <si>
    <t>https://bellingcat-archive.nyc3.cdn.digitaloceanspaces.com/ukraine_witness_test/Worksheet/youtube_dl_1487842167053852674.mp4</t>
  </si>
  <si>
    <t>2022-02-25T11:41:08+00:00</t>
  </si>
  <si>
    <t>https://bellingcat-archive.nyc3.cdn.digitaloceanspaces.com/ukraine_witness_test/Worksheet/youtube_dl__4emberlen_status_14878421670538526742022-02-25T11:40:56.233098.png</t>
  </si>
  <si>
    <t>a7b444a12b6d1c0bf7497e4a5d0bc12e344195df85aeefdc861a3650f9b4d253</t>
  </si>
  <si>
    <t>https://bellingcat-archive.nyc3.cdn.digitaloceanspaces.com/ukraine_witness_test/Worksheet/youtube_dl_1487842167053852674/index.html</t>
  </si>
  <si>
    <t>4emberlen - Гомель 29.01.2022</t>
  </si>
  <si>
    <t>2022-01-30T18:36:30+00:00</t>
  </si>
  <si>
    <t>https://twitter.com/4emberlen/status/1487778133168304129</t>
  </si>
  <si>
    <t>https://twitter.com/gfusfus/status/1487785816059531265</t>
  </si>
  <si>
    <t>Yelsk</t>
  </si>
  <si>
    <t xml:space="preserve">Geolocated using buildings in the background </t>
  </si>
  <si>
    <t>UW0057</t>
  </si>
  <si>
    <t xml:space="preserve">Heavy weaponry </t>
  </si>
  <si>
    <t>https://bellingcat-archive.nyc3.cdn.digitaloceanspaces.com/ukraine_witness_test/Worksheet/youtube_dl_1487778133168304129.mp4</t>
  </si>
  <si>
    <t>2022-02-25T11:42:08+00:00</t>
  </si>
  <si>
    <t>https://bellingcat-archive.nyc3.cdn.digitaloceanspaces.com/ukraine_witness_test/Worksheet/youtube_dl__4emberlen_status_14877781331683041292022-02-25T11:41:41.530521.png</t>
  </si>
  <si>
    <t>d6dccadb4546a11ce68e40df85559afefcb4107f01f9788e76d47f2b71174a35</t>
  </si>
  <si>
    <t>https://bellingcat-archive.nyc3.cdn.digitaloceanspaces.com/ukraine_witness_test/Worksheet/youtube_dl_1487778133168304129/index.html</t>
  </si>
  <si>
    <t>4emberlen - Ельск 29.01.2022 (дивитись зі звуком)</t>
  </si>
  <si>
    <t>2022-01-30T14:22:03+00:00</t>
  </si>
  <si>
    <t>31/01/2022</t>
  </si>
  <si>
    <t>https://twitter.com/GirkinGirkin/status/1488028300941434881</t>
  </si>
  <si>
    <t>https://twitter.com/MilitaryEmpire/status/1488103894899113985</t>
  </si>
  <si>
    <t>Bryansk Oblast</t>
  </si>
  <si>
    <t>Geolocated using fence and towers</t>
  </si>
  <si>
    <t>UW0058</t>
  </si>
  <si>
    <t>https://bellingcat-archive.nyc3.cdn.digitaloceanspaces.com/ukraine_witness_test/Worksheet/youtube_dl_1488028300941434881.mp4</t>
  </si>
  <si>
    <t>2022-02-25T11:42:25+00:00</t>
  </si>
  <si>
    <t>https://bellingcat-archive.nyc3.cdn.digitaloceanspaces.com/ukraine_witness_test/Worksheet/youtube_dl__GirkinGirkin_status_14880283009414348812022-02-25T11:42:13.513211.png</t>
  </si>
  <si>
    <t>cde0b0ba24ad9819dfdca321bdec294efc3823bc1d373d1570d6c181523a862b</t>
  </si>
  <si>
    <t>https://bellingcat-archive.nyc3.cdn.digitaloceanspaces.com/ukraine_witness_test/Worksheet/youtube_dl_1488028300941434881/index.html</t>
  </si>
  <si>
    <t>IgorGirkin - Брянск</t>
  </si>
  <si>
    <t>2022-01-31T06:56:07+00:00</t>
  </si>
  <si>
    <t>https://twitter.com/GirkinGirkin/status/1487855713212850185</t>
  </si>
  <si>
    <t xml:space="preserve">Vasilevich </t>
  </si>
  <si>
    <t>Geolocated using three houses in the background in conjunction with railway crossing where video was taken</t>
  </si>
  <si>
    <t>UW0059</t>
  </si>
  <si>
    <t>https://bellingcat-archive.nyc3.cdn.digitaloceanspaces.com/ukraine_witness_test/Worksheet/youtube_dl_1487855713212850185.mp4</t>
  </si>
  <si>
    <t>2022-02-25T11:42:42+00:00</t>
  </si>
  <si>
    <t>https://bellingcat-archive.nyc3.cdn.digitaloceanspaces.com/ukraine_witness_test/Worksheet/youtube_dl__GirkinGirkin_status_14878557132128501852022-02-25T11:42:30.797066.png</t>
  </si>
  <si>
    <t>c8b187f7aba76a4297bd33e08d2872985b3d8f4d0810bb286213b8bc36365648</t>
  </si>
  <si>
    <t>https://bellingcat-archive.nyc3.cdn.digitaloceanspaces.com/ukraine_witness_test/Worksheet/youtube_dl_1487855713212850185/index.html</t>
  </si>
  <si>
    <t>IgorGirkin - Василе́вичи — город районного подчинения в Речицком районе Гомельской области, 2 дня назад</t>
  </si>
  <si>
    <t>2022-01-30T19:30:19+00:00</t>
  </si>
  <si>
    <t>https://twitter.com/GirkinGirkin/status/1488104475051147265</t>
  </si>
  <si>
    <t>Yaroslavl Oblast</t>
  </si>
  <si>
    <t>Yaroslavl</t>
  </si>
  <si>
    <t>Geolocated using blue building in the background</t>
  </si>
  <si>
    <t>UW0060</t>
  </si>
  <si>
    <t>youtube_dl: success</t>
  </si>
  <si>
    <t>https://bellingcat-archive.nyc3.cdn.digitaloceanspaces.com/ukraine_witness_test/Worksheet/youtube_dl_1488104475051147265.mp4</t>
  </si>
  <si>
    <t>2022-02-25T11:44:06+00:00</t>
  </si>
  <si>
    <t>https://bellingcat-archive.nyc3.cdn.digitaloceanspaces.com/ukraine_witness_test/Worksheet/youtube_dl__GirkinGirkin_status_14881044750511472652022-02-25T11:43:51.067191.png</t>
  </si>
  <si>
    <t>29f8a80ea1c449b8aadf32a29268b292e6d5a6dccd17cda040f1d0ea8839dad0</t>
  </si>
  <si>
    <t>https://bellingcat-archive.nyc3.cdn.digitaloceanspaces.com/ukraine_witness_test/Worksheet/youtube_dl_1488104475051147265/index.html</t>
  </si>
  <si>
    <t>IgorGirkin - Ярославская обл</t>
  </si>
  <si>
    <t>2022-01-31T11:58:49+00:00</t>
  </si>
  <si>
    <t>https://twitter.com/GirkinGirkin/status/1488115563754885122</t>
  </si>
  <si>
    <t>Soldiers preparing to board a train in Dagestan</t>
  </si>
  <si>
    <t xml:space="preserve">Dagestan </t>
  </si>
  <si>
    <t>Geolocated using building in the background near the train station</t>
  </si>
  <si>
    <t>UW0061</t>
  </si>
  <si>
    <t>Other</t>
  </si>
  <si>
    <t>Personel</t>
  </si>
  <si>
    <t>https://bellingcat-archive.nyc3.cdn.digitaloceanspaces.com/ukraine_witness_test/Worksheet/youtube_dl_1488115563754885122.mp4</t>
  </si>
  <si>
    <t>2022-02-25T11:44:23+00:00</t>
  </si>
  <si>
    <t>https://bellingcat-archive.nyc3.cdn.digitaloceanspaces.com/ukraine_witness_test/Worksheet/youtube_dl__GirkinGirkin_status_14881155637548851222022-02-25T11:44:12.000206.png</t>
  </si>
  <si>
    <t>a8daacf57e9045c6137dd52abc724a9a26dc2da7796333ecb6ec59328ff805dd</t>
  </si>
  <si>
    <t>https://bellingcat-archive.nyc3.cdn.digitaloceanspaces.com/ukraine_witness_test/Worksheet/youtube_dl_1488115563754885122/index.html</t>
  </si>
  <si>
    <t>2022-01-31T12:42:52+00:00</t>
  </si>
  <si>
    <t>https://twitter.com/GirkinGirkin/status/1488127790583009281</t>
  </si>
  <si>
    <t>https://twitter.com/Spectat09243946/status/1488135872084160513</t>
  </si>
  <si>
    <t>Geolocated using blue right turn sign, and elevated train tracks</t>
  </si>
  <si>
    <t>UW0062</t>
  </si>
  <si>
    <t>https://bellingcat-archive.nyc3.cdn.digitaloceanspaces.com/ukraine_witness_test/Worksheet/youtube_dl_1488127790583009281.mp4</t>
  </si>
  <si>
    <t>2022-02-25T11:44:39+00:00</t>
  </si>
  <si>
    <t>https://bellingcat-archive.nyc3.cdn.digitaloceanspaces.com/ukraine_witness_test/Worksheet/youtube_dl__GirkinGirkin_status_14881277905830092812022-02-25T11:44:28.300219.png</t>
  </si>
  <si>
    <t>d59f37332223a083618aa3fc5e2b4875e5f141af5bba24e3f40feac9fd7b2150</t>
  </si>
  <si>
    <t>https://bellingcat-archive.nyc3.cdn.digitaloceanspaces.com/ukraine_witness_test/Worksheet/youtube_dl_1488127790583009281/index.html</t>
  </si>
  <si>
    <t>IgorGirkin - Ярославль</t>
  </si>
  <si>
    <t>2022-01-31T13:31:28+00:00</t>
  </si>
  <si>
    <t>https://twitter.com/GirkinGirkin/status/1488224940293771271</t>
  </si>
  <si>
    <t>https://twitter.com/Michael1Sheldon/status/1488302565607489541</t>
  </si>
  <si>
    <t>Karelia</t>
  </si>
  <si>
    <t>louhi</t>
  </si>
  <si>
    <t>Geolocated building in background</t>
  </si>
  <si>
    <t>UW0063</t>
  </si>
  <si>
    <t>https://bellingcat-archive.nyc3.cdn.digitaloceanspaces.com/ukraine_witness_test/Worksheet/youtube_dl_1488224940293771271.mp4</t>
  </si>
  <si>
    <t>2022-02-25T11:44:55+00:00</t>
  </si>
  <si>
    <t>https://bellingcat-archive.nyc3.cdn.digitaloceanspaces.com/ukraine_witness_test/Worksheet/youtube_dl__GirkinGirkin_status_14882249402937712712022-02-25T11:44:44.351386.png</t>
  </si>
  <si>
    <t>7028762f2a717f14b5c9e59bf8dd0a126d22405fc45e55bf78763d3d00b1b297</t>
  </si>
  <si>
    <t>https://bellingcat-archive.nyc3.cdn.digitaloceanspaces.com/ukraine_witness_test/Worksheet/youtube_dl_1488224940293771271/index.html</t>
  </si>
  <si>
    <t>2022-01-31T19:57:30+00:00</t>
  </si>
  <si>
    <t>01/02/2022</t>
  </si>
  <si>
    <t>https://twitter.com/GirkinGirkin/status/1488434485884604418</t>
  </si>
  <si>
    <t>Russian military equipment on the road</t>
  </si>
  <si>
    <t>https://www.tiktok.com/@votobei63/video/7059597332836322562?is_copy_url=1&amp;is_from_webapp=v1&amp;q=votobei63&amp;t=1643716218730</t>
  </si>
  <si>
    <t>Samarskaya oblast</t>
  </si>
  <si>
    <t>Chapayevsky</t>
  </si>
  <si>
    <t>Novokuybyshevskoye Shosse</t>
  </si>
  <si>
    <t>Geolocated using road sign and text</t>
  </si>
  <si>
    <t>UW0064</t>
  </si>
  <si>
    <t>https://bellingcat-archive.nyc3.cdn.digitaloceanspaces.com/ukraine_witness_test/Worksheet/youtube_dl_1488434485884604418.mp4</t>
  </si>
  <si>
    <t>2022-02-25T11:45:21+00:00</t>
  </si>
  <si>
    <t>https://bellingcat-archive.nyc3.cdn.digitaloceanspaces.com/ukraine_witness_test/Worksheet/youtube_dl__GirkinGirkin_status_14884344858846044182022-02-25T11:45:01.776975.png</t>
  </si>
  <si>
    <t>cd8d11a894d3409d74f0b618887c580e131bfe5c3887508cd4cc094e95dc8f53</t>
  </si>
  <si>
    <t>https://bellingcat-archive.nyc3.cdn.digitaloceanspaces.com/ukraine_witness_test/Worksheet/youtube_dl_1488434485884604418/index.html</t>
  </si>
  <si>
    <t>IgorGirkin - Самарская обл</t>
  </si>
  <si>
    <t>2022-02-01T09:50:09+00:00</t>
  </si>
  <si>
    <t>16/01/2022</t>
  </si>
  <si>
    <t>https://twitter.com/worldonalert/status/1483069960599523330</t>
  </si>
  <si>
    <t>2S3 Akatsiya self-propelled howitzers and MT-LBus</t>
  </si>
  <si>
    <t>UW0065</t>
  </si>
  <si>
    <t>https://bellingcat-archive.nyc3.cdn.digitaloceanspaces.com/ukraine_witness_test/Worksheet/youtube_dl_1483069960599523330.mp4</t>
  </si>
  <si>
    <t>2022-02-25T11:45:37+00:00</t>
  </si>
  <si>
    <t>https://bellingcat-archive.nyc3.cdn.digitaloceanspaces.com/ukraine_witness_test/Worksheet/youtube_dl__worldonalert_status_14830699605995233302022-02-25T11:45:26.659559.png</t>
  </si>
  <si>
    <t>501610484f32c678bbb7add76206f7e5c66f29bf960f48e0601c0dc84a3d4a38</t>
  </si>
  <si>
    <t>https://bellingcat-archive.nyc3.cdn.digitaloceanspaces.com/ukraine_witness_test/Worksheet/youtube_dl_1483069960599523330/index.html</t>
  </si>
  <si>
    <t>WorldOnAlert - Russian train loaded with 2S3 Akatsiya self-propelled howitzers and MT-LBus in Tyumen on the way to the border area with Ukraine last night.</t>
  </si>
  <si>
    <t>2022-01-17T14:33:27+00:00</t>
  </si>
  <si>
    <t>https://twitter.com/4emberlen/status/1487445178487119874</t>
  </si>
  <si>
    <t>Link</t>
  </si>
  <si>
    <t>Geolocated using buildings in the background and lamp post</t>
  </si>
  <si>
    <t>UW0066</t>
  </si>
  <si>
    <t xml:space="preserve">Russia </t>
  </si>
  <si>
    <t>https://bellingcat-archive.nyc3.cdn.digitaloceanspaces.com/ukraine_witness_test/Worksheet/youtube_dl_1487445178487119874.mp4</t>
  </si>
  <si>
    <t>2022-02-25T11:46:06+00:00</t>
  </si>
  <si>
    <t>https://bellingcat-archive.nyc3.cdn.digitaloceanspaces.com/ukraine_witness_test/Worksheet/youtube_dl__4emberlen_status_14874451784871198742022-02-25T11:45:51.899153.png</t>
  </si>
  <si>
    <t>60edf812d095af70aa82e08b59107bd54251caf14253a7344eb04d595f29bea9</t>
  </si>
  <si>
    <t>https://bellingcat-archive.nyc3.cdn.digitaloceanspaces.com/ukraine_witness_test/Worksheet/youtube_dl_1487445178487119874/index.html</t>
  </si>
  <si>
    <t>4emberlen - Речіца 28.01.2022</t>
  </si>
  <si>
    <t>2022-01-29T16:19:00+00:00</t>
  </si>
  <si>
    <t>1/2/22</t>
  </si>
  <si>
    <t>https://twitter.com/GirkinGirkin/status/1488544876908187650</t>
  </si>
  <si>
    <t>Russian military equipment moving in Belarus</t>
  </si>
  <si>
    <t>https://twitter.com/RedIntelPanda/status/1488569554028707847</t>
  </si>
  <si>
    <t>Petrishki</t>
  </si>
  <si>
    <t>Geolocated using building with special sign in the background of the video</t>
  </si>
  <si>
    <t>UW0067</t>
  </si>
  <si>
    <t>https://bellingcat-archive.nyc3.cdn.digitaloceanspaces.com/ukraine_witness_test/Worksheet/youtube_dl_1488544876908187650.mp4</t>
  </si>
  <si>
    <t>2022-02-25T11:46:27+00:00</t>
  </si>
  <si>
    <t>https://bellingcat-archive.nyc3.cdn.digitaloceanspaces.com/ukraine_witness_test/Worksheet/youtube_dl__GirkinGirkin_status_14885448769081876502022-02-25T11:46:12.759094.png</t>
  </si>
  <si>
    <t>1c68de3e82c0f2060a3740581be7c1c3f80210aae2e4becc7c6a505074e6a544</t>
  </si>
  <si>
    <t>https://bellingcat-archive.nyc3.cdn.digitaloceanspaces.com/ukraine_witness_test/Worksheet/youtube_dl_1488544876908187650/index.html</t>
  </si>
  <si>
    <t>IgorGirkin - Петришки, Беларусь</t>
  </si>
  <si>
    <t>2022-02-01T17:08:49+00:00</t>
  </si>
  <si>
    <t>https://twitter.com/GirkinGirkin/status/1488579685411921921</t>
  </si>
  <si>
    <t>Russian military equipment being moved by train</t>
  </si>
  <si>
    <t>https://twitter.com/gfusfus/status/1488588585678868485</t>
  </si>
  <si>
    <t>Geolocated using location of station and building in the background</t>
  </si>
  <si>
    <t>UW0068</t>
  </si>
  <si>
    <t>https://bellingcat-archive.nyc3.cdn.digitaloceanspaces.com/ukraine_witness_test/Worksheet/youtube_dl_1488579685411921921.mp4</t>
  </si>
  <si>
    <t>2022-02-25T11:46:51+00:00</t>
  </si>
  <si>
    <t>https://bellingcat-archive.nyc3.cdn.digitaloceanspaces.com/ukraine_witness_test/Worksheet/youtube_dl__GirkinGirkin_status_14885796854119219212022-02-25T11:46:35.574775.png</t>
  </si>
  <si>
    <t>44768b0b0411797242258adb22c264611d01a0889a55c49aabe1280faadd63db</t>
  </si>
  <si>
    <t>https://bellingcat-archive.nyc3.cdn.digitaloceanspaces.com/ukraine_witness_test/Worksheet/youtube_dl_1488579685411921921/index.html</t>
  </si>
  <si>
    <t>IgorGirkin - Гомель</t>
  </si>
  <si>
    <t>2022-02-01T19:27:08+00:00</t>
  </si>
  <si>
    <t>https://twitter.com/GirkinGirkin/status/1488420641661501445</t>
  </si>
  <si>
    <t>https://twitter.com/MilitaryEmpire/status/1488444483784126466</t>
  </si>
  <si>
    <t>Arkhangelsk</t>
  </si>
  <si>
    <t>Konosha</t>
  </si>
  <si>
    <t>Geolocated using building in the background</t>
  </si>
  <si>
    <t>UW0069</t>
  </si>
  <si>
    <t>https://bellingcat-archive.nyc3.cdn.digitaloceanspaces.com/ukraine_witness_test/Worksheet/youtube_dl_1488420641661501445.mp4</t>
  </si>
  <si>
    <t>2022-02-25T11:47:16+00:00</t>
  </si>
  <si>
    <t>https://bellingcat-archive.nyc3.cdn.digitaloceanspaces.com/ukraine_witness_test/Worksheet/youtube_dl__GirkinGirkin_status_14884206416615014452022-02-25T11:47:01.079879.png</t>
  </si>
  <si>
    <t>0a20e44f219736dc837c5e2abeaac51ef8b9c904fa6c705acf196a133f5873c7</t>
  </si>
  <si>
    <t>https://bellingcat-archive.nyc3.cdn.digitaloceanspaces.com/ukraine_witness_test/Worksheet/youtube_dl_1488420641661501445/index.html</t>
  </si>
  <si>
    <t>IgorGirkin - Коноша</t>
  </si>
  <si>
    <t>2022-02-01T08:55:09+00:00</t>
  </si>
  <si>
    <t>https://twitter.com/GirkinGirkin/status/1486763036857835528</t>
  </si>
  <si>
    <t>https://twitter.com/Michael1Sheldon/status/1488620062751825922</t>
  </si>
  <si>
    <t>UW0070</t>
  </si>
  <si>
    <t>https://bellingcat-archive.nyc3.cdn.digitaloceanspaces.com/ukraine_witness_test/Worksheet/youtube_dl_1486763036857835528.mp4</t>
  </si>
  <si>
    <t>2022-02-25T11:47:33+00:00</t>
  </si>
  <si>
    <t>https://bellingcat-archive.nyc3.cdn.digitaloceanspaces.com/ukraine_witness_test/Worksheet/youtube_dl__GirkinGirkin_status_14867630368578355282022-02-25T11:47:21.455578.png</t>
  </si>
  <si>
    <t>fb3cecd53ee08e3ed243adef404cc3be697f89fe4f5b94f797aa5e4875eae635</t>
  </si>
  <si>
    <t>https://bellingcat-archive.nyc3.cdn.digitaloceanspaces.com/ukraine_witness_test/Worksheet/youtube_dl_1486763036857835528/index.html</t>
  </si>
  <si>
    <t>2022-01-27T19:08:25+00:00</t>
  </si>
  <si>
    <t>UW0071</t>
  </si>
  <si>
    <t>youtube_dl: already archived</t>
  </si>
  <si>
    <t>2022-02-25T11:47:48+00:00</t>
  </si>
  <si>
    <t>https://bellingcat-archive.nyc3.cdn.digitaloceanspaces.com/ukraine_witness_test/Worksheet/youtube_dl__GirkinGirkin_status_14882249402937712712022-02-25T11:47:36.974824.png</t>
  </si>
  <si>
    <t>https://twitter.com/4emberlen/status/1488497810324475909</t>
  </si>
  <si>
    <t>Geolocated using beginning of barriers with the train tracks and cross referenced with UW0049</t>
  </si>
  <si>
    <t>UW0072</t>
  </si>
  <si>
    <t xml:space="preserve">Equipment </t>
  </si>
  <si>
    <t>https://bellingcat-archive.nyc3.cdn.digitaloceanspaces.com/ukraine_witness_test/Worksheet/youtube_dl_1488497810324475909.mp4</t>
  </si>
  <si>
    <t>2022-02-25T11:48:04+00:00</t>
  </si>
  <si>
    <t>https://bellingcat-archive.nyc3.cdn.digitaloceanspaces.com/ukraine_witness_test/Worksheet/youtube_dl__4emberlen_status_14884978103244759092022-02-25T11:47:52.922975.png</t>
  </si>
  <si>
    <t>dc3e3178cad0340a6830fe3493e0114d6b96d3a46060ac1c09263c5e09aa271e</t>
  </si>
  <si>
    <t>https://bellingcat-archive.nyc3.cdn.digitaloceanspaces.com/ukraine_witness_test/Worksheet/youtube_dl_1488497810324475909/index.html</t>
  </si>
  <si>
    <t>4emberlen - Речіца 01.02.2022</t>
  </si>
  <si>
    <t>2022-02-01T14:01:47+00:00</t>
  </si>
  <si>
    <t>https://twitter.com/4emberlen/status/1488496031901917184</t>
  </si>
  <si>
    <t xml:space="preserve">Russian military equipment </t>
  </si>
  <si>
    <t>Kursk Oblast</t>
  </si>
  <si>
    <t>Pristen</t>
  </si>
  <si>
    <t>Geolocated using building on the left hand side of the screen and railway tracks</t>
  </si>
  <si>
    <t>UW0073</t>
  </si>
  <si>
    <t>https://bellingcat-archive.nyc3.cdn.digitaloceanspaces.com/ukraine_witness_test/Worksheet/youtube_dl_1488496031901917184.mp4</t>
  </si>
  <si>
    <t>2022-02-25T11:48:21+00:00</t>
  </si>
  <si>
    <t>https://bellingcat-archive.nyc3.cdn.digitaloceanspaces.com/ukraine_witness_test/Worksheet/youtube_dl__4emberlen_status_14884960319019171842022-02-25T11:48:09.420327.png</t>
  </si>
  <si>
    <t>3ac12723f250477eb02da8d58873a1cfef32d971f418e3568b03f17892b68e40</t>
  </si>
  <si>
    <t>https://bellingcat-archive.nyc3.cdn.digitaloceanspaces.com/ukraine_witness_test/Worksheet/youtube_dl_1488496031901917184/index.html</t>
  </si>
  <si>
    <t>4emberlen - Курська обл. 31.01.2022</t>
  </si>
  <si>
    <t>2022-02-01T13:54:43+00:00</t>
  </si>
  <si>
    <t>https://www.tiktok.com/@chisto_mama/video/7059050323675073797?is_copy_url=1&amp;is_from_webapp=v1&amp;q=chisto_mama&amp;t=1643805113462</t>
  </si>
  <si>
    <t>https://twitter.com/Michael1Sheldon/status/1488032412907065346</t>
  </si>
  <si>
    <t>Abramovka</t>
  </si>
  <si>
    <t>Geolocated electricty tower</t>
  </si>
  <si>
    <t>UW0074</t>
  </si>
  <si>
    <t>tiktok: success</t>
  </si>
  <si>
    <t>https://bellingcat-archive.nyc3.cdn.digitaloceanspaces.com/ukraine_witness_test/Worksheet/tiktok_7059050323675073797.mp4</t>
  </si>
  <si>
    <t>2022-02-25T11:49:09+00:00</t>
  </si>
  <si>
    <t>https://bellingcat-archive.nyc3.cdn.digitaloceanspaces.com/ukraine_witness_test/Worksheet/tiktok__@chisto_mama_video_70590503236750737972022-02-25T11:48:57.635508.png</t>
  </si>
  <si>
    <t>3c298c82754cb635fa434ae59cf7d0d8528d8e1d10627f7e9b5d4d60f612f992</t>
  </si>
  <si>
    <t>https://bellingcat-archive.nyc3.cdn.digitaloceanspaces.com/ukraine_witness_test/Worksheet/tiktok_7059050323675073797/index.html</t>
  </si>
  <si>
    <t>#беларусь#военнаятехнитка</t>
  </si>
  <si>
    <t>2022-01-30T18:20:31+00:00</t>
  </si>
  <si>
    <t>https://www.tiktok.com/@kostyan_1986_/video/7059752758785658118?is_copy_url=1&amp;is_from_webapp=v1&amp;q=Kostyan_1986_&amp;t=1643805498136</t>
  </si>
  <si>
    <t>https://twitter.com/Michael1Sheldon/status/1488761521920520196</t>
  </si>
  <si>
    <t>UW0075</t>
  </si>
  <si>
    <t>wayback: Internet Archive failed: {'message': 'The server cannot find the requested resource https://www.tiktok.com/@kostyan_1986_/video/7059752758785658118?is_copy_url=1&amp;is_from_webapp=v1&amp;q=Kostyan_1986_&amp;t=1643805498136 (HTTP status=404).', 'duration_sec': 21.634, 'status': 'error', 'resources': [], 'status_ext': 'error:not-found', 'job_id': 'spn2-1d5c673254e640490773f3a243e2acc044377275-3d8d2643'}</t>
  </si>
  <si>
    <t>2022-02-25T15:04:45+00:00</t>
  </si>
  <si>
    <t>02/02/2022</t>
  </si>
  <si>
    <t>https://twitter.com/GirkinGirkin/status/1488749359911079941</t>
  </si>
  <si>
    <t>Convoy of chechens moving West</t>
  </si>
  <si>
    <t>https://twitter.com/kromark/status/1488863143732424707</t>
  </si>
  <si>
    <t>Kabardino-Balkarian Republic</t>
  </si>
  <si>
    <t>Prokhladny</t>
  </si>
  <si>
    <t>Geolocate train tracks and building in right</t>
  </si>
  <si>
    <t>UW0076</t>
  </si>
  <si>
    <t>Russia, Ramzan Kadyrov Brigade</t>
  </si>
  <si>
    <t>https://bellingcat-archive.nyc3.cdn.digitaloceanspaces.com/ukraine_witness_test/Worksheet/youtube_dl_1488749359911079941.mp4</t>
  </si>
  <si>
    <t>2022-02-25T12:20:39+00:00</t>
  </si>
  <si>
    <t>https://bellingcat-archive.nyc3.cdn.digitaloceanspaces.com/ukraine_witness_test/Worksheet/youtube_dl__GirkinGirkin_status_14887493599110799412022-02-25T12:20:23.119459.png</t>
  </si>
  <si>
    <t>df8eb54a7a14a0cdb64159cd610247159f524745cdd4f956da199d4d1df9899e</t>
  </si>
  <si>
    <t>https://bellingcat-archive.nyc3.cdn.digitaloceanspaces.com/ukraine_witness_test/Worksheet/youtube_dl_1488749359911079941/index.html</t>
  </si>
  <si>
    <t>IgorGirkin - + видео</t>
  </si>
  <si>
    <t>2022-02-02T06:41:21+00:00</t>
  </si>
  <si>
    <t>03/02/2022</t>
  </si>
  <si>
    <t>https://twitter.com/jp_clancy/status/1489018901346275332</t>
  </si>
  <si>
    <t>Logistics convoy moving towards Belarus</t>
  </si>
  <si>
    <t>Kletnya</t>
  </si>
  <si>
    <t>Geolocate house in background</t>
  </si>
  <si>
    <t>UW0077</t>
  </si>
  <si>
    <t>https://bellingcat-archive.nyc3.cdn.digitaloceanspaces.com/ukraine_witness_test/Worksheet/youtube_dl_1489018901346275332.mp4</t>
  </si>
  <si>
    <t>2022-02-25T12:20:56+00:00</t>
  </si>
  <si>
    <t>https://bellingcat-archive.nyc3.cdn.digitaloceanspaces.com/ukraine_witness_test/Worksheet/youtube_dl__jp_clancy_status_14890189013462753322022-02-25T12:20:44.522572.png</t>
  </si>
  <si>
    <t>b0f78f5561b13599b64a013d56474646c66d500da5af59e17564c6fbd0fbade8</t>
  </si>
  <si>
    <t>https://bellingcat-archive.nyc3.cdn.digitaloceanspaces.com/ukraine_witness_test/Worksheet/youtube_dl_1489018901346275332/index.html</t>
  </si>
  <si>
    <t>JC_Monitoring - Russian military convoy of Military Utility Vehicles spotted on 02.02.2022, Kletnya, Bryansk Oblast, heading West. Geolocation - 53.38629852, 33.20549511</t>
  </si>
  <si>
    <t>2022-02-03T00:32:25+00:00</t>
  </si>
  <si>
    <t>https://twitter.com/RALee85/status/1489128841905852416</t>
  </si>
  <si>
    <t>https://twitter.com/Michael1Sheldon/status/1489259813007593478</t>
  </si>
  <si>
    <t>UW0078</t>
  </si>
  <si>
    <t>https://bellingcat-archive.nyc3.cdn.digitaloceanspaces.com/ukraine_witness_test/Worksheet/youtube_dl_1489128841905852416.mp4</t>
  </si>
  <si>
    <t>2022-02-25T12:21:19+00:00</t>
  </si>
  <si>
    <t>https://bellingcat-archive.nyc3.cdn.digitaloceanspaces.com/ukraine_witness_test/Worksheet/youtube_dl__RALee85_status_14891288419058524162022-02-25T12:21:04.546301.png</t>
  </si>
  <si>
    <t>9b848c54d7d094750811a62b9e77885f429c98efe34acb55d5d31ea48112301d</t>
  </si>
  <si>
    <t>https://bellingcat-archive.nyc3.cdn.digitaloceanspaces.com/ukraine_witness_test/Worksheet/youtube_dl_1489128841905852416/index.html</t>
  </si>
  <si>
    <t>Rob Lee - Video of the 2nd S-400 battalion arriving in the Brest region of western Belarus. Zvezda says it will go on combat duty as part of the Russian-Belarusian unified regional air defense system. 974/</t>
  </si>
  <si>
    <t>2022-02-03T07:49:17+00:00</t>
  </si>
  <si>
    <t>https://twitter.com/GirkinGirkin/status/1489297244566302726</t>
  </si>
  <si>
    <t>https://twitter.com/gfusfus/status/1489312777156149252</t>
  </si>
  <si>
    <t>Adygea Republic</t>
  </si>
  <si>
    <t>Enem</t>
  </si>
  <si>
    <t>Geolocated gas station</t>
  </si>
  <si>
    <t>UW0079</t>
  </si>
  <si>
    <t>https://bellingcat-archive.nyc3.cdn.digitaloceanspaces.com/ukraine_witness_test/Worksheet/youtube_dl_1489297244566302726.mp4</t>
  </si>
  <si>
    <t>2022-02-25T12:21:37+00:00</t>
  </si>
  <si>
    <t>https://bellingcat-archive.nyc3.cdn.digitaloceanspaces.com/ukraine_witness_test/Worksheet/youtube_dl__GirkinGirkin_status_14892972445663027262022-02-25T12:21:25.931661.png</t>
  </si>
  <si>
    <t>5a3dfa8aafbc1bea80758756c3ccf9ed881fecf177a94a7242915cd487362a05</t>
  </si>
  <si>
    <t>https://bellingcat-archive.nyc3.cdn.digitaloceanspaces.com/ukraine_witness_test/Worksheet/youtube_dl_1489297244566302726/index.html</t>
  </si>
  <si>
    <t>2022-02-03T18:58:27+00:00</t>
  </si>
  <si>
    <t>05/02/2022</t>
  </si>
  <si>
    <t>https://twitter.com/GirkinGirkin/status/1489829249167106049</t>
  </si>
  <si>
    <t>Kursk</t>
  </si>
  <si>
    <t>Oktyabrsky</t>
  </si>
  <si>
    <t>Pryamitsyno</t>
  </si>
  <si>
    <t>Geolocated silos</t>
  </si>
  <si>
    <t>UW0080</t>
  </si>
  <si>
    <t>https://bellingcat-archive.nyc3.cdn.digitaloceanspaces.com/ukraine_witness_test/Worksheet/youtube_dl_1489829249167106049.mp4</t>
  </si>
  <si>
    <t>2022-02-25T12:21:53+00:00</t>
  </si>
  <si>
    <t>https://bellingcat-archive.nyc3.cdn.digitaloceanspaces.com/ukraine_witness_test/Worksheet/youtube_dl__GirkinGirkin_status_14898292491671060492022-02-25T12:21:41.719525.png</t>
  </si>
  <si>
    <t>3a4d57c2cb43deb0ca43bfe537b57474ae379387eb2a74a8ad4fc912ea81901d</t>
  </si>
  <si>
    <t>https://bellingcat-archive.nyc3.cdn.digitaloceanspaces.com/ukraine_witness_test/Worksheet/youtube_dl_1489829249167106049/index.html</t>
  </si>
  <si>
    <t>IgorGirkin - Курск</t>
  </si>
  <si>
    <t>2022-02-05T06:12:27+00:00</t>
  </si>
  <si>
    <t>https://twitter.com/GirkinGirkin/status/1489964591736102912</t>
  </si>
  <si>
    <t>Heavy weoponry and logistics convoy</t>
  </si>
  <si>
    <t>https://twitter.com/danvan71/status/1489983609616355363</t>
  </si>
  <si>
    <t>Novosadovyi</t>
  </si>
  <si>
    <t>UW0081</t>
  </si>
  <si>
    <t>Heavy weaponry, Logistics</t>
  </si>
  <si>
    <t>https://bellingcat-archive.nyc3.cdn.digitaloceanspaces.com/ukraine_witness_test/Worksheet/youtube_dl_1489964591736102912.mp4</t>
  </si>
  <si>
    <t>2022-02-25T12:22:12+00:00</t>
  </si>
  <si>
    <t>https://bellingcat-archive.nyc3.cdn.digitaloceanspaces.com/ukraine_witness_test/Worksheet/youtube_dl__GirkinGirkin_status_14899645917361029122022-02-25T12:21:58.632850.png</t>
  </si>
  <si>
    <t>b918718b6a38587943c49443c22d444caf353b22dc97077fa00bb82999240551</t>
  </si>
  <si>
    <t>https://bellingcat-archive.nyc3.cdn.digitaloceanspaces.com/ukraine_witness_test/Worksheet/youtube_dl_1489964591736102912/index.html</t>
  </si>
  <si>
    <t>IgorGirkin - Белгород</t>
  </si>
  <si>
    <t>2022-02-05T15:10:15+00:00</t>
  </si>
  <si>
    <t>06/02/2022</t>
  </si>
  <si>
    <t>https://twitter.com/4emberlen/status/1490472689273823233</t>
  </si>
  <si>
    <t>https://twitter.com/gfusfus/status/1490478848001064961</t>
  </si>
  <si>
    <t>Oboyansky</t>
  </si>
  <si>
    <t>Oboyan</t>
  </si>
  <si>
    <t>UW0082</t>
  </si>
  <si>
    <t>https://bellingcat-archive.nyc3.cdn.digitaloceanspaces.com/Ukraine_Witness_Datasheet/Worksheet/youtube_dl_1490472689273823233.mp4</t>
  </si>
  <si>
    <t>2022-02-25T12:59:01+00:00</t>
  </si>
  <si>
    <t>https://bellingcat-archive.nyc3.cdn.digitaloceanspaces.com/Ukraine_Witness_Datasheet/Worksheet/youtube_dl__4emberlen_status_14904726892738232332022-02-25T12:58:42.551777.png</t>
  </si>
  <si>
    <t>f672a5f1f43fd3aac81acbc6ba77648001d01abed0abcc09c10d942a72f19b6c</t>
  </si>
  <si>
    <t>https://bellingcat-archive.nyc3.cdn.digitaloceanspaces.com/Ukraine_Witness_Datasheet/Worksheet/youtube_dl_1490472689273823233/index.html</t>
  </si>
  <si>
    <t>4emberlen - Обоянь 06.02.2022</t>
  </si>
  <si>
    <t>2022-02-07T00:49:15+00:00</t>
  </si>
  <si>
    <t>07/02/2022</t>
  </si>
  <si>
    <t>https://twitter.com/Michael1Sheldon/status/1490502986715516931</t>
  </si>
  <si>
    <t>New  military camp being established</t>
  </si>
  <si>
    <t>https://twitter.com/Michael1Sheldon/status/1490504153101180928</t>
  </si>
  <si>
    <t>Zorino</t>
  </si>
  <si>
    <t>UW0083</t>
  </si>
  <si>
    <t>Camp, logistics</t>
  </si>
  <si>
    <t>https://bellingcat-archive.nyc3.cdn.digitaloceanspaces.com/Ukraine_Witness_Datasheet/Worksheet/youtube_dl_1490502986715516931.mp4</t>
  </si>
  <si>
    <t>2022-02-25T12:59:18+00:00</t>
  </si>
  <si>
    <t>https://bellingcat-archive.nyc3.cdn.digitaloceanspaces.com/Ukraine_Witness_Datasheet/Worksheet/youtube_dl__Michael1Sheldon_status_14905029867155169312022-02-25T12:59:06.415683.png</t>
  </si>
  <si>
    <t>5720da39beb3e07adeee36a26bdb317d735b36768b300ab06b56d2e7d2894dd9</t>
  </si>
  <si>
    <t>https://bellingcat-archive.nyc3.cdn.digitaloceanspaces.com/Ukraine_Witness_Datasheet/Worksheet/youtube_dl_1490502986715516931/index.html</t>
  </si>
  <si>
    <t>Michael Sheldon - Video appears to show the establishment of a new camp in Kursk Oblast.</t>
  </si>
  <si>
    <t>2022-02-07T02:49:38+00:00</t>
  </si>
  <si>
    <t>https://twitter.com/GirkinGirkin/status/1490309374274904065</t>
  </si>
  <si>
    <t>Heavy weoponry on the move</t>
  </si>
  <si>
    <t>https://twitter.com/danvan71/status/1490330054546571265</t>
  </si>
  <si>
    <t>Klintsy</t>
  </si>
  <si>
    <t>UW0084</t>
  </si>
  <si>
    <t>https://bellingcat-archive.nyc3.cdn.digitaloceanspaces.com/Ukraine_Witness_Datasheet/Worksheet/youtube_dl_1490309374274904065.mp4</t>
  </si>
  <si>
    <t>2022-02-25T14:36:06+00:00</t>
  </si>
  <si>
    <t>https://bellingcat-archive.nyc3.cdn.digitaloceanspaces.com/Ukraine_Witness_Datasheet/Worksheet/youtube_dl__GirkinGirkin_status_14903093742749040652022-02-25T14:35:49.247677.png</t>
  </si>
  <si>
    <t>6a1d194e9cce3fc8361ca15b27f1fca082a4da14a0757f1bd58e9136d4e6520b</t>
  </si>
  <si>
    <t>https://bellingcat-archive.nyc3.cdn.digitaloceanspaces.com/Ukraine_Witness_Datasheet/Worksheet/youtube_dl_1490309374274904065/index.html</t>
  </si>
  <si>
    <t>IgorGirkin - Клинцы, Брянская обл</t>
  </si>
  <si>
    <t>2022-02-06T14:00:18+00:00</t>
  </si>
  <si>
    <t>https://twitter.com/GirkinGirkin/status/1490364203080863745</t>
  </si>
  <si>
    <t>https://twitter.com/JC_Monitoring/status/1490427411594461190</t>
  </si>
  <si>
    <t>Rostov-on-don</t>
  </si>
  <si>
    <t>UW0085</t>
  </si>
  <si>
    <t>https://bellingcat-archive.nyc3.cdn.digitaloceanspaces.com/Ukraine_Witness_Datasheet/Worksheet/youtube_dl_1490364203080863745.mp4</t>
  </si>
  <si>
    <t>2022-02-25T13:03:36+00:00</t>
  </si>
  <si>
    <t>https://bellingcat-archive.nyc3.cdn.digitaloceanspaces.com/Ukraine_Witness_Datasheet/Worksheet/youtube_dl__GirkinGirkin_status_14903642030808637452022-02-25T13:03:19.288662.png</t>
  </si>
  <si>
    <t>9b5ef48ba4ef9ed8fcc6f07fa306f5c25f8fe99f90e723d05b9876202487a66d</t>
  </si>
  <si>
    <t>https://bellingcat-archive.nyc3.cdn.digitaloceanspaces.com/Ukraine_Witness_Datasheet/Worksheet/youtube_dl_1490364203080863745/index.html</t>
  </si>
  <si>
    <t>IgorGirkin - Ростов</t>
  </si>
  <si>
    <t>2022-02-06T17:38:10+00:00</t>
  </si>
  <si>
    <t>https://twitter.com/Michael1Sheldon/status/1490600036878716929</t>
  </si>
  <si>
    <t>https://twitter.com/Michael1Sheldon/status/1490600455994494980</t>
  </si>
  <si>
    <t>Korenevsky</t>
  </si>
  <si>
    <t>Korenenvo</t>
  </si>
  <si>
    <t>UW0086</t>
  </si>
  <si>
    <t>https://bellingcat-archive.nyc3.cdn.digitaloceanspaces.com/Ukraine_Witness_Datasheet/Worksheet/youtube_dl_1490600036878716929.mp4</t>
  </si>
  <si>
    <t>2022-02-25T13:03:58+00:00</t>
  </si>
  <si>
    <t>https://bellingcat-archive.nyc3.cdn.digitaloceanspaces.com/Ukraine_Witness_Datasheet/Worksheet/youtube_dl__Michael1Sheldon_status_14906000368787169292022-02-25T13:03:41.742455.png</t>
  </si>
  <si>
    <t>08ae10c7f2faf42e986fd23aa36f97c1cc071562d1e1bb7eaf71063cedf48a31</t>
  </si>
  <si>
    <t>https://bellingcat-archive.nyc3.cdn.digitaloceanspaces.com/Ukraine_Witness_Datasheet/Worksheet/youtube_dl_1490600036878716929/index.html</t>
  </si>
  <si>
    <t>Michael Sheldon - Korenevo station, Kursk Oblast.</t>
  </si>
  <si>
    <t>2022-02-07T09:15:17+00:00</t>
  </si>
  <si>
    <t>https://twitter.com/Michael1Sheldon/status/1490601026428313601</t>
  </si>
  <si>
    <t>Logisitcs stationed near train tracks</t>
  </si>
  <si>
    <t>https://twitter.com/Michael1Sheldon/status/1490601139821334529</t>
  </si>
  <si>
    <t>UW0087</t>
  </si>
  <si>
    <t>https://bellingcat-archive.nyc3.cdn.digitaloceanspaces.com/Ukraine_Witness_Datasheet/Worksheet/youtube_dl_1490601026428313601.mp4</t>
  </si>
  <si>
    <t>2022-02-25T13:04:20+00:00</t>
  </si>
  <si>
    <t>https://bellingcat-archive.nyc3.cdn.digitaloceanspaces.com/Ukraine_Witness_Datasheet/Worksheet/youtube_dl__Michael1Sheldon_status_14906010264283136012022-02-25T13:04:06.236032.png</t>
  </si>
  <si>
    <t>c6e357abe2561aecdd787fa77c5c846fa900bf7ed84bb237f405dafb1d5ab110</t>
  </si>
  <si>
    <t>https://bellingcat-archive.nyc3.cdn.digitaloceanspaces.com/Ukraine_Witness_Datasheet/Worksheet/youtube_dl_1490601026428313601/index.html</t>
  </si>
  <si>
    <t>Michael Sheldon - Likely same location.</t>
  </si>
  <si>
    <t>2022-02-07T09:19:13+00:00</t>
  </si>
  <si>
    <t>https://twitter.com/Michael1Sheldon/status/1490608655816970241</t>
  </si>
  <si>
    <t>UW0088</t>
  </si>
  <si>
    <t>https://bellingcat-archive.nyc3.cdn.digitaloceanspaces.com/Ukraine_Witness_Datasheet/Worksheet/youtube_dl_1490608655816970241.mp4</t>
  </si>
  <si>
    <t>2022-02-25T13:04:36+00:00</t>
  </si>
  <si>
    <t>https://bellingcat-archive.nyc3.cdn.digitaloceanspaces.com/Ukraine_Witness_Datasheet/Worksheet/youtube_dl__Michael1Sheldon_status_14906086558169702412022-02-25T13:04:25.045022.png</t>
  </si>
  <si>
    <t>1edf46c5e712ae69dfda8921b69604d6d76359ba19c8ece843268374ccf234e0</t>
  </si>
  <si>
    <t>https://bellingcat-archive.nyc3.cdn.digitaloceanspaces.com/Ukraine_Witness_Datasheet/Worksheet/youtube_dl_1490608655816970241/index.html</t>
  </si>
  <si>
    <t>Michael Sheldon - More from this location.</t>
  </si>
  <si>
    <t>2022-02-07T09:49:32+00:00</t>
  </si>
  <si>
    <t>https://twitter.com/GirkinGirkin/status/1490766954503757826</t>
  </si>
  <si>
    <t>https://twitter.com/danvan71/status/1490817033310773249</t>
  </si>
  <si>
    <t>Millerovo</t>
  </si>
  <si>
    <t>UW0089</t>
  </si>
  <si>
    <t>Heavy Weaponry</t>
  </si>
  <si>
    <t>https://bellingcat-archive.nyc3.cdn.digitaloceanspaces.com/Ukraine_Witness_Datasheet/Worksheet/youtube_dl_1490766954503757826.mp4</t>
  </si>
  <si>
    <t>2022-02-25T13:04:56+00:00</t>
  </si>
  <si>
    <t>https://bellingcat-archive.nyc3.cdn.digitaloceanspaces.com/Ukraine_Witness_Datasheet/Worksheet/youtube_dl__GirkinGirkin_status_14907669545037578262022-02-25T13:04:42.375271.png</t>
  </si>
  <si>
    <t>27c7f6e63a99087a04e5100e1be3bc5158dfafcdafbe29b214bf6ce5d65aa494</t>
  </si>
  <si>
    <t>https://bellingcat-archive.nyc3.cdn.digitaloceanspaces.com/Ukraine_Witness_Datasheet/Worksheet/youtube_dl_1490766954503757826/index.html</t>
  </si>
  <si>
    <t>2022-02-07T20:18:33+00:00</t>
  </si>
  <si>
    <t>https://twitter.com/GirkinGirkin/status/1491044474575007745</t>
  </si>
  <si>
    <t>Convoy of exavators and barbed wire transporters</t>
  </si>
  <si>
    <t>Barbed wire transporters, box-body vehicles, excavators</t>
  </si>
  <si>
    <t>UW0090</t>
  </si>
  <si>
    <t>https://bellingcat-archive.nyc3.cdn.digitaloceanspaces.com/Ukraine_Witness_Datasheet/Worksheet/youtube_dl_1491044474575007745.mp4</t>
  </si>
  <si>
    <t>2022-02-25T13:05:14+00:00</t>
  </si>
  <si>
    <t>https://bellingcat-archive.nyc3.cdn.digitaloceanspaces.com/Ukraine_Witness_Datasheet/Worksheet/youtube_dl__GirkinGirkin_status_14910444745750077452022-02-25T13:05:02.555489.png</t>
  </si>
  <si>
    <t>5e2bf1c8182beb861657422dee86dbb9aec66e12a107a11e7cc8c68e12487db1</t>
  </si>
  <si>
    <t>https://bellingcat-archive.nyc3.cdn.digitaloceanspaces.com/Ukraine_Witness_Datasheet/Worksheet/youtube_dl_1491044474575007745/index.html</t>
  </si>
  <si>
    <t>IgorGirkin - Курская обл</t>
  </si>
  <si>
    <t>2022-02-08T14:41:19+00:00</t>
  </si>
  <si>
    <t>https://twitter.com/GirkinGirkin/status/1491113219259199492</t>
  </si>
  <si>
    <t>UW0091</t>
  </si>
  <si>
    <t>https://bellingcat-archive.nyc3.cdn.digitaloceanspaces.com/Ukraine_Witness_Datasheet/Worksheet/youtube_dl_1491113219259199492.mp4</t>
  </si>
  <si>
    <t>2022-02-25T13:05:36+00:00</t>
  </si>
  <si>
    <t>https://bellingcat-archive.nyc3.cdn.digitaloceanspaces.com/Ukraine_Witness_Datasheet/Worksheet/youtube_dl__GirkinGirkin_status_14911132192591994922022-02-25T13:05:21.449285.png</t>
  </si>
  <si>
    <t>97f97de8f1dfce2bc3bf5d8e841e7e54a8406d7834739e96003557cc1ead5a3a</t>
  </si>
  <si>
    <t>https://bellingcat-archive.nyc3.cdn.digitaloceanspaces.com/Ukraine_Witness_Datasheet/Worksheet/youtube_dl_1491113219259199492/index.html</t>
  </si>
  <si>
    <t>2022-02-08T19:14:29+00:00</t>
  </si>
  <si>
    <t>09/02/2022</t>
  </si>
  <si>
    <t>https://twitter.com/GirkinGirkin/status/1491221587768807424</t>
  </si>
  <si>
    <t xml:space="preserve">Transportation of tanks </t>
  </si>
  <si>
    <t>https://twitter.com/Tar_Milus/status/1491237820576714752</t>
  </si>
  <si>
    <t xml:space="preserve">Kaluzhskaya </t>
  </si>
  <si>
    <t>Obninsk</t>
  </si>
  <si>
    <t>UW0092</t>
  </si>
  <si>
    <t>https://bellingcat-archive.nyc3.cdn.digitaloceanspaces.com/Ukraine_Witness_Datasheet/Worksheet/youtube_dl_1491221587768807424.mp4</t>
  </si>
  <si>
    <t>2022-02-25T13:05:52+00:00</t>
  </si>
  <si>
    <t>https://bellingcat-archive.nyc3.cdn.digitaloceanspaces.com/Ukraine_Witness_Datasheet/Worksheet/youtube_dl__GirkinGirkin_status_14912215877688074242022-02-25T13:05:41.141481.png</t>
  </si>
  <si>
    <t>77fad5b0905e87861d62c19623fa8f74f73d64846a81f748d8c7d9187d3baa66</t>
  </si>
  <si>
    <t>https://bellingcat-archive.nyc3.cdn.digitaloceanspaces.com/Ukraine_Witness_Datasheet/Worksheet/youtube_dl_1491221587768807424/index.html</t>
  </si>
  <si>
    <t>IgorGirkin - Армавир</t>
  </si>
  <si>
    <t>2022-02-09T02:25:06+00:00</t>
  </si>
  <si>
    <t>08/02/2022</t>
  </si>
  <si>
    <t>https://twitter.com/Michael1Sheldon/status/1490953643029577728</t>
  </si>
  <si>
    <t>Radio relay station</t>
  </si>
  <si>
    <t>https://twitter.com/Michael1Sheldon/status/1490954073516154881</t>
  </si>
  <si>
    <t>Karaichnoe</t>
  </si>
  <si>
    <t>R-419L1 digital radio relay station</t>
  </si>
  <si>
    <t>UW0093</t>
  </si>
  <si>
    <t>Communication</t>
  </si>
  <si>
    <t>https://bellingcat-archive.nyc3.cdn.digitaloceanspaces.com/Ukraine_Witness_Datasheet/Worksheet/youtube_dl_1490953643029577728.mp4</t>
  </si>
  <si>
    <t>2022-02-25T13:06:10+00:00</t>
  </si>
  <si>
    <t>https://bellingcat-archive.nyc3.cdn.digitaloceanspaces.com/Ukraine_Witness_Datasheet/Worksheet/youtube_dl__Michael1Sheldon_status_14909536430295777282022-02-25T13:05:58.114025.png</t>
  </si>
  <si>
    <t>d1ac42ee557e8c7f683400acdee81d4d5426ce91cc862e5abe62936ce597d25d</t>
  </si>
  <si>
    <t>https://bellingcat-archive.nyc3.cdn.digitaloceanspaces.com/Ukraine_Witness_Datasheet/Worksheet/youtube_dl_1490953643029577728/index.html</t>
  </si>
  <si>
    <t>Michael Sheldon - Another R-419L1 digital radio relay station spotted in Belgorod Oblast, in the village of Karaichoe.</t>
  </si>
  <si>
    <t>2022-02-08T08:40:23+00:00</t>
  </si>
  <si>
    <t>https://twitter.com/GirkinGirkin/status/1490621504333230085</t>
  </si>
  <si>
    <t>Convoy of heavy weaponry on the move</t>
  </si>
  <si>
    <t>Leninskoye</t>
  </si>
  <si>
    <t>UW0094</t>
  </si>
  <si>
    <t>https://bellingcat-archive.nyc3.cdn.digitaloceanspaces.com/Ukraine_Witness_Datasheet/Worksheet/youtube_dl_1490621504333230085.mp4</t>
  </si>
  <si>
    <t>2022-02-25T13:06:28+00:00</t>
  </si>
  <si>
    <t>https://bellingcat-archive.nyc3.cdn.digitaloceanspaces.com/Ukraine_Witness_Datasheet/Worksheet/youtube_dl__GirkinGirkin_status_14906215043332300852022-02-25T13:06:15.953747.png</t>
  </si>
  <si>
    <t>6ea90d96e9b58852b0751dc627f757d96f0cad29c6b4ab4099abb54737942ae1</t>
  </si>
  <si>
    <t>https://bellingcat-archive.nyc3.cdn.digitaloceanspaces.com/Ukraine_Witness_Datasheet/Worksheet/youtube_dl_1490621504333230085/index.html</t>
  </si>
  <si>
    <t>IgorGirkin - Крым</t>
  </si>
  <si>
    <t>2022-02-07T10:40:35+00:00</t>
  </si>
  <si>
    <t>https://twitter.com/4emberlen/status/1491085146531201025</t>
  </si>
  <si>
    <t>https://twitter.com/Michael1Sheldon/status/1491113881313636352</t>
  </si>
  <si>
    <t>Rylsky</t>
  </si>
  <si>
    <t>Rylsk</t>
  </si>
  <si>
    <t>UW0095</t>
  </si>
  <si>
    <t>https://bellingcat-archive.nyc3.cdn.digitaloceanspaces.com/Ukraine_Witness_Datasheet/Worksheet/youtube_dl_1491085146531201025.mp4</t>
  </si>
  <si>
    <t>2022-02-25T13:06:44+00:00</t>
  </si>
  <si>
    <t>https://bellingcat-archive.nyc3.cdn.digitaloceanspaces.com/Ukraine_Witness_Datasheet/Worksheet/youtube_dl__4emberlen_status_14910851465312010252022-02-25T13:06:32.886062.png</t>
  </si>
  <si>
    <t>1666d4811e04a3ac81e764de2e8bff5fc88fb5f2f8cce47c24d9cc0ba49d0a7d</t>
  </si>
  <si>
    <t>https://bellingcat-archive.nyc3.cdn.digitaloceanspaces.com/Ukraine_Witness_Datasheet/Worksheet/youtube_dl_1491085146531201025/index.html</t>
  </si>
  <si>
    <t>4emberlen - Курська обл. 08.02.2022</t>
  </si>
  <si>
    <t>2022-02-08T17:22:56+00:00</t>
  </si>
  <si>
    <t>https://twitter.com/GirkinGirkin/status/1490699410489192458</t>
  </si>
  <si>
    <t>Train transporting heavy weaponry</t>
  </si>
  <si>
    <t>Korenevo</t>
  </si>
  <si>
    <t>UW0096</t>
  </si>
  <si>
    <t>https://bellingcat-archive.nyc3.cdn.digitaloceanspaces.com/Ukraine_Witness_Datasheet/Worksheet/youtube_dl_1490699410489192458.mp4</t>
  </si>
  <si>
    <t>2022-02-25T13:07:13+00:00</t>
  </si>
  <si>
    <t>https://bellingcat-archive.nyc3.cdn.digitaloceanspaces.com/Ukraine_Witness_Datasheet/Worksheet/youtube_dl__GirkinGirkin_status_14906994104891924582022-02-25T13:07:01.584600.png</t>
  </si>
  <si>
    <t>4046af0accd5db433e913fcd171bc74765ab468920d5c013ee0206e04557ba30</t>
  </si>
  <si>
    <t>https://bellingcat-archive.nyc3.cdn.digitaloceanspaces.com/Ukraine_Witness_Datasheet/Worksheet/youtube_dl_1490699410489192458/index.html</t>
  </si>
  <si>
    <t>IgorGirkin - Коренево, Курская обл</t>
  </si>
  <si>
    <t>2022-02-07T15:50:09+00:00</t>
  </si>
  <si>
    <t>https://twitter.com/GirkinGirkin/status/1491080325384257537</t>
  </si>
  <si>
    <t xml:space="preserve">Tanks unloaded </t>
  </si>
  <si>
    <t>https://twitter.com/Danspiun/status/1491116686061481984</t>
  </si>
  <si>
    <t>Neklinovsky</t>
  </si>
  <si>
    <t>Pokrovskoe</t>
  </si>
  <si>
    <t>2S19M2 Msta-S 152mm howitzers</t>
  </si>
  <si>
    <t>UW0097</t>
  </si>
  <si>
    <t>Heavy weoponry</t>
  </si>
  <si>
    <t>https://bellingcat-archive.nyc3.cdn.digitaloceanspaces.com/Ukraine_Witness_Datasheet/Worksheet/youtube_dl_1491080325384257537.mp4</t>
  </si>
  <si>
    <t>2022-02-25T13:07:37+00:00</t>
  </si>
  <si>
    <t>https://bellingcat-archive.nyc3.cdn.digitaloceanspaces.com/Ukraine_Witness_Datasheet/Worksheet/youtube_dl__GirkinGirkin_status_14910803253842575372022-02-25T13:07:19.290411.png</t>
  </si>
  <si>
    <t>c181ce7d8b48c8f1c99d2a17fcca57a02ab187909d2e2a926b946cdc859e282f</t>
  </si>
  <si>
    <t>https://bellingcat-archive.nyc3.cdn.digitaloceanspaces.com/Ukraine_Witness_Datasheet/Worksheet/youtube_dl_1491080325384257537/index.html</t>
  </si>
  <si>
    <t>IgorGirkin - @user242882628632:ст. Покровская  Ростовская обл</t>
  </si>
  <si>
    <t>2022-02-08T17:03:47+00:00</t>
  </si>
  <si>
    <t>https://twitter.com/GirkinGirkin/status/1491108245678993410</t>
  </si>
  <si>
    <t>Train transporing medical trucks</t>
  </si>
  <si>
    <t>Moscow</t>
  </si>
  <si>
    <t>Yabloko</t>
  </si>
  <si>
    <t>UW0098</t>
  </si>
  <si>
    <t>https://bellingcat-archive.nyc3.cdn.digitaloceanspaces.com/Ukraine_Witness_Datasheet/Worksheet/youtube_dl_1491108245678993410.mp4</t>
  </si>
  <si>
    <t>2022-02-25T13:07:56+00:00</t>
  </si>
  <si>
    <t>https://bellingcat-archive.nyc3.cdn.digitaloceanspaces.com/Ukraine_Witness_Datasheet/Worksheet/youtube_dl__GirkinGirkin_status_14911082456789934102022-02-25T13:07:44.499913.png</t>
  </si>
  <si>
    <t>d6b677a5d0f497be862ee47dbb4e6c48e73a3aa0bc423b57fde299e9c842e033</t>
  </si>
  <si>
    <t>https://bellingcat-archive.nyc3.cdn.digitaloceanspaces.com/Ukraine_Witness_Datasheet/Worksheet/youtube_dl_1491108245678993410/index.html</t>
  </si>
  <si>
    <t>IgorGirkin - Бекасово-сорт., Москва, 4 дня назад</t>
  </si>
  <si>
    <t>2022-02-08T18:54:43+00:00</t>
  </si>
  <si>
    <t>https://twitter.com/herooftheday10/status/1490966404950278145</t>
  </si>
  <si>
    <t>Heavy weaponry stationed in field</t>
  </si>
  <si>
    <t>https://twitter.com/COUPSURE/status/1490977225776062464</t>
  </si>
  <si>
    <t>Belgorodsky</t>
  </si>
  <si>
    <t>Veselaya Lopan</t>
  </si>
  <si>
    <t>UW0099</t>
  </si>
  <si>
    <t>wayback: Internet Archive fallback</t>
  </si>
  <si>
    <t>https://web.archive.org/web/20220225130910/https://twitter.com/herooftheday10/status/1490966404950278145</t>
  </si>
  <si>
    <t>2022-02-25T13:09:36+00:00</t>
  </si>
  <si>
    <t>https://bellingcat-archive.nyc3.cdn.digitaloceanspaces.com/Ukraine_Witness_Datasheet/Worksheet/wayback__herooftheday10_status_14909664049502781452022-02-25T13:09:27.282925.png</t>
  </si>
  <si>
    <t>ЄС_EU_UA_NATO_USA_יִשְׂרָאֵל🇮🇱🇺🇦🇺🇸🇪🇺🇬🇧 on Twitter: "Весёлая Лопань, Белгородская обл., Выгрузка, наши дни. В 2014 также там выгружались вс рф и выезжали на Донбасс.… "</t>
  </si>
  <si>
    <t>https://twitter.com/GirkinGirkin/status/1490682550343421954</t>
  </si>
  <si>
    <t>Rocket launch systems on the move</t>
  </si>
  <si>
    <t>https://twitter.com/ELINTNews/status/1490703127288467457</t>
  </si>
  <si>
    <t>BM-30 Smerch Multiple Launch Rocket System</t>
  </si>
  <si>
    <t>UW0100</t>
  </si>
  <si>
    <t>https://bellingcat-archive.nyc3.cdn.digitaloceanspaces.com/Ukraine_Witness_Datasheet/Worksheet/youtube_dl_1490682550343421954.mp4</t>
  </si>
  <si>
    <t>2022-02-25T13:09:55+00:00</t>
  </si>
  <si>
    <t>https://bellingcat-archive.nyc3.cdn.digitaloceanspaces.com/Ukraine_Witness_Datasheet/Worksheet/youtube_dl__GirkinGirkin_status_14906825503434219542022-02-25T13:09:42.724750.png</t>
  </si>
  <si>
    <t>fc9a1abbf00b7d7a80e7f735880d2bc8b0a8e269cf76e4173614e2bf5999fe16</t>
  </si>
  <si>
    <t>https://bellingcat-archive.nyc3.cdn.digitaloceanspaces.com/Ukraine_Witness_Datasheet/Worksheet/youtube_dl_1490682550343421954/index.html</t>
  </si>
  <si>
    <t>2022-02-07T14:43:10+00:00</t>
  </si>
  <si>
    <t>https://twitter.com/GirkinGirkin/status/1491421002613792768</t>
  </si>
  <si>
    <t>Movement of heavy weaponry</t>
  </si>
  <si>
    <t>https://twitter.com/gfusfus/status/1491426748613152769</t>
  </si>
  <si>
    <t>Kamensky</t>
  </si>
  <si>
    <t>UW0101</t>
  </si>
  <si>
    <t>https://bellingcat-archive.nyc3.cdn.digitaloceanspaces.com/Ukraine_Witness_Datasheet/Worksheet/youtube_dl_1491421002613792768.mp4</t>
  </si>
  <si>
    <t>2022-02-25T13:10:15+00:00</t>
  </si>
  <si>
    <t>https://bellingcat-archive.nyc3.cdn.digitaloceanspaces.com/Ukraine_Witness_Datasheet/Worksheet/youtube_dl__GirkinGirkin_status_14914210026137927682022-02-25T13:10:00.829819.png</t>
  </si>
  <si>
    <t>b3e6e77105d46ecc3e63bd9fd7c297a13ec64612fc5932b4e04509f098f07157</t>
  </si>
  <si>
    <t>https://bellingcat-archive.nyc3.cdn.digitaloceanspaces.com/Ukraine_Witness_Datasheet/Worksheet/youtube_dl_1491421002613792768/index.html</t>
  </si>
  <si>
    <t>2022-02-09T15:37:30+00:00</t>
  </si>
  <si>
    <t>https://twitter.com/4emberlen/status/1491418129414914048</t>
  </si>
  <si>
    <t>https://twitter.com/gfusfus/status/1491439209500254208</t>
  </si>
  <si>
    <t xml:space="preserve">Postoyalye Dvory, Kurskaya </t>
  </si>
  <si>
    <t>Avtodoroga Kursk-Shchigry</t>
  </si>
  <si>
    <t>UW0102</t>
  </si>
  <si>
    <t>https://bellingcat-archive.nyc3.cdn.digitaloceanspaces.com/Ukraine_Witness_Datasheet/Worksheet/youtube_dl_1491418129414914048.mp4</t>
  </si>
  <si>
    <t>2022-02-25T13:10:32+00:00</t>
  </si>
  <si>
    <t>https://bellingcat-archive.nyc3.cdn.digitaloceanspaces.com/Ukraine_Witness_Datasheet/Worksheet/youtube_dl__4emberlen_status_14914181294149140482022-02-25T13:10:20.417180.png</t>
  </si>
  <si>
    <t>1ce2dc3a2e782d89080ec3ba112025956f14eb0a1c7ed53ee8b0162634104410</t>
  </si>
  <si>
    <t>https://bellingcat-archive.nyc3.cdn.digitaloceanspaces.com/Ukraine_Witness_Datasheet/Worksheet/youtube_dl_1491418129414914048/index.html</t>
  </si>
  <si>
    <t>4emberlen - Малиновий , Курська обл. 07.02.2022</t>
  </si>
  <si>
    <t>2022-02-09T15:26:05+00:00</t>
  </si>
  <si>
    <t>https://twitter.com/4emberlen/status/1491367231812702215</t>
  </si>
  <si>
    <t>https://twitter.com/gfusfus/status/1491435131873431553</t>
  </si>
  <si>
    <t>Mogilev</t>
  </si>
  <si>
    <t>Chapayeva</t>
  </si>
  <si>
    <t>UW0103</t>
  </si>
  <si>
    <t>https://bellingcat-archive.nyc3.cdn.digitaloceanspaces.com/Ukraine_Witness_Datasheet/Worksheet/youtube_dl_1491367231812702215.mp4</t>
  </si>
  <si>
    <t>2022-02-25T13:10:54+00:00</t>
  </si>
  <si>
    <t>https://bellingcat-archive.nyc3.cdn.digitaloceanspaces.com/Ukraine_Witness_Datasheet/Worksheet/youtube_dl__4emberlen_status_14913672318127022152022-02-25T13:10:39.494803.png</t>
  </si>
  <si>
    <t>d633449a7f6686129b087ee9a8bbedf6b2a4d876d6580a4817fbedba022cdeae</t>
  </si>
  <si>
    <t>https://bellingcat-archive.nyc3.cdn.digitaloceanspaces.com/Ukraine_Witness_Datasheet/Worksheet/youtube_dl_1491367231812702215/index.html</t>
  </si>
  <si>
    <t>4emberlen - Могільов 03.02.2022</t>
  </si>
  <si>
    <t>2022-02-09T12:03:50+00:00</t>
  </si>
  <si>
    <t>https://twitter.com/MarQs__/status/1491374811553333250</t>
  </si>
  <si>
    <t>Convoy of heavy weaponry</t>
  </si>
  <si>
    <t>https://twitter.com/danvan71/status/1491399015099174913</t>
  </si>
  <si>
    <t>UW0104</t>
  </si>
  <si>
    <t>https://bellingcat-archive.nyc3.cdn.digitaloceanspaces.com/Ukraine_Witness_Datasheet/Worksheet/youtube_dl_1491374811553333250.mp4</t>
  </si>
  <si>
    <t>2022-02-25T13:11:10+00:00</t>
  </si>
  <si>
    <t>https://bellingcat-archive.nyc3.cdn.digitaloceanspaces.com/Ukraine_Witness_Datasheet/Worksheet/youtube_dl__MarQs___status_14913748115533332502022-02-25T13:10:59.610383.png</t>
  </si>
  <si>
    <t>28b2119282cd2115831472c57da2f943293c26c26ed35cbc694300c781b16a3a</t>
  </si>
  <si>
    <t>https://bellingcat-archive.nyc3.cdn.digitaloceanspaces.com/Ukraine_Witness_Datasheet/Worksheet/youtube_dl_1491374811553333250/index.html</t>
  </si>
  <si>
    <t>marqs - Kursk region, #Russia</t>
  </si>
  <si>
    <t>2022-02-09T12:33:58+00:00</t>
  </si>
  <si>
    <t>https://twitter.com/herooftheday10/status/1491549484798644224</t>
  </si>
  <si>
    <t>https://twitter.com/danvan71/status/1491572537159041028</t>
  </si>
  <si>
    <t>Belgorod Oblast</t>
  </si>
  <si>
    <t>Stary Oskol</t>
  </si>
  <si>
    <t>UW0105</t>
  </si>
  <si>
    <t>https://web.archive.org/web/20220225131232/https://twitter.com/herooftheday10/status/1491549484798644224</t>
  </si>
  <si>
    <t>2022-02-25T13:12:54+00:00</t>
  </si>
  <si>
    <t>https://bellingcat-archive.nyc3.cdn.digitaloceanspaces.com/Ukraine_Witness_Datasheet/Worksheet/wayback__herooftheday10_status_14915494847986442242022-02-25T13:12:45.801626.png</t>
  </si>
  <si>
    <t>ЄС_EU_UA_NATO_USA_יִשְׂרָאֵל🇮🇱🇺🇦🇺🇸🇪🇺🇬🇧 on Twitter: "Белгородская обл,, https://t.co/xiuBdYtpBl" / Twitter</t>
  </si>
  <si>
    <t>https://twitter.com/4emberlen/status/1491366702676066309</t>
  </si>
  <si>
    <t>Movement of heavy weaponry in the street</t>
  </si>
  <si>
    <t>https://twitter.com/gfusfus/status/1491433525534662658</t>
  </si>
  <si>
    <t>Sevastopol</t>
  </si>
  <si>
    <t>https://bellingcat-archive.nyc3.cdn.digitaloceanspaces.com/Ukraine_Witness_Datasheet/Worksheet/youtube_dl_1491366702676066309.mp4</t>
  </si>
  <si>
    <t>2022-02-25T13:13:15+00:00</t>
  </si>
  <si>
    <t>https://bellingcat-archive.nyc3.cdn.digitaloceanspaces.com/Ukraine_Witness_Datasheet/Worksheet/youtube_dl__4emberlen_status_14913667026760663092022-02-25T13:13:00.840840.png</t>
  </si>
  <si>
    <t>6951308fef53452495cfa2b412f9f3c0ab1cdd57fbe38888e48dd46457c3adc6</t>
  </si>
  <si>
    <t>https://bellingcat-archive.nyc3.cdn.digitaloceanspaces.com/Ukraine_Witness_Datasheet/Worksheet/youtube_dl_1491366702676066309/index.html</t>
  </si>
  <si>
    <t>4emberlen - Севастополь 08.02.2022</t>
  </si>
  <si>
    <t>2022-02-09T12:01:44+00:00</t>
  </si>
  <si>
    <t>https://twitter.com/4emberlen/status/1491427946468618249</t>
  </si>
  <si>
    <t>Movement of troops and heavy weaponry</t>
  </si>
  <si>
    <t>https://twitter.com/gfusfus/status/1491432541479333893</t>
  </si>
  <si>
    <t>Krasnodar Krai,</t>
  </si>
  <si>
    <t>Abinsk</t>
  </si>
  <si>
    <t>https://bellingcat-archive.nyc3.cdn.digitaloceanspaces.com/Ukraine_Witness_Datasheet/Worksheet/youtube_dl_1491427946468618249.mp4</t>
  </si>
  <si>
    <t>2022-02-25T13:13:33+00:00</t>
  </si>
  <si>
    <t>https://bellingcat-archive.nyc3.cdn.digitaloceanspaces.com/Ukraine_Witness_Datasheet/Worksheet/youtube_dl__4emberlen_status_14914279464686182492022-02-25T13:13:21.122138.png</t>
  </si>
  <si>
    <t>8a3a1991bf684f69414be422242bc8660bca06ad3496c5e472454436d6d9d29d</t>
  </si>
  <si>
    <t>https://bellingcat-archive.nyc3.cdn.digitaloceanspaces.com/Ukraine_Witness_Datasheet/Worksheet/youtube_dl_1491427946468618249/index.html</t>
  </si>
  <si>
    <t>4emberlen - Абінськ , Краснодарський край 09.02.2022</t>
  </si>
  <si>
    <t>2022-02-09T16:05:06+00:00</t>
  </si>
  <si>
    <t>https://twitter.com/GirkinGirkin/status/1491283672359923713</t>
  </si>
  <si>
    <t>Tank and logistical encampment</t>
  </si>
  <si>
    <t>https://twitter.com/gfusfus/status/1491376295850426370</t>
  </si>
  <si>
    <t>UW0106</t>
  </si>
  <si>
    <t>https://bellingcat-archive.nyc3.cdn.digitaloceanspaces.com/Ukraine_Witness_Datasheet/Worksheet/youtube_dl_1491283672359923713.mp4</t>
  </si>
  <si>
    <t>2022-02-25T13:13:51+00:00</t>
  </si>
  <si>
    <t>https://bellingcat-archive.nyc3.cdn.digitaloceanspaces.com/Ukraine_Witness_Datasheet/Worksheet/youtube_dl__GirkinGirkin_status_14912836723599237132022-02-25T13:13:39.326722.png</t>
  </si>
  <si>
    <t>3d141df66dca2e72a23ef7a5fb35ea329e039292b203c8ccc7bd6624f7a70958</t>
  </si>
  <si>
    <t>https://bellingcat-archive.nyc3.cdn.digitaloceanspaces.com/Ukraine_Witness_Datasheet/Worksheet/youtube_dl_1491283672359923713/index.html</t>
  </si>
  <si>
    <t>IgorGirkin - Веселая Лопань, Белгородская обл</t>
  </si>
  <si>
    <t>2022-02-09T06:31:48+00:00</t>
  </si>
  <si>
    <t>https://twitter.com/GirkinGirkin/status/1491358100410224640</t>
  </si>
  <si>
    <t xml:space="preserve">Logistical Equipment moving </t>
  </si>
  <si>
    <t>https://twitter.com/gfusfus/status/1491369165533609991</t>
  </si>
  <si>
    <t xml:space="preserve">Kaluga Oblast </t>
  </si>
  <si>
    <t>Kalashnikov</t>
  </si>
  <si>
    <t>UW0107</t>
  </si>
  <si>
    <t>https://bellingcat-archive.nyc3.cdn.digitaloceanspaces.com/Ukraine_Witness_Datasheet/Worksheet/youtube_dl_1491358100410224640.mp4</t>
  </si>
  <si>
    <t>2022-02-25T13:14:10+00:00</t>
  </si>
  <si>
    <t>https://bellingcat-archive.nyc3.cdn.digitaloceanspaces.com/Ukraine_Witness_Datasheet/Worksheet/youtube_dl__GirkinGirkin_status_14913581004102246402022-02-25T13:13:58.004854.png</t>
  </si>
  <si>
    <t>2d65ce2905acdcaaf93aa4ac927012a9d4e7e584eea24a0761dcce6e1efdd303</t>
  </si>
  <si>
    <t>https://bellingcat-archive.nyc3.cdn.digitaloceanspaces.com/Ukraine_Witness_Datasheet/Worksheet/youtube_dl_1491358100410224640/index.html</t>
  </si>
  <si>
    <t>IgorGirkin - Калуга</t>
  </si>
  <si>
    <t>2022-02-09T11:27:33+00:00</t>
  </si>
  <si>
    <t>https://twitter.com/4emberlen/status/1491079146797420547</t>
  </si>
  <si>
    <t>https://twitter.com/gfusfus/status/1491159813912670208</t>
  </si>
  <si>
    <t>UW0108</t>
  </si>
  <si>
    <t>https://bellingcat-archive.nyc3.cdn.digitaloceanspaces.com/Ukraine_Witness_Datasheet/Worksheet/youtube_dl_1491079146797420547.mp4</t>
  </si>
  <si>
    <t>2022-02-25T13:14:26+00:00</t>
  </si>
  <si>
    <t>https://bellingcat-archive.nyc3.cdn.digitaloceanspaces.com/Ukraine_Witness_Datasheet/Worksheet/youtube_dl__4emberlen_status_14910791467974205472022-02-25T13:14:14.569929.png</t>
  </si>
  <si>
    <t>dd744a24bb461f16acad36a458bbdd5c81fd54ada0ad3716eb01c663d3271f94</t>
  </si>
  <si>
    <t>https://bellingcat-archive.nyc3.cdn.digitaloceanspaces.com/Ukraine_Witness_Datasheet/Worksheet/youtube_dl_1491079146797420547/index.html</t>
  </si>
  <si>
    <t>4emberlen - Краснодар 08.02.2022</t>
  </si>
  <si>
    <t>2022-02-08T16:59:06+00:00</t>
  </si>
  <si>
    <t>https://twitter.com/GirkinGirkin/status/1491127848559472642</t>
  </si>
  <si>
    <t>Troop patrols</t>
  </si>
  <si>
    <t>https://twitter.com/gfusfus/status/1491148669638574080</t>
  </si>
  <si>
    <t>Unecha</t>
  </si>
  <si>
    <t>UW0109</t>
  </si>
  <si>
    <t>https://bellingcat-archive.nyc3.cdn.digitaloceanspaces.com/Ukraine_Witness_Datasheet/Worksheet/youtube_dl_1491127848559472642.mp4</t>
  </si>
  <si>
    <t>2022-02-25T13:14:43+00:00</t>
  </si>
  <si>
    <t>https://bellingcat-archive.nyc3.cdn.digitaloceanspaces.com/Ukraine_Witness_Datasheet/Worksheet/youtube_dl__GirkinGirkin_status_14911278485594726422022-02-25T13:14:31.121142.png</t>
  </si>
  <si>
    <t>ef0e5826e8adeb19f6eb1c107e47425a6901d74f8dc76fce334fbe13d0db58ad</t>
  </si>
  <si>
    <t>https://bellingcat-archive.nyc3.cdn.digitaloceanspaces.com/Ukraine_Witness_Datasheet/Worksheet/youtube_dl_1491127848559472642/index.html</t>
  </si>
  <si>
    <t>IgorGirkin - Унеча, Брянская обл</t>
  </si>
  <si>
    <t>2022-02-08T20:12:37+00:00</t>
  </si>
  <si>
    <t>https://twitter.com/GirkinGirkin/status/1491118036694487040</t>
  </si>
  <si>
    <t>Movement of logistical supplies</t>
  </si>
  <si>
    <t>https://twitter.com/gfusfus/status/1491128688402112513</t>
  </si>
  <si>
    <t xml:space="preserve">Krassnodar </t>
  </si>
  <si>
    <t>Vyshesteblievskaya</t>
  </si>
  <si>
    <t>UW0110</t>
  </si>
  <si>
    <t>https://bellingcat-archive.nyc3.cdn.digitaloceanspaces.com/Ukraine_Witness_Datasheet/Worksheet/youtube_dl_1491118036694487040.mp4</t>
  </si>
  <si>
    <t>2022-02-25T13:15:00+00:00</t>
  </si>
  <si>
    <t>https://bellingcat-archive.nyc3.cdn.digitaloceanspaces.com/Ukraine_Witness_Datasheet/Worksheet/youtube_dl__GirkinGirkin_status_14911180366944870402022-02-25T13:14:48.841655.png</t>
  </si>
  <si>
    <t>8e906287e0554b1098fce676387b3ed58d880599b91ae703aa374bdfaec5686b</t>
  </si>
  <si>
    <t>https://bellingcat-archive.nyc3.cdn.digitaloceanspaces.com/Ukraine_Witness_Datasheet/Worksheet/youtube_dl_1491118036694487040/index.html</t>
  </si>
  <si>
    <t>2022-02-08T19:33:38+00:00</t>
  </si>
  <si>
    <t>https://twitter.com/GirkinGirkin/status/1490765928916783108</t>
  </si>
  <si>
    <t>Trains moving heavy weaponry</t>
  </si>
  <si>
    <t>https://twitter.com/gfusfus/status/1491117012516741120</t>
  </si>
  <si>
    <t xml:space="preserve">Bryansk </t>
  </si>
  <si>
    <t>UW0111</t>
  </si>
  <si>
    <t>https://bellingcat-archive.nyc3.cdn.digitaloceanspaces.com/Ukraine_Witness_Datasheet/Worksheet/youtube_dl_1490765928916783108.mp4</t>
  </si>
  <si>
    <t>2022-02-25T13:15:17+00:00</t>
  </si>
  <si>
    <t>https://bellingcat-archive.nyc3.cdn.digitaloceanspaces.com/Ukraine_Witness_Datasheet/Worksheet/youtube_dl__GirkinGirkin_status_14907659289167831082022-02-25T13:15:04.983742.png</t>
  </si>
  <si>
    <t>8532a29ba7e7815547018aac9de4e2d977ca02878c7a442864c53a69b57e4330</t>
  </si>
  <si>
    <t>https://bellingcat-archive.nyc3.cdn.digitaloceanspaces.com/Ukraine_Witness_Datasheet/Worksheet/youtube_dl_1490765928916783108/index.html</t>
  </si>
  <si>
    <t>2022-02-07T20:14:29+00:00</t>
  </si>
  <si>
    <r>
      <rPr>
        <rFont val="Calibri"/>
        <color theme="1"/>
        <sz val="11.0"/>
      </rPr>
      <t>Or</t>
    </r>
    <r>
      <rPr>
        <rFont val="Arial"/>
        <color theme="1"/>
        <sz val="11.0"/>
      </rPr>
      <t xml:space="preserve"> </t>
    </r>
  </si>
  <si>
    <t>https://twitter.com/4emberlen/status/1491087825579966467</t>
  </si>
  <si>
    <t>Heavy weaponry and logistics movement</t>
  </si>
  <si>
    <t>https://twitter.com/gfusfus/status/1491094515952001028</t>
  </si>
  <si>
    <t>Lgov</t>
  </si>
  <si>
    <t>UW0112</t>
  </si>
  <si>
    <t>https://bellingcat-archive.nyc3.cdn.digitaloceanspaces.com/Ukraine_Witness_Datasheet/Worksheet/youtube_dl_1491087825579966467.mp4</t>
  </si>
  <si>
    <t>2022-02-25T13:15:34+00:00</t>
  </si>
  <si>
    <t>https://bellingcat-archive.nyc3.cdn.digitaloceanspaces.com/Ukraine_Witness_Datasheet/Worksheet/youtube_dl__4emberlen_status_14910878255799664672022-02-25T13:15:21.681063.png</t>
  </si>
  <si>
    <t>02367726654414272b09ec314642a90c246df312c7a813a020459e44915b3953</t>
  </si>
  <si>
    <t>https://bellingcat-archive.nyc3.cdn.digitaloceanspaces.com/Ukraine_Witness_Datasheet/Worksheet/youtube_dl_1491087825579966467/index.html</t>
  </si>
  <si>
    <t>4emberlen - Льгов , Курська обл. 08.02.2022</t>
  </si>
  <si>
    <t>2022-02-08T17:33:35+00:00</t>
  </si>
  <si>
    <t>https://twitter.com/JC_Monitoring/status/1490804886950273024</t>
  </si>
  <si>
    <t>https://twitter.com/gfusfus/status/1490824628368982017</t>
  </si>
  <si>
    <t>Moscow Oblast</t>
  </si>
  <si>
    <t>Shelkovka</t>
  </si>
  <si>
    <t>UW0113</t>
  </si>
  <si>
    <t>https://bellingcat-archive.nyc3.cdn.digitaloceanspaces.com/Ukraine_Witness_Datasheet/Worksheet/youtube_dl_1490804886950273024.mp4</t>
  </si>
  <si>
    <t>2022-02-25T13:15:54+00:00</t>
  </si>
  <si>
    <t>https://bellingcat-archive.nyc3.cdn.digitaloceanspaces.com/Ukraine_Witness_Datasheet/Worksheet/youtube_dl__JC_Monitoring_status_14908048869502730242022-02-25T13:15:40.424702.png</t>
  </si>
  <si>
    <t>c53cfaeea62b3cb923697b6f3326543d85543f173a4225ae947eefd0942a3eaa</t>
  </si>
  <si>
    <t>https://bellingcat-archive.nyc3.cdn.digitaloceanspaces.com/Ukraine_Witness_Datasheet/Worksheet/youtube_dl_1490804886950273024/index.html</t>
  </si>
  <si>
    <t>JC_Monitoring - Russian military convoy of Military Utility / Logistic Vehicles spotted on the E30 heading from Moscow to Minsk</t>
  </si>
  <si>
    <t>2022-02-07T22:49:17+00:00</t>
  </si>
  <si>
    <t>https://twitter.com/JC_Monitoring/status/1490811870453940231</t>
  </si>
  <si>
    <t>https://twitter.com/gfusfus/status/1490820681982001157</t>
  </si>
  <si>
    <t>Rostovskaya oblast</t>
  </si>
  <si>
    <t>Alekseevo-Lozovskoe</t>
  </si>
  <si>
    <t>UW0114</t>
  </si>
  <si>
    <t>https://bellingcat-archive.nyc3.cdn.digitaloceanspaces.com/Ukraine_Witness_Datasheet/Worksheet/youtube_dl_1490811870453940231.mp4</t>
  </si>
  <si>
    <t>2022-02-25T13:16:24+00:00</t>
  </si>
  <si>
    <t>https://bellingcat-archive.nyc3.cdn.digitaloceanspaces.com/Ukraine_Witness_Datasheet/Worksheet/youtube_dl__JC_Monitoring_status_14908118704539402312022-02-25T13:16:12.315714.png</t>
  </si>
  <si>
    <t>658c06a13b266776696c6ff6d9d8cc96b920990d89a12a37bff9557d08074236</t>
  </si>
  <si>
    <t>https://bellingcat-archive.nyc3.cdn.digitaloceanspaces.com/Ukraine_Witness_Datasheet/Worksheet/youtube_dl_1490811870453940231/index.html</t>
  </si>
  <si>
    <t>JC_Monitoring - Russian military convoy of Military Utility / Logistic Vehicles + 1x BTR-80 spotted on the M4, heading towards Rostov-on-Don</t>
  </si>
  <si>
    <t>2022-02-07T23:17:02+00:00</t>
  </si>
  <si>
    <t>https://twitter.com/GirkinGirkin/status/1490306155540844544</t>
  </si>
  <si>
    <t>Trains moving tanks</t>
  </si>
  <si>
    <t>https://twitter.com/gfusfus/status/1490699967970914306</t>
  </si>
  <si>
    <t>Vladimir Oblast</t>
  </si>
  <si>
    <t>Mstyora</t>
  </si>
  <si>
    <t>Ulitsa Shosseynaya</t>
  </si>
  <si>
    <t>UW0115</t>
  </si>
  <si>
    <t>https://bellingcat-archive.nyc3.cdn.digitaloceanspaces.com/Ukraine_Witness_Datasheet/Worksheet/youtube_dl_1490306155540844544.mp4</t>
  </si>
  <si>
    <t>2022-02-25T13:16:41+00:00</t>
  </si>
  <si>
    <t>https://bellingcat-archive.nyc3.cdn.digitaloceanspaces.com/Ukraine_Witness_Datasheet/Worksheet/youtube_dl__GirkinGirkin_status_14903061555408445442022-02-25T13:16:29.299179.png</t>
  </si>
  <si>
    <t>2ef28129b5b645fb78688bd451130573b42335775e7a1b879363ebf04c92360f</t>
  </si>
  <si>
    <t>https://bellingcat-archive.nyc3.cdn.digitaloceanspaces.com/Ukraine_Witness_Datasheet/Worksheet/youtube_dl_1490306155540844544/index.html</t>
  </si>
  <si>
    <t>IgorGirkin - ржд, возможно Калужская обл</t>
  </si>
  <si>
    <t>2022-02-06T13:47:30+00:00</t>
  </si>
  <si>
    <t>https://twitter.com/gfusfus/status/1490479111306891266</t>
  </si>
  <si>
    <t>UW0116</t>
  </si>
  <si>
    <t>2022-02-25T13:17:00+00:00</t>
  </si>
  <si>
    <t>https://bellingcat-archive.nyc3.cdn.digitaloceanspaces.com/Ukraine_Witness_Datasheet/Worksheet/youtube_dl__4emberlen_status_14904726892738232332022-02-25T13:16:45.284488.png</t>
  </si>
  <si>
    <t>https://twitter.com/4emberlen/status/1490414225579286528</t>
  </si>
  <si>
    <t>https://twitter.com/gfusfus/status/1490473944142467076</t>
  </si>
  <si>
    <t>Shestakovo</t>
  </si>
  <si>
    <t>UW0117</t>
  </si>
  <si>
    <t>https://bellingcat-archive.nyc3.cdn.digitaloceanspaces.com/Ukraine_Witness_Datasheet/Worksheet/youtube_dl_1490414225579286528.mp4</t>
  </si>
  <si>
    <t>2022-02-25T13:17:18+00:00</t>
  </si>
  <si>
    <t>https://bellingcat-archive.nyc3.cdn.digitaloceanspaces.com/Ukraine_Witness_Datasheet/Worksheet/youtube_dl__4emberlen_status_14904142255792865282022-02-25T13:17:06.005720.png</t>
  </si>
  <si>
    <t>cd84316507b1ba2dc2dc6951a6b0a012a7c81775c11b92c38e9056a11219c8b9</t>
  </si>
  <si>
    <t>https://bellingcat-archive.nyc3.cdn.digitaloceanspaces.com/Ukraine_Witness_Datasheet/Worksheet/youtube_dl_1490414225579286528/index.html</t>
  </si>
  <si>
    <t>4emberlen - м4 06.02.2022</t>
  </si>
  <si>
    <t>2022-02-06T20:56:56+00:00</t>
  </si>
  <si>
    <t>https://twitter.com/GirkinGirkin/status/1490270307558510593</t>
  </si>
  <si>
    <t>https://twitter.com/gfusfus/status/1490463954765848589</t>
  </si>
  <si>
    <t xml:space="preserve">Belgorod </t>
  </si>
  <si>
    <t>Neznamovo</t>
  </si>
  <si>
    <t>UW0118</t>
  </si>
  <si>
    <t>https://bellingcat-archive.nyc3.cdn.digitaloceanspaces.com/Ukraine_Witness_Datasheet/Worksheet/youtube_dl_1490270307558510593.mp4</t>
  </si>
  <si>
    <t>2022-02-25T13:17:37+00:00</t>
  </si>
  <si>
    <t>https://bellingcat-archive.nyc3.cdn.digitaloceanspaces.com/Ukraine_Witness_Datasheet/Worksheet/youtube_dl__GirkinGirkin_status_14902703075585105932022-02-25T13:17:23.985152.png</t>
  </si>
  <si>
    <t>225ddb0f05d3843c27a8463bd352e38f1cba5d8cf3fb1e79f91d2deb130f0b1a</t>
  </si>
  <si>
    <t>https://bellingcat-archive.nyc3.cdn.digitaloceanspaces.com/Ukraine_Witness_Datasheet/Worksheet/youtube_dl_1490270307558510593/index.html</t>
  </si>
  <si>
    <t>IgorGirkin - Старый Оскол, Белгородская обл</t>
  </si>
  <si>
    <t>2022-02-06T11:25:03+00:00</t>
  </si>
  <si>
    <t>https://twitter.com/GirkinGirkin/status/1482924741400924160</t>
  </si>
  <si>
    <t>Train moving heavy weaponry</t>
  </si>
  <si>
    <t>https://twitter.com/il_kanguru/status/1482930462775558144</t>
  </si>
  <si>
    <t>Sverdlovskaya</t>
  </si>
  <si>
    <t>Yekaterinburg</t>
  </si>
  <si>
    <t>UW0119</t>
  </si>
  <si>
    <t>https://bellingcat-archive.nyc3.cdn.digitaloceanspaces.com/Ukraine_Witness_Datasheet/Worksheet/youtube_dl_1482924741400924160.mp4</t>
  </si>
  <si>
    <t>2022-02-25T13:17:59+00:00</t>
  </si>
  <si>
    <t>https://bellingcat-archive.nyc3.cdn.digitaloceanspaces.com/Ukraine_Witness_Datasheet/Worksheet/youtube_dl__GirkinGirkin_status_14829247414009241602022-02-25T13:17:43.836810.png</t>
  </si>
  <si>
    <t>54918ee18dc8e2582ccadd8c1baaca49c81a7454d759be7603aecf993894f6dd</t>
  </si>
  <si>
    <t>https://bellingcat-archive.nyc3.cdn.digitaloceanspaces.com/Ukraine_Witness_Datasheet/Worksheet/youtube_dl_1482924741400924160/index.html</t>
  </si>
  <si>
    <t>IgorGirkin - Екб</t>
  </si>
  <si>
    <t>2022-01-17T04:56:24+00:00</t>
  </si>
  <si>
    <t>https://twitter.com/4emberlen/status/1482809379166597121</t>
  </si>
  <si>
    <t>https://twitter.com/il_kanguru/status/1482926577113518082</t>
  </si>
  <si>
    <t>Krasnoyarsk Krai</t>
  </si>
  <si>
    <t>Kritovo</t>
  </si>
  <si>
    <t>UW0120</t>
  </si>
  <si>
    <t>https://bellingcat-archive.nyc3.cdn.digitaloceanspaces.com/Ukraine_Witness_Datasheet/Worksheet/youtube_dl_1482809379166597121.mp4</t>
  </si>
  <si>
    <t>2022-02-25T13:18:17+00:00</t>
  </si>
  <si>
    <t>https://bellingcat-archive.nyc3.cdn.digitaloceanspaces.com/Ukraine_Witness_Datasheet/Worksheet/youtube_dl__4emberlen_status_14828093791665971212022-02-25T13:18:05.819688.png</t>
  </si>
  <si>
    <t>994ae38f7f5dc752d580ea79d03beec8b6de220aa47f94f797ff4a67b54f2d46</t>
  </si>
  <si>
    <t>https://bellingcat-archive.nyc3.cdn.digitaloceanspaces.com/Ukraine_Witness_Datasheet/Worksheet/youtube_dl_1482809379166597121/index.html</t>
  </si>
  <si>
    <t>4emberlen - ржд 16.01.2022</t>
  </si>
  <si>
    <t>2022-01-16T21:17:59+00:00</t>
  </si>
  <si>
    <t>https://twitter.com/GirkinGirkin/status/1490368912244056064</t>
  </si>
  <si>
    <t>https://twitter.com/gfusfus/status/1490423334533664771</t>
  </si>
  <si>
    <t>Belyaevka</t>
  </si>
  <si>
    <t>UW0121</t>
  </si>
  <si>
    <t>https://bellingcat-archive.nyc3.cdn.digitaloceanspaces.com/Ukraine_Witness_Datasheet/Worksheet/youtube_dl_1490368912244056064.mp4</t>
  </si>
  <si>
    <t>2022-02-25T13:18:35+00:00</t>
  </si>
  <si>
    <t>https://bellingcat-archive.nyc3.cdn.digitaloceanspaces.com/Ukraine_Witness_Datasheet/Worksheet/youtube_dl__GirkinGirkin_status_14903689122440560642022-02-25T13:18:23.207625.png</t>
  </si>
  <si>
    <t>e40e74012e754cc80f2d8b144810081613936b2259bf1d3c83ebd1a27329b9ae</t>
  </si>
  <si>
    <t>https://bellingcat-archive.nyc3.cdn.digitaloceanspaces.com/Ukraine_Witness_Datasheet/Worksheet/youtube_dl_1490368912244056064/index.html</t>
  </si>
  <si>
    <t>IgorGirkin - киноляп... колонну в другую сторону повернуть и переснять</t>
  </si>
  <si>
    <t>2022-02-06T17:56:53+00:00</t>
  </si>
  <si>
    <t>15/01/2022</t>
  </si>
  <si>
    <t>https://twitter.com/GirkinGirkin/status/1482434887621689347</t>
  </si>
  <si>
    <t>https://twitter.com/il_kanguru/status/1482721114157686793</t>
  </si>
  <si>
    <t xml:space="preserve"> Ulyanovsk</t>
  </si>
  <si>
    <t>Dimitrovgrad</t>
  </si>
  <si>
    <t>UW0122</t>
  </si>
  <si>
    <t>https://bellingcat-archive.nyc3.cdn.digitaloceanspaces.com/Ukraine_Witness_Datasheet/Worksheet/youtube_dl_1482434887621689347.mp4</t>
  </si>
  <si>
    <t>2022-02-25T13:18:52+00:00</t>
  </si>
  <si>
    <t>https://bellingcat-archive.nyc3.cdn.digitaloceanspaces.com/Ukraine_Witness_Datasheet/Worksheet/youtube_dl__GirkinGirkin_status_14824348876216893472022-02-25T13:18:40.629048.png</t>
  </si>
  <si>
    <t>5f99904f90ac6bf8558b85abd5444e5ff5a36b8e5fa3ea937fab8cd247c36dd8</t>
  </si>
  <si>
    <t>https://bellingcat-archive.nyc3.cdn.digitaloceanspaces.com/Ukraine_Witness_Datasheet/Worksheet/youtube_dl_1482434887621689347/index.html</t>
  </si>
  <si>
    <t>IgorGirkin - Ульяновская обл</t>
  </si>
  <si>
    <t>2022-01-15T20:29:54+00:00</t>
  </si>
  <si>
    <t>https://twitter.com/GirkinGirkin/status/1482540686163513345</t>
  </si>
  <si>
    <t>https://twitter.com/il_kanguru/status/1482681577553412099</t>
  </si>
  <si>
    <t>UW0123</t>
  </si>
  <si>
    <t>https://bellingcat-archive.nyc3.cdn.digitaloceanspaces.com/Ukraine_Witness_Datasheet/Worksheet/youtube_dl_1482540686163513345.mp4</t>
  </si>
  <si>
    <t>2022-02-25T13:19:08+00:00</t>
  </si>
  <si>
    <t>https://bellingcat-archive.nyc3.cdn.digitaloceanspaces.com/Ukraine_Witness_Datasheet/Worksheet/youtube_dl__GirkinGirkin_status_14825406861635133452022-02-25T13:18:56.990400.png</t>
  </si>
  <si>
    <t>69d2525dc6efba490ac2bb8bff4e55347ab6d8b3109348d71408cb0560923624</t>
  </si>
  <si>
    <t>https://bellingcat-archive.nyc3.cdn.digitaloceanspaces.com/Ukraine_Witness_Datasheet/Worksheet/youtube_dl_1482540686163513345/index.html</t>
  </si>
  <si>
    <t>2022-01-16T03:30:18+00:00</t>
  </si>
  <si>
    <t>https://twitter.com/4emberlen/status/1481202086960406530</t>
  </si>
  <si>
    <t>https://twitter.com/il_kanguru/status/1482429834055847937</t>
  </si>
  <si>
    <t>Berezovka</t>
  </si>
  <si>
    <t>UW0124</t>
  </si>
  <si>
    <t>https://bellingcat-archive.nyc3.cdn.digitaloceanspaces.com/Ukraine_Witness_Datasheet/Worksheet/youtube_dl_1481202086960406530.mp4</t>
  </si>
  <si>
    <t>2022-02-25T13:19:25+00:00</t>
  </si>
  <si>
    <t>https://bellingcat-archive.nyc3.cdn.digitaloceanspaces.com/Ukraine_Witness_Datasheet/Worksheet/youtube_dl__4emberlen_status_14812020869604065302022-02-25T13:19:13.737403.png</t>
  </si>
  <si>
    <t>f0e45488cb38c52bc96b88288464b9e5d9e467ecdde483ec070717b1e5e4e25d</t>
  </si>
  <si>
    <t>https://bellingcat-archive.nyc3.cdn.digitaloceanspaces.com/Ukraine_Witness_Datasheet/Worksheet/youtube_dl_1481202086960406530/index.html</t>
  </si>
  <si>
    <t>4emberlen - Красноярськ 12.01.2022</t>
  </si>
  <si>
    <t>2022-01-12T10:51:11+00:00</t>
  </si>
  <si>
    <t>09/01/2022</t>
  </si>
  <si>
    <t>https://twitter.com/GirkinGirkin/status/1479494074763730946</t>
  </si>
  <si>
    <t>https://twitter.com/il_kanguru/status/1480294337015603209</t>
  </si>
  <si>
    <t>Zabaykalsky Krai</t>
  </si>
  <si>
    <t>Karymskoe</t>
  </si>
  <si>
    <t>UW0125</t>
  </si>
  <si>
    <t>https://bellingcat-archive.nyc3.cdn.digitaloceanspaces.com/Ukraine_Witness_Datasheet/Worksheet/youtube_dl_1479494074763730946.mp4</t>
  </si>
  <si>
    <t>2022-02-25T13:19:41+00:00</t>
  </si>
  <si>
    <t>https://bellingcat-archive.nyc3.cdn.digitaloceanspaces.com/Ukraine_Witness_Datasheet/Worksheet/youtube_dl__GirkinGirkin_status_14794940747637309462022-02-25T13:19:29.813626.png</t>
  </si>
  <si>
    <t>1eb4c89db7faed5cf8b4c16065120dcbe76288da737e23e9f844676eb9e71676</t>
  </si>
  <si>
    <t>https://bellingcat-archive.nyc3.cdn.digitaloceanspaces.com/Ukraine_Witness_Datasheet/Worksheet/youtube_dl_1479494074763730946/index.html</t>
  </si>
  <si>
    <t>IgorGirkin - Забайкалье</t>
  </si>
  <si>
    <t>2022-01-07T17:44:09+00:00</t>
  </si>
  <si>
    <t>https://twitter.com/GirkinGirkin/status/1490390156729274371</t>
  </si>
  <si>
    <t>https://twitter.com/gfusfus/status/1490408837219856391</t>
  </si>
  <si>
    <t>Lenina</t>
  </si>
  <si>
    <t>UW0126</t>
  </si>
  <si>
    <t>https://bellingcat-archive.nyc3.cdn.digitaloceanspaces.com/Ukraine_Witness_Datasheet/Worksheet/youtube_dl_1490390156729274371.mp4</t>
  </si>
  <si>
    <t>2022-02-25T13:19:59+00:00</t>
  </si>
  <si>
    <t>https://bellingcat-archive.nyc3.cdn.digitaloceanspaces.com/Ukraine_Witness_Datasheet/Worksheet/youtube_dl__GirkinGirkin_status_14903901567292743712022-02-25T13:19:47.326578.png</t>
  </si>
  <si>
    <t>08c8c7f3ad789112bcdff3571b11ec17bde578d54fbeb843894e3b1c0a594496</t>
  </si>
  <si>
    <t>https://bellingcat-archive.nyc3.cdn.digitaloceanspaces.com/Ukraine_Witness_Datasheet/Worksheet/youtube_dl_1490390156729274371/index.html</t>
  </si>
  <si>
    <t>IgorGirkin - М4, 840 км, Ростовская обл</t>
  </si>
  <si>
    <t>2022-02-06T19:21:18+00:00</t>
  </si>
  <si>
    <t>https://twitter.com/GirkinGirkin/status/1490355701302140929</t>
  </si>
  <si>
    <t>Movement of heavy weaponry and logistical supplies</t>
  </si>
  <si>
    <t>https://twitter.com/gfusfus/status/1490362381683277828</t>
  </si>
  <si>
    <t>Sukhodol'sk</t>
  </si>
  <si>
    <t>UW0127</t>
  </si>
  <si>
    <t>https://bellingcat-archive.nyc3.cdn.digitaloceanspaces.com/Ukraine_Witness_Datasheet/Worksheet/youtube_dl_1490355701302140929.mp4</t>
  </si>
  <si>
    <t>2022-02-25T13:20:18+00:00</t>
  </si>
  <si>
    <t>https://bellingcat-archive.nyc3.cdn.digitaloceanspaces.com/Ukraine_Witness_Datasheet/Worksheet/youtube_dl__GirkinGirkin_status_14903557013021409292022-02-25T13:20:05.856183.png</t>
  </si>
  <si>
    <t>4c9b1192c1fc3fafaa1aaf5c6f3ffe4e54296144ed22181ed2b40bdc9c767caf</t>
  </si>
  <si>
    <t>https://bellingcat-archive.nyc3.cdn.digitaloceanspaces.com/Ukraine_Witness_Datasheet/Worksheet/youtube_dl_1490355701302140929/index.html</t>
  </si>
  <si>
    <t>2022-02-06T17:04:23+00:00</t>
  </si>
  <si>
    <t>https://twitter.com/GirkinGirkin/status/1490310167459684357</t>
  </si>
  <si>
    <t>https://twitter.com/gfusfus/status/1490356018127286274</t>
  </si>
  <si>
    <t>UW0128</t>
  </si>
  <si>
    <t>https://bellingcat-archive.nyc3.cdn.digitaloceanspaces.com/Ukraine_Witness_Datasheet/Worksheet/youtube_dl_1490310167459684357.mp4</t>
  </si>
  <si>
    <t>2022-02-25T13:20:35+00:00</t>
  </si>
  <si>
    <t>https://bellingcat-archive.nyc3.cdn.digitaloceanspaces.com/Ukraine_Witness_Datasheet/Worksheet/youtube_dl__GirkinGirkin_status_14903101674596843572022-02-25T13:20:23.189794.png</t>
  </si>
  <si>
    <t>c9bd10865746e895128baf0fa967b2ba59325c3832df9caa38a0d9dfea547e3c</t>
  </si>
  <si>
    <t>https://bellingcat-archive.nyc3.cdn.digitaloceanspaces.com/Ukraine_Witness_Datasheet/Worksheet/youtube_dl_1490310167459684357/index.html</t>
  </si>
  <si>
    <t>2022-02-06T14:03:27+00:00</t>
  </si>
  <si>
    <t>https://twitter.com/GirkinGirkin/status/1491446071003734016</t>
  </si>
  <si>
    <t>Logistics convoy on the move</t>
  </si>
  <si>
    <t>https://twitter.com/Michael1Sheldon/status/1491479120919805955</t>
  </si>
  <si>
    <t>Karackev</t>
  </si>
  <si>
    <t>UW0129</t>
  </si>
  <si>
    <t>https://bellingcat-archive.nyc3.cdn.digitaloceanspaces.com/Ukraine_Witness_Datasheet/Worksheet/youtube_dl_1491446071003734016.mp4</t>
  </si>
  <si>
    <t>2022-02-25T13:20:52+00:00</t>
  </si>
  <si>
    <t>https://bellingcat-archive.nyc3.cdn.digitaloceanspaces.com/Ukraine_Witness_Datasheet/Worksheet/youtube_dl__GirkinGirkin_status_14914460710037340162022-02-25T13:20:40.517199.png</t>
  </si>
  <si>
    <t>6a50e55bf459035f902f0d68557f1afc17028a73cdd59f4f2a1ee9b2825ea4f6</t>
  </si>
  <si>
    <t>https://bellingcat-archive.nyc3.cdn.digitaloceanspaces.com/Ukraine_Witness_Datasheet/Worksheet/youtube_dl_1491446071003734016/index.html</t>
  </si>
  <si>
    <t>IgorGirkin - Карачев, Брянск</t>
  </si>
  <si>
    <t>2022-02-09T17:17:07+00:00</t>
  </si>
  <si>
    <t>10/02/2022</t>
  </si>
  <si>
    <t>https://twitter.com/theragex/status/1491552108885286917</t>
  </si>
  <si>
    <t>Movement of logistics</t>
  </si>
  <si>
    <t>https://twitter.com/gfusfus/status/1491558200201650188</t>
  </si>
  <si>
    <t>Dorozhnyi</t>
  </si>
  <si>
    <t>UW0130</t>
  </si>
  <si>
    <t>https://bellingcat-archive.nyc3.cdn.digitaloceanspaces.com/Ukraine_Witness_Datasheet/Worksheet/youtube_dl_1491552108885286917.mp4</t>
  </si>
  <si>
    <t>2022-02-25T13:21:11+00:00</t>
  </si>
  <si>
    <t>https://bellingcat-archive.nyc3.cdn.digitaloceanspaces.com/Ukraine_Witness_Datasheet/Worksheet/youtube_dl__theragex_status_14915521088852869172022-02-25T13:20:58.954125.png</t>
  </si>
  <si>
    <t>d9429198ad8bf4b7dbd35abfb38a59ca771fcf64d6ef5a1eba7eebc8774ff20a</t>
  </si>
  <si>
    <t>https://bellingcat-archive.nyc3.cdn.digitaloceanspaces.com/Ukraine_Witness_Datasheet/Worksheet/youtube_dl_1491552108885286917/index.html</t>
  </si>
  <si>
    <t>The RAGE X - (15)</t>
  </si>
  <si>
    <t>2022-02-10T00:18:29+00:00</t>
  </si>
  <si>
    <t>https://twitter.com/4emberlen/status/1491525567308574730</t>
  </si>
  <si>
    <t>Movement of weaponry</t>
  </si>
  <si>
    <t>https://twitter.com/gfusfus/status/1491553093808533505</t>
  </si>
  <si>
    <t>Kochki</t>
  </si>
  <si>
    <t>UW0131</t>
  </si>
  <si>
    <t>https://bellingcat-archive.nyc3.cdn.digitaloceanspaces.com/Ukraine_Witness_Datasheet/Worksheet/youtube_dl_1491525567308574730.mp4</t>
  </si>
  <si>
    <t>2022-02-25T13:21:33+00:00</t>
  </si>
  <si>
    <t>https://bellingcat-archive.nyc3.cdn.digitaloceanspaces.com/Ukraine_Witness_Datasheet/Worksheet/youtube_dl__4emberlen_status_14915255673085747302022-02-25T13:21:18.289775.png</t>
  </si>
  <si>
    <t>2bc4ae620eefcebde6aae28f5899ea565b1c15b63dcfd419e30c0cdcdde0366f</t>
  </si>
  <si>
    <t>https://bellingcat-archive.nyc3.cdn.digitaloceanspaces.com/Ukraine_Witness_Datasheet/Worksheet/youtube_dl_1491525567308574730/index.html</t>
  </si>
  <si>
    <t>4emberlen - "дорога Белгород - Вороніж" 09.02.2022</t>
  </si>
  <si>
    <t>2022-02-09T22:33:01+00:00</t>
  </si>
  <si>
    <t>https://twitter.com/GirkinGirkin/status/1491479489871818753</t>
  </si>
  <si>
    <t>https://twitter.com/gfusfus/status/1491508178198089731</t>
  </si>
  <si>
    <t>Kuleshovka</t>
  </si>
  <si>
    <t>UW0132</t>
  </si>
  <si>
    <t>https://bellingcat-archive.nyc3.cdn.digitaloceanspaces.com/Ukraine_Witness_Datasheet/Worksheet/youtube_dl_1491479489871818753.mp4</t>
  </si>
  <si>
    <t>2022-02-25T13:21:51+00:00</t>
  </si>
  <si>
    <t>https://bellingcat-archive.nyc3.cdn.digitaloceanspaces.com/Ukraine_Witness_Datasheet/Worksheet/youtube_dl__GirkinGirkin_status_14914794898718187532022-02-25T13:21:38.178018.png</t>
  </si>
  <si>
    <t>bc393cb45e693e46abb0e3f748ad6ec7b3cfa69d7d7104b745ce1a07406834a9</t>
  </si>
  <si>
    <t>https://bellingcat-archive.nyc3.cdn.digitaloceanspaces.com/Ukraine_Witness_Datasheet/Worksheet/youtube_dl_1491479489871818753/index.html</t>
  </si>
  <si>
    <t>IgorGirkin - Азов-ростов</t>
  </si>
  <si>
    <t>2022-02-09T19:29:55+00:00</t>
  </si>
  <si>
    <t>https://twitter.com/GirkinGirkin/status/1490240803532386306</t>
  </si>
  <si>
    <t>https://twitter.com/gfusfus/status/1490282961656233984</t>
  </si>
  <si>
    <t>https://bellingcat-archive.nyc3.cdn.digitaloceanspaces.com/Ukraine_Witness_Datasheet/Worksheet/youtube_dl_1490240803532386306.mp4</t>
  </si>
  <si>
    <t>2022-02-25T13:22:09+00:00</t>
  </si>
  <si>
    <t>https://bellingcat-archive.nyc3.cdn.digitaloceanspaces.com/Ukraine_Witness_Datasheet/Worksheet/youtube_dl__GirkinGirkin_status_14902408035323863062022-02-25T13:21:56.799520.png</t>
  </si>
  <si>
    <t>8e0fcf649804346e8851e61de7c516dbaabf1e468e73f249810250e2efc71496</t>
  </si>
  <si>
    <t>https://bellingcat-archive.nyc3.cdn.digitaloceanspaces.com/Ukraine_Witness_Datasheet/Worksheet/youtube_dl_1490240803532386306/index.html</t>
  </si>
  <si>
    <t>IgorGirkin - Бутурлиновка, Воронежская обл</t>
  </si>
  <si>
    <t>2022-02-06T09:27:49+00:00</t>
  </si>
  <si>
    <t>https://twitter.com/theragex/status/1490012932037619712</t>
  </si>
  <si>
    <t>https://twitter.com/gfusfus/status/1490066664150519810</t>
  </si>
  <si>
    <t>Kurchatov</t>
  </si>
  <si>
    <t>UW0133</t>
  </si>
  <si>
    <t>https://bellingcat-archive.nyc3.cdn.digitaloceanspaces.com/Ukraine_Witness_Datasheet/Worksheet/youtube_dl_1490012932037619712.mp4</t>
  </si>
  <si>
    <t>2022-02-25T13:22:26+00:00</t>
  </si>
  <si>
    <t>https://bellingcat-archive.nyc3.cdn.digitaloceanspaces.com/Ukraine_Witness_Datasheet/Worksheet/youtube_dl__theragex_status_14900129320376197122022-02-25T13:22:13.984613.png</t>
  </si>
  <si>
    <t>2a95359c0b3c61f401a7673327a54256505181663620986974e339c0e5fbc2da</t>
  </si>
  <si>
    <t>https://bellingcat-archive.nyc3.cdn.digitaloceanspaces.com/Ukraine_Witness_Datasheet/Worksheet/youtube_dl_1490012932037619712/index.html</t>
  </si>
  <si>
    <t>The RAGE X - 🇷🇺⚡️A train with technicians in Kurchatov in the Kursk region.</t>
  </si>
  <si>
    <t>2022-02-05T18:22:20+00:00</t>
  </si>
  <si>
    <t>https://twitter.com/GirkinGirkin/status/1490045919789785098</t>
  </si>
  <si>
    <t>https://twitter.com/gfusfus/status/1490056592544387074</t>
  </si>
  <si>
    <t>Poplavy</t>
  </si>
  <si>
    <t>UW0134</t>
  </si>
  <si>
    <t>https://bellingcat-archive.nyc3.cdn.digitaloceanspaces.com/Ukraine_Witness_Datasheet/Worksheet/youtube_dl_1490045919789785098.mp4</t>
  </si>
  <si>
    <t>2022-02-25T13:22:43+00:00</t>
  </si>
  <si>
    <t>https://bellingcat-archive.nyc3.cdn.digitaloceanspaces.com/Ukraine_Witness_Datasheet/Worksheet/youtube_dl__GirkinGirkin_status_14900459197897850982022-02-25T13:22:31.698716.png</t>
  </si>
  <si>
    <t>94230ca544c8cffbeecbc5a899393b9f96eea11815e4f0e14f4ee726cbc6fc3c</t>
  </si>
  <si>
    <t>https://bellingcat-archive.nyc3.cdn.digitaloceanspaces.com/Ukraine_Witness_Datasheet/Worksheet/youtube_dl_1490045919789785098/index.html</t>
  </si>
  <si>
    <t>2022-02-05T20:33:25+00:00</t>
  </si>
  <si>
    <t>https://twitter.com/GirkinGirkin/status/1490034944579616773</t>
  </si>
  <si>
    <t>https://twitter.com/gfusfus/status/1490050945509642250</t>
  </si>
  <si>
    <t>Darkovichi</t>
  </si>
  <si>
    <t>UW0135</t>
  </si>
  <si>
    <t>https://bellingcat-archive.nyc3.cdn.digitaloceanspaces.com/Ukraine_Witness_Datasheet/Worksheet/youtube_dl_1490034944579616773.mp4</t>
  </si>
  <si>
    <t>2022-02-25T13:23:11+00:00</t>
  </si>
  <si>
    <t>https://bellingcat-archive.nyc3.cdn.digitaloceanspaces.com/Ukraine_Witness_Datasheet/Worksheet/youtube_dl__GirkinGirkin_status_14900349445796167732022-02-25T13:22:55.673109.png</t>
  </si>
  <si>
    <t>1173767c91cfa77595e04ed8da475cf37ca6770f9d232e08d794868c039b06ea</t>
  </si>
  <si>
    <t>https://bellingcat-archive.nyc3.cdn.digitaloceanspaces.com/Ukraine_Witness_Datasheet/Worksheet/youtube_dl_1490034944579616773/index.html</t>
  </si>
  <si>
    <t>IgorGirkin - Фокино, Брянская обл</t>
  </si>
  <si>
    <t>2022-02-05T19:49:48+00:00</t>
  </si>
  <si>
    <t>https://twitter.com/GirkinGirkin/status/1490027718376841223</t>
  </si>
  <si>
    <t>Movement of soldiers</t>
  </si>
  <si>
    <t>https://twitter.com/gfusfus/status/1490038040517038085</t>
  </si>
  <si>
    <t>Republic of Dagestan</t>
  </si>
  <si>
    <t>Buynaksk</t>
  </si>
  <si>
    <t>UW0136</t>
  </si>
  <si>
    <t>Soldiers</t>
  </si>
  <si>
    <t>https://bellingcat-archive.nyc3.cdn.digitaloceanspaces.com/Ukraine_Witness_Datasheet/Worksheet/youtube_dl_1490027718376841223.mp4</t>
  </si>
  <si>
    <t>2022-02-25T13:23:28+00:00</t>
  </si>
  <si>
    <t>https://bellingcat-archive.nyc3.cdn.digitaloceanspaces.com/Ukraine_Witness_Datasheet/Worksheet/youtube_dl__GirkinGirkin_status_14900277183768412232022-02-25T13:23:16.375412.png</t>
  </si>
  <si>
    <t>0ea0dfc385f9bfc9c5c158714762dda712a4c84ce7fd096e5e308ab02224ef38</t>
  </si>
  <si>
    <t>https://bellingcat-archive.nyc3.cdn.digitaloceanspaces.com/Ukraine_Witness_Datasheet/Worksheet/youtube_dl_1490027718376841223/index.html</t>
  </si>
  <si>
    <t>IgorGirkin - Буйнакс</t>
  </si>
  <si>
    <t>2022-02-05T19:21:06+00:00</t>
  </si>
  <si>
    <t>https://twitter.com/GirkinGirkin/status/1490027970697830400</t>
  </si>
  <si>
    <t>https://twitter.com/gfusfus/status/1490035915682910209</t>
  </si>
  <si>
    <t>UW0137</t>
  </si>
  <si>
    <t>https://bellingcat-archive.nyc3.cdn.digitaloceanspaces.com/Ukraine_Witness_Datasheet/Worksheet/youtube_dl_1490027970697830400.mp4</t>
  </si>
  <si>
    <t>2022-02-25T13:23:47+00:00</t>
  </si>
  <si>
    <t>https://bellingcat-archive.nyc3.cdn.digitaloceanspaces.com/Ukraine_Witness_Datasheet/Worksheet/youtube_dl__GirkinGirkin_status_14900279706978304002022-02-25T13:23:34.207348.png</t>
  </si>
  <si>
    <t>8e59200a815916213af26d0385ba0994d38be98603d75517c303fdaaf29457d0</t>
  </si>
  <si>
    <t>https://bellingcat-archive.nyc3.cdn.digitaloceanspaces.com/Ukraine_Witness_Datasheet/Worksheet/youtube_dl_1490027970697830400/index.html</t>
  </si>
  <si>
    <t>IgorGirkin - @timurteimuras:Буйнакск едит в Крым</t>
  </si>
  <si>
    <t>2022-02-05T19:22:06+00:00</t>
  </si>
  <si>
    <t>https://twitter.com/GirkinGirkin/status/1489988532475207685</t>
  </si>
  <si>
    <t>https://twitter.com/gfusfus/status/1489993061639897092</t>
  </si>
  <si>
    <t>Leningrad</t>
  </si>
  <si>
    <t>Gatchina</t>
  </si>
  <si>
    <t>UW0138</t>
  </si>
  <si>
    <t>https://bellingcat-archive.nyc3.cdn.digitaloceanspaces.com/Ukraine_Witness_Datasheet/Worksheet/youtube_dl_1489988532475207685.mp4</t>
  </si>
  <si>
    <t>2022-02-25T13:24:06+00:00</t>
  </si>
  <si>
    <t>https://bellingcat-archive.nyc3.cdn.digitaloceanspaces.com/Ukraine_Witness_Datasheet/Worksheet/youtube_dl__GirkinGirkin_status_14899885324752076852022-02-25T13:23:52.276409.png</t>
  </si>
  <si>
    <t>32b9a3208f3f1532ab61cb7aa75c51b5d15123d0c69c4e159f47d98437cb170e</t>
  </si>
  <si>
    <t>https://bellingcat-archive.nyc3.cdn.digitaloceanspaces.com/Ukraine_Witness_Datasheet/Worksheet/youtube_dl_1489988532475207685/index.html</t>
  </si>
  <si>
    <t>IgorGirkin - Гатчина</t>
  </si>
  <si>
    <t>2022-02-05T16:45:23+00:00</t>
  </si>
  <si>
    <t>https://twitter.com/GirkinGirkin/status/1489897503650717698</t>
  </si>
  <si>
    <t>https://twitter.com/gfusfus/status/1489971599629561857</t>
  </si>
  <si>
    <t>Rostov-on-Don</t>
  </si>
  <si>
    <t>Zheleznodorozhnyy Rayon</t>
  </si>
  <si>
    <t>UW0139</t>
  </si>
  <si>
    <t>https://bellingcat-archive.nyc3.cdn.digitaloceanspaces.com/Ukraine_Witness_Datasheet/Worksheet/youtube_dl_1489897503650717698.mp4</t>
  </si>
  <si>
    <t>2022-02-25T13:24:23+00:00</t>
  </si>
  <si>
    <t>https://bellingcat-archive.nyc3.cdn.digitaloceanspaces.com/Ukraine_Witness_Datasheet/Worksheet/youtube_dl__GirkinGirkin_status_14898975036507176982022-02-25T13:24:10.752754.png</t>
  </si>
  <si>
    <t>800f4d1569b78670bac9190064def7f17e1bae8fd9fd25ccfae0b1559711eea0</t>
  </si>
  <si>
    <t>https://bellingcat-archive.nyc3.cdn.digitaloceanspaces.com/Ukraine_Witness_Datasheet/Worksheet/youtube_dl_1489897503650717698/index.html</t>
  </si>
  <si>
    <t>IgorGirkin - Ростов-на-дону</t>
  </si>
  <si>
    <t>2022-02-05T10:43:40+00:00</t>
  </si>
  <si>
    <t>https://twitter.com/GirkinGirkin/status/1489884110743126021</t>
  </si>
  <si>
    <t>https://twitter.com/gfusfus/status/1489908814065381378</t>
  </si>
  <si>
    <t>UW0140</t>
  </si>
  <si>
    <t>https://bellingcat-archive.nyc3.cdn.digitaloceanspaces.com/Ukraine_Witness_Datasheet/Worksheet/youtube_dl_1489884110743126021.mp4</t>
  </si>
  <si>
    <t>2022-02-25T13:24:40+00:00</t>
  </si>
  <si>
    <t>https://bellingcat-archive.nyc3.cdn.digitaloceanspaces.com/Ukraine_Witness_Datasheet/Worksheet/youtube_dl__GirkinGirkin_status_14898841107431260212022-02-25T13:24:27.595633.png</t>
  </si>
  <si>
    <t>b3408e17811ccaf73268a3e043df8ff5e59dc8ead95b516851cb1fa0ece81ed5</t>
  </si>
  <si>
    <t>https://bellingcat-archive.nyc3.cdn.digitaloceanspaces.com/Ukraine_Witness_Datasheet/Worksheet/youtube_dl_1489884110743126021/index.html</t>
  </si>
  <si>
    <t>2022-02-05T09:50:27+00:00</t>
  </si>
  <si>
    <t>https://twitter.com/GirkinGirkin/status/1489896917798723584</t>
  </si>
  <si>
    <t>https://twitter.com/gfusfus/status/1489903200371191812</t>
  </si>
  <si>
    <t>Oktyabr'skii</t>
  </si>
  <si>
    <t>UW0141</t>
  </si>
  <si>
    <t>https://bellingcat-archive.nyc3.cdn.digitaloceanspaces.com/Ukraine_Witness_Datasheet/Worksheet/youtube_dl_1489896917798723584.mp4</t>
  </si>
  <si>
    <t>2022-02-25T13:24:57+00:00</t>
  </si>
  <si>
    <t>https://bellingcat-archive.nyc3.cdn.digitaloceanspaces.com/Ukraine_Witness_Datasheet/Worksheet/youtube_dl__GirkinGirkin_status_14898969177987235842022-02-25T13:24:45.444857.png</t>
  </si>
  <si>
    <t>9be08cd536505511ceb6217b6e61fedd5275a4bd5252efd08ad53bf04546d61c</t>
  </si>
  <si>
    <t>https://bellingcat-archive.nyc3.cdn.digitaloceanspaces.com/Ukraine_Witness_Datasheet/Worksheet/youtube_dl_1489896917798723584/index.html</t>
  </si>
  <si>
    <t>IgorGirkin - М4, 853 км, Ростовская обл</t>
  </si>
  <si>
    <t>2022-02-05T10:41:20+00:00</t>
  </si>
  <si>
    <t>04/02/2022</t>
  </si>
  <si>
    <t>https://twitter.com/GirkinGirkin/status/1489663579921989635</t>
  </si>
  <si>
    <t>https://twitter.com/gfusfus/status/1489678075033964546</t>
  </si>
  <si>
    <t>Orsha</t>
  </si>
  <si>
    <t>UW0142</t>
  </si>
  <si>
    <t>https://bellingcat-archive.nyc3.cdn.digitaloceanspaces.com/Ukraine_Witness_Datasheet/Worksheet/youtube_dl_1489663579921989635.mp4</t>
  </si>
  <si>
    <t>2022-02-25T13:25:15+00:00</t>
  </si>
  <si>
    <t>https://bellingcat-archive.nyc3.cdn.digitaloceanspaces.com/Ukraine_Witness_Datasheet/Worksheet/youtube_dl__GirkinGirkin_status_14896635799219896352022-02-25T13:25:02.171051.png</t>
  </si>
  <si>
    <t>dcbf18c5d321367effc0afb905ad06bc18286259df03fbbd3b580ee91e47c1ad</t>
  </si>
  <si>
    <t>https://bellingcat-archive.nyc3.cdn.digitaloceanspaces.com/Ukraine_Witness_Datasheet/Worksheet/youtube_dl_1489663579921989635/index.html</t>
  </si>
  <si>
    <t>IgorGirkin - Орша</t>
  </si>
  <si>
    <t>2022-02-04T19:14:08+00:00</t>
  </si>
  <si>
    <t>https://twitter.com/GirkinGirkin/status/1489658755633537030</t>
  </si>
  <si>
    <t>https://twitter.com/gfusfus/status/1489671020344758278</t>
  </si>
  <si>
    <t>Belograd Oblast</t>
  </si>
  <si>
    <t>Peschanka</t>
  </si>
  <si>
    <t>UW0143</t>
  </si>
  <si>
    <t>https://bellingcat-archive.nyc3.cdn.digitaloceanspaces.com/Ukraine_Witness_Datasheet/Worksheet/youtube_dl_1489658755633537030.mp4</t>
  </si>
  <si>
    <t>2022-02-25T13:25:34+00:00</t>
  </si>
  <si>
    <t>https://bellingcat-archive.nyc3.cdn.digitaloceanspaces.com/Ukraine_Witness_Datasheet/Worksheet/youtube_dl__GirkinGirkin_status_14896587556335370302022-02-25T13:25:21.906896.png</t>
  </si>
  <si>
    <t>3db0131ad21bcb7cd1f2db8eeafc59178338e248c8183b91bbd0ecc9fb7d03e8</t>
  </si>
  <si>
    <t>https://bellingcat-archive.nyc3.cdn.digitaloceanspaces.com/Ukraine_Witness_Datasheet/Worksheet/youtube_dl_1489658755633537030/index.html</t>
  </si>
  <si>
    <t>IgorGirkin - Белгородская обл</t>
  </si>
  <si>
    <t>2022-02-04T18:54:58+00:00</t>
  </si>
  <si>
    <t>https://twitter.com/GirkinGirkin/status/1489586224872448003</t>
  </si>
  <si>
    <t>https://twitter.com/gfusfus/status/1489594448501780480</t>
  </si>
  <si>
    <t>Mazikino</t>
  </si>
  <si>
    <t>UW0144</t>
  </si>
  <si>
    <t>https://bellingcat-archive.nyc3.cdn.digitaloceanspaces.com/Ukraine_Witness_Datasheet/Worksheet/youtube_dl_1489586224872448003.mp4</t>
  </si>
  <si>
    <t>2022-02-25T13:25:53+00:00</t>
  </si>
  <si>
    <t>https://bellingcat-archive.nyc3.cdn.digitaloceanspaces.com/Ukraine_Witness_Datasheet/Worksheet/youtube_dl__GirkinGirkin_status_14895862248724480032022-02-25T13:25:41.801545.png</t>
  </si>
  <si>
    <t>e7e7fe03799be560999c33ae768cb7d8ad0885b7f3036946bef7a5db49af7c48</t>
  </si>
  <si>
    <t>https://bellingcat-archive.nyc3.cdn.digitaloceanspaces.com/Ukraine_Witness_Datasheet/Worksheet/youtube_dl_1489586224872448003/index.html</t>
  </si>
  <si>
    <t>2022-02-04T14:06:45+00:00</t>
  </si>
  <si>
    <t>https://twitter.com/GirkinGirkin/status/1489447605281120256</t>
  </si>
  <si>
    <t>Movement of heavy weaponry and logistics</t>
  </si>
  <si>
    <t>https://twitter.com/gfusfus/status/1489585454919950337</t>
  </si>
  <si>
    <t>Krasnoberezhskaya Slobodka</t>
  </si>
  <si>
    <t>UW0145</t>
  </si>
  <si>
    <t>https://bellingcat-archive.nyc3.cdn.digitaloceanspaces.com/Ukraine_Witness_Datasheet/Worksheet/youtube_dl_1489447605281120256.mp4</t>
  </si>
  <si>
    <t>2022-02-25T13:26:11+00:00</t>
  </si>
  <si>
    <t>https://bellingcat-archive.nyc3.cdn.digitaloceanspaces.com/Ukraine_Witness_Datasheet/Worksheet/youtube_dl__GirkinGirkin_status_14894476052811202562022-02-25T13:25:58.864289.png</t>
  </si>
  <si>
    <t>964181524f5a76e4a036044a1bc76d32e3500088badc32a7e62705bea22376ea</t>
  </si>
  <si>
    <t>https://bellingcat-archive.nyc3.cdn.digitaloceanspaces.com/Ukraine_Witness_Datasheet/Worksheet/youtube_dl_1489447605281120256/index.html</t>
  </si>
  <si>
    <t>2022-02-04T04:55:56+00:00</t>
  </si>
  <si>
    <t>https://twitter.com/MarQs__/status/1489344683482431494</t>
  </si>
  <si>
    <t>https://twitter.com/gfusfus/status/1489361254783279105</t>
  </si>
  <si>
    <t>Krasnodar Krai</t>
  </si>
  <si>
    <t>Krasnoflotskii</t>
  </si>
  <si>
    <t>UW0146</t>
  </si>
  <si>
    <t>https://bellingcat-archive.nyc3.cdn.digitaloceanspaces.com/Ukraine_Witness_Datasheet/Worksheet/youtube_dl_1489344683482431494.mp4</t>
  </si>
  <si>
    <t>2022-02-25T13:26:29+00:00</t>
  </si>
  <si>
    <t>https://bellingcat-archive.nyc3.cdn.digitaloceanspaces.com/Ukraine_Witness_Datasheet/Worksheet/youtube_dl__MarQs___status_14893446834824314942022-02-25T13:26:17.680885.png</t>
  </si>
  <si>
    <t>29c7ee6b5b1e5ff243438b53a62ee6cd670aca1b056bff23a25dc456349fd7e2</t>
  </si>
  <si>
    <t>https://bellingcat-archive.nyc3.cdn.digitaloceanspaces.com/Ukraine_Witness_Datasheet/Worksheet/youtube_dl_1489344683482431494/index.html</t>
  </si>
  <si>
    <t>marqs - Eysk, Krasnodar region, #Russia</t>
  </si>
  <si>
    <t>2022-02-03T22:06:57+00:00</t>
  </si>
  <si>
    <t>https://twitter.com/GirkinGirkin/status/1489074598352203778</t>
  </si>
  <si>
    <t>https://twitter.com/gfusfus/status/1489355467058995212</t>
  </si>
  <si>
    <t>Kazennoe-Uzkoe</t>
  </si>
  <si>
    <t>UW0147</t>
  </si>
  <si>
    <t>https://bellingcat-archive.nyc3.cdn.digitaloceanspaces.com/Ukraine_Witness_Datasheet/Worksheet/youtube_dl_1489074598352203778.mp4</t>
  </si>
  <si>
    <t>2022-02-25T13:26:46+00:00</t>
  </si>
  <si>
    <t>https://bellingcat-archive.nyc3.cdn.digitaloceanspaces.com/Ukraine_Witness_Datasheet/Worksheet/youtube_dl__GirkinGirkin_status_14890745983522037782022-02-25T13:26:34.602688.png</t>
  </si>
  <si>
    <t>36468ff817075614fdadaa4fe3a2a3cd8f996ba95aa9ecfb658aa1c9e5514be0</t>
  </si>
  <si>
    <t>https://bellingcat-archive.nyc3.cdn.digitaloceanspaces.com/Ukraine_Witness_Datasheet/Worksheet/youtube_dl_1489074598352203778/index.html</t>
  </si>
  <si>
    <t>IgorGirkin - армия агрессора</t>
  </si>
  <si>
    <t>2022-02-03T04:13:44+00:00</t>
  </si>
  <si>
    <t>https://twitter.com/GirkinGirkin/status/1489077319721439235</t>
  </si>
  <si>
    <t>https://twitter.com/gfusfus/status/1489326731664281602</t>
  </si>
  <si>
    <t>Velikiye Luki</t>
  </si>
  <si>
    <t>Ulitsa Zaslonova</t>
  </si>
  <si>
    <t>UW0148</t>
  </si>
  <si>
    <t>https://bellingcat-archive.nyc3.cdn.digitaloceanspaces.com/Ukraine_Witness_Datasheet/Worksheet/youtube_dl_1489077319721439235.mp4</t>
  </si>
  <si>
    <t>2022-02-25T13:27:09+00:00</t>
  </si>
  <si>
    <t>https://bellingcat-archive.nyc3.cdn.digitaloceanspaces.com/Ukraine_Witness_Datasheet/Worksheet/youtube_dl__GirkinGirkin_status_14890773197214392352022-02-25T13:26:54.510113.png</t>
  </si>
  <si>
    <t>a646226849f2315fcb1507fd97eff765d461f3824fbdbd06e93a43199a069a15</t>
  </si>
  <si>
    <t>https://bellingcat-archive.nyc3.cdn.digitaloceanspaces.com/Ukraine_Witness_Datasheet/Worksheet/youtube_dl_1489077319721439235/index.html</t>
  </si>
  <si>
    <t>2022-02-03T04:24:33+00:00</t>
  </si>
  <si>
    <t>https://twitter.com/MarQs__/status/1489308849525956616</t>
  </si>
  <si>
    <t>https://twitter.com/gfusfus/status/1489317712346202116</t>
  </si>
  <si>
    <t>M17</t>
  </si>
  <si>
    <t>UW0149</t>
  </si>
  <si>
    <t>https://bellingcat-archive.nyc3.cdn.digitaloceanspaces.com/Ukraine_Witness_Datasheet/Worksheet/youtube_dl_1489308849525956616.mp4</t>
  </si>
  <si>
    <t>2022-02-25T13:27:31+00:00</t>
  </si>
  <si>
    <t>https://bellingcat-archive.nyc3.cdn.digitaloceanspaces.com/Ukraine_Witness_Datasheet/Worksheet/youtube_dl__MarQs___status_14893088495259566162022-02-25T13:27:16.178111.png</t>
  </si>
  <si>
    <t>48bdf8e4ff596ce40963215e256870c6caf2dbaadc592a4a5ac23fa8a8c6f4e1</t>
  </si>
  <si>
    <t>https://bellingcat-archive.nyc3.cdn.digitaloceanspaces.com/Ukraine_Witness_Datasheet/Worksheet/youtube_dl_1489308849525956616/index.html</t>
  </si>
  <si>
    <t>marqs - #Crimea: "Eight convoy of military already moving into Crimea. Something serious is brewing."</t>
  </si>
  <si>
    <t>2022-02-03T19:44:34+00:00</t>
  </si>
  <si>
    <t>https://twitter.com/GirkinGirkin/status/1489295152459964422</t>
  </si>
  <si>
    <t>https://twitter.com/gfusfus/status/1489305861147267078</t>
  </si>
  <si>
    <t>Kaluga Oblast</t>
  </si>
  <si>
    <t>Ugra</t>
  </si>
  <si>
    <t>UW0150</t>
  </si>
  <si>
    <t>https://bellingcat-archive.nyc3.cdn.digitaloceanspaces.com/Ukraine_Witness_Datasheet/Worksheet/youtube_dl_1489295152459964422.mp4</t>
  </si>
  <si>
    <t>2022-02-25T13:27:48+00:00</t>
  </si>
  <si>
    <t>https://bellingcat-archive.nyc3.cdn.digitaloceanspaces.com/Ukraine_Witness_Datasheet/Worksheet/youtube_dl__GirkinGirkin_status_14892951524599644222022-02-25T13:27:36.373427.png</t>
  </si>
  <si>
    <t>b0aba4a577b06c6b5b411920c8fbd9bc73ed7a54d4fe421cde846ea9a4a6c62d</t>
  </si>
  <si>
    <t>https://bellingcat-archive.nyc3.cdn.digitaloceanspaces.com/Ukraine_Witness_Datasheet/Worksheet/youtube_dl_1489295152459964422/index.html</t>
  </si>
  <si>
    <t>2022-02-03T18:50:08+00:00</t>
  </si>
  <si>
    <t>https://twitter.com/GirkinGirkin/status/1489251957587922955</t>
  </si>
  <si>
    <t>https://twitter.com/gfusfus/status/1489258469941080069</t>
  </si>
  <si>
    <t>UW0151</t>
  </si>
  <si>
    <t>https://bellingcat-archive.nyc3.cdn.digitaloceanspaces.com/Ukraine_Witness_Datasheet/Worksheet/youtube_dl_1489251957587922955.mp4</t>
  </si>
  <si>
    <t>2022-02-25T13:28:05+00:00</t>
  </si>
  <si>
    <t>https://bellingcat-archive.nyc3.cdn.digitaloceanspaces.com/Ukraine_Witness_Datasheet/Worksheet/youtube_dl__GirkinGirkin_status_14892519575879229552022-02-25T13:27:53.005387.png</t>
  </si>
  <si>
    <t>c1544947a7782ee1dcbecb5198fd721e7393c60b7aa5fac3caaf5e5d06e4ea1a</t>
  </si>
  <si>
    <t>https://bellingcat-archive.nyc3.cdn.digitaloceanspaces.com/Ukraine_Witness_Datasheet/Worksheet/youtube_dl_1489251957587922955/index.html</t>
  </si>
  <si>
    <t>2022-02-03T15:58:30+00:00</t>
  </si>
  <si>
    <t>https://twitter.com/MotolkoHelp/status/1489140479627345921</t>
  </si>
  <si>
    <t>https://twitter.com/gfusfus/status/1489254127653646345</t>
  </si>
  <si>
    <t>Kolodishchi</t>
  </si>
  <si>
    <t>UW0152</t>
  </si>
  <si>
    <t>https://bellingcat-archive.nyc3.cdn.digitaloceanspaces.com/Ukraine_Witness_Datasheet/Worksheet/youtube_dl_1489140479627345921.mp4</t>
  </si>
  <si>
    <t>2022-02-25T13:28:22+00:00</t>
  </si>
  <si>
    <t>https://bellingcat-archive.nyc3.cdn.digitaloceanspaces.com/Ukraine_Witness_Datasheet/Worksheet/youtube_dl__MotolkoHelp_status_14891404796273459212022-02-25T13:28:10.039018.png</t>
  </si>
  <si>
    <t>940a6bf092f12c37ee8d34a146e34d1b07ac78a27959b87913bc28bfd28f6c34</t>
  </si>
  <si>
    <t>https://bellingcat-archive.nyc3.cdn.digitaloceanspaces.com/Ukraine_Witness_Datasheet/Worksheet/youtube_dl_1489140479627345921/index.html</t>
  </si>
  <si>
    <t>MotolkoHelp - A Russian train with military equipment was spotted this morning (03.02) in Kalodzishchy. It is reported that 4-5 passenger cars were also attached to the train, in which personnel may be transported.</t>
  </si>
  <si>
    <t>2022-02-03T08:35:31+00:00</t>
  </si>
  <si>
    <t>https://twitter.com/GirkinGirkin/status/1489095352376610817</t>
  </si>
  <si>
    <t>https://twitter.com/gfusfus/status/1489210272610930690</t>
  </si>
  <si>
    <t>Boguchar</t>
  </si>
  <si>
    <t>UW0153</t>
  </si>
  <si>
    <t>https://bellingcat-archive.nyc3.cdn.digitaloceanspaces.com/Ukraine_Witness_Datasheet/Worksheet/youtube_dl_1489095352376610817.mp4</t>
  </si>
  <si>
    <t>2022-02-25T13:28:43+00:00</t>
  </si>
  <si>
    <t>https://bellingcat-archive.nyc3.cdn.digitaloceanspaces.com/Ukraine_Witness_Datasheet/Worksheet/youtube_dl__GirkinGirkin_status_14890953523766108172022-02-25T13:28:28.813677.png</t>
  </si>
  <si>
    <t>429c772f8c0136e6f7726b0fec514a7111047b6e5b65ae1598ca3af0ae1e44cb</t>
  </si>
  <si>
    <t>https://bellingcat-archive.nyc3.cdn.digitaloceanspaces.com/Ukraine_Witness_Datasheet/Worksheet/youtube_dl_1489095352376610817/index.html</t>
  </si>
  <si>
    <t>2022-02-03T05:36:12+00:00</t>
  </si>
  <si>
    <t>https://twitter.com/GirkinGirkin/status/1488937592666173448</t>
  </si>
  <si>
    <t>https://twitter.com/gfusfus/status/1488967242326974471</t>
  </si>
  <si>
    <t>Timashovsk</t>
  </si>
  <si>
    <t>UW0154</t>
  </si>
  <si>
    <t>https://bellingcat-archive.nyc3.cdn.digitaloceanspaces.com/Ukraine_Witness_Datasheet/Worksheet/youtube_dl_1488937592666173448.mp4</t>
  </si>
  <si>
    <t>2022-02-25T13:29:05+00:00</t>
  </si>
  <si>
    <t>https://bellingcat-archive.nyc3.cdn.digitaloceanspaces.com/Ukraine_Witness_Datasheet/Worksheet/youtube_dl__GirkinGirkin_status_14889375926661734482022-02-25T13:28:51.379967.png</t>
  </si>
  <si>
    <t>10df3de91f80ce9bad7d5537f47f4336f603976eb9c844d084f7d7b14f0dd90e</t>
  </si>
  <si>
    <t>https://bellingcat-archive.nyc3.cdn.digitaloceanspaces.com/Ukraine_Witness_Datasheet/Worksheet/youtube_dl_1488937592666173448/index.html</t>
  </si>
  <si>
    <t>2022-02-02T19:09:19+00:00</t>
  </si>
  <si>
    <t>https://twitter.com/herooftheday10/status/1491319045471490048</t>
  </si>
  <si>
    <t>Train with russian heavy weaponry</t>
  </si>
  <si>
    <t>https://twitter.com/danvan71/status/1491345775766683649</t>
  </si>
  <si>
    <t>Stavropol Krai</t>
  </si>
  <si>
    <t>Iskra</t>
  </si>
  <si>
    <t>UW0155</t>
  </si>
  <si>
    <t>https://web.archive.org/web/20220225133021/https://twitter.com/herooftheday10/status/1491319045471490048</t>
  </si>
  <si>
    <t>2022-02-25T13:30:44+00:00</t>
  </si>
  <si>
    <t>https://bellingcat-archive.nyc3.cdn.digitaloceanspaces.com/Ukraine_Witness_Datasheet/Worksheet/wayback__herooftheday10_status_14913190454714900482022-02-25T13:30:35.200605.png</t>
  </si>
  <si>
    <t>ЄС_EU_UA_NATO_USA_יִשְׂרָאֵל🇮🇱🇺🇦🇺🇸🇪🇺🇬🇧 on Twitter: "Ставропольский край, 205 вч, погрузка с футболом.. рожи типичные для орков.… "</t>
  </si>
  <si>
    <t>https://twitter.com/GirkinGirkin/status/1491470174523957263</t>
  </si>
  <si>
    <t>Tanks on the move</t>
  </si>
  <si>
    <t>https://twitter.com/il_kanguru/status/1491519543835037701</t>
  </si>
  <si>
    <t>Starokovyl'nyi</t>
  </si>
  <si>
    <t>UW0156</t>
  </si>
  <si>
    <t>https://bellingcat-archive.nyc3.cdn.digitaloceanspaces.com/Ukraine_Witness_Datasheet/Worksheet/youtube_dl_1491470174523957263.mp4</t>
  </si>
  <si>
    <t>2022-02-25T13:31:02+00:00</t>
  </si>
  <si>
    <t>https://bellingcat-archive.nyc3.cdn.digitaloceanspaces.com/Ukraine_Witness_Datasheet/Worksheet/youtube_dl__GirkinGirkin_status_14914701745239572632022-02-25T13:30:49.905157.png</t>
  </si>
  <si>
    <t>078a80c04052fad6dce4ebe6621d530fc1dfb7f09e87e3c66f1d02e7461af58a</t>
  </si>
  <si>
    <t>https://bellingcat-archive.nyc3.cdn.digitaloceanspaces.com/Ukraine_Witness_Datasheet/Worksheet/youtube_dl_1491470174523957263/index.html</t>
  </si>
  <si>
    <t>IgorGirkin - Ростовская обл</t>
  </si>
  <si>
    <t>2022-02-09T18:52:54+00:00</t>
  </si>
  <si>
    <t>https://twitter.com/herooftheday10/status/1491328464292827136</t>
  </si>
  <si>
    <t>https://twitter.com/danvan71/status/1491524323307315201</t>
  </si>
  <si>
    <t>Novy Oskol</t>
  </si>
  <si>
    <t>UW0157</t>
  </si>
  <si>
    <t>https://web.archive.org/web/20220225133224/https://twitter.com/herooftheday10/status/1491328464292827136</t>
  </si>
  <si>
    <t>2022-02-25T13:32:42+00:00</t>
  </si>
  <si>
    <t>https://bellingcat-archive.nyc3.cdn.digitaloceanspaces.com/Ukraine_Witness_Datasheet/Worksheet/wayback__herooftheday10_status_14913284642928271362022-02-25T13:32:33.718984.png</t>
  </si>
  <si>
    <t>ЄС_EU_UA_NATO_USA_יִשְׂרָאֵל🇮🇱🇺🇦🇺🇸🇪🇺🇬🇧 on Twitter: "Белгородская область. На указателе видна надпись Алексеевка.… "</t>
  </si>
  <si>
    <t>https://twitter.com/4emberlen/status/1491578786319581184</t>
  </si>
  <si>
    <t>Millerovsky</t>
  </si>
  <si>
    <t>Novospasovka</t>
  </si>
  <si>
    <t>UW0158</t>
  </si>
  <si>
    <t>https://bellingcat-archive.nyc3.cdn.digitaloceanspaces.com/Ukraine_Witness_Datasheet/Worksheet/youtube_dl_1491578786319581184.mp4</t>
  </si>
  <si>
    <t>2022-02-25T13:32:59+00:00</t>
  </si>
  <si>
    <t>https://bellingcat-archive.nyc3.cdn.digitaloceanspaces.com/Ukraine_Witness_Datasheet/Worksheet/youtube_dl__4emberlen_status_14915787863195811842022-02-25T13:32:47.799140.png</t>
  </si>
  <si>
    <t>e6358c4c89b1cda4f24a9c4fa35417faa572cdf4e66608a1896f09b1b2413f0d</t>
  </si>
  <si>
    <t>https://bellingcat-archive.nyc3.cdn.digitaloceanspaces.com/Ukraine_Witness_Datasheet/Worksheet/youtube_dl_1491578786319581184/index.html</t>
  </si>
  <si>
    <t>4emberlen - Міллерово 08.02.2022</t>
  </si>
  <si>
    <t>2022-02-10T02:04:29+00:00</t>
  </si>
  <si>
    <t>https://twitter.com/Michael1Sheldon/status/1485101678554755073</t>
  </si>
  <si>
    <t>Convoy of tanks parked in field</t>
  </si>
  <si>
    <t>https://twitter.com/Michael1Sheldon/status/1485101416033177603</t>
  </si>
  <si>
    <t>Rechitsa</t>
  </si>
  <si>
    <t>Volch'ya Gora</t>
  </si>
  <si>
    <t>UW0159</t>
  </si>
  <si>
    <t>https://bellingcat-archive.nyc3.cdn.digitaloceanspaces.com/Ukraine_Witness_Datasheet/Worksheet/youtube_dl_1485101678554755073.mp4</t>
  </si>
  <si>
    <t>2022-02-25T13:33:18+00:00</t>
  </si>
  <si>
    <t>https://bellingcat-archive.nyc3.cdn.digitaloceanspaces.com/Ukraine_Witness_Datasheet/Worksheet/youtube_dl__Michael1Sheldon_status_14851016785547550732022-02-25T13:33:06.165809.png</t>
  </si>
  <si>
    <t>99d45812f6756e1e87c468170851cdebfe7be0345dc840dea87648b3389251c5</t>
  </si>
  <si>
    <t>https://bellingcat-archive.nyc3.cdn.digitaloceanspaces.com/Ukraine_Witness_Datasheet/Worksheet/youtube_dl_1485101678554755073/index.html</t>
  </si>
  <si>
    <t>Michael Sheldon - https://t.co/ZHlFUyIBTx</t>
  </si>
  <si>
    <t>2022-01-23T05:06:46+00:00</t>
  </si>
  <si>
    <t>https://twitter.com/4emberlen/status/1491912736799956992</t>
  </si>
  <si>
    <t>Convoy of tanks and logistics parked in the side of the road</t>
  </si>
  <si>
    <t>https://twitter.com/gfusfus/status/1491946850093522956</t>
  </si>
  <si>
    <t>Krasnaya Niva</t>
  </si>
  <si>
    <t>UW0160</t>
  </si>
  <si>
    <t>https://bellingcat-archive.nyc3.cdn.digitaloceanspaces.com/Ukraine_Witness_Datasheet/Worksheet/youtube_dl_1491912736799956992.mp4</t>
  </si>
  <si>
    <t>2022-02-25T13:33:46+00:00</t>
  </si>
  <si>
    <t>https://bellingcat-archive.nyc3.cdn.digitaloceanspaces.com/Ukraine_Witness_Datasheet/Worksheet/youtube_dl__4emberlen_status_14919127367999569922022-02-25T13:33:31.529560.png</t>
  </si>
  <si>
    <t>d9c73f918f606dc85add46c63c5d02e626d178ddc0e13339eabd76aada4434eb</t>
  </si>
  <si>
    <t>https://bellingcat-archive.nyc3.cdn.digitaloceanspaces.com/Ukraine_Witness_Datasheet/Worksheet/youtube_dl_1491912736799956992/index.html</t>
  </si>
  <si>
    <t>4emberlen - Краснодарський край 09.02.2022</t>
  </si>
  <si>
    <t>2022-02-11T00:11:29+00:00</t>
  </si>
  <si>
    <t>https://twitter.com/4emberlen/status/1491799876375494668</t>
  </si>
  <si>
    <t>Movement of tanks along the road</t>
  </si>
  <si>
    <t>https://twitter.com/gfusfus/status/1491930771963195395</t>
  </si>
  <si>
    <t>Oboyansky District</t>
  </si>
  <si>
    <t>UW0161</t>
  </si>
  <si>
    <t>https://bellingcat-archive.nyc3.cdn.digitaloceanspaces.com/Ukraine_Witness_Datasheet/Worksheet/youtube_dl_1491799876375494668.mp4</t>
  </si>
  <si>
    <t>2022-02-25T13:34:07+00:00</t>
  </si>
  <si>
    <t>https://bellingcat-archive.nyc3.cdn.digitaloceanspaces.com/Ukraine_Witness_Datasheet/Worksheet/youtube_dl__4emberlen_status_14917998763754946682022-02-25T13:33:53.129213.png</t>
  </si>
  <si>
    <t>f8c3d67d54803a6f14f83d1b78094b58a5d6c42781de0968c2bf0ce587e67c80</t>
  </si>
  <si>
    <t>https://bellingcat-archive.nyc3.cdn.digitaloceanspaces.com/Ukraine_Witness_Datasheet/Worksheet/youtube_dl_1491799876375494668/index.html</t>
  </si>
  <si>
    <t>4emberlen - 09.02.2022</t>
  </si>
  <si>
    <t>2022-02-10T16:43:01+00:00</t>
  </si>
  <si>
    <t>https://twitter.com/4emberlen/status/1491909373458890759</t>
  </si>
  <si>
    <t>https://twitter.com/gfusfus/status/1491912853795786753</t>
  </si>
  <si>
    <t>Naroulia</t>
  </si>
  <si>
    <t>UW0162</t>
  </si>
  <si>
    <t>https://bellingcat-archive.nyc3.cdn.digitaloceanspaces.com/Ukraine_Witness_Datasheet/Worksheet/youtube_dl_1491909373458890759.mp4</t>
  </si>
  <si>
    <t>2022-02-25T13:34:26+00:00</t>
  </si>
  <si>
    <t>https://bellingcat-archive.nyc3.cdn.digitaloceanspaces.com/Ukraine_Witness_Datasheet/Worksheet/youtube_dl__4emberlen_status_14919093734588907592022-02-25T13:34:12.548323.png</t>
  </si>
  <si>
    <t>9ee0dfff394ff8bcf45cbf73b26023af4c8c8592202f889fc1ed5de657fff5c5</t>
  </si>
  <si>
    <t>https://bellingcat-archive.nyc3.cdn.digitaloceanspaces.com/Ukraine_Witness_Datasheet/Worksheet/youtube_dl_1491909373458890759/index.html</t>
  </si>
  <si>
    <t>4emberlen - Наровля 10.02.2022</t>
  </si>
  <si>
    <t>2022-02-10T23:58:07+00:00</t>
  </si>
  <si>
    <t>https://twitter.com/Idzanagi4/status/1491815082074034182</t>
  </si>
  <si>
    <t>Movement of heavy weaponry in the city</t>
  </si>
  <si>
    <t>https://twitter.com/gfusfus/status/1491904311735066627</t>
  </si>
  <si>
    <t>UW0163</t>
  </si>
  <si>
    <t>https://bellingcat-archive.nyc3.cdn.digitaloceanspaces.com/Ukraine_Witness_Datasheet/Worksheet/youtube_dl_1491815082074034182.mp4</t>
  </si>
  <si>
    <t>2022-02-25T13:34:43+00:00</t>
  </si>
  <si>
    <t>https://bellingcat-archive.nyc3.cdn.digitaloceanspaces.com/Ukraine_Witness_Datasheet/Worksheet/youtube_dl__Idzanagi4_status_14918150820740341822022-02-25T13:34:31.133394.png</t>
  </si>
  <si>
    <t>313cc2e7e028d4de43e36949af7154619dddad59f4940ee8bc0733a212320672</t>
  </si>
  <si>
    <t>https://bellingcat-archive.nyc3.cdn.digitaloceanspaces.com/Ukraine_Witness_Datasheet/Worksheet/youtube_dl_1491815082074034182/index.html</t>
  </si>
  <si>
    <t>Идзанаги 🇺🇦 🇰🇿 - 08.02.2022. Смоленськ.</t>
  </si>
  <si>
    <t>2022-02-10T17:43:26+00:00</t>
  </si>
  <si>
    <t>https://twitter.com/4emberlen/status/1491793384083574794</t>
  </si>
  <si>
    <t>Movement of logistics in the city</t>
  </si>
  <si>
    <t>https://twitter.com/gfusfus/status/1491861640664567813</t>
  </si>
  <si>
    <t>Khalino</t>
  </si>
  <si>
    <t>UW0164</t>
  </si>
  <si>
    <t>https://bellingcat-archive.nyc3.cdn.digitaloceanspaces.com/Ukraine_Witness_Datasheet/Worksheet/youtube_dl_1491793384083574794.mp4</t>
  </si>
  <si>
    <t>2022-02-25T13:35:11+00:00</t>
  </si>
  <si>
    <t>https://bellingcat-archive.nyc3.cdn.digitaloceanspaces.com/Ukraine_Witness_Datasheet/Worksheet/youtube_dl__4emberlen_status_14917933840835747942022-02-25T13:34:56.613803.png</t>
  </si>
  <si>
    <t>c0bac0d7ef33f43739e18d850ecbee32ca51b27fa0b3a08ac6c889dee9262913</t>
  </si>
  <si>
    <t>https://bellingcat-archive.nyc3.cdn.digitaloceanspaces.com/Ukraine_Witness_Datasheet/Worksheet/youtube_dl_1491793384083574794/index.html</t>
  </si>
  <si>
    <t>4emberlen - Курськ 09.02.2022</t>
  </si>
  <si>
    <t>2022-02-10T16:17:13+00:00</t>
  </si>
  <si>
    <t>https://twitter.com/4emberlen/status/1491800220308410368</t>
  </si>
  <si>
    <t>https://twitter.com/gfusfus/status/1491846815867711494</t>
  </si>
  <si>
    <t>Belogrod</t>
  </si>
  <si>
    <t>Ulitsa Zheleznodorozhnaya</t>
  </si>
  <si>
    <t>UW0165</t>
  </si>
  <si>
    <t>https://bellingcat-archive.nyc3.cdn.digitaloceanspaces.com/Ukraine_Witness_Datasheet/Worksheet/youtube_dl_1491800220308410368.mp4</t>
  </si>
  <si>
    <t>2022-02-25T13:35:30+00:00</t>
  </si>
  <si>
    <t>https://bellingcat-archive.nyc3.cdn.digitaloceanspaces.com/Ukraine_Witness_Datasheet/Worksheet/youtube_dl__4emberlen_status_14918002203084103682022-02-25T13:35:17.948702.png</t>
  </si>
  <si>
    <t>03ca5bc2d72ce40f196875d5678131574d82cc32558854f5f48fb3a815e3688e</t>
  </si>
  <si>
    <t>https://bellingcat-archive.nyc3.cdn.digitaloceanspaces.com/Ukraine_Witness_Datasheet/Worksheet/youtube_dl_1491800220308410368/index.html</t>
  </si>
  <si>
    <t>4emberlen - Белгород 10.02.2022</t>
  </si>
  <si>
    <t>2022-02-10T16:44:23+00:00</t>
  </si>
  <si>
    <t>https://twitter.com/GirkinGirkin/status/1491473813036486657</t>
  </si>
  <si>
    <t>https://twitter.com/gfusfus/status/1491821529344184327</t>
  </si>
  <si>
    <t>Malinovyi</t>
  </si>
  <si>
    <t>UW0166</t>
  </si>
  <si>
    <t>https://bellingcat-archive.nyc3.cdn.digitaloceanspaces.com/Ukraine_Witness_Datasheet/Worksheet/youtube_dl_1491473813036486657.mp4</t>
  </si>
  <si>
    <t>2022-02-25T13:35:46+00:00</t>
  </si>
  <si>
    <t>https://bellingcat-archive.nyc3.cdn.digitaloceanspaces.com/Ukraine_Witness_Datasheet/Worksheet/youtube_dl__GirkinGirkin_status_14914738130364866572022-02-25T13:35:35.304795.png</t>
  </si>
  <si>
    <t>7dd3dc8897629c7af97b1b030b6a7fddff204cc1ccdfd401570d0f6511bb5ab0</t>
  </si>
  <si>
    <t>https://bellingcat-archive.nyc3.cdn.digitaloceanspaces.com/Ukraine_Witness_Datasheet/Worksheet/youtube_dl_1491473813036486657/index.html</t>
  </si>
  <si>
    <t>IgorGirkin - Потеряшка?</t>
  </si>
  <si>
    <t>2022-02-09T19:07:21+00:00</t>
  </si>
  <si>
    <t>https://twitter.com/4emberlen/status/1491778098265833472</t>
  </si>
  <si>
    <t>https://twitter.com/gfusfus/status/1491805552850046978</t>
  </si>
  <si>
    <t>Kaluga</t>
  </si>
  <si>
    <t>Bykovo</t>
  </si>
  <si>
    <t>UW0167</t>
  </si>
  <si>
    <t>https://bellingcat-archive.nyc3.cdn.digitaloceanspaces.com/Ukraine_Witness_Datasheet/Worksheet/youtube_dl_1491778098265833472.mp4</t>
  </si>
  <si>
    <t>2022-02-25T13:36:09+00:00</t>
  </si>
  <si>
    <t>https://bellingcat-archive.nyc3.cdn.digitaloceanspaces.com/Ukraine_Witness_Datasheet/Worksheet/youtube_dl__4emberlen_status_14917780982658334722022-02-25T13:35:54.541376.png</t>
  </si>
  <si>
    <t>fd93085c278634f4aa1a63280d1efcefe088108f25731bff34c7c0ea789463d0</t>
  </si>
  <si>
    <t>https://bellingcat-archive.nyc3.cdn.digitaloceanspaces.com/Ukraine_Witness_Datasheet/Worksheet/youtube_dl_1491778098265833472/index.html</t>
  </si>
  <si>
    <t>4emberlen - В бік калуги</t>
  </si>
  <si>
    <t>2022-02-10T15:16:29+00:00</t>
  </si>
  <si>
    <t>https://twitter.com/GirkinGirkin/status/1491636860749324292</t>
  </si>
  <si>
    <t xml:space="preserve">Movement of heavy weaponry </t>
  </si>
  <si>
    <t>https://twitter.com/gfusfus/status/1491799139331440641</t>
  </si>
  <si>
    <t>Zheleznodorozhnyy Administrativnyy Okrug</t>
  </si>
  <si>
    <t>UW0168</t>
  </si>
  <si>
    <t>https://bellingcat-archive.nyc3.cdn.digitaloceanspaces.com/Ukraine_Witness_Datasheet/Worksheet/youtube_dl_1491636860749324292.mp4</t>
  </si>
  <si>
    <t>2022-02-25T13:36:26+00:00</t>
  </si>
  <si>
    <t>https://bellingcat-archive.nyc3.cdn.digitaloceanspaces.com/Ukraine_Witness_Datasheet/Worksheet/youtube_dl__GirkinGirkin_status_14916368607493242922022-02-25T13:36:14.449250.png</t>
  </si>
  <si>
    <t>4f187284e4007a73ad0fbc72ad5cc3ab16aceb73a6012e9fc6386ac872a78aaf</t>
  </si>
  <si>
    <t>https://bellingcat-archive.nyc3.cdn.digitaloceanspaces.com/Ukraine_Witness_Datasheet/Worksheet/youtube_dl_1491636860749324292/index.html</t>
  </si>
  <si>
    <t>2022-02-10T05:55:15+00:00</t>
  </si>
  <si>
    <t>https://twitter.com/4emberlen/status/1491773819412963335</t>
  </si>
  <si>
    <t>Movement of Logistics</t>
  </si>
  <si>
    <t>https://twitter.com/gfusfus/status/1491787693050589196</t>
  </si>
  <si>
    <t>Zmiyovka</t>
  </si>
  <si>
    <t>UW0169</t>
  </si>
  <si>
    <t>https://bellingcat-archive.nyc3.cdn.digitaloceanspaces.com/Ukraine_Witness_Datasheet/Worksheet/youtube_dl_1491773819412963335.mp4</t>
  </si>
  <si>
    <t>2022-02-25T13:36:48+00:00</t>
  </si>
  <si>
    <t>https://bellingcat-archive.nyc3.cdn.digitaloceanspaces.com/Ukraine_Witness_Datasheet/Worksheet/youtube_dl__4emberlen_status_14917738194129633352022-02-25T13:36:33.507961.png</t>
  </si>
  <si>
    <t>b13b2b62c5ebd76acc9eb2ca8a72c7989039e19e6bc1133ed64fe4b17a244359</t>
  </si>
  <si>
    <t>https://bellingcat-archive.nyc3.cdn.digitaloceanspaces.com/Ukraine_Witness_Datasheet/Worksheet/youtube_dl_1491773819412963335/index.html</t>
  </si>
  <si>
    <t>4emberlen - Зміевка 10.02.2022</t>
  </si>
  <si>
    <t>2022-02-10T14:59:29+00:00</t>
  </si>
  <si>
    <t>https://twitter.com/4emberlen/status/1491574171624742914</t>
  </si>
  <si>
    <t>https://twitter.com/gfusfus/status/1491761167299235850</t>
  </si>
  <si>
    <t>UW0170</t>
  </si>
  <si>
    <t>https://bellingcat-archive.nyc3.cdn.digitaloceanspaces.com/Ukraine_Witness_Datasheet/Worksheet/youtube_dl_1491574171624742914.mp4</t>
  </si>
  <si>
    <t>2022-02-25T13:37:07+00:00</t>
  </si>
  <si>
    <t>https://bellingcat-archive.nyc3.cdn.digitaloceanspaces.com/Ukraine_Witness_Datasheet/Worksheet/youtube_dl__4emberlen_status_14915741716247429142022-02-25T13:36:54.829415.png</t>
  </si>
  <si>
    <t>ea622a62e2f0381db445ca9e0685d600456455669b02db3d21543e73847dd420</t>
  </si>
  <si>
    <t>https://bellingcat-archive.nyc3.cdn.digitaloceanspaces.com/Ukraine_Witness_Datasheet/Worksheet/youtube_dl_1491574171624742914/index.html</t>
  </si>
  <si>
    <t>4emberlen - Курск-Щігри 09.02.2022</t>
  </si>
  <si>
    <t>2022-02-10T01:46:09+00:00</t>
  </si>
  <si>
    <t>https://twitter.com/KyleJGlen/status/1491698045834215426</t>
  </si>
  <si>
    <t>Movement of Heavy weaponry</t>
  </si>
  <si>
    <t>https://twitter.com/gfusfus/status/1491755264600588288</t>
  </si>
  <si>
    <t>UW0171</t>
  </si>
  <si>
    <t>https://bellingcat-archive.nyc3.cdn.digitaloceanspaces.com/Ukraine_Witness_Datasheet/Worksheet/youtube_dl_1491698045834215426.mp4</t>
  </si>
  <si>
    <t>2022-02-25T13:37:26+00:00</t>
  </si>
  <si>
    <t>https://bellingcat-archive.nyc3.cdn.digitaloceanspaces.com/Ukraine_Witness_Datasheet/Worksheet/youtube_dl__KyleJGlen_status_14916980458342154262022-02-25T13:37:12.977431.png</t>
  </si>
  <si>
    <t>4f1bf0aa9113ae98414e8d81395767d954dddb8ba0a558f6b49f55d538b91570</t>
  </si>
  <si>
    <t>https://bellingcat-archive.nyc3.cdn.digitaloceanspaces.com/Ukraine_Witness_Datasheet/Worksheet/youtube_dl_1491698045834215426/index.html</t>
  </si>
  <si>
    <t>Kyle Glen - Millerovo, 22km from Ukraine's Eastern border.</t>
  </si>
  <si>
    <t>2022-02-10T09:58:23+00:00</t>
  </si>
  <si>
    <t>https://twitter.com/Michael1Sheldon/status/1491828142528503811</t>
  </si>
  <si>
    <t>Multiple tanks</t>
  </si>
  <si>
    <t>T-80BV and T-72B3</t>
  </si>
  <si>
    <t>UW0172</t>
  </si>
  <si>
    <t>twitter: success</t>
  </si>
  <si>
    <t>https://bellingcat-archive.nyc3.cdn.digitaloceanspaces.com/Ukraine_Witness_Datasheet/Worksheet/twitter__Michael1Sheldon_status_1491828142528503811.html</t>
  </si>
  <si>
    <t>2022-02-25T13:37:41+00:00</t>
  </si>
  <si>
    <t>https://bellingcat-archive.nyc3.cdn.digitaloceanspaces.com/Ukraine_Witness_Datasheet/Worksheet/twitter__Michael1Sheldon_status_14918281425285038112022-02-25T13:37:32.733250.png</t>
  </si>
  <si>
    <t>65982bda0675b572a1dadc5d5bc10a5d883cab41d89aba2acd7834338a011e9b</t>
  </si>
  <si>
    <t>https://twitter.com/GirkinGirkin/status/1491713890790608897</t>
  </si>
  <si>
    <t>Multiple tanks stationed in field</t>
  </si>
  <si>
    <t>https://twitter.com/Danspiun/status/1491729193423589379</t>
  </si>
  <si>
    <t>UW0173</t>
  </si>
  <si>
    <t>https://bellingcat-archive.nyc3.cdn.digitaloceanspaces.com/Ukraine_Witness_Datasheet/Worksheet/youtube_dl_1491713890790608897.mp4</t>
  </si>
  <si>
    <t>2022-02-25T13:38:15+00:00</t>
  </si>
  <si>
    <t>https://bellingcat-archive.nyc3.cdn.digitaloceanspaces.com/Ukraine_Witness_Datasheet/Worksheet/youtube_dl__GirkinGirkin_status_14917138907906088972022-02-25T13:38:00.574474.png</t>
  </si>
  <si>
    <t>3816bad7ea79e4eb02f0b83b18e581b435006721385ec15f262ab10f345f5b4a</t>
  </si>
  <si>
    <t>https://bellingcat-archive.nyc3.cdn.digitaloceanspaces.com/Ukraine_Witness_Datasheet/Worksheet/youtube_dl_1491713890790608897/index.html</t>
  </si>
  <si>
    <t>2022-02-10T11:01:20+00:00</t>
  </si>
  <si>
    <t>Military convoy</t>
  </si>
  <si>
    <t>https://twitter.com/Danspiun/status/1491855160615833602</t>
  </si>
  <si>
    <t>UW0174</t>
  </si>
  <si>
    <t>2022-02-25T13:38:37+00:00</t>
  </si>
  <si>
    <t>https://bellingcat-archive.nyc3.cdn.digitaloceanspaces.com/Ukraine_Witness_Datasheet/Worksheet/youtube_dl__4emberlen_status_14917933840835747942022-02-25T13:38:19.179657.png</t>
  </si>
  <si>
    <t>Multiple Tanks stationed in field</t>
  </si>
  <si>
    <t>https://twitter.com/danvan71/status/1491516816849620997</t>
  </si>
  <si>
    <t>UW0175</t>
  </si>
  <si>
    <t>2022-02-25T13:38:52+00:00</t>
  </si>
  <si>
    <t>https://bellingcat-archive.nyc3.cdn.digitaloceanspaces.com/Ukraine_Witness_Datasheet/Worksheet/youtube_dl__4emberlen_status_14914181294149140482022-02-25T13:38:40.835427.png</t>
  </si>
  <si>
    <t>https://twitter.com/4emberlen/status/1491793997471240192</t>
  </si>
  <si>
    <t>Tanks being transported</t>
  </si>
  <si>
    <t>https://twitter.com/Danspiun/status/1491933218978807811</t>
  </si>
  <si>
    <t>Selikhovy Dvory</t>
  </si>
  <si>
    <t>UW0176</t>
  </si>
  <si>
    <t>https://bellingcat-archive.nyc3.cdn.digitaloceanspaces.com/Ukraine_Witness_Datasheet/Worksheet/youtube_dl_1491793997471240192.mp4</t>
  </si>
  <si>
    <t>2022-02-25T13:39:09+00:00</t>
  </si>
  <si>
    <t>https://bellingcat-archive.nyc3.cdn.digitaloceanspaces.com/Ukraine_Witness_Datasheet/Worksheet/youtube_dl__4emberlen_status_14917939974712401922022-02-25T13:38:58.262881.png</t>
  </si>
  <si>
    <t>af2eb64991ce10b23704f7d928367e3629bdd936861d299b3cc3ac708d0d30e0</t>
  </si>
  <si>
    <t>https://bellingcat-archive.nyc3.cdn.digitaloceanspaces.com/Ukraine_Witness_Datasheet/Worksheet/youtube_dl_1491793997471240192/index.html</t>
  </si>
  <si>
    <t>4emberlen - Курськ 09.02.2022 (їдуть і бік Белгорода)</t>
  </si>
  <si>
    <t>2022-02-10T16:19:39+00:00</t>
  </si>
  <si>
    <t>11/02/2022</t>
  </si>
  <si>
    <t>https://twitter.com/GirkinGirkin/status/1492024634199449606</t>
  </si>
  <si>
    <t>Logistical equipment parked in the side of the road</t>
  </si>
  <si>
    <t>https://twitter.com/gfusfus/status/1492111263329144835</t>
  </si>
  <si>
    <t>UW0177</t>
  </si>
  <si>
    <t>https://bellingcat-archive.nyc3.cdn.digitaloceanspaces.com/Ukraine_Witness_Datasheet/Worksheet/youtube_dl_1492024634199449606.mp4</t>
  </si>
  <si>
    <t>2022-02-25T13:39:27+00:00</t>
  </si>
  <si>
    <t>https://bellingcat-archive.nyc3.cdn.digitaloceanspaces.com/Ukraine_Witness_Datasheet/Worksheet/youtube_dl__GirkinGirkin_status_14920246341994496062022-02-25T13:39:15.787730.png</t>
  </si>
  <si>
    <t>c03d39a3fa2425dddc8c815df1abe39345e498e99f4aab37a45f138ba147fa85</t>
  </si>
  <si>
    <t>https://bellingcat-archive.nyc3.cdn.digitaloceanspaces.com/Ukraine_Witness_Datasheet/Worksheet/youtube_dl_1492024634199449606/index.html</t>
  </si>
  <si>
    <t>IgorGirkin - Веселая лопань, белгород</t>
  </si>
  <si>
    <t>2022-02-11T07:36:07+00:00</t>
  </si>
  <si>
    <t>https://twitter.com/GirkinGirkin/status/1491692861137502213</t>
  </si>
  <si>
    <t>Logistical equipment traveling within the town</t>
  </si>
  <si>
    <t>https://twitter.com/gfusfus/status/1491750464416792582</t>
  </si>
  <si>
    <t>Gorshechnoye</t>
  </si>
  <si>
    <t>UW0178</t>
  </si>
  <si>
    <t>https://bellingcat-archive.nyc3.cdn.digitaloceanspaces.com/Ukraine_Witness_Datasheet/Worksheet/youtube_dl_1491692861137502213.mp4</t>
  </si>
  <si>
    <t>2022-02-25T13:39:44+00:00</t>
  </si>
  <si>
    <t>https://bellingcat-archive.nyc3.cdn.digitaloceanspaces.com/Ukraine_Witness_Datasheet/Worksheet/youtube_dl__GirkinGirkin_status_14916928611375022132022-02-25T13:39:32.858464.png</t>
  </si>
  <si>
    <t>b1716e57e696e345ed21922bd8d78fe8d08d86a203d22acd4040a1e61c8e196a</t>
  </si>
  <si>
    <t>https://bellingcat-archive.nyc3.cdn.digitaloceanspaces.com/Ukraine_Witness_Datasheet/Worksheet/youtube_dl_1491692861137502213/index.html</t>
  </si>
  <si>
    <t>IgorGirkin - Горшечное, Курская обл</t>
  </si>
  <si>
    <t>2022-02-10T09:37:47+00:00</t>
  </si>
  <si>
    <t>https://twitter.com/MarQs__/status/1489951175424229383</t>
  </si>
  <si>
    <t>Tanks being moved by train</t>
  </si>
  <si>
    <t>https://twitter.com/Danspiun/status/1490658596933320709</t>
  </si>
  <si>
    <t>UW0179</t>
  </si>
  <si>
    <t>https://bellingcat-archive.nyc3.cdn.digitaloceanspaces.com/Ukraine_Witness_Datasheet/Worksheet/youtube_dl_1489951175424229383.mp4</t>
  </si>
  <si>
    <t>2022-02-25T13:40:00+00:00</t>
  </si>
  <si>
    <t>https://bellingcat-archive.nyc3.cdn.digitaloceanspaces.com/Ukraine_Witness_Datasheet/Worksheet/youtube_dl__MarQs___status_14899511754242293832022-02-25T13:39:49.079218.png</t>
  </si>
  <si>
    <t>https://bellingcat-archive.nyc3.cdn.digitaloceanspaces.com/Ukraine_Witness_Datasheet/Worksheet/youtube_dl_1489951175424229383/index.html</t>
  </si>
  <si>
    <t>marqs - Russian tanks in Kursk</t>
  </si>
  <si>
    <t>2022-02-05T14:16:56+00:00</t>
  </si>
  <si>
    <t>https://twitter.com/Michael1Sheldon/status/1489458618898739200</t>
  </si>
  <si>
    <t xml:space="preserve">Helicopter movement </t>
  </si>
  <si>
    <t>https://twitter.com/Michael1Sheldon/status/1489459217039831042</t>
  </si>
  <si>
    <t>Krasnaya Batareya</t>
  </si>
  <si>
    <t>UW0180</t>
  </si>
  <si>
    <t>https://bellingcat-archive.nyc3.cdn.digitaloceanspaces.com/Ukraine_Witness_Datasheet/Worksheet/youtube_dl_1489458618898739200.mp4</t>
  </si>
  <si>
    <t>2022-02-25T13:40:22+00:00</t>
  </si>
  <si>
    <t>https://bellingcat-archive.nyc3.cdn.digitaloceanspaces.com/Ukraine_Witness_Datasheet/Worksheet/youtube_dl__Michael1Sheldon_status_14894586188987392002022-02-25T13:40:09.085128.png</t>
  </si>
  <si>
    <t>063b7c0c6dcf6fab9df23123b4996abcc17e7989dff50237b6d17da6abdbc87e</t>
  </si>
  <si>
    <t>https://bellingcat-archive.nyc3.cdn.digitaloceanspaces.com/Ukraine_Witness_Datasheet/Worksheet/youtube_dl_1489458618898739200/index.html</t>
  </si>
  <si>
    <t>Michael Sheldon - Exercises in Krasnodar Krai.</t>
  </si>
  <si>
    <t>2022-02-04T05:39:42+00:00</t>
  </si>
  <si>
    <t>https://twitter.com/Michael1Sheldon/status/1489321944617005062</t>
  </si>
  <si>
    <t>https://twitter.com/Michael1Sheldon/status/1489322451880366082</t>
  </si>
  <si>
    <t>Pskov</t>
  </si>
  <si>
    <t>UW0181</t>
  </si>
  <si>
    <t>https://bellingcat-archive.nyc3.cdn.digitaloceanspaces.com/Ukraine_Witness_Datasheet/Worksheet/youtube_dl_1489321944617005062.mp4</t>
  </si>
  <si>
    <t>2022-02-25T13:40:41+00:00</t>
  </si>
  <si>
    <t>https://bellingcat-archive.nyc3.cdn.digitaloceanspaces.com/Ukraine_Witness_Datasheet/Worksheet/youtube_dl__Michael1Sheldon_status_14893219446170050622022-02-25T13:40:28.393712.png</t>
  </si>
  <si>
    <t>a8a64c04c86f5f3d65151cca326961e323d7abb55b107098314d399d9ccd6506</t>
  </si>
  <si>
    <t>https://bellingcat-archive.nyc3.cdn.digitaloceanspaces.com/Ukraine_Witness_Datasheet/Worksheet/youtube_dl_1489321944617005062/index.html</t>
  </si>
  <si>
    <t>Michael Sheldon - VDV in Pskov.</t>
  </si>
  <si>
    <t>2022-02-03T20:36:36+00:00</t>
  </si>
  <si>
    <t>https://twitter.com/Michael1Sheldon/status/1488755442914316288</t>
  </si>
  <si>
    <t>Logistics movement along the highway</t>
  </si>
  <si>
    <t>UW0182</t>
  </si>
  <si>
    <t>https://bellingcat-archive.nyc3.cdn.digitaloceanspaces.com/Ukraine_Witness_Datasheet/Worksheet/youtube_dl_1488755442914316288.mp4</t>
  </si>
  <si>
    <t>2022-02-25T13:41:12+00:00</t>
  </si>
  <si>
    <t>https://bellingcat-archive.nyc3.cdn.digitaloceanspaces.com/Ukraine_Witness_Datasheet/Worksheet/youtube_dl__Michael1Sheldon_status_14887554429143162882022-02-25T13:40:58.860717.png</t>
  </si>
  <si>
    <t>0d454c893e2aaaffc1c2b06705c5a8a581885861d5e08c2a608d06a4b4cdf672</t>
  </si>
  <si>
    <t>https://bellingcat-archive.nyc3.cdn.digitaloceanspaces.com/Ukraine_Witness_Datasheet/Worksheet/youtube_dl_1488755442914316288/index.html</t>
  </si>
  <si>
    <t>Michael Sheldon - Pontoon bridges spotted at the same location. Also headed in Rechitsa direction.</t>
  </si>
  <si>
    <t>2022-02-02T07:05:31+00:00</t>
  </si>
  <si>
    <t>https://twitter.com/Michael1Sheldon/status/1488745284243005442</t>
  </si>
  <si>
    <t xml:space="preserve">Movement of Krasukha-4 along the road </t>
  </si>
  <si>
    <t>https://twitter.com/Michael1Sheldon/status/1488746382328573954</t>
  </si>
  <si>
    <t>Dneprik</t>
  </si>
  <si>
    <t>Krasukha-4</t>
  </si>
  <si>
    <t>UW0183</t>
  </si>
  <si>
    <t>https://bellingcat-archive.nyc3.cdn.digitaloceanspaces.com/Ukraine_Witness_Datasheet/Worksheet/twitter__Michael1Sheldon_status_1488745284243005442.html</t>
  </si>
  <si>
    <t>2022-02-25T13:41:24+00:00</t>
  </si>
  <si>
    <t>https://bellingcat-archive.nyc3.cdn.digitaloceanspaces.com/Ukraine_Witness_Datasheet/Worksheet/twitter__Michael1Sheldon_status_14887452842430054422022-02-25T13:41:17.013346.png</t>
  </si>
  <si>
    <t>a20aeff77804c7d33a505aa950f29c33de92a3fd258160174030a2c11ae271d1</t>
  </si>
  <si>
    <t>https://twitter.com/MaksymOsint/status/1491187809184804867</t>
  </si>
  <si>
    <t>Tanks parked in the side of the road</t>
  </si>
  <si>
    <t>UW0184</t>
  </si>
  <si>
    <t>https://web.archive.org/web/20220225134308/https://twitter.com/MaksymOsint/status/1491187809184804867</t>
  </si>
  <si>
    <t>2022-02-25T13:43:24+00:00</t>
  </si>
  <si>
    <t>https://bellingcat-archive.nyc3.cdn.digitaloceanspaces.com/Ukraine_Witness_Datasheet/Worksheet/wayback__MaksymOsint_status_14911878091848048672022-02-25T13:43:16.061850.png</t>
  </si>
  <si>
    <t>Could not get title</t>
  </si>
  <si>
    <t>https://twitter.com/GirkinGirkin/status/1491443717055860736</t>
  </si>
  <si>
    <t>Tanks moved by Train</t>
  </si>
  <si>
    <t>https://twitter.com/Danspiun/status/1491462450226601986</t>
  </si>
  <si>
    <t>Belograd</t>
  </si>
  <si>
    <t>UW0185</t>
  </si>
  <si>
    <t>https://bellingcat-archive.nyc3.cdn.digitaloceanspaces.com/Ukraine_Witness_Datasheet/Worksheet/youtube_dl_1491443717055860736.mp4</t>
  </si>
  <si>
    <t>2022-02-25T13:43:44+00:00</t>
  </si>
  <si>
    <t>https://bellingcat-archive.nyc3.cdn.digitaloceanspaces.com/Ukraine_Witness_Datasheet/Worksheet/youtube_dl__GirkinGirkin_status_14914437170558607362022-02-25T13:43:32.156995.png</t>
  </si>
  <si>
    <t>990137df7b5ec40add9ee2b6b7b9ed62ed7eab6a081231dbd4c8c3b18a96ece9</t>
  </si>
  <si>
    <t>https://bellingcat-archive.nyc3.cdn.digitaloceanspaces.com/Ukraine_Witness_Datasheet/Worksheet/youtube_dl_1491443717055860736/index.html</t>
  </si>
  <si>
    <t>IgorGirkin - Новый оскол</t>
  </si>
  <si>
    <t>2022-02-09T17:07:46+00:00</t>
  </si>
  <si>
    <t>https://twitter.com/4emberlen/status/1491420490388631552</t>
  </si>
  <si>
    <t>https://twitter.com/Danspiun/status/1491443249336434688</t>
  </si>
  <si>
    <t>UW0186</t>
  </si>
  <si>
    <t>https://bellingcat-archive.nyc3.cdn.digitaloceanspaces.com/Ukraine_Witness_Datasheet/Worksheet/youtube_dl_1491420490388631552.mp4</t>
  </si>
  <si>
    <t>2022-02-25T13:44:03+00:00</t>
  </si>
  <si>
    <t>https://bellingcat-archive.nyc3.cdn.digitaloceanspaces.com/Ukraine_Witness_Datasheet/Worksheet/youtube_dl__4emberlen_status_14914204903886315522022-02-25T13:43:50.975046.png</t>
  </si>
  <si>
    <t>17df7602bc06ce14bbe5d8d79bdf542ab243c58d83c99081aa1b16b0ac7a4612</t>
  </si>
  <si>
    <t>https://bellingcat-archive.nyc3.cdn.digitaloceanspaces.com/Ukraine_Witness_Datasheet/Worksheet/youtube_dl_1491420490388631552/index.html</t>
  </si>
  <si>
    <t>4emberlen - Весела Лопань 07.02.2022</t>
  </si>
  <si>
    <t>2022-02-09T15:35:28+00:00</t>
  </si>
  <si>
    <t>https://twitter.com/4emberlen/status/1491363628486115332</t>
  </si>
  <si>
    <t>Heavy weaponry transported by train</t>
  </si>
  <si>
    <t>https://twitter.com/Danspiun/status/1491475661982253056</t>
  </si>
  <si>
    <t>9K330 Tor SORAD</t>
  </si>
  <si>
    <t>UW0187</t>
  </si>
  <si>
    <t>https://bellingcat-archive.nyc3.cdn.digitaloceanspaces.com/Ukraine_Witness_Datasheet/Worksheet/youtube_dl_1491363628486115332.mp4</t>
  </si>
  <si>
    <t>2022-02-25T13:44:23+00:00</t>
  </si>
  <si>
    <t>https://bellingcat-archive.nyc3.cdn.digitaloceanspaces.com/Ukraine_Witness_Datasheet/Worksheet/youtube_dl__4emberlen_status_14913636284861153322022-02-25T13:44:09.724637.png</t>
  </si>
  <si>
    <t>0041f7e947cc7bb24bf4bcce882a27012a316cddced1a5b27ae2c74cab58db63</t>
  </si>
  <si>
    <t>https://bellingcat-archive.nyc3.cdn.digitaloceanspaces.com/Ukraine_Witness_Datasheet/Worksheet/youtube_dl_1491363628486115332/index.html</t>
  </si>
  <si>
    <t>4emberlen - ржд 08.02.2022</t>
  </si>
  <si>
    <t>2022-02-09T11:49:31+00:00</t>
  </si>
  <si>
    <t>https://twitter.com/GirkinGirkin/status/1490746729439936515</t>
  </si>
  <si>
    <t>https://twitter.com/Danspiun/status/1491164295585222656</t>
  </si>
  <si>
    <t>UW0188</t>
  </si>
  <si>
    <t>https://bellingcat-archive.nyc3.cdn.digitaloceanspaces.com/Ukraine_Witness_Datasheet/Worksheet/youtube_dl_1490746729439936515.mp4</t>
  </si>
  <si>
    <t>2022-02-25T13:44:40+00:00</t>
  </si>
  <si>
    <t>https://bellingcat-archive.nyc3.cdn.digitaloceanspaces.com/Ukraine_Witness_Datasheet/Worksheet/youtube_dl__GirkinGirkin_status_14907467294399365152022-02-25T13:44:28.922584.png</t>
  </si>
  <si>
    <t>a68055e07f3402f90ae1e67de5ff2f09a3f1080cf5116f30a22baf6d420e555b</t>
  </si>
  <si>
    <t>https://bellingcat-archive.nyc3.cdn.digitaloceanspaces.com/Ukraine_Witness_Datasheet/Worksheet/youtube_dl_1490746729439936515/index.html</t>
  </si>
  <si>
    <t>2022-02-07T18:58:11+00:00</t>
  </si>
  <si>
    <t>https://twitter.com/GirkinGirkin/status/1490617911467196417</t>
  </si>
  <si>
    <t>https://twitter.com/Danspiun/status/1491111998314418176</t>
  </si>
  <si>
    <t>Novoshakhtinsk</t>
  </si>
  <si>
    <t>UW0189</t>
  </si>
  <si>
    <t>https://bellingcat-archive.nyc3.cdn.digitaloceanspaces.com/Ukraine_Witness_Datasheet/Worksheet/youtube_dl_1490617911467196417.mp4</t>
  </si>
  <si>
    <t>2022-02-25T13:45:01+00:00</t>
  </si>
  <si>
    <t>https://bellingcat-archive.nyc3.cdn.digitaloceanspaces.com/Ukraine_Witness_Datasheet/Worksheet/youtube_dl__GirkinGirkin_status_14906179114671964172022-02-25T13:44:45.160578.png</t>
  </si>
  <si>
    <t>57c9c2357708c3f3d94b6dd68516e749ce042bd9ef9d46f6203d1e7bde4f9050</t>
  </si>
  <si>
    <t>https://bellingcat-archive.nyc3.cdn.digitaloceanspaces.com/Ukraine_Witness_Datasheet/Worksheet/youtube_dl_1490617911467196417/index.html</t>
  </si>
  <si>
    <t>IgorGirkin - Новошахтинск, Ростовская обл  в комментах @gilbilpes:в Миллерово два эшелона выгрузили</t>
  </si>
  <si>
    <t>2022-02-07T10:26:19+00:00</t>
  </si>
  <si>
    <t>https://twitter.com/MarQs__/status/1490974832632025091</t>
  </si>
  <si>
    <t>Tanks parked on the side of the road</t>
  </si>
  <si>
    <t>https://twitter.com/Danspiun/status/1490989346635194368</t>
  </si>
  <si>
    <t>UW0190</t>
  </si>
  <si>
    <t>https://web.archive.org/web/20220225144637/https://twitter.com/MarQs__/status/1490974832632025091</t>
  </si>
  <si>
    <t>2022-02-25T14:48:38+00:00</t>
  </si>
  <si>
    <t>https://bellingcat-archive.nyc3.cdn.digitaloceanspaces.com/Ukraine_Witness_Datasheet/Worksheet/wayback__MarQs___status_14909748326320250912022-02-25T14:48:26.378864.png</t>
  </si>
  <si>
    <t>marqs on Twitter: "Military equipment unloading at Vesela Lopan in the Belgorod region, less than 20 km to the border with #Ukraine. In 2014, Russian Army also unloaded equipment there at the time troops went to Donbas (not from there)
https://t.co/b711ymewBZ" / Twitter</t>
  </si>
  <si>
    <t>https://twitter.com/GirkinGirkin/status/1489919918283935745</t>
  </si>
  <si>
    <t>Tanks transported by train</t>
  </si>
  <si>
    <t>https://twitter.com/Danspiun/status/1490663636364320769</t>
  </si>
  <si>
    <t>UW0191</t>
  </si>
  <si>
    <t>https://bellingcat-archive.nyc3.cdn.digitaloceanspaces.com/Ukraine_Witness_Datasheet/Worksheet/youtube_dl_1489919918283935745.mp4</t>
  </si>
  <si>
    <t>2022-02-25T13:47:01+00:00</t>
  </si>
  <si>
    <t>https://bellingcat-archive.nyc3.cdn.digitaloceanspaces.com/Ukraine_Witness_Datasheet/Worksheet/youtube_dl__GirkinGirkin_status_14899199182839357452022-02-25T13:46:49.584683.png</t>
  </si>
  <si>
    <t>a803c58b33db6ab9dd7ab0ebea70d8e288ee40905ad1f143c2f66a910ec01ef7</t>
  </si>
  <si>
    <t>https://bellingcat-archive.nyc3.cdn.digitaloceanspaces.com/Ukraine_Witness_Datasheet/Worksheet/youtube_dl_1489919918283935745/index.html</t>
  </si>
  <si>
    <t>2022-02-05T12:12:44+00:00</t>
  </si>
  <si>
    <t>https://twitter.com/GirkinGirkin/status/1492213193250324487</t>
  </si>
  <si>
    <t>Tanks transported by train and unloaded</t>
  </si>
  <si>
    <t>Levoberezhnyy Rayon</t>
  </si>
  <si>
    <t>Cross reference UW0190-91 and UW0195-96</t>
  </si>
  <si>
    <t>UW0192</t>
  </si>
  <si>
    <t>https://bellingcat-archive.nyc3.cdn.digitaloceanspaces.com/Ukraine_Witness_Datasheet/Worksheet/youtube_dl_1492213193250324487.mp4</t>
  </si>
  <si>
    <t>2022-02-25T13:47:26+00:00</t>
  </si>
  <si>
    <t>https://bellingcat-archive.nyc3.cdn.digitaloceanspaces.com/Ukraine_Witness_Datasheet/Worksheet/youtube_dl__GirkinGirkin_status_14922131932503244872022-02-25T13:47:13.762855.png</t>
  </si>
  <si>
    <t>480b12647189d34ee8ce08374dda03d003899492702870ace6648aa83f3eb2de</t>
  </si>
  <si>
    <t>https://bellingcat-archive.nyc3.cdn.digitaloceanspaces.com/Ukraine_Witness_Datasheet/Worksheet/youtube_dl_1492213193250324487/index.html</t>
  </si>
  <si>
    <t>2022-02-11T20:05:23+00:00</t>
  </si>
  <si>
    <t>https://twitter.com/GirkinGirkin/status/1492198065775722499</t>
  </si>
  <si>
    <t>UW0193</t>
  </si>
  <si>
    <t>https://bellingcat-archive.nyc3.cdn.digitaloceanspaces.com/Ukraine_Witness_Datasheet/Worksheet/youtube_dl_1492198065775722499.mp4</t>
  </si>
  <si>
    <t>2022-02-25T13:47:45+00:00</t>
  </si>
  <si>
    <t>https://bellingcat-archive.nyc3.cdn.digitaloceanspaces.com/Ukraine_Witness_Datasheet/Worksheet/youtube_dl__GirkinGirkin_status_14921980657757224992022-02-25T13:47:33.125051.png</t>
  </si>
  <si>
    <t>634c93b46bde64a6afba83746916c15916706dea0ad2d3b06f700d6face07cb7</t>
  </si>
  <si>
    <t>https://bellingcat-archive.nyc3.cdn.digitaloceanspaces.com/Ukraine_Witness_Datasheet/Worksheet/youtube_dl_1492198065775722499/index.html</t>
  </si>
  <si>
    <t>2022-02-11T19:05:17+00:00</t>
  </si>
  <si>
    <t>https://www.tiktok.com/@russkiivanja/video/7062583698213833985</t>
  </si>
  <si>
    <t>Convoy of trucks, fuel wagons, box-body vehicles and BTRs</t>
  </si>
  <si>
    <t>UW0194</t>
  </si>
  <si>
    <t>claimed by GirkinGirkin to be Valuyki</t>
  </si>
  <si>
    <t>https://bellingcat-archive.nyc3.cdn.digitaloceanspaces.com/Ukraine_Witness_Datasheet/Worksheet/tiktok_7062583698213833985.mp4</t>
  </si>
  <si>
    <t>2022-02-25T13:48:23+00:00</t>
  </si>
  <si>
    <t>https://bellingcat-archive.nyc3.cdn.digitaloceanspaces.com/Ukraine_Witness_Datasheet/Worksheet/tiktok__@russkiivanja_video_70625836982138339852022-02-25T13:48:13.265747.png</t>
  </si>
  <si>
    <t>e829146600e8b947cc43b9639b1b55ce7db27d8d19248373c46e010874d3ca43</t>
  </si>
  <si>
    <t>https://bellingcat-archive.nyc3.cdn.digitaloceanspaces.com/Ukraine_Witness_Datasheet/Worksheet/tiktok_7062583698213833985/index.html</t>
  </si>
  <si>
    <t>2022-02-09T06:51:50+00:00</t>
  </si>
  <si>
    <t>12/02/2022</t>
  </si>
  <si>
    <t>https://twitter.com/GirkinGirkin/status/1492416738595463169</t>
  </si>
  <si>
    <t>UW0195</t>
  </si>
  <si>
    <t>https://bellingcat-archive.nyc3.cdn.digitaloceanspaces.com/Ukraine_Witness_Datasheet/Worksheet/youtube_dl_1492416738595463169.mp4</t>
  </si>
  <si>
    <t>2022-02-25T13:48:41+00:00</t>
  </si>
  <si>
    <t>https://bellingcat-archive.nyc3.cdn.digitaloceanspaces.com/Ukraine_Witness_Datasheet/Worksheet/youtube_dl__GirkinGirkin_status_14924167385954631692022-02-25T13:48:29.412418.png</t>
  </si>
  <si>
    <t>b44f4108c6800201ffd8a87fe43ffe35e2bf9cc9a59f5f5027f36964c392fcd4</t>
  </si>
  <si>
    <t>https://bellingcat-archive.nyc3.cdn.digitaloceanspaces.com/Ukraine_Witness_Datasheet/Worksheet/youtube_dl_1492416738595463169/index.html</t>
  </si>
  <si>
    <t>2022-02-12T09:34:12+00:00</t>
  </si>
  <si>
    <t>https://twitter.com/GirkinGirkin/status/1492010307178410010</t>
  </si>
  <si>
    <t>Large amount of tanks stationed and unloaded</t>
  </si>
  <si>
    <t>UW0196</t>
  </si>
  <si>
    <t>https://bellingcat-archive.nyc3.cdn.digitaloceanspaces.com/Ukraine_Witness_Datasheet/Worksheet/youtube_dl_1492010307178410010.mp4</t>
  </si>
  <si>
    <t>2022-02-25T13:48:58+00:00</t>
  </si>
  <si>
    <t>https://bellingcat-archive.nyc3.cdn.digitaloceanspaces.com/Ukraine_Witness_Datasheet/Worksheet/youtube_dl__GirkinGirkin_status_14920103071784100102022-02-25T13:48:46.547660.png</t>
  </si>
  <si>
    <t>7ce32342593cefa2edef5fa6e91f5cced8d0c28170ee4d96131b1097e4fb10ae</t>
  </si>
  <si>
    <t>https://bellingcat-archive.nyc3.cdn.digitaloceanspaces.com/Ukraine_Witness_Datasheet/Worksheet/youtube_dl_1492010307178410010/index.html</t>
  </si>
  <si>
    <t>2022-02-11T06:39:12+00:00</t>
  </si>
  <si>
    <t>https://twitter.com/4emberlen/status/1491875067554373641</t>
  </si>
  <si>
    <t>Multiple tanks stuck</t>
  </si>
  <si>
    <t>https://twitter.com/InformNapalm/status/1492140212364976135</t>
  </si>
  <si>
    <t>UW0197</t>
  </si>
  <si>
    <t>https://bellingcat-archive.nyc3.cdn.digitaloceanspaces.com/Ukraine_Witness_Datasheet/Worksheet/youtube_dl_1491875067554373641.mp4</t>
  </si>
  <si>
    <t>2022-02-25T13:49:16+00:00</t>
  </si>
  <si>
    <t>https://bellingcat-archive.nyc3.cdn.digitaloceanspaces.com/Ukraine_Witness_Datasheet/Worksheet/youtube_dl__4emberlen_status_14918750675543736412022-02-25T13:49:04.597190.png</t>
  </si>
  <si>
    <t>0c8e8e9b12c53639a6383719022383850a85d77fc1fb3990653273b770a3d3a2</t>
  </si>
  <si>
    <t>https://bellingcat-archive.nyc3.cdn.digitaloceanspaces.com/Ukraine_Witness_Datasheet/Worksheet/youtube_dl_1491875067554373641/index.html</t>
  </si>
  <si>
    <t>4emberlen - Щось пішло трохи не за планом ;) 10.02.2022 (ймовірно Ростовська обл.)</t>
  </si>
  <si>
    <t>2022-02-10T21:41:48+00:00</t>
  </si>
  <si>
    <t>https://twitter.com/GirkinGirkin/status/1492288109454802951</t>
  </si>
  <si>
    <t>Cross reference UW0190</t>
  </si>
  <si>
    <t>UW0198</t>
  </si>
  <si>
    <t>https://bellingcat-archive.nyc3.cdn.digitaloceanspaces.com/Ukraine_Witness_Datasheet/Worksheet/youtube_dl_1492288109454802951.mp4</t>
  </si>
  <si>
    <t>2022-02-25T13:49:34+00:00</t>
  </si>
  <si>
    <t>https://bellingcat-archive.nyc3.cdn.digitaloceanspaces.com/Ukraine_Witness_Datasheet/Worksheet/youtube_dl__GirkinGirkin_status_14922881094548029512022-02-25T13:49:22.301572.png</t>
  </si>
  <si>
    <t>96c76b474f34d126dbce0f321c7c356b865d921d9e05588b2b87f5db193d0341</t>
  </si>
  <si>
    <t>https://bellingcat-archive.nyc3.cdn.digitaloceanspaces.com/Ukraine_Witness_Datasheet/Worksheet/youtube_dl_1492288109454802951/index.html</t>
  </si>
  <si>
    <t>2022-02-12T01:03:05+00:00</t>
  </si>
  <si>
    <t>https://twitter.com/GirkinGirkin/status/1492301252646129664</t>
  </si>
  <si>
    <t>Heavy military equipment on the move</t>
  </si>
  <si>
    <t>https://twitter.com/danvan71/status/1492305518840397829</t>
  </si>
  <si>
    <t>Novozybkov</t>
  </si>
  <si>
    <t>UW0199</t>
  </si>
  <si>
    <t>https://bellingcat-archive.nyc3.cdn.digitaloceanspaces.com/Ukraine_Witness_Datasheet/Worksheet/youtube_dl_1492301252646129664.mp4</t>
  </si>
  <si>
    <t>2022-02-25T13:49:50+00:00</t>
  </si>
  <si>
    <t>https://bellingcat-archive.nyc3.cdn.digitaloceanspaces.com/Ukraine_Witness_Datasheet/Worksheet/youtube_dl__GirkinGirkin_status_14923012526461296642022-02-25T13:49:38.622344.png</t>
  </si>
  <si>
    <t>c5a39972407fa7739964494db9337efe363e8b3e20869f6594d073da98ce815e</t>
  </si>
  <si>
    <t>https://bellingcat-archive.nyc3.cdn.digitaloceanspaces.com/Ukraine_Witness_Datasheet/Worksheet/youtube_dl_1492301252646129664/index.html</t>
  </si>
  <si>
    <t>IgorGirkin - Брянская обл</t>
  </si>
  <si>
    <t>2022-02-12T01:55:18+00:00</t>
  </si>
  <si>
    <t>https://twitter.com/MotolkoHelp/status/1492198592580407297</t>
  </si>
  <si>
    <t>Russian miliary camp</t>
  </si>
  <si>
    <t>https://twitter.com/danvan71/status/1492285208288235522</t>
  </si>
  <si>
    <t>Pribytki</t>
  </si>
  <si>
    <t>UW0200</t>
  </si>
  <si>
    <t>https://bellingcat-archive.nyc3.cdn.digitaloceanspaces.com/Ukraine_Witness_Datasheet/Worksheet/youtube_dl_1492198592580407297.mp4</t>
  </si>
  <si>
    <t>2022-02-25T13:50:06+00:00</t>
  </si>
  <si>
    <t>https://bellingcat-archive.nyc3.cdn.digitaloceanspaces.com/Ukraine_Witness_Datasheet/Worksheet/youtube_dl__MotolkoHelp_status_14921985925804072972022-02-25T13:49:54.904230.png</t>
  </si>
  <si>
    <t>94603bcafe096053f7e5d8e2d7ec557df34d3eb239d965748cf3a433b948ab17</t>
  </si>
  <si>
    <t>https://bellingcat-archive.nyc3.cdn.digitaloceanspaces.com/Ukraine_Witness_Datasheet/Worksheet/youtube_dl_1492198592580407297/index.html</t>
  </si>
  <si>
    <t>MotolkoHelp - Russian military camp 10 km from Gomel (Belarus). It’s reported that this video was shot at the Ziabrauka airfield, an abandoned military base of the strategic aviation of the USSR, which is located in the Gomel region, Belarus. Video: 1/2</t>
  </si>
  <si>
    <t>2022-02-11T19:07:22+00:00</t>
  </si>
  <si>
    <t>13/02/2022</t>
  </si>
  <si>
    <t>https://twitter.com/4emberlen/status/1493153776341028866</t>
  </si>
  <si>
    <t>Tanks loaded on train</t>
  </si>
  <si>
    <t>https://twitter.com/4emberlen/status/1491420746484416524</t>
  </si>
  <si>
    <t>UW0201</t>
  </si>
  <si>
    <t>https://bellingcat-archive.nyc3.cdn.digitaloceanspaces.com/Ukraine_Witness_Datasheet/Worksheet/youtube_dl_1493153776341028866.mp4</t>
  </si>
  <si>
    <t>2022-02-25T13:50:24+00:00</t>
  </si>
  <si>
    <t>https://bellingcat-archive.nyc3.cdn.digitaloceanspaces.com/Ukraine_Witness_Datasheet/Worksheet/youtube_dl__4emberlen_status_14931537763410288662022-02-25T13:50:11.944761.png</t>
  </si>
  <si>
    <t>07ccf32ba44ff9435d445e13f5ee7e7100118354fcccdf3d06df5bccb05558c7</t>
  </si>
  <si>
    <t>https://bellingcat-archive.nyc3.cdn.digitaloceanspaces.com/Ukraine_Witness_Datasheet/Worksheet/youtube_dl_1493153776341028866/index.html</t>
  </si>
  <si>
    <t>4emberlen - Вороніж 13.02.2022</t>
  </si>
  <si>
    <t>2022-02-14T10:22:56+00:00</t>
  </si>
  <si>
    <t>https://twitter.com/Michael1Sheldon/status/1492329248052420610</t>
  </si>
  <si>
    <t>Tanks in field</t>
  </si>
  <si>
    <t>https://twitter.com/Michael1Sheldon/status/1492330368770392073</t>
  </si>
  <si>
    <t>Cross reference UW0206</t>
  </si>
  <si>
    <t>UW0202</t>
  </si>
  <si>
    <t>Equipement</t>
  </si>
  <si>
    <t>https://bellingcat-archive.nyc3.cdn.digitaloceanspaces.com/Ukraine_Witness_Datasheet/Worksheet/youtube_dl_1492329248052420610.mp4</t>
  </si>
  <si>
    <t>2022-02-25T13:50:51+00:00</t>
  </si>
  <si>
    <t>https://bellingcat-archive.nyc3.cdn.digitaloceanspaces.com/Ukraine_Witness_Datasheet/Worksheet/youtube_dl__Michael1Sheldon_status_14923292480524206102022-02-25T13:50:38.656985.png</t>
  </si>
  <si>
    <t>016b24dcf796eead5fe9a7d05b3a5a706b691380ed236568ab1b7e69e1d08305</t>
  </si>
  <si>
    <t>https://bellingcat-archive.nyc3.cdn.digitaloceanspaces.com/Ukraine_Witness_Datasheet/Worksheet/youtube_dl_1492329248052420610/index.html</t>
  </si>
  <si>
    <t>Michael Sheldon - 2S3, BM-21 outside of Bakhchisaray, Crimea.</t>
  </si>
  <si>
    <t>2022-02-12T03:46:33+00:00</t>
  </si>
  <si>
    <t>https://twitter.com/Michael1Sheldon/status/1492329377048244228</t>
  </si>
  <si>
    <t>UW0203</t>
  </si>
  <si>
    <t>https://bellingcat-archive.nyc3.cdn.digitaloceanspaces.com/Ukraine_Witness_Datasheet/Worksheet/youtube_dl_1492329377048244228.mp4</t>
  </si>
  <si>
    <t>2022-02-25T13:51:10+00:00</t>
  </si>
  <si>
    <t>https://bellingcat-archive.nyc3.cdn.digitaloceanspaces.com/Ukraine_Witness_Datasheet/Worksheet/youtube_dl__Michael1Sheldon_status_14923293770482442282022-02-25T13:50:57.738233.png</t>
  </si>
  <si>
    <t>518f1178cfed42f9f955e10127467b42007f54450cb4d5c00b21be4fe29922c0</t>
  </si>
  <si>
    <t>https://bellingcat-archive.nyc3.cdn.digitaloceanspaces.com/Ukraine_Witness_Datasheet/Worksheet/youtube_dl_1492329377048244228/index.html</t>
  </si>
  <si>
    <t>Michael Sheldon - https://t.co/sVA9NUqEoM</t>
  </si>
  <si>
    <t>2022-02-12T03:47:04+00:00</t>
  </si>
  <si>
    <t>https://www.tiktok.com/@r_e_g_i_o_n_5_7/video/7063819874723695873?_r=1&amp;_t=8PoNmoFB7DK&amp;is_copy_url=1&amp;is_from_webapp=v1</t>
  </si>
  <si>
    <t>Mokhovoe</t>
  </si>
  <si>
    <t>UW0204</t>
  </si>
  <si>
    <t>wayback: Internet Archive failed: {'status': 'error', 'message': 'The server cannot find the requested resource https://www.tiktok.com/@r_e_g_i_o_n_5_7/video/7063819874723695873?_r=1&amp;_t=8PoNmoFB7DK&amp;is_copy_url=1&amp;is_from_webapp=v1 (HTTP status=404).', 'job_id': 'spn2-5e6e95a04cdd548fdee79aa442eded9119a1173d-34f8e298', 'status_ext': 'error:not-found', 'duration_sec': 23.596, 'resources': []}</t>
  </si>
  <si>
    <t>2022-02-25T13:52:49+00:00</t>
  </si>
  <si>
    <t>https://twitter.com/herooftheday10/status/1492557954301759494</t>
  </si>
  <si>
    <t>Alexeyevka</t>
  </si>
  <si>
    <t>UW0205</t>
  </si>
  <si>
    <t>https://web.archive.org/web/20220225135416/https://twitter.com/herooftheday10/status/1492557954301759494</t>
  </si>
  <si>
    <t>2022-02-25T13:54:35+00:00</t>
  </si>
  <si>
    <t>https://bellingcat-archive.nyc3.cdn.digitaloceanspaces.com/Ukraine_Witness_Datasheet/Worksheet/wayback__herooftheday10_status_14925579543017594942022-02-25T13:54:26.729961.png</t>
  </si>
  <si>
    <t>ЄС_EU_UA_NATO_USA_יִשְׂרָאֵל🇮🇱🇺🇦🇺🇸🇪🇺🇬🇧 on Twitter: "Алексеевка, 25 км до Украины, сегодня прибыл состав. Ну ну, где же вам похороним руские?… "</t>
  </si>
  <si>
    <t>https://twitter.com/herooftheday10/status/1492568241448923140</t>
  </si>
  <si>
    <t>Cross reference UW0202-3</t>
  </si>
  <si>
    <t>UW0206</t>
  </si>
  <si>
    <t>https://web.archive.org/web/20220225135551/https://twitter.com/herooftheday10/status/1492568241448923140</t>
  </si>
  <si>
    <t>2022-02-25T13:56:12+00:00</t>
  </si>
  <si>
    <t>https://bellingcat-archive.nyc3.cdn.digitaloceanspaces.com/Ukraine_Witness_Datasheet/Worksheet/wayback__herooftheday10_status_14925682414489231402022-02-25T13:56:03.681219.png</t>
  </si>
  <si>
    <t>ЄС_EU_UA_NATO_USA_יִשְׂרָאֵל🇮🇱🇺🇦🇺🇸🇪🇺🇬🇧 on Twitter: "Крым… "</t>
  </si>
  <si>
    <t>https://twitter.com/GirkinGirkin/status/1492599809320144896</t>
  </si>
  <si>
    <t>Helicopters stationed in field</t>
  </si>
  <si>
    <t>UW0207</t>
  </si>
  <si>
    <t>https://bellingcat-archive.nyc3.cdn.digitaloceanspaces.com/Ukraine_Witness_Datasheet/Worksheet/youtube_dl_1492599809320144896.mp4</t>
  </si>
  <si>
    <t>2022-02-25T13:56:29+00:00</t>
  </si>
  <si>
    <t>https://bellingcat-archive.nyc3.cdn.digitaloceanspaces.com/Ukraine_Witness_Datasheet/Worksheet/youtube_dl__GirkinGirkin_status_14925998093201448962022-02-25T13:56:18.098582.png</t>
  </si>
  <si>
    <t>ef75c439defd3960efda52445e5427aea7ecb3ab61358ef7afcca4bdb483a602</t>
  </si>
  <si>
    <t>https://bellingcat-archive.nyc3.cdn.digitaloceanspaces.com/Ukraine_Witness_Datasheet/Worksheet/youtube_dl_1492599809320144896/index.html</t>
  </si>
  <si>
    <t>2022-02-12T21:41:40+00:00</t>
  </si>
  <si>
    <t>https://twitter.com/GirkinGirkin/status/1492707422938533888</t>
  </si>
  <si>
    <t>Helicopters landing in field</t>
  </si>
  <si>
    <t>UW0208</t>
  </si>
  <si>
    <t>https://bellingcat-archive.nyc3.cdn.digitaloceanspaces.com/Ukraine_Witness_Datasheet/Worksheet/youtube_dl_1492707422938533888.mp4</t>
  </si>
  <si>
    <t>2022-02-25T13:56:46+00:00</t>
  </si>
  <si>
    <t>https://bellingcat-archive.nyc3.cdn.digitaloceanspaces.com/Ukraine_Witness_Datasheet/Worksheet/youtube_dl__GirkinGirkin_status_14927074229385338882022-02-25T13:56:35.203531.png</t>
  </si>
  <si>
    <t>f77a7756fbd56dcc497456d375a2aaca1519f469dac9425864d803c98385adf4</t>
  </si>
  <si>
    <t>https://bellingcat-archive.nyc3.cdn.digitaloceanspaces.com/Ukraine_Witness_Datasheet/Worksheet/youtube_dl_1492707422938533888/index.html</t>
  </si>
  <si>
    <t>2022-02-13T04:49:17+00:00</t>
  </si>
  <si>
    <t>https://twitter.com/JC_Monitoring/status/1492465543533711362</t>
  </si>
  <si>
    <t>Train with military equipment</t>
  </si>
  <si>
    <t>https://twitter.com/JC_Monitoring/status/1492467652580806657</t>
  </si>
  <si>
    <t>Zalegoshchensky</t>
  </si>
  <si>
    <t>Zolotaryovo</t>
  </si>
  <si>
    <t>UW0209</t>
  </si>
  <si>
    <t>https://bellingcat-archive.nyc3.cdn.digitaloceanspaces.com/Ukraine_Witness_Datasheet/Worksheet/youtube_dl_1492465543533711362.mp4</t>
  </si>
  <si>
    <t>2022-02-25T13:57:04+00:00</t>
  </si>
  <si>
    <t>https://bellingcat-archive.nyc3.cdn.digitaloceanspaces.com/Ukraine_Witness_Datasheet/Worksheet/youtube_dl__JC_Monitoring_status_14924655435337113622022-02-25T13:56:52.803917.png</t>
  </si>
  <si>
    <t>f852482c2697560431d298d120ccfa763e89e522bb5ac639bc0a1bbe6bda0499</t>
  </si>
  <si>
    <t>https://bellingcat-archive.nyc3.cdn.digitaloceanspaces.com/Ukraine_Witness_Datasheet/Worksheet/youtube_dl_1492465543533711362/index.html</t>
  </si>
  <si>
    <t>JC_Monitoring - Same person posted more footage of utility and logistic vehicles at the same time from the same location near the crossing</t>
  </si>
  <si>
    <t>2022-02-12T12:48:08+00:00</t>
  </si>
  <si>
    <t>https://twitter.com/danvan71/status/1492871476751613952</t>
  </si>
  <si>
    <t>Convoy of military equipment</t>
  </si>
  <si>
    <t>UW0210</t>
  </si>
  <si>
    <t>https://bellingcat-archive.nyc3.cdn.digitaloceanspaces.com/Ukraine_Witness_Datasheet/Worksheet/youtube_dl_1492871476751613952.mp4</t>
  </si>
  <si>
    <t>2022-02-25T13:57:26+00:00</t>
  </si>
  <si>
    <t>https://bellingcat-archive.nyc3.cdn.digitaloceanspaces.com/Ukraine_Witness_Datasheet/Worksheet/youtube_dl__danvan71_status_14928714767516139522022-02-25T13:57:12.377380.png</t>
  </si>
  <si>
    <t>a6b62500d3f18899010304fb2abe267a925edf82e0f3bf158de1f31b3a884e94</t>
  </si>
  <si>
    <t>https://bellingcat-archive.nyc3.cdn.digitaloceanspaces.com/Ukraine_Witness_Datasheet/Worksheet/youtube_dl_1492871476751613952/index.html</t>
  </si>
  <si>
    <t>Danvan - Білорусь, М10 52.29097555606983, 30.452764160864724 колона на мосту в напрямку Лоєв у південному напрямку, зустрічна колона на захід по М10 від Гомеля</t>
  </si>
  <si>
    <t>2022-02-13T15:41:10+00:00</t>
  </si>
  <si>
    <t>https://twitter.com/danvan71/status/1492871991082340357</t>
  </si>
  <si>
    <t>UW0211</t>
  </si>
  <si>
    <t>https://bellingcat-archive.nyc3.cdn.digitaloceanspaces.com/Ukraine_Witness_Datasheet/Worksheet/youtube_dl_1492871991082340357.mp4</t>
  </si>
  <si>
    <t>2022-02-25T13:57:42+00:00</t>
  </si>
  <si>
    <t>https://bellingcat-archive.nyc3.cdn.digitaloceanspaces.com/Ukraine_Witness_Datasheet/Worksheet/youtube_dl__danvan71_status_14928719910823403572022-02-25T13:57:31.361096.png</t>
  </si>
  <si>
    <t>c9b70b324178b7ff21641b63ceaf874d1fcafbd1f636c171506ea00a870614f5</t>
  </si>
  <si>
    <t>https://bellingcat-archive.nyc3.cdn.digitaloceanspaces.com/Ukraine_Witness_Datasheet/Worksheet/youtube_dl_1492871991082340357/index.html</t>
  </si>
  <si>
    <t>Danvan - Продовженя: догнали зустрічну колону, вона рушила  від М10 52.289885971803685, 30.36133968835924  в напрямку Хойники за 1,6км по цій дорозі з'їзд в польовий табір 52.27123418996038, 30.3725968937526 колона їде з напрямку Гомеля</t>
  </si>
  <si>
    <t>2022-02-13T15:43:13+00:00</t>
  </si>
  <si>
    <t>https://twitter.com/Michael1Sheldon/status/1492886621573812233</t>
  </si>
  <si>
    <t>https://twitter.com/Michael1Sheldon/status/1492886012082728961</t>
  </si>
  <si>
    <t>UW0212</t>
  </si>
  <si>
    <t>https://bellingcat-archive.nyc3.cdn.digitaloceanspaces.com/Ukraine_Witness_Datasheet/Worksheet/twitter__Michael1Sheldon_status_1492886621573812233.html</t>
  </si>
  <si>
    <t>2022-02-25T13:57:56+00:00</t>
  </si>
  <si>
    <t>https://bellingcat-archive.nyc3.cdn.digitaloceanspaces.com/Ukraine_Witness_Datasheet/Worksheet/twitter__Michael1Sheldon_status_14928866215738122332022-02-25T13:57:47.609698.png</t>
  </si>
  <si>
    <t>7ea981419f416e826ee48bdc829331846067d7bb05b72310da450cf2dce5b7a1</t>
  </si>
  <si>
    <t>https://twitter.com/GirkinGirkin/status/1492462835787513856</t>
  </si>
  <si>
    <t>Military lorrys driving through Oryol</t>
  </si>
  <si>
    <t>https://twitter.com/bobmoretti/status/1492470026007310336</t>
  </si>
  <si>
    <t>UW0213</t>
  </si>
  <si>
    <t>https://bellingcat-archive.nyc3.cdn.digitaloceanspaces.com/Ukraine_Witness_Datasheet/Worksheet/youtube_dl_1492462835787513856.mp4</t>
  </si>
  <si>
    <t>2022-02-25T13:58:13+00:00</t>
  </si>
  <si>
    <t>https://bellingcat-archive.nyc3.cdn.digitaloceanspaces.com/Ukraine_Witness_Datasheet/Worksheet/youtube_dl__GirkinGirkin_status_14924628357875138562022-02-25T13:58:01.758704.png</t>
  </si>
  <si>
    <t>aed913f22fc8adafc8636c63ca984fb6eab1ad4b7cc351e6ffd03049a60a1252</t>
  </si>
  <si>
    <t>https://bellingcat-archive.nyc3.cdn.digitaloceanspaces.com/Ukraine_Witness_Datasheet/Worksheet/youtube_dl_1492462835787513856/index.html</t>
  </si>
  <si>
    <t>2022-02-12T12:37:23+00:00</t>
  </si>
  <si>
    <t>https://twitter.com/JC_Monitoring/status/1492909267413778437</t>
  </si>
  <si>
    <t xml:space="preserve">Lorrys in convoys with police vehicles </t>
  </si>
  <si>
    <t>https://twitter.com/JC_Monitoring/status/1492909713348079617</t>
  </si>
  <si>
    <t xml:space="preserve">Novaya Pershina, </t>
  </si>
  <si>
    <t>UW0214</t>
  </si>
  <si>
    <t>https://bellingcat-archive.nyc3.cdn.digitaloceanspaces.com/Ukraine_Witness_Datasheet/Worksheet/youtube_dl_1492909267413778437.mp4</t>
  </si>
  <si>
    <t>2022-02-25T13:58:30+00:00</t>
  </si>
  <si>
    <t>https://bellingcat-archive.nyc3.cdn.digitaloceanspaces.com/Ukraine_Witness_Datasheet/Worksheet/youtube_dl__JC_Monitoring_status_14929092674137784372022-02-25T13:58:18.865393.png</t>
  </si>
  <si>
    <t>e5ddd1a4bb25c444931cd727c892baf3c5f0f01d23f8d92305538c4f60ed4866</t>
  </si>
  <si>
    <t>https://bellingcat-archive.nyc3.cdn.digitaloceanspaces.com/Ukraine_Witness_Datasheet/Worksheet/youtube_dl_1492909267413778437/index.html</t>
  </si>
  <si>
    <t>JC_Monitoring - Russian military convoy spotted in Novaya Pershina, Kursk Oblast, Russia 52.07938392, 35.1289755</t>
  </si>
  <si>
    <t>2022-02-13T18:11:20+00:00</t>
  </si>
  <si>
    <t>https://twitter.com/JC_Monitoring/status/1492924097826803717</t>
  </si>
  <si>
    <t xml:space="preserve">Trains carring BMP3s </t>
  </si>
  <si>
    <t>Zhlobin</t>
  </si>
  <si>
    <t>VDV BMD-4M and BTR-MDM BMP3</t>
  </si>
  <si>
    <t>UW0215</t>
  </si>
  <si>
    <t>Equiment</t>
  </si>
  <si>
    <t>Russia/Belarus</t>
  </si>
  <si>
    <t>https://bellingcat-archive.nyc3.cdn.digitaloceanspaces.com/Ukraine_Witness_Datasheet/Worksheet/youtube_dl_1492924097826803717.mp4</t>
  </si>
  <si>
    <t>2022-02-25T13:58:49+00:00</t>
  </si>
  <si>
    <t>https://bellingcat-archive.nyc3.cdn.digitaloceanspaces.com/Ukraine_Witness_Datasheet/Worksheet/youtube_dl__JC_Monitoring_status_14929240978268037172022-02-25T13:58:37.202893.png</t>
  </si>
  <si>
    <t>cede75cf959e534da2214fccd8ed6bfccce5f824153f5acbfef694284e68fd24</t>
  </si>
  <si>
    <t>https://bellingcat-archive.nyc3.cdn.digitaloceanspaces.com/Ukraine_Witness_Datasheet/Worksheet/youtube_dl_1492924097826803717/index.html</t>
  </si>
  <si>
    <t>JC_Monitoring - Russian military hardware including approx 14x BMP-3 and 10x BTR-MDM spotted in Zhlobin, Belarus 52.89015821, 30.03663043</t>
  </si>
  <si>
    <t>2022-02-13T19:10:16+00:00</t>
  </si>
  <si>
    <t>https://twitter.com/Idzanagi4/status/1492818036482621441</t>
  </si>
  <si>
    <t>Tanks at train station and equipment arriving</t>
  </si>
  <si>
    <t>BMP3 on train</t>
  </si>
  <si>
    <t>UW0216</t>
  </si>
  <si>
    <t>y</t>
  </si>
  <si>
    <t>https://bellingcat-archive.nyc3.cdn.digitaloceanspaces.com/Ukraine_Witness_Datasheet/Worksheet/youtube_dl_1492818036482621441.mp4</t>
  </si>
  <si>
    <t>2022-02-25T13:59:11+00:00</t>
  </si>
  <si>
    <t>https://bellingcat-archive.nyc3.cdn.digitaloceanspaces.com/Ukraine_Witness_Datasheet/Worksheet/youtube_dl__Idzanagi4_status_14928180364826214412022-02-25T13:58:56.876108.png</t>
  </si>
  <si>
    <t>2e31d935d89e5cbdfc2bdacb1d7f96cd3342c03ddedae8898485cffdda5ba5e3</t>
  </si>
  <si>
    <t>https://bellingcat-archive.nyc3.cdn.digitaloceanspaces.com/Ukraine_Witness_Datasheet/Worksheet/youtube_dl_1492818036482621441/index.html</t>
  </si>
  <si>
    <t>Идзанаги 🇺🇦 🇰🇿 - Опубліковано 06.02.2022.  Новозибков, Брянська обл. місце зйомки: 52.52383860485062, 31.948376089631623  На тралах забирають БМП-2, ймовірно 74-ї ОМСБр РФ.</t>
  </si>
  <si>
    <t>2022-02-13T12:08:49+00:00</t>
  </si>
  <si>
    <t>https://twitter.com/GirkinGirkin/status/1489895328136536068</t>
  </si>
  <si>
    <t>https://twitter.com/danvan71/status/1489922341538877450</t>
  </si>
  <si>
    <t>UW0217</t>
  </si>
  <si>
    <t>https://bellingcat-archive.nyc3.cdn.digitaloceanspaces.com/Ukraine_Witness_Datasheet/Worksheet/youtube_dl_1489895328136536068.mp4</t>
  </si>
  <si>
    <t>2022-02-25T13:59:34+00:00</t>
  </si>
  <si>
    <t>https://bellingcat-archive.nyc3.cdn.digitaloceanspaces.com/Ukraine_Witness_Datasheet/Worksheet/youtube_dl__GirkinGirkin_status_14898953281365360682022-02-25T13:59:20.355978.png</t>
  </si>
  <si>
    <t>e1bf8d735a63057b1fc0a986ebe024caa75742e942986322c9b48b2c40e178be</t>
  </si>
  <si>
    <t>https://bellingcat-archive.nyc3.cdn.digitaloceanspaces.com/Ukraine_Witness_Datasheet/Worksheet/youtube_dl_1489895328136536068/index.html</t>
  </si>
  <si>
    <t>2022-02-05T10:35:01+00:00</t>
  </si>
  <si>
    <t>https://twitter.com/GirkinGirkin/status/1489894764577230851</t>
  </si>
  <si>
    <t>Tanks at train station</t>
  </si>
  <si>
    <t>https://twitter.com/Danspiun/status/1489936974257471490</t>
  </si>
  <si>
    <t>UW0218</t>
  </si>
  <si>
    <t>https://bellingcat-archive.nyc3.cdn.digitaloceanspaces.com/Ukraine_Witness_Datasheet/Worksheet/youtube_dl_1489894764577230851.mp4</t>
  </si>
  <si>
    <t>2022-02-25T13:59:51+00:00</t>
  </si>
  <si>
    <t>https://bellingcat-archive.nyc3.cdn.digitaloceanspaces.com/Ukraine_Witness_Datasheet/Worksheet/youtube_dl__GirkinGirkin_status_14898947645772308512022-02-25T13:59:40.059358.png</t>
  </si>
  <si>
    <t>ccc203dc7d0ec16d1c61ec18e02e7096aab1bffb3c9edc683472fd69e0808f18</t>
  </si>
  <si>
    <t>https://bellingcat-archive.nyc3.cdn.digitaloceanspaces.com/Ukraine_Witness_Datasheet/Worksheet/youtube_dl_1489894764577230851/index.html</t>
  </si>
  <si>
    <t>2022-02-05T10:32:47+00:00</t>
  </si>
  <si>
    <t>https://twitter.com/4emberlen/status/1493010561189269506</t>
  </si>
  <si>
    <t>Tanks transported on the highway</t>
  </si>
  <si>
    <t>https://twitter.com/gfusfus/status/1493014484616728576</t>
  </si>
  <si>
    <t>UW0219</t>
  </si>
  <si>
    <t>https://bellingcat-archive.nyc3.cdn.digitaloceanspaces.com/Ukraine_Witness_Datasheet/Worksheet/youtube_dl_1493010561189269506.mp4</t>
  </si>
  <si>
    <t>2022-02-25T14:00:10+00:00</t>
  </si>
  <si>
    <t>https://bellingcat-archive.nyc3.cdn.digitaloceanspaces.com/Ukraine_Witness_Datasheet/Worksheet/youtube_dl__4emberlen_status_14930105611892695062022-02-25T13:59:58.131844.png</t>
  </si>
  <si>
    <t>cc7f7a9d9e32440bbff2ef783201ca0af9181db95719111101b7b454fe90f83d</t>
  </si>
  <si>
    <t>https://bellingcat-archive.nyc3.cdn.digitaloceanspaces.com/Ukraine_Witness_Datasheet/Worksheet/youtube_dl_1493010561189269506/index.html</t>
  </si>
  <si>
    <t>4emberlen - Крим 13.02.2022</t>
  </si>
  <si>
    <t>2022-02-14T00:53:51+00:00</t>
  </si>
  <si>
    <t>Or</t>
  </si>
  <si>
    <t>https://twitter.com/4emberlen/status/1493002715412189186</t>
  </si>
  <si>
    <t>Logistics and weaponry transported on highway</t>
  </si>
  <si>
    <t>https://twitter.com/gfusfus/status/1493009068964855814</t>
  </si>
  <si>
    <t>Privolnyi</t>
  </si>
  <si>
    <t>UW0220</t>
  </si>
  <si>
    <t>https://bellingcat-archive.nyc3.cdn.digitaloceanspaces.com/Ukraine_Witness_Datasheet/Worksheet/youtube_dl_1493002715412189186.mp4</t>
  </si>
  <si>
    <t>2022-02-25T14:00:31+00:00</t>
  </si>
  <si>
    <t>https://bellingcat-archive.nyc3.cdn.digitaloceanspaces.com/Ukraine_Witness_Datasheet/Worksheet/youtube_dl__4emberlen_status_14930027154121891862022-02-25T14:00:19.589337.png</t>
  </si>
  <si>
    <t>58fec255b2133fc2c3e45daf52897d6010a35c26dd5dee5be054eeb43e3310df</t>
  </si>
  <si>
    <t>https://bellingcat-archive.nyc3.cdn.digitaloceanspaces.com/Ukraine_Witness_Datasheet/Worksheet/youtube_dl_1493002715412189186/index.html</t>
  </si>
  <si>
    <t>4emberlen - 13.02.2022</t>
  </si>
  <si>
    <t>2022-02-14T00:22:40+00:00</t>
  </si>
  <si>
    <t>https://twitter.com/GirkinGirkin/status/1492955344041086981</t>
  </si>
  <si>
    <t>Logistics transported in the city</t>
  </si>
  <si>
    <t>https://twitter.com/gfusfus/status/1492987955027357705</t>
  </si>
  <si>
    <t xml:space="preserve">Belogorod </t>
  </si>
  <si>
    <t>UW0221</t>
  </si>
  <si>
    <t>https://bellingcat-archive.nyc3.cdn.digitaloceanspaces.com/Ukraine_Witness_Datasheet/Worksheet/youtube_dl_1492955344041086981.mp4</t>
  </si>
  <si>
    <t>2022-02-25T14:01:01+00:00</t>
  </si>
  <si>
    <t>https://bellingcat-archive.nyc3.cdn.digitaloceanspaces.com/Ukraine_Witness_Datasheet/Worksheet/youtube_dl__GirkinGirkin_status_14929553440410869812022-02-25T14:00:45.296534.png</t>
  </si>
  <si>
    <t>98ee2871e8214d14a5cffcafbce48565608c02bd58b0fc95b77545f0a8c148dd</t>
  </si>
  <si>
    <t>https://bellingcat-archive.nyc3.cdn.digitaloceanspaces.com/Ukraine_Witness_Datasheet/Worksheet/youtube_dl_1492955344041086981/index.html</t>
  </si>
  <si>
    <t>2022-02-13T21:14:26+00:00</t>
  </si>
  <si>
    <t>https://twitter.com/grad_harrison/status/1492917289649426439</t>
  </si>
  <si>
    <t>Heavy weaponry being transported through the highway</t>
  </si>
  <si>
    <t>https://twitter.com/gfusfus/status/1492981388504674305</t>
  </si>
  <si>
    <t>Kholmyech</t>
  </si>
  <si>
    <t>UW0222</t>
  </si>
  <si>
    <t>https://bellingcat-archive.nyc3.cdn.digitaloceanspaces.com/Ukraine_Witness_Datasheet/Worksheet/youtube_dl_1492917289649426439.mp4</t>
  </si>
  <si>
    <t>2022-02-25T14:01:22+00:00</t>
  </si>
  <si>
    <t>https://bellingcat-archive.nyc3.cdn.digitaloceanspaces.com/Ukraine_Witness_Datasheet/Worksheet/youtube_dl__grad_harrison_status_14929172896494264392022-02-25T14:01:10.100337.png</t>
  </si>
  <si>
    <t>e8219a7a26b49fc3b310e1fbf7e342b95a6f6fd25125871823ba9fded62f5cc6</t>
  </si>
  <si>
    <t>https://bellingcat-archive.nyc3.cdn.digitaloceanspaces.com/Ukraine_Witness_Datasheet/Worksheet/youtube_dl_1492917289649426439/index.html</t>
  </si>
  <si>
    <t>Harrison - Холмеч, Гомельская обл, Беларусь — 13 февраля 2022  #OSINT #TankTok</t>
  </si>
  <si>
    <t>2022-02-13T18:43:13+00:00</t>
  </si>
  <si>
    <t>https://twitter.com/4emberlen/status/1492922129850982408</t>
  </si>
  <si>
    <t>Heavy weaponry and logistics being parked at the side of the road</t>
  </si>
  <si>
    <t>https://twitter.com/gfusfus/status/1492953972155600899</t>
  </si>
  <si>
    <t>UW0223</t>
  </si>
  <si>
    <t>https://bellingcat-archive.nyc3.cdn.digitaloceanspaces.com/Ukraine_Witness_Datasheet/Worksheet/youtube_dl_1492922129850982408.mp4</t>
  </si>
  <si>
    <t>2022-02-25T14:01:41+00:00</t>
  </si>
  <si>
    <t>https://bellingcat-archive.nyc3.cdn.digitaloceanspaces.com/Ukraine_Witness_Datasheet/Worksheet/youtube_dl__4emberlen_status_14929221298509824082022-02-25T14:01:29.308134.png</t>
  </si>
  <si>
    <t>4f1ed7b4bcde1ea02cd836edbe97d9afc8192760b3fd3049cac074c8c94b4007</t>
  </si>
  <si>
    <t>https://bellingcat-archive.nyc3.cdn.digitaloceanspaces.com/Ukraine_Witness_Datasheet/Worksheet/youtube_dl_1492922129850982408/index.html</t>
  </si>
  <si>
    <t>4emberlen - Брянська обл. 12.02.2022</t>
  </si>
  <si>
    <t>2022-02-13T19:02:27+00:00</t>
  </si>
  <si>
    <t>https://twitter.com/GirkinGirkin/status/1492932352103886849</t>
  </si>
  <si>
    <t>Heavy weaponry and logistics being transported through the city</t>
  </si>
  <si>
    <t>https://twitter.com/gfusfus/status/1492948286508044291</t>
  </si>
  <si>
    <t>UW0224</t>
  </si>
  <si>
    <t>https://bellingcat-archive.nyc3.cdn.digitaloceanspaces.com/Ukraine_Witness_Datasheet/Worksheet/youtube_dl_1492932352103886849.mp4</t>
  </si>
  <si>
    <t>2022-02-25T14:02:01+00:00</t>
  </si>
  <si>
    <t>https://bellingcat-archive.nyc3.cdn.digitaloceanspaces.com/Ukraine_Witness_Datasheet/Worksheet/youtube_dl__GirkinGirkin_status_14929323521038868492022-02-25T14:01:48.386309.png</t>
  </si>
  <si>
    <t>8296c8fea0239abc1c6b7946c5cd4002eb7e9a0f197a26498b9ee859399f3c97</t>
  </si>
  <si>
    <t>https://bellingcat-archive.nyc3.cdn.digitaloceanspaces.com/Ukraine_Witness_Datasheet/Worksheet/youtube_dl_1492932352103886849/index.html</t>
  </si>
  <si>
    <t>2022-02-13T19:43:04+00:00</t>
  </si>
  <si>
    <t>https://twitter.com/herooftheday10/status/1492930970193993729</t>
  </si>
  <si>
    <t>Logistics being transported through the highway</t>
  </si>
  <si>
    <t>https://twitter.com/gfusfus/status/1492944825687101443</t>
  </si>
  <si>
    <t>UW0225</t>
  </si>
  <si>
    <t>https://web.archive.org/web/20220225140313/https://twitter.com/herooftheday10/status/1492930970193993729</t>
  </si>
  <si>
    <t>2022-02-25T14:03:40+00:00</t>
  </si>
  <si>
    <t>https://bellingcat-archive.nyc3.cdn.digitaloceanspaces.com/Ukraine_Witness_Datasheet/Worksheet/wayback__herooftheday10_status_14929309701939937292022-02-25T14:03:30.853087.png</t>
  </si>
  <si>
    <t>ЄС_EU_UA_NATO_USA_יִשְׂרָאֵל🇮🇱🇺🇦🇺🇸🇪🇺🇬🇧 on Twitter: "СемфИрополь)) граматей,, вечерком едут.… "</t>
  </si>
  <si>
    <t>https://twitter.com/4emberlen/status/1492922819323310090</t>
  </si>
  <si>
    <t>Heavy weaponry transported through the city</t>
  </si>
  <si>
    <t>https://twitter.com/gfusfus/status/1492929982376685574</t>
  </si>
  <si>
    <t>Rozhdestveno</t>
  </si>
  <si>
    <t>UW0226</t>
  </si>
  <si>
    <t>https://bellingcat-archive.nyc3.cdn.digitaloceanspaces.com/Ukraine_Witness_Datasheet/Worksheet/youtube_dl_1492922819323310090.mp4</t>
  </si>
  <si>
    <t>2022-02-25T14:03:58+00:00</t>
  </si>
  <si>
    <t>https://bellingcat-archive.nyc3.cdn.digitaloceanspaces.com/Ukraine_Witness_Datasheet/Worksheet/youtube_dl__4emberlen_status_14929228193233100902022-02-25T14:03:45.777010.png</t>
  </si>
  <si>
    <t>eea937591917d2a270cca48ab0231fd00cd9f6dbde27bafeaaf971fd55cdae61</t>
  </si>
  <si>
    <t>https://bellingcat-archive.nyc3.cdn.digitaloceanspaces.com/Ukraine_Witness_Datasheet/Worksheet/youtube_dl_1492922819323310090/index.html</t>
  </si>
  <si>
    <t>4emberlen - Валуйки 13.02.2022</t>
  </si>
  <si>
    <t>2022-02-13T19:05:11+00:00</t>
  </si>
  <si>
    <t>https://twitter.com/4emberlen/status/1492846363444498436</t>
  </si>
  <si>
    <t>Logistics being transported by train</t>
  </si>
  <si>
    <t>https://twitter.com/gfusfus/status/1492919947445653505</t>
  </si>
  <si>
    <t>Oryol Oblast</t>
  </si>
  <si>
    <t>Dmitrovka</t>
  </si>
  <si>
    <t>UW0227</t>
  </si>
  <si>
    <t xml:space="preserve">Logistics  </t>
  </si>
  <si>
    <t>https://bellingcat-archive.nyc3.cdn.digitaloceanspaces.com/Ukraine_Witness_Datasheet/Worksheet/youtube_dl_1492846363444498436.mp4</t>
  </si>
  <si>
    <t>2022-02-25T14:04:18+00:00</t>
  </si>
  <si>
    <t>https://bellingcat-archive.nyc3.cdn.digitaloceanspaces.com/Ukraine_Witness_Datasheet/Worksheet/youtube_dl__4emberlen_status_14928463634444984362022-02-25T14:04:06.772932.png</t>
  </si>
  <si>
    <t>1f1a477a0eb50e09deb28f31ac6725a04fc86dba53abde3d77bbbcbb1b5a71bd</t>
  </si>
  <si>
    <t>https://bellingcat-archive.nyc3.cdn.digitaloceanspaces.com/Ukraine_Witness_Datasheet/Worksheet/youtube_dl_1492846363444498436/index.html</t>
  </si>
  <si>
    <t>4emberlen - Золотарьово , Орловська обл. 12.02.2022</t>
  </si>
  <si>
    <t>2022-02-13T14:01:23+00:00</t>
  </si>
  <si>
    <t>https://twitter.com/GirkinGirkin/status/1492518373539864578</t>
  </si>
  <si>
    <t>https://twitter.com/gfusfus/status/1492879072837480449</t>
  </si>
  <si>
    <t>Tula Oblast</t>
  </si>
  <si>
    <t>Tesnitskii</t>
  </si>
  <si>
    <t>UW0228</t>
  </si>
  <si>
    <t>https://bellingcat-archive.nyc3.cdn.digitaloceanspaces.com/Ukraine_Witness_Datasheet/Worksheet/youtube_dl_1492518373539864578.mp4</t>
  </si>
  <si>
    <t>2022-02-25T14:04:44+00:00</t>
  </si>
  <si>
    <t>https://bellingcat-archive.nyc3.cdn.digitaloceanspaces.com/Ukraine_Witness_Datasheet/Worksheet/youtube_dl__GirkinGirkin_status_14925183735398645782022-02-25T14:04:32.179036.png</t>
  </si>
  <si>
    <t>299c8fa2504fff27c28ee6d648eacef2a4592bda1d270f52eb403ea96b698841</t>
  </si>
  <si>
    <t>https://bellingcat-archive.nyc3.cdn.digitaloceanspaces.com/Ukraine_Witness_Datasheet/Worksheet/youtube_dl_1492518373539864578/index.html</t>
  </si>
  <si>
    <t>IgorGirkin - Направление Белгород</t>
  </si>
  <si>
    <t>2022-02-12T16:18:04+00:00</t>
  </si>
  <si>
    <t>https://twitter.com/GirkinGirkin/status/1492857534671200258</t>
  </si>
  <si>
    <t>https://twitter.com/gfusfus/status/1492866015893590016</t>
  </si>
  <si>
    <t>UW0229</t>
  </si>
  <si>
    <t>https://bellingcat-archive.nyc3.cdn.digitaloceanspaces.com/Ukraine_Witness_Datasheet/Worksheet/youtube_dl_1492857534671200258.mp4</t>
  </si>
  <si>
    <t>2022-02-25T14:05:11+00:00</t>
  </si>
  <si>
    <t>https://bellingcat-archive.nyc3.cdn.digitaloceanspaces.com/Ukraine_Witness_Datasheet/Worksheet/youtube_dl__GirkinGirkin_status_14928575346712002582022-02-25T14:04:56.165651.png</t>
  </si>
  <si>
    <t>83e556c70ed46eeded6b92e57d8553820e2a8c08f32f68bf82d675ff98844554</t>
  </si>
  <si>
    <t>https://bellingcat-archive.nyc3.cdn.digitaloceanspaces.com/Ukraine_Witness_Datasheet/Worksheet/youtube_dl_1492857534671200258/index.html</t>
  </si>
  <si>
    <t>2022-02-13T14:45:46+00:00</t>
  </si>
  <si>
    <t>https://twitter.com/herooftheday10/status/1492804755630047236</t>
  </si>
  <si>
    <t>https://twitter.com/gfusfus/status/1492862447836880902</t>
  </si>
  <si>
    <t>Smyk</t>
  </si>
  <si>
    <t>UW0230</t>
  </si>
  <si>
    <t>https://web.archive.org/web/20220225140559/https://twitter.com/herooftheday10/status/1492804755630047236</t>
  </si>
  <si>
    <t>2022-02-25T14:06:21+00:00</t>
  </si>
  <si>
    <t>https://bellingcat-archive.nyc3.cdn.digitaloceanspaces.com/Ukraine_Witness_Datasheet/Worksheet/wayback__herooftheday10_status_14928047556300472362022-02-25T14:06:11.953929.png</t>
  </si>
  <si>
    <t>ЄС_EU_UA_NATO_USA_יִשְׂרָאֵל🇮🇱🇺🇦🇺🇸🇪🇺🇬🇧 on Twitter: "Гомельская область. Утром.… "</t>
  </si>
  <si>
    <t>https://twitter.com/herooftheday10/status/1492850305070817285</t>
  </si>
  <si>
    <t>https://twitter.com/gfusfus/status/1492853265402408971</t>
  </si>
  <si>
    <t>UW0231</t>
  </si>
  <si>
    <t>https://web.archive.org/web/20220225140740/https://twitter.com/herooftheday10/status/1492850305070817285</t>
  </si>
  <si>
    <t>2022-02-25T14:08:00+00:00</t>
  </si>
  <si>
    <t>https://bellingcat-archive.nyc3.cdn.digitaloceanspaces.com/Ukraine_Witness_Datasheet/Worksheet/wayback__herooftheday10_status_14928503050708172852022-02-25T14:07:51.342910.png</t>
  </si>
  <si>
    <t>ЄС_EU_UA_NATO_USA_יִשְׂרָאֵל🇮🇱🇺🇦🇺🇸🇪🇺🇬🇧 on Twitter: "Курская, сегодня… "</t>
  </si>
  <si>
    <t>https://twitter.com/herooftheday10/status/1492803318187442178</t>
  </si>
  <si>
    <t>https://twitter.com/gfusfus/status/1492824885638356994</t>
  </si>
  <si>
    <t>Raevskie</t>
  </si>
  <si>
    <t>UW0232</t>
  </si>
  <si>
    <t>https://web.archive.org/web/20220225140907/https://twitter.com/herooftheday10/status/1492803318187442178</t>
  </si>
  <si>
    <t>2022-02-25T14:09:21+00:00</t>
  </si>
  <si>
    <t>https://bellingcat-archive.nyc3.cdn.digitaloceanspaces.com/Ukraine_Witness_Datasheet/Worksheet/wayback__herooftheday10_status_14928033181874421782022-02-25T14:09:12.989715.png</t>
  </si>
  <si>
    <t>https://twitter.com/4emberlen/status/1492807867593859074</t>
  </si>
  <si>
    <t>https://twitter.com/gfusfus/status/1492821201575677954</t>
  </si>
  <si>
    <t>Zashcheb'e</t>
  </si>
  <si>
    <t>UW0233</t>
  </si>
  <si>
    <t>https://bellingcat-archive.nyc3.cdn.digitaloceanspaces.com/Ukraine_Witness_Datasheet/Worksheet/youtube_dl_1492807867593859074.mp4</t>
  </si>
  <si>
    <t>2022-02-25T14:09:46+00:00</t>
  </si>
  <si>
    <t>https://bellingcat-archive.nyc3.cdn.digitaloceanspaces.com/Ukraine_Witness_Datasheet/Worksheet/youtube_dl__4emberlen_status_14928078675938590742022-02-25T14:09:29.313189.png</t>
  </si>
  <si>
    <t>9e2a5ad38c0dc690bcca99521c67aeb449097df45c13a694d91970d0ed4a4e9e</t>
  </si>
  <si>
    <t>https://bellingcat-archive.nyc3.cdn.digitaloceanspaces.com/Ukraine_Witness_Datasheet/Worksheet/youtube_dl_1492807867593859074/index.html</t>
  </si>
  <si>
    <t>4emberlen - Защебье , Білорусія 13.02.2022</t>
  </si>
  <si>
    <t>2022-02-13T11:28:25+00:00</t>
  </si>
  <si>
    <t>https://twitter.com/GirkinGirkin/status/1492618460265865217</t>
  </si>
  <si>
    <t>Heavy weaponry being transported through the town</t>
  </si>
  <si>
    <t>https://twitter.com/gfusfus/status/1492660450357649415</t>
  </si>
  <si>
    <t>Moskovskoye Shosse</t>
  </si>
  <si>
    <t>UW0234</t>
  </si>
  <si>
    <t>https://bellingcat-archive.nyc3.cdn.digitaloceanspaces.com/Ukraine_Witness_Datasheet/Worksheet/youtube_dl_1492618460265865217.mp4</t>
  </si>
  <si>
    <t>2022-02-25T14:10:06+00:00</t>
  </si>
  <si>
    <t>https://bellingcat-archive.nyc3.cdn.digitaloceanspaces.com/Ukraine_Witness_Datasheet/Worksheet/youtube_dl__GirkinGirkin_status_14926184602658652172022-02-25T14:09:52.979209.png</t>
  </si>
  <si>
    <t>78d500ad29a747416d85cea00e3bdfd1fba84a8e2fd164beb1e56477d7c307c5</t>
  </si>
  <si>
    <t>https://bellingcat-archive.nyc3.cdn.digitaloceanspaces.com/Ukraine_Witness_Datasheet/Worksheet/youtube_dl_1492618460265865217/index.html</t>
  </si>
  <si>
    <t>2022-02-12T22:55:47+00:00</t>
  </si>
  <si>
    <t>https://twitter.com/4emberlen/status/1492453208882614272</t>
  </si>
  <si>
    <t>https://twitter.com/gfusfus/status/1492639393777131520</t>
  </si>
  <si>
    <t>Brahin</t>
  </si>
  <si>
    <t>UW0235</t>
  </si>
  <si>
    <t>https://bellingcat-archive.nyc3.cdn.digitaloceanspaces.com/Ukraine_Witness_Datasheet/Worksheet/youtube_dl_1492453208882614272.mp4</t>
  </si>
  <si>
    <t>2022-02-25T14:10:23+00:00</t>
  </si>
  <si>
    <t>https://bellingcat-archive.nyc3.cdn.digitaloceanspaces.com/Ukraine_Witness_Datasheet/Worksheet/youtube_dl__4emberlen_status_14924532088826142722022-02-25T14:10:10.972132.png</t>
  </si>
  <si>
    <t>c398bb159ee7a91ddfd70556a183491eb3cfb857a7c6d7ed19f0c33ac3877b4d</t>
  </si>
  <si>
    <t>https://bellingcat-archive.nyc3.cdn.digitaloceanspaces.com/Ukraine_Witness_Datasheet/Worksheet/youtube_dl_1492453208882614272/index.html</t>
  </si>
  <si>
    <t>4emberlen - Брагін 12.02.2022</t>
  </si>
  <si>
    <t>2022-02-12T11:59:08+00:00</t>
  </si>
  <si>
    <t>https://twitter.com/GirkinGirkin/status/1492620012598743042</t>
  </si>
  <si>
    <t>Logistics being parked on the side of the road</t>
  </si>
  <si>
    <t>https://twitter.com/gfusfus/status/1492634626350845959</t>
  </si>
  <si>
    <t>Livny</t>
  </si>
  <si>
    <t>UW0236</t>
  </si>
  <si>
    <t>https://bellingcat-archive.nyc3.cdn.digitaloceanspaces.com/Ukraine_Witness_Datasheet/Worksheet/youtube_dl_1492620012598743042.mp4</t>
  </si>
  <si>
    <t>2022-02-25T14:10:39+00:00</t>
  </si>
  <si>
    <t>https://bellingcat-archive.nyc3.cdn.digitaloceanspaces.com/Ukraine_Witness_Datasheet/Worksheet/youtube_dl__GirkinGirkin_status_14926200125987430422022-02-25T14:10:28.175551.png</t>
  </si>
  <si>
    <t>22e113129d974691d28b30771e1e49fe4f8a53a652185bf46f1e1cb36ab2c8ea</t>
  </si>
  <si>
    <t>https://bellingcat-archive.nyc3.cdn.digitaloceanspaces.com/Ukraine_Witness_Datasheet/Worksheet/youtube_dl_1492620012598743042/index.html</t>
  </si>
  <si>
    <t>IgorGirkin - Ливны</t>
  </si>
  <si>
    <t>2022-02-12T23:01:57+00:00</t>
  </si>
  <si>
    <t>https://twitter.com/GirkinGirkin/status/1492616196117741568</t>
  </si>
  <si>
    <t>Tanks transported by  train</t>
  </si>
  <si>
    <t>https://twitter.com/gfusfus/status/1492618647692529666</t>
  </si>
  <si>
    <t>Voronez</t>
  </si>
  <si>
    <t>UW0237</t>
  </si>
  <si>
    <t>https://bellingcat-archive.nyc3.cdn.digitaloceanspaces.com/Ukraine_Witness_Datasheet/Worksheet/youtube_dl_1492616196117741568.mp4</t>
  </si>
  <si>
    <t>2022-02-25T14:10:59+00:00</t>
  </si>
  <si>
    <t>https://bellingcat-archive.nyc3.cdn.digitaloceanspaces.com/Ukraine_Witness_Datasheet/Worksheet/youtube_dl__GirkinGirkin_status_14926161961177415682022-02-25T14:10:46.648285.png</t>
  </si>
  <si>
    <t>507a6c9d6b2683668648cf037461acf85d3bbf8b415ea836c338f602cba6960d</t>
  </si>
  <si>
    <t>https://bellingcat-archive.nyc3.cdn.digitaloceanspaces.com/Ukraine_Witness_Datasheet/Worksheet/youtube_dl_1492616196117741568/index.html</t>
  </si>
  <si>
    <t>2022-02-12T22:46:47+00:00</t>
  </si>
  <si>
    <t>https://twitter.com/GirkinGirkin/status/1492598773985550336</t>
  </si>
  <si>
    <t>https://twitter.com/gfusfus/status/1492614539854204930</t>
  </si>
  <si>
    <t>Belogorod</t>
  </si>
  <si>
    <t>UW0238</t>
  </si>
  <si>
    <t>https://bellingcat-archive.nyc3.cdn.digitaloceanspaces.com/Ukraine_Witness_Datasheet/Worksheet/youtube_dl_1492598773985550336.mp4</t>
  </si>
  <si>
    <t>2022-02-25T14:11:23+00:00</t>
  </si>
  <si>
    <t>https://bellingcat-archive.nyc3.cdn.digitaloceanspaces.com/Ukraine_Witness_Datasheet/Worksheet/youtube_dl__GirkinGirkin_status_14925987739855503362022-02-25T14:11:08.276927.png</t>
  </si>
  <si>
    <t>b282e4ee624da84d319b9c73409d98bf7a0f63fedb4f385d67a22a53552a4ecd</t>
  </si>
  <si>
    <t>https://bellingcat-archive.nyc3.cdn.digitaloceanspaces.com/Ukraine_Witness_Datasheet/Worksheet/youtube_dl_1492598773985550336/index.html</t>
  </si>
  <si>
    <t>2022-02-12T21:37:33+00:00</t>
  </si>
  <si>
    <t>https://twitter.com/4emberlen/status/1492561933916065795</t>
  </si>
  <si>
    <t xml:space="preserve">Tanks transported </t>
  </si>
  <si>
    <t>https://twitter.com/gfusfus/status/1492582524471721990</t>
  </si>
  <si>
    <t>Zashcheb'e,</t>
  </si>
  <si>
    <t>UW0239</t>
  </si>
  <si>
    <t>https://bellingcat-archive.nyc3.cdn.digitaloceanspaces.com/Ukraine_Witness_Datasheet/Worksheet/youtube_dl_1492561933916065795.mp4</t>
  </si>
  <si>
    <t>2022-02-25T14:11:48+00:00</t>
  </si>
  <si>
    <t>https://bellingcat-archive.nyc3.cdn.digitaloceanspaces.com/Ukraine_Witness_Datasheet/Worksheet/youtube_dl__4emberlen_status_14925619339160657952022-02-25T14:11:29.041680.png</t>
  </si>
  <si>
    <t>b5e792554d261fa106b20b02e1f592c1fdff533ecee73418f76c58856c5c3b1e</t>
  </si>
  <si>
    <t>https://bellingcat-archive.nyc3.cdn.digitaloceanspaces.com/Ukraine_Witness_Datasheet/Worksheet/youtube_dl_1492561933916065795/index.html</t>
  </si>
  <si>
    <t>4emberlen - Бірорусія 12.02.2022</t>
  </si>
  <si>
    <t>2022-02-12T19:11:10+00:00</t>
  </si>
  <si>
    <t>https://twitter.com/4emberlen/status/1492538894218371072</t>
  </si>
  <si>
    <t>https://twitter.com/gfusfus/status/1492544777723781126</t>
  </si>
  <si>
    <t>UW0240</t>
  </si>
  <si>
    <t>https://bellingcat-archive.nyc3.cdn.digitaloceanspaces.com/Ukraine_Witness_Datasheet/Worksheet/youtube_dl_1492538894218371072.mp4</t>
  </si>
  <si>
    <t>2022-02-25T14:12:10+00:00</t>
  </si>
  <si>
    <t>https://bellingcat-archive.nyc3.cdn.digitaloceanspaces.com/Ukraine_Witness_Datasheet/Worksheet/youtube_dl__4emberlen_status_14925388942183710722022-02-25T14:11:53.852854.png</t>
  </si>
  <si>
    <t>503fdebefa51830484350cbf00e186f7207838c21e2b910d95d1f3d5826e233d</t>
  </si>
  <si>
    <t>https://bellingcat-archive.nyc3.cdn.digitaloceanspaces.com/Ukraine_Witness_Datasheet/Worksheet/youtube_dl_1492538894218371072/index.html</t>
  </si>
  <si>
    <t>4emberlen - Курська обл. 11.02.2022</t>
  </si>
  <si>
    <t>2022-02-12T17:39:37+00:00</t>
  </si>
  <si>
    <t>https://twitter.com/GirkinGirkin/status/1492522158282747908</t>
  </si>
  <si>
    <t>Heavy weaopnry parked in the side of the road</t>
  </si>
  <si>
    <t>https://twitter.com/gfusfus/status/1492535810381467655</t>
  </si>
  <si>
    <t>UW0241</t>
  </si>
  <si>
    <t>https://bellingcat-archive.nyc3.cdn.digitaloceanspaces.com/Ukraine_Witness_Datasheet/Worksheet/youtube_dl_1492522158282747908.mp4</t>
  </si>
  <si>
    <t>2022-02-25T14:12:32+00:00</t>
  </si>
  <si>
    <t>https://bellingcat-archive.nyc3.cdn.digitaloceanspaces.com/Ukraine_Witness_Datasheet/Worksheet/youtube_dl__GirkinGirkin_status_14925221582827479082022-02-25T14:12:18.592386.png</t>
  </si>
  <si>
    <t>cf598942fc8b558300c6da93ae306595f8779124a2b44c3853abede1cdc22254</t>
  </si>
  <si>
    <t>https://bellingcat-archive.nyc3.cdn.digitaloceanspaces.com/Ukraine_Witness_Datasheet/Worksheet/youtube_dl_1492522158282747908/index.html</t>
  </si>
  <si>
    <t>2022-02-12T16:33:06+00:00</t>
  </si>
  <si>
    <t>14/02/2022</t>
  </si>
  <si>
    <t>https://twitter.com/Michael1Sheldon/status/1493036503974486018</t>
  </si>
  <si>
    <t>Heavy weaponry on the move</t>
  </si>
  <si>
    <t>https://twitter.com/Michael1Sheldon/status/1493037057085689856</t>
  </si>
  <si>
    <t>Seretino</t>
  </si>
  <si>
    <t>MSTA-S, Borisoglebsk-2</t>
  </si>
  <si>
    <t>UW0242</t>
  </si>
  <si>
    <t>https://bellingcat-archive.nyc3.cdn.digitaloceanspaces.com/Ukraine_Witness_Datasheet/Worksheet/youtube_dl_1493036503974486018.mp4</t>
  </si>
  <si>
    <t>2022-02-25T14:12:55+00:00</t>
  </si>
  <si>
    <t>https://bellingcat-archive.nyc3.cdn.digitaloceanspaces.com/Ukraine_Witness_Datasheet/Worksheet/youtube_dl__Michael1Sheldon_status_14930365039744860182022-02-25T14:12:40.291818.png</t>
  </si>
  <si>
    <t>e05300dc6f6be6365a104888d3e63f148a142ddbf2f338c14b9d99a1b9298639</t>
  </si>
  <si>
    <t>https://bellingcat-archive.nyc3.cdn.digitaloceanspaces.com/Ukraine_Witness_Datasheet/Worksheet/youtube_dl_1493036503974486018/index.html</t>
  </si>
  <si>
    <t>Michael Sheldon - Looks like 1st Tank Army in Seretino, Belgorod Oblast. MSTA-S, Borisoglebsk-2, and more.</t>
  </si>
  <si>
    <t>2022-02-14T02:36:56+00:00</t>
  </si>
  <si>
    <t>https://twitter.com/Michael1Sheldon/status/1493037436233994243</t>
  </si>
  <si>
    <t>UW0243</t>
  </si>
  <si>
    <t>https://bellingcat-archive.nyc3.cdn.digitaloceanspaces.com/Ukraine_Witness_Datasheet/Worksheet/youtube_dl_1493037436233994243.mp4</t>
  </si>
  <si>
    <t>2022-02-25T14:13:26+00:00</t>
  </si>
  <si>
    <t>https://bellingcat-archive.nyc3.cdn.digitaloceanspaces.com/Ukraine_Witness_Datasheet/Worksheet/youtube_dl__Michael1Sheldon_status_14930374362339942432022-02-25T14:13:09.739645.png</t>
  </si>
  <si>
    <t>4e7de924bf52c724f6fc8a3e4bd6978ebfe75c5ac809bf4ca3c16e17a040721f</t>
  </si>
  <si>
    <t>https://bellingcat-archive.nyc3.cdn.digitaloceanspaces.com/Ukraine_Witness_Datasheet/Worksheet/youtube_dl_1493037436233994243/index.html</t>
  </si>
  <si>
    <t>Michael Sheldon - https://t.co/YRn0smogyL</t>
  </si>
  <si>
    <t>2022-02-14T02:40:38+00:00</t>
  </si>
  <si>
    <t>https://twitter.com/Michael1Sheldon/status/1493037767625826306</t>
  </si>
  <si>
    <t>UW0244</t>
  </si>
  <si>
    <t>https://bellingcat-archive.nyc3.cdn.digitaloceanspaces.com/Ukraine_Witness_Datasheet/Worksheet/youtube_dl_1493037767625826306.mp4</t>
  </si>
  <si>
    <t>2022-02-25T14:13:56+00:00</t>
  </si>
  <si>
    <t>https://bellingcat-archive.nyc3.cdn.digitaloceanspaces.com/Ukraine_Witness_Datasheet/Worksheet/youtube_dl__Michael1Sheldon_status_14930377676258263062022-02-25T14:13:39.736925.png</t>
  </si>
  <si>
    <t>ac6628333d7b1bae56129cc66c7ca215aa094a272ba203f2d85b02edb772e47b</t>
  </si>
  <si>
    <t>https://bellingcat-archive.nyc3.cdn.digitaloceanspaces.com/Ukraine_Witness_Datasheet/Worksheet/youtube_dl_1493037767625826306/index.html</t>
  </si>
  <si>
    <t>Michael Sheldon - https://t.co/15Ytu1O5JS</t>
  </si>
  <si>
    <t>2022-02-14T02:41:57+00:00</t>
  </si>
  <si>
    <t>https://twitter.com/GirkinGirkin/status/1492524292449443847</t>
  </si>
  <si>
    <t>https://twitter.com/gfusfus/status/1492532529072685058</t>
  </si>
  <si>
    <t>Trubchevsk</t>
  </si>
  <si>
    <t>UW0245</t>
  </si>
  <si>
    <t>https://bellingcat-archive.nyc3.cdn.digitaloceanspaces.com/Ukraine_Witness_Datasheet/Worksheet/youtube_dl_1492524292449443847.mp4</t>
  </si>
  <si>
    <t>2022-02-25T14:14:25+00:00</t>
  </si>
  <si>
    <t>https://bellingcat-archive.nyc3.cdn.digitaloceanspaces.com/Ukraine_Witness_Datasheet/Worksheet/youtube_dl__GirkinGirkin_status_14925242924494438472022-02-25T14:14:07.897569.png</t>
  </si>
  <si>
    <t>f2f773a124ef38fa1863fb4bcd1018d75b54dff84c01f3c57b7b7e373b42b62e</t>
  </si>
  <si>
    <t>https://bellingcat-archive.nyc3.cdn.digitaloceanspaces.com/Ukraine_Witness_Datasheet/Worksheet/youtube_dl_1492524292449443847/index.html</t>
  </si>
  <si>
    <t>2022-02-12T16:41:35+00:00</t>
  </si>
  <si>
    <t>https://twitter.com/GirkinGirkin/status/1492517699376893952</t>
  </si>
  <si>
    <t>https://twitter.com/gfusfus/status/1492525215657738244</t>
  </si>
  <si>
    <t>UW0246</t>
  </si>
  <si>
    <t>https://bellingcat-archive.nyc3.cdn.digitaloceanspaces.com/Ukraine_Witness_Datasheet/Worksheet/youtube_dl_1492517699376893952.mp4</t>
  </si>
  <si>
    <t>2022-02-25T14:14:49+00:00</t>
  </si>
  <si>
    <t>https://bellingcat-archive.nyc3.cdn.digitaloceanspaces.com/Ukraine_Witness_Datasheet/Worksheet/youtube_dl__GirkinGirkin_status_14925176993768939522022-02-25T14:14:36.880773.png</t>
  </si>
  <si>
    <t>7b18b70548421d5f86d743ce3da7caedd0c6bf9f159741d0be6eb359e9c5d09c</t>
  </si>
  <si>
    <t>https://bellingcat-archive.nyc3.cdn.digitaloceanspaces.com/Ukraine_Witness_Datasheet/Worksheet/youtube_dl_1492517699376893952/index.html</t>
  </si>
  <si>
    <t>2022-02-12T16:15:23+00:00</t>
  </si>
  <si>
    <t>https://twitter.com/GirkinGirkin/status/1492509483049918468</t>
  </si>
  <si>
    <t>Logistics transported through the highway</t>
  </si>
  <si>
    <t>https://twitter.com/gfusfus/status/1492521373700399109</t>
  </si>
  <si>
    <t>Kurchanskaya</t>
  </si>
  <si>
    <t>UW0247</t>
  </si>
  <si>
    <t>https://bellingcat-archive.nyc3.cdn.digitaloceanspaces.com/Ukraine_Witness_Datasheet/Worksheet/youtube_dl_1492509483049918468.mp4</t>
  </si>
  <si>
    <t>2022-02-25T14:15:08+00:00</t>
  </si>
  <si>
    <t>https://bellingcat-archive.nyc3.cdn.digitaloceanspaces.com/Ukraine_Witness_Datasheet/Worksheet/youtube_dl__GirkinGirkin_status_14925094830499184682022-02-25T14:14:53.653314.png</t>
  </si>
  <si>
    <t>2a4ae42ca88ca49fc953ab469a05d93bb83d868d696200bfaf82a97002e1d26d</t>
  </si>
  <si>
    <t>https://bellingcat-archive.nyc3.cdn.digitaloceanspaces.com/Ukraine_Witness_Datasheet/Worksheet/youtube_dl_1492509483049918468/index.html</t>
  </si>
  <si>
    <t>2022-02-12T15:42:44+00:00</t>
  </si>
  <si>
    <t>https://twitter.com/GirkinGirkin/status/1493081713563611136</t>
  </si>
  <si>
    <t>UW0248</t>
  </si>
  <si>
    <t>https://bellingcat-archive.nyc3.cdn.digitaloceanspaces.com/Ukraine_Witness_Datasheet/Worksheet/youtube_dl_1493081713563611136.mp4</t>
  </si>
  <si>
    <t>2022-02-25T14:15:24+00:00</t>
  </si>
  <si>
    <t>https://bellingcat-archive.nyc3.cdn.digitaloceanspaces.com/Ukraine_Witness_Datasheet/Worksheet/youtube_dl__GirkinGirkin_status_14930817135636111362022-02-25T14:15:13.463266.png</t>
  </si>
  <si>
    <t>ae11b9c80ec1a15101a5cbadbc67cd7a64939761aa13b18baa7cf0b90e1425fa</t>
  </si>
  <si>
    <t>https://bellingcat-archive.nyc3.cdn.digitaloceanspaces.com/Ukraine_Witness_Datasheet/Worksheet/youtube_dl_1493081713563611136/index.html</t>
  </si>
  <si>
    <t>2022-02-14T05:36:35+00:00</t>
  </si>
  <si>
    <t>https://www.youtube.com/watch?v=EwuaMqYf-jA&amp;t=2s</t>
  </si>
  <si>
    <t>https://twitter.com/danvan71/status/1493150545493868545</t>
  </si>
  <si>
    <t>UW0249</t>
  </si>
  <si>
    <t>https://bellingcat-archive.nyc3.cdn.digitaloceanspaces.com/Ukraine_Witness_Datasheet/Worksheet/youtube_dl_EwuaMqYf-jA.webm</t>
  </si>
  <si>
    <t>2022-02-25T14:15:47+00:00</t>
  </si>
  <si>
    <t>https://bellingcat-archive.nyc3.cdn.digitaloceanspaces.com/Ukraine_Witness_Datasheet/Worksheet/youtube_dl__watch2022-02-25T14:15:30.663997.png</t>
  </si>
  <si>
    <t>3c39c4ff33c712f57a6d11c2f4e02b737930b8d11ddbfa805ec20048abadc823</t>
  </si>
  <si>
    <t>https://bellingcat-archive.nyc3.cdn.digitaloceanspaces.com/Ukraine_Witness_Datasheet/Worksheet/youtube_dl_EwuaMqYf-jA/index.html</t>
  </si>
  <si>
    <t>Военная техника Белгород- Украина</t>
  </si>
  <si>
    <t>2022-02-13T00:00:00+00:00</t>
  </si>
  <si>
    <t>https://twitter.com/MarQs__/status/1492049844634107904</t>
  </si>
  <si>
    <t xml:space="preserve">Heavy weaponry transported </t>
  </si>
  <si>
    <t>https://twitter.com/Danspiun/status/1492468472881819650</t>
  </si>
  <si>
    <t>Ivnya</t>
  </si>
  <si>
    <t>2S19</t>
  </si>
  <si>
    <t>UW0250</t>
  </si>
  <si>
    <t>https://bellingcat-archive.nyc3.cdn.digitaloceanspaces.com/Ukraine_Witness_Datasheet/Worksheet/youtube_dl_1492049844634107904.mp4</t>
  </si>
  <si>
    <t>2022-02-25T14:16:07+00:00</t>
  </si>
  <si>
    <t>https://bellingcat-archive.nyc3.cdn.digitaloceanspaces.com/Ukraine_Witness_Datasheet/Worksheet/youtube_dl__MarQs___status_14920498446341079042022-02-25T14:15:52.924539.png</t>
  </si>
  <si>
    <t>ab47a5644fac25f37121f2f1dc597228bd03c22d0496fbe31071a70180e402a0</t>
  </si>
  <si>
    <t>https://bellingcat-archive.nyc3.cdn.digitaloceanspaces.com/Ukraine_Witness_Datasheet/Worksheet/youtube_dl_1492049844634107904/index.html</t>
  </si>
  <si>
    <t>marqs - Ivnya, Belgorod region, ~50km from the border with #Ukraine</t>
  </si>
  <si>
    <t>2022-02-11T09:16:18+00:00</t>
  </si>
  <si>
    <t>https://twitter.com/GirkinGirkin/status/1492800611863175168</t>
  </si>
  <si>
    <t>https://twitter.com/danvan71/status/1493035168487321600</t>
  </si>
  <si>
    <t>UW0251</t>
  </si>
  <si>
    <t>https://bellingcat-archive.nyc3.cdn.digitaloceanspaces.com/Ukraine_Witness_Datasheet/Worksheet/youtube_dl_1492800611863175168.mp4</t>
  </si>
  <si>
    <t>2022-02-25T14:16:25+00:00</t>
  </si>
  <si>
    <t>https://bellingcat-archive.nyc3.cdn.digitaloceanspaces.com/Ukraine_Witness_Datasheet/Worksheet/youtube_dl__GirkinGirkin_status_14928006118631751682022-02-25T14:16:13.738737.png</t>
  </si>
  <si>
    <t>8481f8aaedd98427e0593a3cc8151d9f445d560838d3c0f28f74079cd10b28d0</t>
  </si>
  <si>
    <t>https://bellingcat-archive.nyc3.cdn.digitaloceanspaces.com/Ukraine_Witness_Datasheet/Worksheet/youtube_dl_1492800611863175168/index.html</t>
  </si>
  <si>
    <t>2022-02-13T10:59:35+00:00</t>
  </si>
  <si>
    <t>https://twitter.com/4emberlen/status/1492927310592462849</t>
  </si>
  <si>
    <t>https://twitter.com/danvan71/status/1492942203072749575</t>
  </si>
  <si>
    <t>Krutoe</t>
  </si>
  <si>
    <t>UW0252</t>
  </si>
  <si>
    <t>https://bellingcat-archive.nyc3.cdn.digitaloceanspaces.com/Ukraine_Witness_Datasheet/Worksheet/youtube_dl_1492927310592462849.mp4</t>
  </si>
  <si>
    <t>2022-02-25T14:16:46+00:00</t>
  </si>
  <si>
    <t>https://bellingcat-archive.nyc3.cdn.digitaloceanspaces.com/Ukraine_Witness_Datasheet/Worksheet/youtube_dl__4emberlen_status_14929273105924628492022-02-25T14:16:34.015316.png</t>
  </si>
  <si>
    <t>c46e24fd364b09e413c5f0a2a63fc51c92ada8c811bfc5df03adc2cc93bf4ab5</t>
  </si>
  <si>
    <t>https://bellingcat-archive.nyc3.cdn.digitaloceanspaces.com/Ukraine_Witness_Datasheet/Worksheet/youtube_dl_1492927310592462849/index.html</t>
  </si>
  <si>
    <t>4emberlen - Орловська обл. 13.02.2022</t>
  </si>
  <si>
    <t>2022-02-13T19:23:02+00:00</t>
  </si>
  <si>
    <t>https://twitter.com/GirkinGirkin/status/1492488849024589828</t>
  </si>
  <si>
    <t>Heavy weaponry being stationed in the field</t>
  </si>
  <si>
    <t>https://twitter.com/gfusfus/status/1492495951520481285</t>
  </si>
  <si>
    <t>UW0253</t>
  </si>
  <si>
    <t>https://bellingcat-archive.nyc3.cdn.digitaloceanspaces.com/Ukraine_Witness_Datasheet/Worksheet/youtube_dl_1492488849024589828.mp4</t>
  </si>
  <si>
    <t>2022-02-25T14:17:06+00:00</t>
  </si>
  <si>
    <t>https://bellingcat-archive.nyc3.cdn.digitaloceanspaces.com/Ukraine_Witness_Datasheet/Worksheet/youtube_dl__GirkinGirkin_status_14924888490245898282022-02-25T14:16:53.800836.png</t>
  </si>
  <si>
    <t>5124bee314923b8832db702463db589fb4380c67d722e353de4d0b6459c9534a</t>
  </si>
  <si>
    <t>https://bellingcat-archive.nyc3.cdn.digitaloceanspaces.com/Ukraine_Witness_Datasheet/Worksheet/youtube_dl_1492488849024589828/index.html</t>
  </si>
  <si>
    <t>2022-02-12T14:20:45+00:00</t>
  </si>
  <si>
    <t>https://twitter.com/GirkinGirkin/status/1492486941375447045</t>
  </si>
  <si>
    <t>Heavy weaponry stationed in the field</t>
  </si>
  <si>
    <t>https://twitter.com/gfusfus/status/1492499666012938241</t>
  </si>
  <si>
    <t>UW0254</t>
  </si>
  <si>
    <t>https://bellingcat-archive.nyc3.cdn.digitaloceanspaces.com/Ukraine_Witness_Datasheet/Worksheet/youtube_dl_1492486941375447045.mp4</t>
  </si>
  <si>
    <t>2022-02-25T14:17:26+00:00</t>
  </si>
  <si>
    <t>https://bellingcat-archive.nyc3.cdn.digitaloceanspaces.com/Ukraine_Witness_Datasheet/Worksheet/youtube_dl__GirkinGirkin_status_14924869413754470452022-02-25T14:17:13.452587.png</t>
  </si>
  <si>
    <t>ac289d0ebf4bac12e42b45a431e372c559653734e8e6d792f7402d523ea16aec</t>
  </si>
  <si>
    <t>https://bellingcat-archive.nyc3.cdn.digitaloceanspaces.com/Ukraine_Witness_Datasheet/Worksheet/youtube_dl_1492486941375447045/index.html</t>
  </si>
  <si>
    <t>2022-02-12T14:13:10+00:00</t>
  </si>
  <si>
    <t>https://twitter.com/GirkinGirkin/status/1492463352123117575</t>
  </si>
  <si>
    <t>https://twitter.com/gfusfus/status/1492488364121018375</t>
  </si>
  <si>
    <t>Primorsky Krai</t>
  </si>
  <si>
    <t>Spassk-Dalny</t>
  </si>
  <si>
    <t>UW0255</t>
  </si>
  <si>
    <t>https://bellingcat-archive.nyc3.cdn.digitaloceanspaces.com/Ukraine_Witness_Datasheet/Worksheet/youtube_dl_1492463352123117575.mp4</t>
  </si>
  <si>
    <t>2022-02-25T14:17:51+00:00</t>
  </si>
  <si>
    <t>https://bellingcat-archive.nyc3.cdn.digitaloceanspaces.com/Ukraine_Witness_Datasheet/Worksheet/youtube_dl__GirkinGirkin_status_14924633521231175752022-02-25T14:17:35.014023.png</t>
  </si>
  <si>
    <t>a89e7fad7c2b93bd19de71da90f5005513501b5c4e356f2f6aae5f46a2da9265</t>
  </si>
  <si>
    <t>https://bellingcat-archive.nyc3.cdn.digitaloceanspaces.com/Ukraine_Witness_Datasheet/Worksheet/youtube_dl_1492463352123117575/index.html</t>
  </si>
  <si>
    <t>IgorGirkin - Спасск-дальний</t>
  </si>
  <si>
    <t>2022-02-12T12:39:26+00:00</t>
  </si>
  <si>
    <t>https://twitter.com/GirkinGirkin/status/1492287257855758337</t>
  </si>
  <si>
    <t>https://twitter.com/gfusfus/status/1492291727356575747</t>
  </si>
  <si>
    <t>UW0256</t>
  </si>
  <si>
    <t>https://bellingcat-archive.nyc3.cdn.digitaloceanspaces.com/Ukraine_Witness_Datasheet/Worksheet/youtube_dl_1492287257855758337.mp4</t>
  </si>
  <si>
    <t>2022-02-25T14:18:18+00:00</t>
  </si>
  <si>
    <t>https://bellingcat-archive.nyc3.cdn.digitaloceanspaces.com/Ukraine_Witness_Datasheet/Worksheet/youtube_dl__GirkinGirkin_status_14922872578557583372022-02-25T14:18:02.627441.png</t>
  </si>
  <si>
    <t>a3857d0a00684251ab67c8a66b5847adf614a8a9bd1be7fbe4178820b481b779</t>
  </si>
  <si>
    <t>https://bellingcat-archive.nyc3.cdn.digitaloceanspaces.com/Ukraine_Witness_Datasheet/Worksheet/youtube_dl_1492287257855758337/index.html</t>
  </si>
  <si>
    <t>IgorGirkin - Золотарево, Орловская обл</t>
  </si>
  <si>
    <t>2022-02-12T00:59:42+00:00</t>
  </si>
  <si>
    <t>https://twitter.com/GirkinGirkin/status/1492189535375081479</t>
  </si>
  <si>
    <t>https://twitter.com/gfusfus/status/1492238824885428224</t>
  </si>
  <si>
    <t>UW0257</t>
  </si>
  <si>
    <t>https://bellingcat-archive.nyc3.cdn.digitaloceanspaces.com/Ukraine_Witness_Datasheet/Worksheet/youtube_dl_1492189535375081479.mp4</t>
  </si>
  <si>
    <t>2022-02-25T14:18:40+00:00</t>
  </si>
  <si>
    <t>https://bellingcat-archive.nyc3.cdn.digitaloceanspaces.com/Ukraine_Witness_Datasheet/Worksheet/youtube_dl__GirkinGirkin_status_14921895353750814792022-02-25T14:18:25.470454.png</t>
  </si>
  <si>
    <t>aabf896c8d339a1f4e0ca3e3e5604afaf32547662475967258633cf2fe122e39</t>
  </si>
  <si>
    <t>https://bellingcat-archive.nyc3.cdn.digitaloceanspaces.com/Ukraine_Witness_Datasheet/Worksheet/youtube_dl_1492189535375081479/index.html</t>
  </si>
  <si>
    <t>2022-02-11T18:31:23+00:00</t>
  </si>
  <si>
    <t>https://twitter.com/GirkinGirkin/status/1492026082953891841</t>
  </si>
  <si>
    <t>Heavy weaponry transported through the town</t>
  </si>
  <si>
    <t>https://twitter.com/gfusfus/status/1492160300677746694</t>
  </si>
  <si>
    <t>Belogorod Oblast</t>
  </si>
  <si>
    <t>Gubkin</t>
  </si>
  <si>
    <t>UW0258</t>
  </si>
  <si>
    <t>Yes</t>
  </si>
  <si>
    <t>https://bellingcat-archive.nyc3.cdn.digitaloceanspaces.com/Ukraine_Witness_Datasheet/Worksheet/youtube_dl_1492026082953891841.mp4</t>
  </si>
  <si>
    <t>2022-02-25T14:18:57+00:00</t>
  </si>
  <si>
    <t>https://bellingcat-archive.nyc3.cdn.digitaloceanspaces.com/Ukraine_Witness_Datasheet/Worksheet/youtube_dl__GirkinGirkin_status_14920260829538918412022-02-25T14:18:45.938259.png</t>
  </si>
  <si>
    <t>1f454834ccd5296e8d19b2ec7c866e4071d889e0dc213533155cd95b76b1793d</t>
  </si>
  <si>
    <t>https://bellingcat-archive.nyc3.cdn.digitaloceanspaces.com/Ukraine_Witness_Datasheet/Worksheet/youtube_dl_1492026082953891841/index.html</t>
  </si>
  <si>
    <t>2022-02-11T07:41:53+00:00</t>
  </si>
  <si>
    <t>12/02/2021</t>
  </si>
  <si>
    <t>https://www.tiktok.com/@antistressor/video/7063710896807251201</t>
  </si>
  <si>
    <t>https://bellingcat-archive.nyc3.cdn.digitaloceanspaces.com/Ukraine_Witness_Datasheet/Worksheet/tiktok_7063710896807251201.mp4</t>
  </si>
  <si>
    <t>2022-02-25T14:19:21+00:00</t>
  </si>
  <si>
    <t>https://bellingcat-archive.nyc3.cdn.digitaloceanspaces.com/Ukraine_Witness_Datasheet/Worksheet/tiktok__@antistressor_video_70637108968072512012022-02-25T14:19:09.200209.png</t>
  </si>
  <si>
    <t>c0a3987743620b804ae9ca787f2babc2f1ded2a09697ce9b1200e6d77b29a0fb</t>
  </si>
  <si>
    <t>https://bellingcat-archive.nyc3.cdn.digitaloceanspaces.com/Ukraine_Witness_Datasheet/Worksheet/tiktok_7063710896807251201/index.html</t>
  </si>
  <si>
    <t>военный движ</t>
  </si>
  <si>
    <t>2022-02-12T07:45:56+00:00</t>
  </si>
  <si>
    <t>tiktok: already archived</t>
  </si>
  <si>
    <t>2022-02-25T14:19:39+00:00</t>
  </si>
  <si>
    <t>https://bellingcat-archive.nyc3.cdn.digitaloceanspaces.com/Ukraine_Witness_Datasheet/Worksheet/tiktok__@antistressor_video_70637108968072512012022-02-25T14:19:30.889856.png</t>
  </si>
  <si>
    <t>https://www.tiktok.com/@taniya_34_88/video/7064192091626261762</t>
  </si>
  <si>
    <t>https://bellingcat-archive.nyc3.cdn.digitaloceanspaces.com/Ukraine_Witness_Datasheet/Worksheet/tiktok_7064192091626261762.mp4</t>
  </si>
  <si>
    <t>2022-02-25T14:19:58+00:00</t>
  </si>
  <si>
    <t>https://bellingcat-archive.nyc3.cdn.digitaloceanspaces.com/Ukraine_Witness_Datasheet/Worksheet/tiktok__@taniya_34_88_video_70641920916262617622022-02-25T14:19:49.596797.png</t>
  </si>
  <si>
    <t>d8fb3d5c1911d8a9fbe20fdd82c793fcb9e3f34fed3bd56aaf96937d05ed9741</t>
  </si>
  <si>
    <t>https://bellingcat-archive.nyc3.cdn.digitaloceanspaces.com/Ukraine_Witness_Datasheet/Worksheet/tiktok_7064192091626261762/index.html</t>
  </si>
  <si>
    <t>2022-02-13T14:53:12+00:00</t>
  </si>
  <si>
    <t>https://www.tiktok.com/@r_e_g_i_o_n_5_7/video/7064064236191878402?is_copy_url=1&amp;is_from_webapp=v1</t>
  </si>
  <si>
    <t>https://bellingcat-archive.nyc3.cdn.digitaloceanspaces.com/Ukraine_Witness_Datasheet/Worksheet/tiktok_7064064236191878402.mp4</t>
  </si>
  <si>
    <t>2022-02-25T14:20:20+00:00</t>
  </si>
  <si>
    <t>https://bellingcat-archive.nyc3.cdn.digitaloceanspaces.com/Ukraine_Witness_Datasheet/Worksheet/tiktok__@r_e_g_i_o_n_5_7_video_70640642361918784022022-02-25T14:20:11.663617.png</t>
  </si>
  <si>
    <t>155b8f2e5ba66c674eb144f0dbcc7cbc9056a0fe767b2bcf81724367764faaed</t>
  </si>
  <si>
    <t>https://bellingcat-archive.nyc3.cdn.digitaloceanspaces.com/Ukraine_Witness_Datasheet/Worksheet/tiktok_7064064236191878402/index.html</t>
  </si>
  <si>
    <t>#война #украина #россиябудетсвободной #путин #военнаятехнитка #втренде</t>
  </si>
  <si>
    <t>2022-02-13T06:37:05+00:00</t>
  </si>
  <si>
    <t>https://www.tiktok.com/@_smaly_17/video/7063058802345626886</t>
  </si>
  <si>
    <t>wayback: Internet Archive failed: {'message': 'The server cannot find the requested resource https://www.tiktok.com/@_smaly_17/video/7063058802345626886 (HTTP status=404).', 'duration_sec': 22.116, 'status': 'error', 'resources': [], 'status_ext': 'error:not-found', 'job_id': 'spn2-7ce42a4530b7cd4655028413f10b90294b8130f0-51ec49c5'}</t>
  </si>
  <si>
    <t>2022-02-25T14:21:41+00:00</t>
  </si>
  <si>
    <t>https://twitter.com/GirkinGirkin/status/1493246368592404486</t>
  </si>
  <si>
    <t xml:space="preserve">Tanks transported by train </t>
  </si>
  <si>
    <t>https://twitter.com/gfusfus/status/1493251987168714756</t>
  </si>
  <si>
    <t>UW0264</t>
  </si>
  <si>
    <t>https://bellingcat-archive.nyc3.cdn.digitaloceanspaces.com/Ukraine_Witness_Datasheet/Worksheet/youtube_dl_1493246368592404486.mp4</t>
  </si>
  <si>
    <t>2022-02-25T14:21:59+00:00</t>
  </si>
  <si>
    <t>https://bellingcat-archive.nyc3.cdn.digitaloceanspaces.com/Ukraine_Witness_Datasheet/Worksheet/youtube_dl__GirkinGirkin_status_14932463685924044862022-02-25T14:21:46.740436.png</t>
  </si>
  <si>
    <t>daf3282c83b90f59ea409a6f0b9cc929449762cb9b560b9532b02b4bc696f4a1</t>
  </si>
  <si>
    <t>https://bellingcat-archive.nyc3.cdn.digitaloceanspaces.com/Ukraine_Witness_Datasheet/Worksheet/youtube_dl_1493246368592404486/index.html</t>
  </si>
  <si>
    <t>2022-02-14T16:30:52+00:00</t>
  </si>
  <si>
    <t>https://twitter.com/GirkinGirkin/status/1492745393423237121</t>
  </si>
  <si>
    <t>https://twitter.com/gfusfus/status/1493257787647930370</t>
  </si>
  <si>
    <t>UW0265</t>
  </si>
  <si>
    <t>https://bellingcat-archive.nyc3.cdn.digitaloceanspaces.com/Ukraine_Witness_Datasheet/Worksheet/youtube_dl_1492745393423237121.mp4</t>
  </si>
  <si>
    <t>2022-02-25T14:22:17+00:00</t>
  </si>
  <si>
    <t>https://bellingcat-archive.nyc3.cdn.digitaloceanspaces.com/Ukraine_Witness_Datasheet/Worksheet/youtube_dl__GirkinGirkin_status_14927453934232371212022-02-25T14:22:05.366606.png</t>
  </si>
  <si>
    <t>81e197918a47981e7907f280593e309344249fbb2de9b28ff859340fcf36d676</t>
  </si>
  <si>
    <t>https://bellingcat-archive.nyc3.cdn.digitaloceanspaces.com/Ukraine_Witness_Datasheet/Worksheet/youtube_dl_1492745393423237121/index.html</t>
  </si>
  <si>
    <t>2022-02-13T07:20:10+00:00</t>
  </si>
  <si>
    <t>https://twitter.com/GirkinGirkin/status/1493281590281129987</t>
  </si>
  <si>
    <t>Trains transporting field hospital</t>
  </si>
  <si>
    <t>https://twitter.com/gfusfus/status/1493287351614902286</t>
  </si>
  <si>
    <t>UW0266</t>
  </si>
  <si>
    <t>https://bellingcat-archive.nyc3.cdn.digitaloceanspaces.com/Ukraine_Witness_Datasheet/Worksheet/youtube_dl_1493281590281129987.mp4</t>
  </si>
  <si>
    <t>2022-02-25T14:22:36+00:00</t>
  </si>
  <si>
    <t>https://bellingcat-archive.nyc3.cdn.digitaloceanspaces.com/Ukraine_Witness_Datasheet/Worksheet/youtube_dl__GirkinGirkin_status_14932815902811299872022-02-25T14:22:23.157755.png</t>
  </si>
  <si>
    <t>d7c1be9e84e8f1c4e43c535850fa4eaa2688aecff390156e4aed876a084a9ac6</t>
  </si>
  <si>
    <t>https://bellingcat-archive.nyc3.cdn.digitaloceanspaces.com/Ukraine_Witness_Datasheet/Worksheet/youtube_dl_1493281590281129987/index.html</t>
  </si>
  <si>
    <t>2022-02-14T18:50:49+00:00</t>
  </si>
  <si>
    <t>https://twitter.com/herooftheday10/status/1493282279434633220</t>
  </si>
  <si>
    <t>Helicopter movement</t>
  </si>
  <si>
    <t>https://twitter.com/gfusfus/status/1493300892912824322</t>
  </si>
  <si>
    <t>Luje</t>
  </si>
  <si>
    <t>UW0267</t>
  </si>
  <si>
    <t>https://web.archive.org/web/20220225142413/https://twitter.com/herooftheday10/status/1493282279434633220</t>
  </si>
  <si>
    <t>2022-02-25T14:24:32+00:00</t>
  </si>
  <si>
    <t>https://bellingcat-archive.nyc3.cdn.digitaloceanspaces.com/Ukraine_Witness_Datasheet/Worksheet/wayback__herooftheday10_status_14932822794346332202022-02-25T14:24:22.774900.png</t>
  </si>
  <si>
    <t>ЄС_EU_UA_NATO_USA_יִשְׂרָאֵל🇮🇱🇺🇦🇺🇸🇪🇺🇬🇧 on Twitter: "Ивье, Беларусь… "</t>
  </si>
  <si>
    <t>https://twitter.com/4emberlen/status/1493246283875864576</t>
  </si>
  <si>
    <t xml:space="preserve">Heavy weaponry being set up </t>
  </si>
  <si>
    <t>https://twitter.com/Michael1Sheldon/status/1493326820397178886</t>
  </si>
  <si>
    <t>Nikol'skoe</t>
  </si>
  <si>
    <t>UW0268</t>
  </si>
  <si>
    <t>https://bellingcat-archive.nyc3.cdn.digitaloceanspaces.com/Ukraine_Witness_Datasheet/Worksheet/youtube_dl_1493246283875864576.mp4</t>
  </si>
  <si>
    <t>2022-02-25T14:24:50+00:00</t>
  </si>
  <si>
    <t>https://bellingcat-archive.nyc3.cdn.digitaloceanspaces.com/Ukraine_Witness_Datasheet/Worksheet/youtube_dl__4emberlen_status_14932462838758645762022-02-25T14:24:37.785315.png</t>
  </si>
  <si>
    <t>ad1c47e21ee32a8a8a48f875761395ed8c9ee63e106364f7aec110079969db75</t>
  </si>
  <si>
    <t>https://bellingcat-archive.nyc3.cdn.digitaloceanspaces.com/Ukraine_Witness_Datasheet/Worksheet/youtube_dl_1493246283875864576/index.html</t>
  </si>
  <si>
    <t>4emberlen - Бєлгородська обл. 14.02.2022</t>
  </si>
  <si>
    <t>2022-02-14T16:30:31+00:00</t>
  </si>
  <si>
    <t>UW0269</t>
  </si>
  <si>
    <t>2022-02-25T14:25:11+00:00</t>
  </si>
  <si>
    <t>https://bellingcat-archive.nyc3.cdn.digitaloceanspaces.com/Ukraine_Witness_Datasheet/Worksheet/youtube_dl__Michael1Sheldon_status_14930365039744860182022-02-25T14:24:54.389022.png</t>
  </si>
  <si>
    <t>Tanks transported</t>
  </si>
  <si>
    <t>https://twitter.com/Idzanagi4/status/1493045331830968324</t>
  </si>
  <si>
    <t>Tomarovka</t>
  </si>
  <si>
    <t>UW0270</t>
  </si>
  <si>
    <t>2022-02-25T14:25:32+00:00</t>
  </si>
  <si>
    <t>https://bellingcat-archive.nyc3.cdn.digitaloceanspaces.com/Ukraine_Witness_Datasheet/Worksheet/youtube_dl__Michael1Sheldon_status_14930377676258263062022-02-25T14:25:16.034072.png</t>
  </si>
  <si>
    <t>Heavy weaponry transported through</t>
  </si>
  <si>
    <t>UW0271</t>
  </si>
  <si>
    <t>https://bellingcat-archive.nyc3.cdn.digitaloceanspaces.com/Ukraine_Witness_Datasheet/Worksheet/youtube_dl_1492886012082728961.mp4</t>
  </si>
  <si>
    <t>2022-02-25T14:25:57+00:00</t>
  </si>
  <si>
    <t>https://bellingcat-archive.nyc3.cdn.digitaloceanspaces.com/Ukraine_Witness_Datasheet/Worksheet/youtube_dl__Michael1Sheldon_status_14928860120827289612022-02-25T14:25:43.411144.png</t>
  </si>
  <si>
    <t>7ec8692288ae27d9435ebdb29abd6607aa378f58721b7e8975a8bf0a2a97ba37</t>
  </si>
  <si>
    <t>https://bellingcat-archive.nyc3.cdn.digitaloceanspaces.com/Ukraine_Witness_Datasheet/Worksheet/youtube_dl_1492886012082728961/index.html</t>
  </si>
  <si>
    <t>Michael Sheldon - Military equipment in Obtyabrskiy, Belgorod Oblast.</t>
  </si>
  <si>
    <t>2022-02-13T16:38:56+00:00</t>
  </si>
  <si>
    <t>https://twitter.com/Michael1Sheldon/status/1492368406036860930</t>
  </si>
  <si>
    <t>Tanks transported through the town</t>
  </si>
  <si>
    <t>https://twitter.com/Michael1Sheldon/status/1492368698384039936</t>
  </si>
  <si>
    <t>Voronezh Oblast</t>
  </si>
  <si>
    <t>UW0272</t>
  </si>
  <si>
    <t>https://bellingcat-archive.nyc3.cdn.digitaloceanspaces.com/Ukraine_Witness_Datasheet/Worksheet/youtube_dl_1492368406036860930.mp4</t>
  </si>
  <si>
    <t>2022-02-25T14:26:16+00:00</t>
  </si>
  <si>
    <t>https://bellingcat-archive.nyc3.cdn.digitaloceanspaces.com/Ukraine_Witness_Datasheet/Worksheet/youtube_dl__Michael1Sheldon_status_14923684060368609302022-02-25T14:26:04.317130.png</t>
  </si>
  <si>
    <t>f68dbaf4f4b6cb172f1ac30d47a1ca452976242f0708ca35ed3429a66f2f4313</t>
  </si>
  <si>
    <t>https://bellingcat-archive.nyc3.cdn.digitaloceanspaces.com/Ukraine_Witness_Datasheet/Worksheet/youtube_dl_1492368406036860930/index.html</t>
  </si>
  <si>
    <t>Michael Sheldon - BMP-2 heading in the direction of Maslovka station, presumably from Pogonovo.</t>
  </si>
  <si>
    <t>2022-02-12T06:22:09+00:00</t>
  </si>
  <si>
    <t>Heavy weaponry being set up in the fields</t>
  </si>
  <si>
    <t>UW0273</t>
  </si>
  <si>
    <t>2022-02-25T14:26:33+00:00</t>
  </si>
  <si>
    <t>https://bellingcat-archive.nyc3.cdn.digitaloceanspaces.com/Ukraine_Witness_Datasheet/Worksheet/youtube_dl__Michael1Sheldon_status_14923292480524206102022-02-25T14:26:21.410640.png</t>
  </si>
  <si>
    <t>https://twitter.com/Michael1Sheldon/status/1492229233485225991</t>
  </si>
  <si>
    <t>Heavy weaponry being transported through town</t>
  </si>
  <si>
    <t>https://twitter.com/Michael1Sheldon/status/1492229635886702592</t>
  </si>
  <si>
    <t>UW0274</t>
  </si>
  <si>
    <t>https://bellingcat-archive.nyc3.cdn.digitaloceanspaces.com/Ukraine_Witness_Datasheet/Worksheet/youtube_dl_1492229233485225991.mp4</t>
  </si>
  <si>
    <t>2022-02-25T14:26:50+00:00</t>
  </si>
  <si>
    <t>https://bellingcat-archive.nyc3.cdn.digitaloceanspaces.com/Ukraine_Witness_Datasheet/Worksheet/youtube_dl__Michael1Sheldon_status_14922292334852259912022-02-25T14:26:38.558360.png</t>
  </si>
  <si>
    <t>69d415f82f9598300f1636c324e36e3b7c60aff2377fecb0bdc6cb6a17ddbdda</t>
  </si>
  <si>
    <t>https://bellingcat-archive.nyc3.cdn.digitaloceanspaces.com/Ukraine_Witness_Datasheet/Worksheet/youtube_dl_1492229233485225991/index.html</t>
  </si>
  <si>
    <t>Michael Sheldon - “Big Bird” acquisition radar in Kursk.</t>
  </si>
  <si>
    <t>2022-02-11T21:09:08+00:00</t>
  </si>
  <si>
    <t>https://twitter.com/GirkinGirkin/status/1492013018296819720</t>
  </si>
  <si>
    <t>Heavy weaponry transported by train through the town</t>
  </si>
  <si>
    <t>https://twitter.com/Danspiun/status/1493368700061241355</t>
  </si>
  <si>
    <t>UW0275</t>
  </si>
  <si>
    <t>https://bellingcat-archive.nyc3.cdn.digitaloceanspaces.com/Ukraine_Witness_Datasheet/Worksheet/youtube_dl_1492013018296819720.mp4</t>
  </si>
  <si>
    <t>2022-02-25T14:27:09+00:00</t>
  </si>
  <si>
    <t>https://bellingcat-archive.nyc3.cdn.digitaloceanspaces.com/Ukraine_Witness_Datasheet/Worksheet/youtube_dl__GirkinGirkin_status_14920130182968197202022-02-25T14:26:57.412378.png</t>
  </si>
  <si>
    <t>afb50b3f9d43a46a6ebb313e253079b8b0717c70e8b2322aca6ba249dc51ece6</t>
  </si>
  <si>
    <t>https://bellingcat-archive.nyc3.cdn.digitaloceanspaces.com/Ukraine_Witness_Datasheet/Worksheet/youtube_dl_1492013018296819720/index.html</t>
  </si>
  <si>
    <t>IgorGirkin - Наровля, Беларусь</t>
  </si>
  <si>
    <t>2022-02-11T06:49:58+00:00</t>
  </si>
  <si>
    <t>https://twitter.com/GirkinGirkin/status/1492765937568821249</t>
  </si>
  <si>
    <t>Heavy weaponry transported in the highway</t>
  </si>
  <si>
    <t>https://twitter.com/Danspiun/status/1493311110040236034</t>
  </si>
  <si>
    <t>UW0276</t>
  </si>
  <si>
    <t>https://bellingcat-archive.nyc3.cdn.digitaloceanspaces.com/Ukraine_Witness_Datasheet/Worksheet/youtube_dl_1492765937568821249.mp4</t>
  </si>
  <si>
    <t>2022-02-25T14:27:28+00:00</t>
  </si>
  <si>
    <t>https://bellingcat-archive.nyc3.cdn.digitaloceanspaces.com/Ukraine_Witness_Datasheet/Worksheet/youtube_dl__GirkinGirkin_status_14927659375688212492022-02-25T14:27:16.621568.png</t>
  </si>
  <si>
    <t>1e6ac68e9aacba72169039696f4ad650c3be42fd1a918576d89c01d4800b2117</t>
  </si>
  <si>
    <t>https://bellingcat-archive.nyc3.cdn.digitaloceanspaces.com/Ukraine_Witness_Datasheet/Worksheet/youtube_dl_1492765937568821249/index.html</t>
  </si>
  <si>
    <t>2022-02-13T08:41:48+00:00</t>
  </si>
  <si>
    <t>https://twitter.com/4emberlen/status/1492540764961792012</t>
  </si>
  <si>
    <t>https://twitter.com/Danspiun/status/1493305084616269829</t>
  </si>
  <si>
    <t>UW0277</t>
  </si>
  <si>
    <t>https://bellingcat-archive.nyc3.cdn.digitaloceanspaces.com/Ukraine_Witness_Datasheet/Worksheet/youtube_dl_1492540764961792012.mp4</t>
  </si>
  <si>
    <t>2022-02-25T14:27:44+00:00</t>
  </si>
  <si>
    <t>https://bellingcat-archive.nyc3.cdn.digitaloceanspaces.com/Ukraine_Witness_Datasheet/Worksheet/youtube_dl__4emberlen_status_14925407649617920122022-02-25T14:27:32.607909.png</t>
  </si>
  <si>
    <t>8339f3b1fe79f2cca1417cfaba2f2ba8d876fc2e7e09d18b1690eb89c3c80d75</t>
  </si>
  <si>
    <t>https://bellingcat-archive.nyc3.cdn.digitaloceanspaces.com/Ukraine_Witness_Datasheet/Worksheet/youtube_dl_1492540764961792012/index.html</t>
  </si>
  <si>
    <t>4emberlen - Постоялі двори 12.02.2022</t>
  </si>
  <si>
    <t>2022-02-12T17:47:03+00:00</t>
  </si>
  <si>
    <t>15/02/2022</t>
  </si>
  <si>
    <t>https://drive.google.com/file/d/1iW-l1H1sKLyrRjeNYBlWLYBO7FQBw0Jq/view?usp=sharing</t>
  </si>
  <si>
    <t>Korenetsky</t>
  </si>
  <si>
    <t>UW0278</t>
  </si>
  <si>
    <t>https://web.archive.org/web/20220225142838/https://accounts.google.com/_/bscframe</t>
  </si>
  <si>
    <t>2022-02-25T14:28:57+00:00</t>
  </si>
  <si>
    <t>https://bellingcat-archive.nyc3.cdn.digitaloceanspaces.com/Ukraine_Witness_Datasheet/Worksheet/wayback__file_d_1iW-l1H1sKLyrRjeNYBlWLYBO7FQBw0Jq_view2022-02-25T14:28:47.494171.png</t>
  </si>
  <si>
    <t>https://drive.google.com/file/d/1EYVs1LEweGFa4HeTSE7dh92J_XQHn8d6/view?usp=sharing</t>
  </si>
  <si>
    <t>UW0279</t>
  </si>
  <si>
    <t>https://web.archive.org/web/20220225143024/https://accounts.google.com/_/bscframe</t>
  </si>
  <si>
    <t>2022-02-25T14:30:38+00:00</t>
  </si>
  <si>
    <t>https://bellingcat-archive.nyc3.cdn.digitaloceanspaces.com/Ukraine_Witness_Datasheet/Worksheet/wayback__file_d_1EYVs1LEweGFa4HeTSE7dh92J_XQHn8d6_view2022-02-25T14:30:29.914449.png</t>
  </si>
  <si>
    <t>https://twitter.com/GirkinGirkin/status/1493296620053618690</t>
  </si>
  <si>
    <t>https://twitter.com/MilitaryEmpire/status/1493307886449135616</t>
  </si>
  <si>
    <t>Yakovlevsky</t>
  </si>
  <si>
    <t>UW0280</t>
  </si>
  <si>
    <t>https://bellingcat-archive.nyc3.cdn.digitaloceanspaces.com/Ukraine_Witness_Datasheet/Worksheet/youtube_dl_1493296620053618690.mp4</t>
  </si>
  <si>
    <t>2022-02-25T14:30:59+00:00</t>
  </si>
  <si>
    <t>https://bellingcat-archive.nyc3.cdn.digitaloceanspaces.com/Ukraine_Witness_Datasheet/Worksheet/youtube_dl__GirkinGirkin_status_14932966200536186902022-02-25T14:30:44.297135.png</t>
  </si>
  <si>
    <t>bc5538578c05a7f923c714d509dc65707304ddd29ba0f3f98c77766a7986c5a8</t>
  </si>
  <si>
    <t>https://bellingcat-archive.nyc3.cdn.digitaloceanspaces.com/Ukraine_Witness_Datasheet/Worksheet/youtube_dl_1493296620053618690/index.html</t>
  </si>
  <si>
    <t>2022-02-14T19:50:32+00:00</t>
  </si>
  <si>
    <t>https://www.youtube.com/watch?v=G1ro0qi-Wnw&amp;feature=youtu.be</t>
  </si>
  <si>
    <t>Military equipment on the move</t>
  </si>
  <si>
    <t>https://twitter.com/Idzanagi4/status/1493048637185798144</t>
  </si>
  <si>
    <t>UW0281</t>
  </si>
  <si>
    <t>https://bellingcat-archive.nyc3.cdn.digitaloceanspaces.com/Ukraine_Witness_Datasheet/Worksheet/youtube_dl_G1ro0qi-Wnw.webm</t>
  </si>
  <si>
    <t>2022-02-28T11:52:03.449647+00:00</t>
  </si>
  <si>
    <t>https://bellingcat-archive.nyc3.cdn.digitaloceanspaces.com/Ukraine_Witness_Datasheet/Worksheet/youtube_dl__watch2022-02-28T11:51:43.287623.png</t>
  </si>
  <si>
    <t>d54c87bfe7a511528a402f07220308afd5a45dd694755752deb8fcc5b9159e79</t>
  </si>
  <si>
    <t>https://bellingcat-archive.nyc3.cdn.digitaloceanspaces.com/Ukraine_Witness_Datasheet/Worksheet/youtube_dl_G1ro0qi-Wnw/index.html</t>
  </si>
  <si>
    <t>Томаровка. Российская колонна бронетехники</t>
  </si>
  <si>
    <t>https://twitter.com/Idzanagi4/status/1493060690197766148</t>
  </si>
  <si>
    <t>UW0282</t>
  </si>
  <si>
    <t>https://bellingcat-archive.nyc3.cdn.digitaloceanspaces.com/Ukraine_Witness_Datasheet/Worksheet/youtube_dl_1493060690197766148.mp4</t>
  </si>
  <si>
    <t>2022-02-25T14:32:20+00:00</t>
  </si>
  <si>
    <t>https://bellingcat-archive.nyc3.cdn.digitaloceanspaces.com/Ukraine_Witness_Datasheet/Worksheet/youtube_dl__Idzanagi4_status_14930606901977661482022-02-25T14:32:06.034202.png</t>
  </si>
  <si>
    <t>e8a599cb0f9ae441bc1df79bc50a66b8c379b4b50d77db883ac93196aed80ba5</t>
  </si>
  <si>
    <t>https://bellingcat-archive.nyc3.cdn.digitaloceanspaces.com/Ukraine_Witness_Datasheet/Worksheet/youtube_dl_1493060690197766148/index.html</t>
  </si>
  <si>
    <t>Идзанаги 🇺🇦 🇰🇿 - @Michael1Sheldon 1st Guards Tank Army in Tomarovka, Belgorod Oblast. T-80U tanks, BMP-2, MT-LB, MSTA-S. Cords: ⬆️</t>
  </si>
  <si>
    <t>2022-02-14T04:13:02+00:00</t>
  </si>
  <si>
    <t>https://www.tiktok.com/@traktorplus/video/7064560617033567490?_t=8PtXNWu87u3&amp;_r=1</t>
  </si>
  <si>
    <t>UW0283</t>
  </si>
  <si>
    <t>https://bellingcat-archive.nyc3.cdn.digitaloceanspaces.com/Ukraine_Witness_Datasheet/Worksheet/tiktok_7064560617033567490.mp4</t>
  </si>
  <si>
    <t>2022-02-25T14:32:47+00:00</t>
  </si>
  <si>
    <t>https://bellingcat-archive.nyc3.cdn.digitaloceanspaces.com/Ukraine_Witness_Datasheet/Worksheet/tiktok__@traktorplus_video_70645606170335674902022-02-25T14:32:34.688901.png</t>
  </si>
  <si>
    <t>9f2ea93df0e86e50c39d11414cc0b9c84ed8e903c07334f7a58b51d1f60276c3</t>
  </si>
  <si>
    <t>https://bellingcat-archive.nyc3.cdn.digitaloceanspaces.com/Ukraine_Witness_Datasheet/Worksheet/tiktok_7064560617033567490/index.html</t>
  </si>
  <si>
    <t>#46регион</t>
  </si>
  <si>
    <t>2022-02-14T14:43:16+00:00</t>
  </si>
  <si>
    <t>https://twitter.com/breakinglv/status/1493680048234287119</t>
  </si>
  <si>
    <t>https://twitter.com/gfusfus/status/1493685589329289218</t>
  </si>
  <si>
    <t>Vengerovka</t>
  </si>
  <si>
    <t>UW0284</t>
  </si>
  <si>
    <t>https://bellingcat-archive.nyc3.cdn.digitaloceanspaces.com/Ukraine_Witness_Datasheet/Worksheet/youtube_dl_1493680048234287119.mp4</t>
  </si>
  <si>
    <t>2022-02-25T14:33:04+00:00</t>
  </si>
  <si>
    <t>https://bellingcat-archive.nyc3.cdn.digitaloceanspaces.com/Ukraine_Witness_Datasheet/Worksheet/youtube_dl__breakinglv_status_14936800482342871192022-02-25T14:32:52.692376.png</t>
  </si>
  <si>
    <t>7cc18d24f480cf80ec65027ef7f1a2767ce2db6406e1b9eda7dc76ae36c4661f</t>
  </si>
  <si>
    <t>https://bellingcat-archive.nyc3.cdn.digitaloceanspaces.com/Ukraine_Witness_Datasheet/Worksheet/youtube_dl_1493680048234287119/index.html</t>
  </si>
  <si>
    <t>BreakingLV - 🇧🇾 Krievijas armijas bruņutehnika, kura vakar manīta #Vengerovka #Belgoroda #Baltkrievija (55 km no #Ukraina). Vietējie iedzīvotāji netic, ka vakar no vilciena izkrautā tehnika jau šodien tiks vesta prom.</t>
  </si>
  <si>
    <t>2022-02-15T21:14:09+00:00</t>
  </si>
  <si>
    <t>16/02/2022</t>
  </si>
  <si>
    <t>https://twitter.com/Michael1Sheldon/status/1493801932363911171</t>
  </si>
  <si>
    <t>https://twitter.com/Michael1Sheldon/status/1493802310971109377</t>
  </si>
  <si>
    <t>UW0285</t>
  </si>
  <si>
    <t>https://bellingcat-archive.nyc3.cdn.digitaloceanspaces.com/Ukraine_Witness_Datasheet/Worksheet/youtube_dl_1493801932363911171.mp4</t>
  </si>
  <si>
    <t>2022-02-25T14:33:24+00:00</t>
  </si>
  <si>
    <t>https://bellingcat-archive.nyc3.cdn.digitaloceanspaces.com/Ukraine_Witness_Datasheet/Worksheet/youtube_dl__Michael1Sheldon_status_14938019323639111712022-02-25T14:33:11.317009.png</t>
  </si>
  <si>
    <t>09280b5357e90f4f56409a42d689ce9def5e85c6e81c45bf9e7cdb41aeb53ceb</t>
  </si>
  <si>
    <t>https://bellingcat-archive.nyc3.cdn.digitaloceanspaces.com/Ukraine_Witness_Datasheet/Worksheet/youtube_dl_1493801932363911171/index.html</t>
  </si>
  <si>
    <t>Michael Sheldon - Looks like Iskander transporter-loaders and possibly TELs in Lgov, Kursk Oblast.</t>
  </si>
  <si>
    <t>2022-02-16T05:18:28+00:00</t>
  </si>
  <si>
    <t>https://twitter.com/Michael1Sheldon/status/1493720746392272899</t>
  </si>
  <si>
    <t>https://twitter.com/Michael1Sheldon/status/1493721035803348992</t>
  </si>
  <si>
    <t>Orlovka</t>
  </si>
  <si>
    <t>UW0286</t>
  </si>
  <si>
    <t>https://bellingcat-archive.nyc3.cdn.digitaloceanspaces.com/Ukraine_Witness_Datasheet/Worksheet/youtube_dl_1493720746392272899.mp4</t>
  </si>
  <si>
    <t>2022-02-25T14:33:40+00:00</t>
  </si>
  <si>
    <t>https://bellingcat-archive.nyc3.cdn.digitaloceanspaces.com/Ukraine_Witness_Datasheet/Worksheet/youtube_dl__Michael1Sheldon_status_14937207463922728992022-02-25T14:33:28.728854.png</t>
  </si>
  <si>
    <t>50159fa62764925610f8316e8e348f66743ae1e2306e48c9493b88a0a0ccb0af</t>
  </si>
  <si>
    <t>https://bellingcat-archive.nyc3.cdn.digitaloceanspaces.com/Ukraine_Witness_Datasheet/Worksheet/youtube_dl_1493720746392272899/index.html</t>
  </si>
  <si>
    <t>Michael Sheldon - MSTA-S stuck in a field near Bessonovka, Belgorod Oblast.</t>
  </si>
  <si>
    <t>2022-02-15T23:55:52+00:00</t>
  </si>
  <si>
    <t>https://twitter.com/4emberlen/status/1493245936830660610</t>
  </si>
  <si>
    <t>Military equipment stationed in the field</t>
  </si>
  <si>
    <t>https://twitter.com/COUPSURE/status/1493573204404846594</t>
  </si>
  <si>
    <t>Veslya Lopan</t>
  </si>
  <si>
    <t>UW0287</t>
  </si>
  <si>
    <t>https://bellingcat-archive.nyc3.cdn.digitaloceanspaces.com/Ukraine_Witness_Datasheet/Worksheet/youtube_dl_1493245936830660610.mp4</t>
  </si>
  <si>
    <t>2022-02-25T14:33:56+00:00</t>
  </si>
  <si>
    <t>https://bellingcat-archive.nyc3.cdn.digitaloceanspaces.com/Ukraine_Witness_Datasheet/Worksheet/youtube_dl__4emberlen_status_14932459368306606102022-02-25T14:33:44.895048.png</t>
  </si>
  <si>
    <t>0e6c78a7b82490deb996862d361ec39f55b3e0e47913e3a3766e72b4c127477b</t>
  </si>
  <si>
    <t>https://bellingcat-archive.nyc3.cdn.digitaloceanspaces.com/Ukraine_Witness_Datasheet/Worksheet/youtube_dl_1493245936830660610/index.html</t>
  </si>
  <si>
    <t>2022-02-14T16:29:09+00:00</t>
  </si>
  <si>
    <t>https://twitter.com/4emberlen/status/1492837289055207427</t>
  </si>
  <si>
    <t>https://twitter.com/Danspiun/status/1493648997864685574</t>
  </si>
  <si>
    <t>UW0288</t>
  </si>
  <si>
    <t>https://bellingcat-archive.nyc3.cdn.digitaloceanspaces.com/Ukraine_Witness_Datasheet/Worksheet/youtube_dl_1492837289055207427.mp4</t>
  </si>
  <si>
    <t>2022-02-25T14:34:12+00:00</t>
  </si>
  <si>
    <t>https://bellingcat-archive.nyc3.cdn.digitaloceanspaces.com/Ukraine_Witness_Datasheet/Worksheet/youtube_dl__4emberlen_status_14928372890552074272022-02-25T14:34:01.120302.png</t>
  </si>
  <si>
    <t>e77898f994e258d33794ed8580f2e6e6304a9f848cecde37662c268e6997d82b</t>
  </si>
  <si>
    <t>https://bellingcat-archive.nyc3.cdn.digitaloceanspaces.com/Ukraine_Witness_Datasheet/Worksheet/youtube_dl_1492837289055207427/index.html</t>
  </si>
  <si>
    <t>4emberlen - Курська обл. 12.02.2022</t>
  </si>
  <si>
    <t>2022-02-13T13:25:19+00:00</t>
  </si>
  <si>
    <t>https://twitter.com/4emberlen/status/1493540727174963202</t>
  </si>
  <si>
    <t>https://twitter.com/Danspiun/status/1493639141275410433</t>
  </si>
  <si>
    <t>UW0289</t>
  </si>
  <si>
    <t>https://bellingcat-archive.nyc3.cdn.digitaloceanspaces.com/Ukraine_Witness_Datasheet/Worksheet/youtube_dl_1493540727174963202.mp4</t>
  </si>
  <si>
    <t>2022-02-25T14:34:31+00:00</t>
  </si>
  <si>
    <t>https://bellingcat-archive.nyc3.cdn.digitaloceanspaces.com/Ukraine_Witness_Datasheet/Worksheet/youtube_dl__4emberlen_status_14935407271749632022022-02-25T14:34:19.068423.png</t>
  </si>
  <si>
    <t>71f1681a5794d08b5f283c53e1c2bf37f5118db72718163962c8077f93d5a534</t>
  </si>
  <si>
    <t>https://bellingcat-archive.nyc3.cdn.digitaloceanspaces.com/Ukraine_Witness_Datasheet/Worksheet/youtube_dl_1493540727174963202/index.html</t>
  </si>
  <si>
    <t>4emberlen - Холмеч 14.02.2022</t>
  </si>
  <si>
    <t>2022-02-15T12:00:32+00:00</t>
  </si>
  <si>
    <t>Pierre</t>
  </si>
  <si>
    <t>https://twitter.com/Idzanagi4/status/1493625284318449671</t>
  </si>
  <si>
    <t>S-300V missile tubes, launcher and transport vehicles unloading from train, also carrying multiple white-painted BMP-2s</t>
  </si>
  <si>
    <t>S-300, BMP-2. MT-LB</t>
  </si>
  <si>
    <t>UW0290</t>
  </si>
  <si>
    <t>White BMP-2s could be of interest. Also combination of S-300s with already-identified Kasta radar site indicates</t>
  </si>
  <si>
    <t>https://bellingcat-archive.nyc3.cdn.digitaloceanspaces.com/Ukraine_Witness_Datasheet/Worksheet/youtube_dl_1493625284318449671.mp4</t>
  </si>
  <si>
    <t>2022-02-25T14:36:24+00:00</t>
  </si>
  <si>
    <t>https://bellingcat-archive.nyc3.cdn.digitaloceanspaces.com/Ukraine_Witness_Datasheet/Worksheet/youtube_dl__Idzanagi4_status_14936252843184496712022-02-25T14:36:09.751867.png</t>
  </si>
  <si>
    <t>7e863e867dd1542540d75a655ebfd6e0ef7fa99e745e32c690f347c53a53d986</t>
  </si>
  <si>
    <t>https://bellingcat-archive.nyc3.cdn.digitaloceanspaces.com/Ukraine_Witness_Datasheet/Worksheet/youtube_dl_1493625284318449671/index.html</t>
  </si>
  <si>
    <t>Идзанаги 🇺🇦 🇰🇿 - Весела Лопань, Білгородський район: 50.497046807935355, 36.38993457099373  Установка ЗРК С-300В 9А83 і ракети в контейнерах.</t>
  </si>
  <si>
    <t>2022-02-15T17:36:32+00:00</t>
  </si>
  <si>
    <t>https://twitter.com/GirkinGirkin/status/1493658749529202689</t>
  </si>
  <si>
    <t>https://twitter.com/norskdrue/status/1493659857249083393</t>
  </si>
  <si>
    <t>UW0291</t>
  </si>
  <si>
    <t>https://bellingcat-archive.nyc3.cdn.digitaloceanspaces.com/Ukraine_Witness_Datasheet/Worksheet/youtube_dl_1493658749529202689.mp4</t>
  </si>
  <si>
    <t>2022-02-25T14:34:21+00:00</t>
  </si>
  <si>
    <t>https://bellingcat-archive.nyc3.cdn.digitaloceanspaces.com/Ukraine_Witness_Datasheet/Worksheet/youtube_dl__GirkinGirkin_status_14936587495292026892022-02-25T14:34:09.889680.png</t>
  </si>
  <si>
    <t>0b432f8f30e0e50a276f0baf3ff521d6a430ffa52448b9e11e2a41df17f1352b</t>
  </si>
  <si>
    <t>https://bellingcat-archive.nyc3.cdn.digitaloceanspaces.com/Ukraine_Witness_Datasheet/Worksheet/youtube_dl_1493658749529202689/index.html</t>
  </si>
  <si>
    <t>IgorGirkin - ржд, возможно Белгород</t>
  </si>
  <si>
    <t>2022-02-15T19:49:31+00:00</t>
  </si>
  <si>
    <t>https://twitter.com/GirkinGirkin/status/1493531282134945796</t>
  </si>
  <si>
    <t>heavy miilitary equipment being transported</t>
  </si>
  <si>
    <t>https://twitter.com/Tar_Milus/status/1493552432877645825</t>
  </si>
  <si>
    <t>Krasnaya Yaruga</t>
  </si>
  <si>
    <t>UW0292</t>
  </si>
  <si>
    <t>https://bellingcat-archive.nyc3.cdn.digitaloceanspaces.com/Ukraine_Witness_Datasheet/Worksheet/youtube_dl_1493531282134945796.mp4</t>
  </si>
  <si>
    <t>2022-02-25T14:34:04+00:00</t>
  </si>
  <si>
    <t>https://bellingcat-archive.nyc3.cdn.digitaloceanspaces.com/Ukraine_Witness_Datasheet/Worksheet/youtube_dl__GirkinGirkin_status_14935312821349457962022-02-25T14:33:52.052443.png</t>
  </si>
  <si>
    <t>9c47a8b88b3afbba7a4ffc74f8f66b795702102a80d7a82c47ff93ee2449e24c</t>
  </si>
  <si>
    <t>https://bellingcat-archive.nyc3.cdn.digitaloceanspaces.com/Ukraine_Witness_Datasheet/Worksheet/youtube_dl_1493531282134945796/index.html</t>
  </si>
  <si>
    <t>IgorGirkin - Ракитное, Белгородская обл</t>
  </si>
  <si>
    <t>2022-02-15T11:23:00+00:00</t>
  </si>
  <si>
    <t>https://www.tiktok.com/@kocenko_marina/video/7064987689652718850?is_from_webapp=1&amp;sender_device=pc&amp;web_id6921390078750344710</t>
  </si>
  <si>
    <t xml:space="preserve">Row of tanks </t>
  </si>
  <si>
    <t>https://twitter.com/danvan71/status/1493699603614642182</t>
  </si>
  <si>
    <t>Porubezhnoye</t>
  </si>
  <si>
    <t>UW0293</t>
  </si>
  <si>
    <t>https://bellingcat-archive.nyc3.cdn.digitaloceanspaces.com/Ukraine_Witness_Datasheet/Worksheet/tiktok_7064987689652718850.mp4</t>
  </si>
  <si>
    <t>2022-02-25T14:33:46+00:00</t>
  </si>
  <si>
    <t>https://bellingcat-archive.nyc3.cdn.digitaloceanspaces.com/Ukraine_Witness_Datasheet/Worksheet/tiktok__@kocenko_marina_video_70649876896527188502022-02-25T14:33:37.697932.png</t>
  </si>
  <si>
    <t>6840013e7ef2d2be59380fcb572bb71439c27e58e54e60d6955fddd26da4ba41</t>
  </si>
  <si>
    <t>https://bellingcat-archive.nyc3.cdn.digitaloceanspaces.com/Ukraine_Witness_Datasheet/Worksheet/tiktok_7064987689652718850/index.html</t>
  </si>
  <si>
    <t>#танки #Белгород #техника</t>
  </si>
  <si>
    <t>2022-02-15T18:20:32+00:00</t>
  </si>
  <si>
    <t>https://twitter.com/GirkinGirkin/status/1493531939126534146</t>
  </si>
  <si>
    <t>Tanks stationed in field</t>
  </si>
  <si>
    <t>https://twitter.com/MilitaryEmpire/status/1493533272072142850</t>
  </si>
  <si>
    <t>UW0294</t>
  </si>
  <si>
    <t>https://bellingcat-archive.nyc3.cdn.digitaloceanspaces.com/Ukraine_Witness_Datasheet/Worksheet/youtube_dl_1493531939126534146.mp4</t>
  </si>
  <si>
    <t>https://bellingcat-archive.nyc3.cdn.digitaloceanspaces.com/Ukraine_Witness_Datasheet/Worksheet/youtube_dl__GirkinGirkin_status_14935319391265341462022-02-25T14:33:13.087929.png</t>
  </si>
  <si>
    <t>4a565b52db3d61b2f76ab1954c01614823a53c8d83505da675c28c353d1ecacf</t>
  </si>
  <si>
    <t>https://bellingcat-archive.nyc3.cdn.digitaloceanspaces.com/Ukraine_Witness_Datasheet/Worksheet/youtube_dl_1493531939126534146/index.html</t>
  </si>
  <si>
    <t>2022-02-15T11:25:37+00:00</t>
  </si>
  <si>
    <t>https://twitter.com/JC_Monitoring/status/1493708688481304586</t>
  </si>
  <si>
    <t>Convoy on the move</t>
  </si>
  <si>
    <t>https://twitter.com/JC_Monitoring/status/1493708913857994758</t>
  </si>
  <si>
    <t>UW0295</t>
  </si>
  <si>
    <t>https://bellingcat-archive.nyc3.cdn.digitaloceanspaces.com/Ukraine_Witness_Datasheet/Worksheet/youtube_dl_1493708688481304586.mp4</t>
  </si>
  <si>
    <t>2022-02-25T14:33:07+00:00</t>
  </si>
  <si>
    <t>https://bellingcat-archive.nyc3.cdn.digitaloceanspaces.com/Ukraine_Witness_Datasheet/Worksheet/youtube_dl__JC_Monitoring_status_14937086884813045862022-02-25T14:32:54.785187.png</t>
  </si>
  <si>
    <t>f632a9d6cd3a0a28b2bd56acc930678afd4863b4e56251f4337fdc35c2dc5775</t>
  </si>
  <si>
    <t>https://bellingcat-archive.nyc3.cdn.digitaloceanspaces.com/Ukraine_Witness_Datasheet/Worksheet/youtube_dl_1493708688481304586/index.html</t>
  </si>
  <si>
    <t>JC_Monitoring - Russian military convoy spotted in Klintsy, Bryansk Oblast (date unknown) Coordinates - 52.75704369, 32.2302539</t>
  </si>
  <si>
    <t>2022-02-15T23:07:57+00:00</t>
  </si>
  <si>
    <t>https://twitter.com/JC_Monitoring/status/1493725297879003139</t>
  </si>
  <si>
    <t>https://twitter.com/JC_Monitoring/status/1493725821722415106</t>
  </si>
  <si>
    <t>Starodub</t>
  </si>
  <si>
    <t>UW0296</t>
  </si>
  <si>
    <t>https://bellingcat-archive.nyc3.cdn.digitaloceanspaces.com/Ukraine_Witness_Datasheet/Worksheet/youtube_dl_1493725297879003139.mp4</t>
  </si>
  <si>
    <t>2022-02-25T14:32:49+00:00</t>
  </si>
  <si>
    <t>https://bellingcat-archive.nyc3.cdn.digitaloceanspaces.com/Ukraine_Witness_Datasheet/Worksheet/youtube_dl__JC_Monitoring_status_14937252978790031392022-02-25T14:32:37.748740.png</t>
  </si>
  <si>
    <t>6c58a0d35efb5a5c072b8e2e8e0c287ecdeb3c5b1add7f47ffd2ce1995952457</t>
  </si>
  <si>
    <t>https://bellingcat-archive.nyc3.cdn.digitaloceanspaces.com/Ukraine_Witness_Datasheet/Worksheet/youtube_dl_1493725297879003139/index.html</t>
  </si>
  <si>
    <t>JC_Monitoring - Russian military convoy spotted in Starodub, Bryansk Oblast. Coordinates - 52.58139975, 32.76315114</t>
  </si>
  <si>
    <t>2022-02-16T00:13:57+00:00</t>
  </si>
  <si>
    <t>https://twitter.com/JC_Monitoring/status/1493729688920887307</t>
  </si>
  <si>
    <t>Fuel trucks on the move</t>
  </si>
  <si>
    <t>https://twitter.com/JC_Monitoring/status/1493729732021547013</t>
  </si>
  <si>
    <t>UW0298</t>
  </si>
  <si>
    <t>https://bellingcat-archive.nyc3.cdn.digitaloceanspaces.com/Ukraine_Witness_Datasheet/Worksheet/youtube_dl_1493729688920887307.mp4</t>
  </si>
  <si>
    <t>2022-02-25T14:32:33+00:00</t>
  </si>
  <si>
    <t>https://bellingcat-archive.nyc3.cdn.digitaloceanspaces.com/Ukraine_Witness_Datasheet/Worksheet/youtube_dl__JC_Monitoring_status_14937296889208873072022-02-25T14:32:20.997005.png</t>
  </si>
  <si>
    <t>3fc91596b1c627ee5ae1ebcf01a3a64ce0723e68f860454f11b87cbe076538e8</t>
  </si>
  <si>
    <t>https://bellingcat-archive.nyc3.cdn.digitaloceanspaces.com/Ukraine_Witness_Datasheet/Worksheet/youtube_dl_1493729688920887307/index.html</t>
  </si>
  <si>
    <t>JC_Monitoring - Russian Convoy of Utility/Logistic vehicles spotted in Tomarovka, Belgorod Oblast Coordinates - 50.66850187, 36.22427901</t>
  </si>
  <si>
    <t>2022-02-16T00:31:24+00:00</t>
  </si>
  <si>
    <t>https://twitter.com/ChristopherJM/status/1494063690479456257</t>
  </si>
  <si>
    <t>Satellite imagery of bridge constructed</t>
  </si>
  <si>
    <t>https://twitter.com/IntelDoge/status/1493741564320956418</t>
  </si>
  <si>
    <t>Dovlyady</t>
  </si>
  <si>
    <t>UW0299</t>
  </si>
  <si>
    <t>https://bellingcat-archive.nyc3.cdn.digitaloceanspaces.com/Ukraine_Witness_Datasheet/Worksheet/twitter__ChristopherJM_status_1494063690479456257.html</t>
  </si>
  <si>
    <t>2022-02-25T14:32:15+00:00</t>
  </si>
  <si>
    <t>https://bellingcat-archive.nyc3.cdn.digitaloceanspaces.com/Ukraine_Witness_Datasheet/Worksheet/twitter__ChristopherJM_status_14940636904794562572022-02-25T14:32:05.334450.png</t>
  </si>
  <si>
    <t>aac79b58fd0bf62a3da63ae91b54cadfd5685189e910b78a390aaef8ea9a7417</t>
  </si>
  <si>
    <t>https://twitter.com/GirkinGirkin/status/1493794951200706560</t>
  </si>
  <si>
    <t>Tanks lined up</t>
  </si>
  <si>
    <t>https://twitter.com/YaBoyHeem103/status/1493797772646141953</t>
  </si>
  <si>
    <t>UW0300</t>
  </si>
  <si>
    <t>https://bellingcat-archive.nyc3.cdn.digitaloceanspaces.com/Ukraine_Witness_Datasheet/Worksheet/youtube_dl_1493794951200706560.mp4</t>
  </si>
  <si>
    <t>2022-02-25T14:31:58+00:00</t>
  </si>
  <si>
    <t>https://bellingcat-archive.nyc3.cdn.digitaloceanspaces.com/Ukraine_Witness_Datasheet/Worksheet/youtube_dl__GirkinGirkin_status_14937949512007065602022-02-25T14:31:47.038251.png</t>
  </si>
  <si>
    <t>51e1b943258fe9679377a78252204dc994c2000f248bf5e3f3cd0af9c54ab030</t>
  </si>
  <si>
    <t>https://bellingcat-archive.nyc3.cdn.digitaloceanspaces.com/Ukraine_Witness_Datasheet/Worksheet/youtube_dl_1493794951200706560/index.html</t>
  </si>
  <si>
    <t>2022-02-16T04:50:44+00:00</t>
  </si>
  <si>
    <t>https://twitter.com/JC_Monitoring/status/1493738346564268032</t>
  </si>
  <si>
    <t xml:space="preserve">Heavy weaponry being transported </t>
  </si>
  <si>
    <t>https://twitter.com/JC_Monitoring/status/1493739617228664836</t>
  </si>
  <si>
    <t>UW0301</t>
  </si>
  <si>
    <t>https://bellingcat-archive.nyc3.cdn.digitaloceanspaces.com/Ukraine_Witness_Datasheet/Worksheet/youtube_dl_1493738346564268032.mp4</t>
  </si>
  <si>
    <t>2022-02-25T14:31:41+00:00</t>
  </si>
  <si>
    <t>https://bellingcat-archive.nyc3.cdn.digitaloceanspaces.com/Ukraine_Witness_Datasheet/Worksheet/youtube_dl__JC_Monitoring_status_14937383465642680322022-02-25T14:31:29.880776.png</t>
  </si>
  <si>
    <t>abb59e80ea7c80c317b29ec8960c3fb239316c4a29f622498b919fdb536b47f8</t>
  </si>
  <si>
    <t>https://bellingcat-archive.nyc3.cdn.digitaloceanspaces.com/Ukraine_Witness_Datasheet/Worksheet/youtube_dl_1493738346564268032/index.html</t>
  </si>
  <si>
    <t>JC_Monitoring - Russian convoy of military hardware spotted in Rechytsa, Belarus - heading southeast Coordinates - 52.36888653, 30.3429573</t>
  </si>
  <si>
    <t>2022-02-16T01:05:48+00:00</t>
  </si>
  <si>
    <t>https://twitter.com/4emberlen/status/1493370314293719046</t>
  </si>
  <si>
    <t>Helicopters stationed at airfield</t>
  </si>
  <si>
    <t>https://twitter.com/danvan71/status/1493396222048100352</t>
  </si>
  <si>
    <t>UW0303</t>
  </si>
  <si>
    <t>https://bellingcat-archive.nyc3.cdn.digitaloceanspaces.com/Ukraine_Witness_Datasheet/Worksheet/youtube_dl_1493370314293719046.mp4</t>
  </si>
  <si>
    <t>2022-02-25T14:31:25+00:00</t>
  </si>
  <si>
    <t>https://bellingcat-archive.nyc3.cdn.digitaloceanspaces.com/Ukraine_Witness_Datasheet/Worksheet/youtube_dl__4emberlen_status_14933703142937190462022-02-25T14:31:14.057487.png</t>
  </si>
  <si>
    <t>e92c0aa2e059adc0091db37ae47b2f016a5cdfa7be0f60bd5e27f7248b187d6f</t>
  </si>
  <si>
    <t>https://bellingcat-archive.nyc3.cdn.digitaloceanspaces.com/Ukraine_Witness_Datasheet/Worksheet/youtube_dl_1493370314293719046/index.html</t>
  </si>
  <si>
    <t>4emberlen - Бєлгородська обл 14.02.2022</t>
  </si>
  <si>
    <t>2022-02-15T00:43:23+00:00</t>
  </si>
  <si>
    <t>Radar system in field</t>
  </si>
  <si>
    <t>https://twitter.com/COUPSURE/status/1493279722259857413</t>
  </si>
  <si>
    <t>Kasta-2E2</t>
  </si>
  <si>
    <t>UW0304</t>
  </si>
  <si>
    <t>2022-02-25T14:31:08+00:00</t>
  </si>
  <si>
    <t>https://bellingcat-archive.nyc3.cdn.digitaloceanspaces.com/Ukraine_Witness_Datasheet/Worksheet/youtube_dl__4emberlen_status_14932462838758645762022-02-25T14:30:57.311075.png</t>
  </si>
  <si>
    <t>https://twitter.com/4emberlen/status/1493893659061899267</t>
  </si>
  <si>
    <t>UW0305</t>
  </si>
  <si>
    <t>https://bellingcat-archive.nyc3.cdn.digitaloceanspaces.com/Ukraine_Witness_Datasheet/Worksheet/youtube_dl_1493893659061899267.mp4</t>
  </si>
  <si>
    <t>2022-02-25T14:30:53+00:00</t>
  </si>
  <si>
    <t>https://bellingcat-archive.nyc3.cdn.digitaloceanspaces.com/Ukraine_Witness_Datasheet/Worksheet/youtube_dl__4emberlen_status_14938936590618992672022-02-25T14:30:41.559274.png</t>
  </si>
  <si>
    <t>ddae973eb5a69a92ddc475b6418f035dfc865b793d37881b05218c55ee099180</t>
  </si>
  <si>
    <t>https://bellingcat-archive.nyc3.cdn.digitaloceanspaces.com/Ukraine_Witness_Datasheet/Worksheet/youtube_dl_1493893659061899267/index.html</t>
  </si>
  <si>
    <t>4emberlen - Мозирь 15.02.2022</t>
  </si>
  <si>
    <t>2022-02-16T11:22:58+00:00</t>
  </si>
  <si>
    <t>https://twitter.com/GirkinGirkin/status/1493916265408339973</t>
  </si>
  <si>
    <t>https://twitter.com/zvalgasrytuose/status/1493927946557562880</t>
  </si>
  <si>
    <t>UW0306</t>
  </si>
  <si>
    <t>https://bellingcat-archive.nyc3.cdn.digitaloceanspaces.com/Ukraine_Witness_Datasheet/Worksheet/youtube_dl_1493916265408339973.mp4</t>
  </si>
  <si>
    <t>2022-02-25T14:30:35+00:00</t>
  </si>
  <si>
    <t>https://bellingcat-archive.nyc3.cdn.digitaloceanspaces.com/Ukraine_Witness_Datasheet/Worksheet/youtube_dl__GirkinGirkin_status_14939162654083399732022-02-25T14:30:22.668321.png</t>
  </si>
  <si>
    <t>1125ed3a1079eafda1d44500a628814eb18eebcf0c13d064959db9f063ccba3f</t>
  </si>
  <si>
    <t>https://bellingcat-archive.nyc3.cdn.digitaloceanspaces.com/Ukraine_Witness_Datasheet/Worksheet/youtube_dl_1493916265408339973/index.html</t>
  </si>
  <si>
    <t>2022-02-16T12:52:47+00:00</t>
  </si>
  <si>
    <t>https://www.tiktok.com/@moto_bat31/video/7064951242409250049</t>
  </si>
  <si>
    <t>T-80BV tanks on the move</t>
  </si>
  <si>
    <t>Confirmed using Fortuna shop and avtozapchasti</t>
  </si>
  <si>
    <t>T-80BV</t>
  </si>
  <si>
    <t>UW0308</t>
  </si>
  <si>
    <t>https://bellingcat-archive.nyc3.cdn.digitaloceanspaces.com/Ukraine_Witness_Datasheet/Worksheet/tiktok_7064951242409250049.mp4</t>
  </si>
  <si>
    <t>2022-02-25T14:30:15+00:00</t>
  </si>
  <si>
    <t>https://bellingcat-archive.nyc3.cdn.digitaloceanspaces.com/Ukraine_Witness_Datasheet/Worksheet/tiktok__@moto_bat31_video_70649512424092500492022-02-25T14:30:02.086284.png</t>
  </si>
  <si>
    <t>034de4dd11a5202c1de17bca4aefc1bf8bcebc3b86769ef98d7a8eb2449db701</t>
  </si>
  <si>
    <t>https://bellingcat-archive.nyc3.cdn.digitaloceanspaces.com/Ukraine_Witness_Datasheet/Worksheet/tiktok_7064951242409250049/index.html</t>
  </si>
  <si>
    <t>2022-02-15T15:59:06+00:00</t>
  </si>
  <si>
    <t>https://www.tiktok.com/@moto_bat31/video/7065302927874788609</t>
  </si>
  <si>
    <t>T-90 tanks on the move</t>
  </si>
  <si>
    <t>T-90</t>
  </si>
  <si>
    <t>UW0309</t>
  </si>
  <si>
    <t>https://bellingcat-archive.nyc3.cdn.digitaloceanspaces.com/Ukraine_Witness_Datasheet/Worksheet/tiktok_7065302927874788609.mp4</t>
  </si>
  <si>
    <t>2022-02-25T14:29:03+00:00</t>
  </si>
  <si>
    <t>https://bellingcat-archive.nyc3.cdn.digitaloceanspaces.com/Ukraine_Witness_Datasheet/Worksheet/tiktok__@moto_bat31_video_70653029278747886092022-02-25T14:28:54.857765.png</t>
  </si>
  <si>
    <t>99e2f911afd6d50cfbf6bc50bc4ba5902a01c0dc98ffba0e75fef81ed41e8f62</t>
  </si>
  <si>
    <t>https://bellingcat-archive.nyc3.cdn.digitaloceanspaces.com/Ukraine_Witness_Datasheet/Worksheet/tiktok_7065302927874788609/index.html</t>
  </si>
  <si>
    <t>@linawxty #белгород</t>
  </si>
  <si>
    <t>2022-02-16T14:43:49+00:00</t>
  </si>
  <si>
    <t>https://www.tiktok.com/@moto_bat31/video/7065304080389852418</t>
  </si>
  <si>
    <t>UW0310</t>
  </si>
  <si>
    <t>https://bellingcat-archive.nyc3.cdn.digitaloceanspaces.com/Ukraine_Witness_Datasheet/Worksheet/tiktok_7065304080389852418.mp4</t>
  </si>
  <si>
    <t>2022-02-25T14:28:32+00:00</t>
  </si>
  <si>
    <t>https://bellingcat-archive.nyc3.cdn.digitaloceanspaces.com/Ukraine_Witness_Datasheet/Worksheet/tiktok__@moto_bat31_video_70653040803898524182022-02-25T14:28:22.365388.png</t>
  </si>
  <si>
    <t>0930db3dcce864758e717f10e041ba90d2414b3c353c3320767ac2655d7fae37</t>
  </si>
  <si>
    <t>https://bellingcat-archive.nyc3.cdn.digitaloceanspaces.com/Ukraine_Witness_Datasheet/Worksheet/tiktok_7065304080389852418/index.html</t>
  </si>
  <si>
    <t>@ukirill946 #белгород</t>
  </si>
  <si>
    <t>2022-02-16T14:48:18+00:00</t>
  </si>
  <si>
    <t>https://www.tiktok.com/@moto_bat31/video/7065306324585712898</t>
  </si>
  <si>
    <t>UW0311</t>
  </si>
  <si>
    <t>https://bellingcat-archive.nyc3.cdn.digitaloceanspaces.com/Ukraine_Witness_Datasheet/Worksheet/tiktok_7065306324585712898.mp4</t>
  </si>
  <si>
    <t>2022-02-25T14:27:40+00:00</t>
  </si>
  <si>
    <t>https://bellingcat-archive.nyc3.cdn.digitaloceanspaces.com/Ukraine_Witness_Datasheet/Worksheet/tiktok__@moto_bat31_video_70653063245857128982022-02-25T14:27:31.002726.png</t>
  </si>
  <si>
    <t>33f777bb82d0b21bfaac0d91894ffcea7133d0965efdf2e642c2414ef619cd95</t>
  </si>
  <si>
    <t>https://bellingcat-archive.nyc3.cdn.digitaloceanspaces.com/Ukraine_Witness_Datasheet/Worksheet/tiktok_7065306324585712898/index.html</t>
  </si>
  <si>
    <t>#@yliwxx #белгород</t>
  </si>
  <si>
    <t>2022-02-16T14:57:00+00:00</t>
  </si>
  <si>
    <t>https://www.tiktok.com/@moto_bat31/video/7065308855407774978</t>
  </si>
  <si>
    <t>UW0312</t>
  </si>
  <si>
    <t>https://bellingcat-archive.nyc3.cdn.digitaloceanspaces.com/Ukraine_Witness_Datasheet/Worksheet/tiktok_7065308855407774978.mp4</t>
  </si>
  <si>
    <t>2022-02-25T14:27:06+00:00</t>
  </si>
  <si>
    <t>https://bellingcat-archive.nyc3.cdn.digitaloceanspaces.com/Ukraine_Witness_Datasheet/Worksheet/tiktok__@moto_bat31_video_70653088554077749782022-02-25T14:26:57.230777.png</t>
  </si>
  <si>
    <t>2131a8541805ca8022b3bc3b0899fa686ad4faa9f708447b2c5b9b6dd34cb2a9</t>
  </si>
  <si>
    <t>https://bellingcat-archive.nyc3.cdn.digitaloceanspaces.com/Ukraine_Witness_Datasheet/Worksheet/tiktok_7065308855407774978/index.html</t>
  </si>
  <si>
    <t>#@ukirill946 #белгород</t>
  </si>
  <si>
    <t>2022-02-16T15:06:49+00:00</t>
  </si>
  <si>
    <t>https://www.tiktok.com/@moto_bat31/video/7065309604246228225</t>
  </si>
  <si>
    <t>UW0313</t>
  </si>
  <si>
    <t>https://bellingcat-archive.nyc3.cdn.digitaloceanspaces.com/Ukraine_Witness_Datasheet/Worksheet/tiktok_7065309604246228225.mp4</t>
  </si>
  <si>
    <t>2022-02-25T14:26:36+00:00</t>
  </si>
  <si>
    <t>https://bellingcat-archive.nyc3.cdn.digitaloceanspaces.com/Ukraine_Witness_Datasheet/Worksheet/tiktok__@moto_bat31_video_70653096042462282252022-02-25T14:26:27.443970.png</t>
  </si>
  <si>
    <t>4cc1601ca70e4595ab205627a1c8796684a0606245fd86437cce98349fc46b39</t>
  </si>
  <si>
    <t>https://bellingcat-archive.nyc3.cdn.digitaloceanspaces.com/Ukraine_Witness_Datasheet/Worksheet/tiktok_7065309604246228225/index.html</t>
  </si>
  <si>
    <t>#белгород #томаровка</t>
  </si>
  <si>
    <t>2022-02-16T15:09:44+00:00</t>
  </si>
  <si>
    <t>https://www.tiktok.com/@moto_bat31/video/7065314204504345857</t>
  </si>
  <si>
    <t>UW0314</t>
  </si>
  <si>
    <t>https://bellingcat-archive.nyc3.cdn.digitaloceanspaces.com/Ukraine_Witness_Datasheet/Worksheet/tiktok_7065314204504345857.mp4</t>
  </si>
  <si>
    <t>2022-02-25T14:25:56+00:00</t>
  </si>
  <si>
    <t>https://bellingcat-archive.nyc3.cdn.digitaloceanspaces.com/Ukraine_Witness_Datasheet/Worksheet/tiktok__@moto_bat31_video_70653142045043458572022-02-25T14:25:47.573121.png</t>
  </si>
  <si>
    <t>26c56835b89898f5dc28b536bde10dd9f11e1d891c6bf96711a525bcd8a2d646</t>
  </si>
  <si>
    <t>https://bellingcat-archive.nyc3.cdn.digitaloceanspaces.com/Ukraine_Witness_Datasheet/Worksheet/tiktok_7065314204504345857/index.html</t>
  </si>
  <si>
    <t>#@egor_777_666 #белгород31</t>
  </si>
  <si>
    <t>2022-02-16T15:27:35+00:00</t>
  </si>
  <si>
    <t>https://www.tiktok.com/@moto_bat31/video/7065315245425757441</t>
  </si>
  <si>
    <t>UW0315</t>
  </si>
  <si>
    <t>https://bellingcat-archive.nyc3.cdn.digitaloceanspaces.com/Ukraine_Witness_Datasheet/Worksheet/tiktok_7065315245425757441.mp4</t>
  </si>
  <si>
    <t>2022-02-25T14:25:23+00:00</t>
  </si>
  <si>
    <t>https://bellingcat-archive.nyc3.cdn.digitaloceanspaces.com/Ukraine_Witness_Datasheet/Worksheet/tiktok__@moto_bat31_video_70653152454257574412022-02-25T14:25:13.947764.png</t>
  </si>
  <si>
    <t>d73b65150e611a197759f3b8742e3753f2cf857d6278b0fb4f9e3096c9606681</t>
  </si>
  <si>
    <t>https://bellingcat-archive.nyc3.cdn.digitaloceanspaces.com/Ukraine_Witness_Datasheet/Worksheet/tiktok_7065315245425757441/index.html</t>
  </si>
  <si>
    <t>#белгород31 @vovamelnikov75</t>
  </si>
  <si>
    <t>2022-02-16T15:31:37+00:00</t>
  </si>
  <si>
    <t>https://www.tiktok.com/@moto_bat31/video/7065358572779031810</t>
  </si>
  <si>
    <t>UW0316</t>
  </si>
  <si>
    <t>https://bellingcat-archive.nyc3.cdn.digitaloceanspaces.com/Ukraine_Witness_Datasheet/Worksheet/tiktok_7065358572779031810.mp4</t>
  </si>
  <si>
    <t>2022-02-25T14:24:48+00:00</t>
  </si>
  <si>
    <t>https://bellingcat-archive.nyc3.cdn.digitaloceanspaces.com/Ukraine_Witness_Datasheet/Worksheet/tiktok__@moto_bat31_video_70653585727790318102022-02-25T14:24:34.175205.png</t>
  </si>
  <si>
    <t>a65359203b92e4cf993e80ee0c183d6c15b3ac79a23520bf075d39dd70fd22bc</t>
  </si>
  <si>
    <t>https://bellingcat-archive.nyc3.cdn.digitaloceanspaces.com/Ukraine_Witness_Datasheet/Worksheet/tiktok_7065358572779031810/index.html</t>
  </si>
  <si>
    <t>#белгород31</t>
  </si>
  <si>
    <t>2022-02-16T18:19:45+00:00</t>
  </si>
  <si>
    <t>https://twitter.com/GirkinGirkin/status/1493981749533196289</t>
  </si>
  <si>
    <t>Iskander and communications vehicle</t>
  </si>
  <si>
    <t>https://twitter.com/grad_harrison/status/1494014454765391878</t>
  </si>
  <si>
    <t>R-166-0.5, two Iskander-M 9T250 transloaders</t>
  </si>
  <si>
    <t>UW0317</t>
  </si>
  <si>
    <t>https://bellingcat-archive.nyc3.cdn.digitaloceanspaces.com/Ukraine_Witness_Datasheet/Worksheet/youtube_dl_1493981749533196289.mp4</t>
  </si>
  <si>
    <t>2022-02-25T14:24:16+00:00</t>
  </si>
  <si>
    <t>https://bellingcat-archive.nyc3.cdn.digitaloceanspaces.com/Ukraine_Witness_Datasheet/Worksheet/youtube_dl__GirkinGirkin_status_14939817495331962892022-02-25T14:24:04.535759.png</t>
  </si>
  <si>
    <t>71ceb30136a1849b4c86f18c97e3869bca2f5ce9730a66b36002c0548f45fad8</t>
  </si>
  <si>
    <t>https://bellingcat-archive.nyc3.cdn.digitaloceanspaces.com/Ukraine_Witness_Datasheet/Worksheet/youtube_dl_1493981749533196289/index.html</t>
  </si>
  <si>
    <t>2022-02-16T17:13:00+00:00</t>
  </si>
  <si>
    <t>https://twitter.com/GirkinGirkin/status/1494003211992186892</t>
  </si>
  <si>
    <t>Logistics on the move</t>
  </si>
  <si>
    <t>https://twitter.com/gfusfus/status/1494014853522018306</t>
  </si>
  <si>
    <t>UW0318</t>
  </si>
  <si>
    <t>https://bellingcat-archive.nyc3.cdn.digitaloceanspaces.com/Ukraine_Witness_Datasheet/Worksheet/youtube_dl_1494003211992186892.mp4</t>
  </si>
  <si>
    <t>2022-02-25T14:23:59+00:00</t>
  </si>
  <si>
    <t>https://bellingcat-archive.nyc3.cdn.digitaloceanspaces.com/Ukraine_Witness_Datasheet/Worksheet/youtube_dl__GirkinGirkin_status_14940032119921868922022-02-25T14:23:43.406971.png</t>
  </si>
  <si>
    <t>5660b133750838c194a885b3553af05bf0b3136d8fc015a5a3f910db9d2fccec</t>
  </si>
  <si>
    <t>https://bellingcat-archive.nyc3.cdn.digitaloceanspaces.com/Ukraine_Witness_Datasheet/Worksheet/youtube_dl_1494003211992186892/index.html</t>
  </si>
  <si>
    <t>2022-02-16T18:38:17+00:00</t>
  </si>
  <si>
    <t>https://twitter.com/GirkinGirkin/status/1494016275588296706</t>
  </si>
  <si>
    <t>https://twitter.com/gfusfus/status/1494021815559204871</t>
  </si>
  <si>
    <t>UW0319</t>
  </si>
  <si>
    <t>https://bellingcat-archive.nyc3.cdn.digitaloceanspaces.com/Ukraine_Witness_Datasheet/Worksheet/youtube_dl_1494016275588296706.mp4</t>
  </si>
  <si>
    <t>2022-02-25T14:23:39+00:00</t>
  </si>
  <si>
    <t>https://bellingcat-archive.nyc3.cdn.digitaloceanspaces.com/Ukraine_Witness_Datasheet/Worksheet/youtube_dl__GirkinGirkin_status_14940162755882967062022-02-25T14:23:27.470888.png</t>
  </si>
  <si>
    <t>ed8249f3a99cc4ccbbac7e49a3def96772354bf762fb9add9cfe685214f18b92</t>
  </si>
  <si>
    <t>https://bellingcat-archive.nyc3.cdn.digitaloceanspaces.com/Ukraine_Witness_Datasheet/Worksheet/youtube_dl_1494016275588296706/index.html</t>
  </si>
  <si>
    <t>2022-02-16T19:30:12+00:00</t>
  </si>
  <si>
    <t>https://twitter.com/Michael1Sheldon/status/1493972685931622402</t>
  </si>
  <si>
    <t>https://twitter.com/Danspiun/status/1493997435429048320</t>
  </si>
  <si>
    <t>UW0320</t>
  </si>
  <si>
    <t>https://bellingcat-archive.nyc3.cdn.digitaloceanspaces.com/Ukraine_Witness_Datasheet/Worksheet/youtube_dl_1493972685931622402.mp4</t>
  </si>
  <si>
    <t>2022-02-25T14:23:20+00:00</t>
  </si>
  <si>
    <t>https://bellingcat-archive.nyc3.cdn.digitaloceanspaces.com/Ukraine_Witness_Datasheet/Worksheet/youtube_dl__Michael1Sheldon_status_14939726859316224022022-02-25T14:23:08.337662.png</t>
  </si>
  <si>
    <t>15dd56ca4a2b2e57e3a5a2e9af18ab2d68cd1369346ad3041a9b8120b92e4d5c</t>
  </si>
  <si>
    <t>https://bellingcat-archive.nyc3.cdn.digitaloceanspaces.com/Ukraine_Witness_Datasheet/Worksheet/youtube_dl_1493972685931622402/index.html</t>
  </si>
  <si>
    <t>Michael Sheldon - Tos-1A at Zolotukhino station. Kursk Oblast.</t>
  </si>
  <si>
    <t>2022-02-16T16:36:59+00:00</t>
  </si>
  <si>
    <t>Tom</t>
  </si>
  <si>
    <t>17/02/2022</t>
  </si>
  <si>
    <t>https://twitter.com/FitzAuden/status/1494221249698009088</t>
  </si>
  <si>
    <t>Filming that has audio of shelling in Donetsk</t>
  </si>
  <si>
    <t>Ukraine</t>
  </si>
  <si>
    <t>Ptrovski</t>
  </si>
  <si>
    <t>Donetsk</t>
  </si>
  <si>
    <t>UW0321</t>
  </si>
  <si>
    <t>Explosion</t>
  </si>
  <si>
    <t>https://bellingcat-archive.nyc3.cdn.digitaloceanspaces.com/Ukraine_Witness_Datasheet/Worksheet/youtube_dl_1494221249698009088.mp4</t>
  </si>
  <si>
    <t>2022-02-25T14:23:00+00:00</t>
  </si>
  <si>
    <t>https://bellingcat-archive.nyc3.cdn.digitaloceanspaces.com/Ukraine_Witness_Datasheet/Worksheet/youtube_dl__FitzAuden_status_14942212496980090882022-02-25T14:22:48.549040.png</t>
  </si>
  <si>
    <t>04f74c3076bf7a3495fc9b3e84fcd73f85f5f391f1c1258c59cbbefaa3dee6d5</t>
  </si>
  <si>
    <t>https://bellingcat-archive.nyc3.cdn.digitaloceanspaces.com/Ukraine_Witness_Datasheet/Worksheet/youtube_dl_1494221249698009088/index.html</t>
  </si>
  <si>
    <t>Auden W F - More videos of shelling, this time from Петровский район/Petrovski District of #Donetsk #Ukraine</t>
  </si>
  <si>
    <t>2022-02-17T09:04:41+00:00</t>
  </si>
  <si>
    <t>https://twitter.com/gfusfus/status/1494014785423388679</t>
  </si>
  <si>
    <t>S-300PM2</t>
  </si>
  <si>
    <t>UW0322</t>
  </si>
  <si>
    <t>2022-02-25T14:22:42+00:00</t>
  </si>
  <si>
    <t>https://bellingcat-archive.nyc3.cdn.digitaloceanspaces.com/Ukraine_Witness_Datasheet/Worksheet/youtube_dl__GirkinGirkin_status_14940032119921868922022-02-25T14:22:27.320981.png</t>
  </si>
  <si>
    <t>unknown</t>
  </si>
  <si>
    <t>https://twitter.com/JC_Monitoring/status/1494068013741613060</t>
  </si>
  <si>
    <t>Train with heavy military equipment</t>
  </si>
  <si>
    <t>https://twitter.com/JC_Monitoring/status/1494068774181421059</t>
  </si>
  <si>
    <t>Tula</t>
  </si>
  <si>
    <t>Uzlovaya</t>
  </si>
  <si>
    <t>UW0323</t>
  </si>
  <si>
    <t>https://bellingcat-archive.nyc3.cdn.digitaloceanspaces.com/Ukraine_Witness_Datasheet/Worksheet/youtube_dl_1494068013741613060.mp4</t>
  </si>
  <si>
    <t>2022-02-25T14:22:19+00:00</t>
  </si>
  <si>
    <t>https://bellingcat-archive.nyc3.cdn.digitaloceanspaces.com/Ukraine_Witness_Datasheet/Worksheet/youtube_dl__JC_Monitoring_status_14940680137416130602022-02-25T14:22:06.588603.png</t>
  </si>
  <si>
    <t>6e3111a6e0017903c000b18482231ff30f7264e9bff9333c1cc7e30993aa2f55</t>
  </si>
  <si>
    <t>https://bellingcat-archive.nyc3.cdn.digitaloceanspaces.com/Ukraine_Witness_Datasheet/Worksheet/youtube_dl_1494068013741613060/index.html</t>
  </si>
  <si>
    <t>JC_Monitoring - Trainload of Russian military hardware spotted in Uzlovaya, Tula Oblast (date unknown).  Coordinates - 53.97454468, 38.17448447</t>
  </si>
  <si>
    <t>2022-02-16T22:55:47+00:00</t>
  </si>
  <si>
    <t>https://twitter.com/JC_Monitoring/status/1494073105249181702</t>
  </si>
  <si>
    <t>https://twitter.com/JC_Monitoring/status/1494074863715291136</t>
  </si>
  <si>
    <t>Kostroma Oblast</t>
  </si>
  <si>
    <t>Kosmynino</t>
  </si>
  <si>
    <t>UW0324</t>
  </si>
  <si>
    <t>https://bellingcat-archive.nyc3.cdn.digitaloceanspaces.com/Ukraine_Witness_Datasheet/Worksheet/youtube_dl_1494073105249181702.mp4</t>
  </si>
  <si>
    <t>https://bellingcat-archive.nyc3.cdn.digitaloceanspaces.com/Ukraine_Witness_Datasheet/Worksheet/youtube_dl__JC_Monitoring_status_14940731052491817022022-02-25T14:21:45.704696.png</t>
  </si>
  <si>
    <t>3e7d521f8dfa8cb07718d740f3d5f0f5f8bd565bcfdf96654ac7192dcd1af1bc</t>
  </si>
  <si>
    <t>https://bellingcat-archive.nyc3.cdn.digitaloceanspaces.com/Ukraine_Witness_Datasheet/Worksheet/youtube_dl_1494073105249181702/index.html</t>
  </si>
  <si>
    <t>JC_Monitoring - Trainload of Russian military hardware under the cover of darkness, spotted in Kosmynino, Kostroma Oblast.  Coordinates - 57.58571217, 40.75765208</t>
  </si>
  <si>
    <t>2022-02-16T23:16:01+00:00</t>
  </si>
  <si>
    <t>https://twitter.com/4emberlen/status/1494098700599271429</t>
  </si>
  <si>
    <t>heavy military equipment at train station</t>
  </si>
  <si>
    <t>https://twitter.com/danvan71/status/1494099789780328450</t>
  </si>
  <si>
    <t>UW0325</t>
  </si>
  <si>
    <t>https://bellingcat-archive.nyc3.cdn.digitaloceanspaces.com/Ukraine_Witness_Datasheet/Worksheet/youtube_dl_1494098700599271429.mp4</t>
  </si>
  <si>
    <t>2022-02-25T14:21:38+00:00</t>
  </si>
  <si>
    <t>https://bellingcat-archive.nyc3.cdn.digitaloceanspaces.com/Ukraine_Witness_Datasheet/Worksheet/youtube_dl__4emberlen_status_14940987005992714292022-02-25T14:21:27.198358.png</t>
  </si>
  <si>
    <t>d903fdfebd896ab0057451c2315186d58a8957d85cc712b4d7db075f09698901</t>
  </si>
  <si>
    <t>https://bellingcat-archive.nyc3.cdn.digitaloceanspaces.com/Ukraine_Witness_Datasheet/Worksheet/youtube_dl_1494098700599271429/index.html</t>
  </si>
  <si>
    <t>4emberlen - Бєлгородська обл. 15.02.2022</t>
  </si>
  <si>
    <t>2022-02-17T00:57:43+00:00</t>
  </si>
  <si>
    <t>https://twitter.com/Liveuamap/status/1494226702851059716</t>
  </si>
  <si>
    <t>Shelling of kindergarten</t>
  </si>
  <si>
    <t>https://twitter.com/Liveuamap/status/1494230195833917440</t>
  </si>
  <si>
    <t>Luhansk</t>
  </si>
  <si>
    <t>Stanytsia Luhanska</t>
  </si>
  <si>
    <t>UW0326</t>
  </si>
  <si>
    <t>Civilian infrastructure damage</t>
  </si>
  <si>
    <t>Shelling</t>
  </si>
  <si>
    <t>https://bellingcat-archive.nyc3.cdn.digitaloceanspaces.com/Ukraine_Witness_Datasheet/Worksheet/twitter__Liveuamap_status_1494226702851059716.html</t>
  </si>
  <si>
    <t>2022-02-25T14:21:21+00:00</t>
  </si>
  <si>
    <t>https://bellingcat-archive.nyc3.cdn.digitaloceanspaces.com/Ukraine_Witness_Datasheet/Worksheet/twitter__Liveuamap_status_14942267028510597162022-02-25T14:21:11.622680.png</t>
  </si>
  <si>
    <t>bf5d7cafd9303465e9bcf7ce1bee1c326ee77bbc0c37e09243c7c4da14ab935e</t>
  </si>
  <si>
    <t>https://twitter.com/Michael1Sheldon/status/1494175756787851265</t>
  </si>
  <si>
    <t>Heavy military equipment in field</t>
  </si>
  <si>
    <t>Moshchenoe</t>
  </si>
  <si>
    <t>BMP-2s</t>
  </si>
  <si>
    <t>UW0327</t>
  </si>
  <si>
    <t>https://bellingcat-archive.nyc3.cdn.digitaloceanspaces.com/Ukraine_Witness_Datasheet/Worksheet/twitter__Michael1Sheldon_status_1494175756787851265.html</t>
  </si>
  <si>
    <t>2022-02-25T14:38:59+00:00</t>
  </si>
  <si>
    <t>https://bellingcat-archive.nyc3.cdn.digitaloceanspaces.com/Ukraine_Witness_Datasheet/Worksheet/twitter__Michael1Sheldon_status_14941757567878512652022-02-25T14:38:45.881920.png</t>
  </si>
  <si>
    <t>e3f86d377f960ea2b4f53b4bdf223d22322ace9c50907b05df6e92d9b560c1fb</t>
  </si>
  <si>
    <t>https://twitter.com/4emberlen/status/1494044493246607364</t>
  </si>
  <si>
    <t>https://twitter.com/noclador/status/1494047364935557125</t>
  </si>
  <si>
    <t>UW0328</t>
  </si>
  <si>
    <t>https://bellingcat-archive.nyc3.cdn.digitaloceanspaces.com/Ukraine_Witness_Datasheet/Worksheet/youtube_dl_1494044493246607364.mp4</t>
  </si>
  <si>
    <t>2022-02-25T14:19:37+00:00</t>
  </si>
  <si>
    <t>https://bellingcat-archive.nyc3.cdn.digitaloceanspaces.com/Ukraine_Witness_Datasheet/Worksheet/youtube_dl__4emberlen_status_14940444932466073642022-02-25T14:19:26.285827.png</t>
  </si>
  <si>
    <t>2753dd3f2b04f407dd188612ec8e68aea26200244adc54284c67dfcd33ddc2d7</t>
  </si>
  <si>
    <t>https://bellingcat-archive.nyc3.cdn.digitaloceanspaces.com/Ukraine_Witness_Datasheet/Worksheet/youtube_dl_1494044493246607364/index.html</t>
  </si>
  <si>
    <t>4emberlen - Міллерово 16.02.2022</t>
  </si>
  <si>
    <t>2022-02-16T21:22:19+00:00</t>
  </si>
  <si>
    <t>https://twitter.com/Michael1Sheldon/status/1493985911834660867</t>
  </si>
  <si>
    <t>https://twitter.com/Danspiun/status/1494011485915615232</t>
  </si>
  <si>
    <t>Zolotukhinsky</t>
  </si>
  <si>
    <t>Zolotukhino</t>
  </si>
  <si>
    <t>TOS-1A MLRS</t>
  </si>
  <si>
    <t>UW0329</t>
  </si>
  <si>
    <t>https://bellingcat-archive.nyc3.cdn.digitaloceanspaces.com/Ukraine_Witness_Datasheet/Worksheet/youtube_dl_1493985911834660867.mp4</t>
  </si>
  <si>
    <t>2022-02-25T14:19:20+00:00</t>
  </si>
  <si>
    <t>https://bellingcat-archive.nyc3.cdn.digitaloceanspaces.com/Ukraine_Witness_Datasheet/Worksheet/youtube_dl__Michael1Sheldon_status_14939859118346608672022-02-25T14:19:09.427267.png</t>
  </si>
  <si>
    <t>cbf04dc951b31d4c9731e0b1aae3b7d60c4d3d9688514bced5e06083d01dc543</t>
  </si>
  <si>
    <t>https://bellingcat-archive.nyc3.cdn.digitaloceanspaces.com/Ukraine_Witness_Datasheet/Worksheet/youtube_dl_1493985911834660867/index.html</t>
  </si>
  <si>
    <t>Michael Sheldon - More from this location. Dated February 15.</t>
  </si>
  <si>
    <t>2022-02-16T17:29:32+00:00</t>
  </si>
  <si>
    <t>https://twitter.com/GirkinGirkin/status/1492201534507175939</t>
  </si>
  <si>
    <t>https://twitter.com/Danspiun/status/1493716935791587330</t>
  </si>
  <si>
    <t>UW0330</t>
  </si>
  <si>
    <t>https://bellingcat-archive.nyc3.cdn.digitaloceanspaces.com/Ukraine_Witness_Datasheet/Worksheet/youtube_dl_1492201534507175939.mp4</t>
  </si>
  <si>
    <t>2022-02-25T14:19:04+00:00</t>
  </si>
  <si>
    <t>https://bellingcat-archive.nyc3.cdn.digitaloceanspaces.com/Ukraine_Witness_Datasheet/Worksheet/youtube_dl__GirkinGirkin_status_14922015345071759392022-02-25T14:18:50.188542.png</t>
  </si>
  <si>
    <t>d360d9b998991466fb76a9a8b3c903275586ebe6cb67372a09c76a70bbb47dbb</t>
  </si>
  <si>
    <t>https://bellingcat-archive.nyc3.cdn.digitaloceanspaces.com/Ukraine_Witness_Datasheet/Worksheet/youtube_dl_1492201534507175939/index.html</t>
  </si>
  <si>
    <t>2022-02-11T19:19:04+00:00</t>
  </si>
  <si>
    <t>https://twitter.com/markito0171/status/1494239711996559362</t>
  </si>
  <si>
    <t>Shelling audible</t>
  </si>
  <si>
    <t>Donbask</t>
  </si>
  <si>
    <t>Mar'inka</t>
  </si>
  <si>
    <t>UW0331</t>
  </si>
  <si>
    <t>https://bellingcat-archive.nyc3.cdn.digitaloceanspaces.com/Ukraine_Witness_Datasheet/Worksheet/youtube_dl_1494239711996559362.mp4</t>
  </si>
  <si>
    <t>2022-02-25T14:18:43+00:00</t>
  </si>
  <si>
    <t>https://bellingcat-archive.nyc3.cdn.digitaloceanspaces.com/Ukraine_Witness_Datasheet/Worksheet/youtube_dl__markito0171_status_14942397119965593622022-02-25T14:18:27.446008.png</t>
  </si>
  <si>
    <t>389d570b23333b649b98e2f09d220bdb23b433ce70918f2b98a21bf106be0570</t>
  </si>
  <si>
    <t>https://bellingcat-archive.nyc3.cdn.digitaloceanspaces.com/Ukraine_Witness_Datasheet/Worksheet/youtube_dl_1494239711996559362/index.html</t>
  </si>
  <si>
    <t>C4H10FO2P - Shelling south west of #Donesk  location Marjinka (#Ukraine gov controlled)</t>
  </si>
  <si>
    <t>2022-02-17T10:18:03+00:00</t>
  </si>
  <si>
    <t>https://twitter.com/KyleJGlen/status/1494258304788443136</t>
  </si>
  <si>
    <t>https://twitter.com/zvalgasrytuose/status/1494271365578428426?s=20&amp;t=b7F5prQfvQ4DjN_lMbdPFg</t>
  </si>
  <si>
    <t>S-300</t>
  </si>
  <si>
    <t>UW0332</t>
  </si>
  <si>
    <t>https://bellingcat-archive.nyc3.cdn.digitaloceanspaces.com/Ukraine_Witness_Datasheet/Worksheet/youtube_dl_1494258304788443136.mp4</t>
  </si>
  <si>
    <t>2022-02-25T14:18:10+00:00</t>
  </si>
  <si>
    <t>https://bellingcat-archive.nyc3.cdn.digitaloceanspaces.com/Ukraine_Witness_Datasheet/Worksheet/youtube_dl__KyleJGlen_status_14942583047884431362022-02-25T14:17:56.889187.png</t>
  </si>
  <si>
    <t>76840ea6b49aa52b3ec22f078a1a6a83ce4d41a9f3a22c5820e47e3ff4a7981b</t>
  </si>
  <si>
    <t>https://bellingcat-archive.nyc3.cdn.digitaloceanspaces.com/Ukraine_Witness_Datasheet/Worksheet/youtube_dl_1494258304788443136/index.html</t>
  </si>
  <si>
    <t>Kyle Glen - I'm no expert at geolocation like some but even I can tell these are moving away from a train station.</t>
  </si>
  <si>
    <t>2022-02-17T11:31:56+00:00</t>
  </si>
  <si>
    <t>https://twitter.com/mikaellindstro2/status/1494277932444958726</t>
  </si>
  <si>
    <t>Zhytkavichy</t>
  </si>
  <si>
    <t>UW0333</t>
  </si>
  <si>
    <t>https://bellingcat-archive.nyc3.cdn.digitaloceanspaces.com/Ukraine_Witness_Datasheet/Worksheet/twitter__mikaellindstro2_status_1494277932444958726.html</t>
  </si>
  <si>
    <t>2022-02-25T14:17:46+00:00</t>
  </si>
  <si>
    <t>https://bellingcat-archive.nyc3.cdn.digitaloceanspaces.com/Ukraine_Witness_Datasheet/Worksheet/twitter__mikaellindstro2_status_14942779324449587262022-02-25T14:17:37.878679.png</t>
  </si>
  <si>
    <t>88b619ae7e24403ac55f414563cd7872ed1e9be30715eb340552ead7529e2677</t>
  </si>
  <si>
    <t>https://twitter.com/4emberlen/status/1494364071189225479</t>
  </si>
  <si>
    <t>Large amount of heavy military equipment</t>
  </si>
  <si>
    <t>Brest</t>
  </si>
  <si>
    <t>Luninets</t>
  </si>
  <si>
    <t>UW0334</t>
  </si>
  <si>
    <t>https://bellingcat-archive.nyc3.cdn.digitaloceanspaces.com/Ukraine_Witness_Datasheet/Worksheet/youtube_dl_1494364071189225479.mp4</t>
  </si>
  <si>
    <t>2022-02-25T14:17:28+00:00</t>
  </si>
  <si>
    <t>https://bellingcat-archive.nyc3.cdn.digitaloceanspaces.com/Ukraine_Witness_Datasheet/Worksheet/youtube_dl__4emberlen_status_14943640711892254792022-02-25T14:17:16.144001.png</t>
  </si>
  <si>
    <t>c9b2475db52629362ac0554fd57960a66c211b949dbb03c036bbd058ecd19599</t>
  </si>
  <si>
    <t>https://bellingcat-archive.nyc3.cdn.digitaloceanspaces.com/Ukraine_Witness_Datasheet/Worksheet/youtube_dl_1494364071189225479/index.html</t>
  </si>
  <si>
    <t>4emberlen - Лунінець , Білорусь 17.02.2022</t>
  </si>
  <si>
    <t>2022-02-17T18:32:13+00:00</t>
  </si>
  <si>
    <t>https://twitter.com/4emberlen/status/1494362768241315840</t>
  </si>
  <si>
    <t>a single Howitzer spotted</t>
  </si>
  <si>
    <t>Valuysky</t>
  </si>
  <si>
    <t>Kazinka</t>
  </si>
  <si>
    <t>2S19 Msta-S Self-Propelled Howitzer</t>
  </si>
  <si>
    <t>UW0335</t>
  </si>
  <si>
    <t>https://bellingcat-archive.nyc3.cdn.digitaloceanspaces.com/Ukraine_Witness_Datasheet/Worksheet/youtube_dl_1494362768241315840.mp4</t>
  </si>
  <si>
    <t>2022-02-25T14:17:07+00:00</t>
  </si>
  <si>
    <t>https://bellingcat-archive.nyc3.cdn.digitaloceanspaces.com/Ukraine_Witness_Datasheet/Worksheet/youtube_dl__4emberlen_status_14943627682413158402022-02-25T14:16:55.781293.png</t>
  </si>
  <si>
    <t>8092d8e36e0edfb10dbc9ec4bb380b127e04aeda2bd16c5448e682eabe4b9fb9</t>
  </si>
  <si>
    <t>https://bellingcat-archive.nyc3.cdn.digitaloceanspaces.com/Ukraine_Witness_Datasheet/Worksheet/youtube_dl_1494362768241315840/index.html</t>
  </si>
  <si>
    <t>4emberlen - Борки , Бєлгородська обл. 17.02.2022</t>
  </si>
  <si>
    <t>2022-02-17T18:27:02+00:00</t>
  </si>
  <si>
    <t>18/02/2022</t>
  </si>
  <si>
    <t>https://twitter.com/GirkinGirkin/status/1494548071006588942</t>
  </si>
  <si>
    <t>Movement of tanks</t>
  </si>
  <si>
    <t>https://twitter.com/robbybirch/status/1494558869984628753</t>
  </si>
  <si>
    <t>UW0336</t>
  </si>
  <si>
    <t>https://bellingcat-archive.nyc3.cdn.digitaloceanspaces.com/Ukraine_Witness_Datasheet/Worksheet/youtube_dl_1494548071006588942.mp4</t>
  </si>
  <si>
    <t>2022-02-25T14:16:50+00:00</t>
  </si>
  <si>
    <t>https://bellingcat-archive.nyc3.cdn.digitaloceanspaces.com/Ukraine_Witness_Datasheet/Worksheet/youtube_dl__GirkinGirkin_status_14945480710065889422022-02-25T14:16:31.728086.png</t>
  </si>
  <si>
    <t>66dd9fb4d95df1b4da5c7c20ebd35f50baf178a934875a2263a2dfeb3bbfc504</t>
  </si>
  <si>
    <t>https://bellingcat-archive.nyc3.cdn.digitaloceanspaces.com/Ukraine_Witness_Datasheet/Worksheet/youtube_dl_1494548071006588942/index.html</t>
  </si>
  <si>
    <t>2022-02-18T06:43:22+00:00</t>
  </si>
  <si>
    <t>https://twitter.com/GirkinGirkin/status/1494545200999550978</t>
  </si>
  <si>
    <t>https://twitter.com/sjtonic/status/1494563712786599936</t>
  </si>
  <si>
    <t>UW0337</t>
  </si>
  <si>
    <t>https://bellingcat-archive.nyc3.cdn.digitaloceanspaces.com/Ukraine_Witness_Datasheet/Worksheet/youtube_dl_1494545200999550978.mp4</t>
  </si>
  <si>
    <t>2022-02-25T14:16:22+00:00</t>
  </si>
  <si>
    <t>https://bellingcat-archive.nyc3.cdn.digitaloceanspaces.com/Ukraine_Witness_Datasheet/Worksheet/youtube_dl__GirkinGirkin_status_14945452009995509782022-02-25T14:16:09.737318.png</t>
  </si>
  <si>
    <t>594f8a176f96f60e1f20ab5a1f9fc280fadac1d1e7c87dc8c78425ce341350d9</t>
  </si>
  <si>
    <t>https://bellingcat-archive.nyc3.cdn.digitaloceanspaces.com/Ukraine_Witness_Datasheet/Worksheet/youtube_dl_1494545200999550978/index.html</t>
  </si>
  <si>
    <t>IgorGirkin - Тула</t>
  </si>
  <si>
    <t>2022-02-18T06:31:57+00:00</t>
  </si>
  <si>
    <t>https://twitter.com/GirkinGirkin/status/1494527340772220962</t>
  </si>
  <si>
    <t>https://twitter.com/ohsenty/status/1494533448622563335</t>
  </si>
  <si>
    <t>UW0338</t>
  </si>
  <si>
    <t>https://bellingcat-archive.nyc3.cdn.digitaloceanspaces.com/Ukraine_Witness_Datasheet/Worksheet/youtube_dl_1494527340772220962.mp4</t>
  </si>
  <si>
    <t>2022-02-25T14:16:03+00:00</t>
  </si>
  <si>
    <t>https://bellingcat-archive.nyc3.cdn.digitaloceanspaces.com/Ukraine_Witness_Datasheet/Worksheet/youtube_dl__GirkinGirkin_status_14945273407722209622022-02-25T14:15:51.914542.png</t>
  </si>
  <si>
    <t>95cb561a4d79fa4ca99db32a15e51698dec1a7e279eb296d81107dff8decc38b</t>
  </si>
  <si>
    <t>https://bellingcat-archive.nyc3.cdn.digitaloceanspaces.com/Ukraine_Witness_Datasheet/Worksheet/youtube_dl_1494527340772220962/index.html</t>
  </si>
  <si>
    <t>IgorGirkin - Рыльск, Курская обл</t>
  </si>
  <si>
    <t>2022-02-18T05:20:59+00:00</t>
  </si>
  <si>
    <t>https://twitter.com/GirkinGirkin/status/1494524170406928386</t>
  </si>
  <si>
    <t>Tanks stationed</t>
  </si>
  <si>
    <t>https://twitter.com/ohsenty/status/1494572758948356097</t>
  </si>
  <si>
    <t>UW0340</t>
  </si>
  <si>
    <t>https://bellingcat-archive.nyc3.cdn.digitaloceanspaces.com/Ukraine_Witness_Datasheet/Worksheet/youtube_dl_1494524170406928386.mp4</t>
  </si>
  <si>
    <t>2022-02-25T14:15:46+00:00</t>
  </si>
  <si>
    <t>https://bellingcat-archive.nyc3.cdn.digitaloceanspaces.com/Ukraine_Witness_Datasheet/Worksheet/youtube_dl__GirkinGirkin_status_14945241704069283862022-02-25T14:15:31.779201.png</t>
  </si>
  <si>
    <t>742674bd93935a63cee5af06c53c96d34eca98b84d9ac10cfd81ba56c8b1a346</t>
  </si>
  <si>
    <t>https://bellingcat-archive.nyc3.cdn.digitaloceanspaces.com/Ukraine_Witness_Datasheet/Worksheet/youtube_dl_1494524170406928386/index.html</t>
  </si>
  <si>
    <t>2022-02-18T05:08:23+00:00</t>
  </si>
  <si>
    <t>https://twitter.com/GirkinGirkin/status/1494523071620911111</t>
  </si>
  <si>
    <t>https://twitter.com/YaBoyHeem103/status/1494541567935275029</t>
  </si>
  <si>
    <t>Polatsk</t>
  </si>
  <si>
    <t>UW0341</t>
  </si>
  <si>
    <t>https://bellingcat-archive.nyc3.cdn.digitaloceanspaces.com/Ukraine_Witness_Datasheet/Worksheet/youtube_dl_1494523071620911111.mp4</t>
  </si>
  <si>
    <t>2022-02-25T14:15:26+00:00</t>
  </si>
  <si>
    <t>https://bellingcat-archive.nyc3.cdn.digitaloceanspaces.com/Ukraine_Witness_Datasheet/Worksheet/youtube_dl__GirkinGirkin_status_14945230716209111112022-02-25T14:15:14.453715.png</t>
  </si>
  <si>
    <t>81d0809b14cf16f0ff01ea557df26c8226491d5899457b99bf33951767cfa084</t>
  </si>
  <si>
    <t>https://bellingcat-archive.nyc3.cdn.digitaloceanspaces.com/Ukraine_Witness_Datasheet/Worksheet/youtube_dl_1494523071620911111/index.html</t>
  </si>
  <si>
    <t>IgorGirkin - Полоцк, РБ</t>
  </si>
  <si>
    <t>2022-02-18T05:04:01+00:00</t>
  </si>
  <si>
    <t>https://twitter.com/GirkinGirkin/status/1494521174050627601</t>
  </si>
  <si>
    <t>https://twitter.com/ohsenty/status/1494525786883305478</t>
  </si>
  <si>
    <t>Ust'e</t>
  </si>
  <si>
    <t>UW0342</t>
  </si>
  <si>
    <t>https://bellingcat-archive.nyc3.cdn.digitaloceanspaces.com/Ukraine_Witness_Datasheet/Worksheet/youtube_dl_1494521174050627601.mp4</t>
  </si>
  <si>
    <t>https://bellingcat-archive.nyc3.cdn.digitaloceanspaces.com/Ukraine_Witness_Datasheet/Worksheet/youtube_dl__GirkinGirkin_status_14945211740506276012022-02-25T14:14:56.766224.png</t>
  </si>
  <si>
    <t>be9e50195bece2ff89ddd2b18ecc8a5f1ca4de81a065c0a0ef6e089bf85367d5</t>
  </si>
  <si>
    <t>https://bellingcat-archive.nyc3.cdn.digitaloceanspaces.com/Ukraine_Witness_Datasheet/Worksheet/youtube_dl_1494521174050627601/index.html</t>
  </si>
  <si>
    <t>2022-02-18T04:56:29+00:00</t>
  </si>
  <si>
    <t>https://twitter.com/GirkinGirkin/status/1494513452592812039</t>
  </si>
  <si>
    <t>https://twitter.com/ohsenty/status/1494518582641840152</t>
  </si>
  <si>
    <t>UW0343</t>
  </si>
  <si>
    <t>https://bellingcat-archive.nyc3.cdn.digitaloceanspaces.com/Ukraine_Witness_Datasheet/Worksheet/youtube_dl_1494513452592812039.mp4</t>
  </si>
  <si>
    <t>2022-02-25T14:14:52+00:00</t>
  </si>
  <si>
    <t>https://bellingcat-archive.nyc3.cdn.digitaloceanspaces.com/Ukraine_Witness_Datasheet/Worksheet/youtube_dl__GirkinGirkin_status_14945134525928120392022-02-25T14:14:40.432170.png</t>
  </si>
  <si>
    <t>1c0f93db228fae437fbb61a5cd870671ed4de119c7cecfd2c794b101fbe9047b</t>
  </si>
  <si>
    <t>https://bellingcat-archive.nyc3.cdn.digitaloceanspaces.com/Ukraine_Witness_Datasheet/Worksheet/youtube_dl_1494513452592812039/index.html</t>
  </si>
  <si>
    <t>2022-02-18T04:25:48+00:00</t>
  </si>
  <si>
    <t>https://twitter.com/GirkinGirkin/status/1494394926821425159</t>
  </si>
  <si>
    <t>Logistic on vehicle</t>
  </si>
  <si>
    <t>UW0345</t>
  </si>
  <si>
    <t>https://bellingcat-archive.nyc3.cdn.digitaloceanspaces.com/Ukraine_Witness_Datasheet/Worksheet/youtube_dl_1494394926821425159.mp4</t>
  </si>
  <si>
    <t>2022-02-25T14:14:32+00:00</t>
  </si>
  <si>
    <t>https://bellingcat-archive.nyc3.cdn.digitaloceanspaces.com/Ukraine_Witness_Datasheet/Worksheet/youtube_dl__GirkinGirkin_status_14943949268214251592022-02-25T14:14:19.254329.png</t>
  </si>
  <si>
    <t>afe89586bb0fc7c947164c7c3cea374a50c9ed53f522c08a8d9cc61baf3e5eef</t>
  </si>
  <si>
    <t>https://bellingcat-archive.nyc3.cdn.digitaloceanspaces.com/Ukraine_Witness_Datasheet/Worksheet/youtube_dl_1494394926821425159/index.html</t>
  </si>
  <si>
    <t>IgorGirkin - Томаровка, Белгород</t>
  </si>
  <si>
    <t>2022-02-17T20:34:49+00:00</t>
  </si>
  <si>
    <t>https://twitter.com/GirkinGirkin/status/1494390380812554240</t>
  </si>
  <si>
    <t>Heavy weaponry and logistics on trains</t>
  </si>
  <si>
    <t xml:space="preserve">Kursk </t>
  </si>
  <si>
    <t>UW0346</t>
  </si>
  <si>
    <t>https://bellingcat-archive.nyc3.cdn.digitaloceanspaces.com/Ukraine_Witness_Datasheet/Worksheet/youtube_dl_1494390380812554240.mp4</t>
  </si>
  <si>
    <t>2022-02-25T14:14:14+00:00</t>
  </si>
  <si>
    <t>https://bellingcat-archive.nyc3.cdn.digitaloceanspaces.com/Ukraine_Witness_Datasheet/Worksheet/youtube_dl__GirkinGirkin_status_14943903808125542402022-02-25T14:14:02.961486.png</t>
  </si>
  <si>
    <t>94b670798a0fa3fc8727183288ea65517155c31bfa41553cc05898e383ca27a9</t>
  </si>
  <si>
    <t>https://bellingcat-archive.nyc3.cdn.digitaloceanspaces.com/Ukraine_Witness_Datasheet/Worksheet/youtube_dl_1494390380812554240/index.html</t>
  </si>
  <si>
    <t>2022-02-17T20:16:45+00:00</t>
  </si>
  <si>
    <t>https://twitter.com/GirkinGirkin/status/1494294326251249665</t>
  </si>
  <si>
    <t>Movement of Heavy Weaponry</t>
  </si>
  <si>
    <t>https://twitter.com/DefMon3/status/1494343300102471686</t>
  </si>
  <si>
    <t>Belgorodsky District</t>
  </si>
  <si>
    <t>UW0347</t>
  </si>
  <si>
    <t>https://bellingcat-archive.nyc3.cdn.digitaloceanspaces.com/Ukraine_Witness_Datasheet/Worksheet/youtube_dl_1494294326251249665.mp4</t>
  </si>
  <si>
    <t>2022-02-25T14:13:58+00:00</t>
  </si>
  <si>
    <t>https://bellingcat-archive.nyc3.cdn.digitaloceanspaces.com/Ukraine_Witness_Datasheet/Worksheet/youtube_dl__GirkinGirkin_status_14942943262512496652022-02-25T14:13:46.425541.png</t>
  </si>
  <si>
    <t>bc4a91eef0bdf30f4a347e0e783e30ed6420d3487c143030add760e9b9e12291</t>
  </si>
  <si>
    <t>https://bellingcat-archive.nyc3.cdn.digitaloceanspaces.com/Ukraine_Witness_Datasheet/Worksheet/youtube_dl_1494294326251249665/index.html</t>
  </si>
  <si>
    <t>2022-02-17T13:55:04+00:00</t>
  </si>
  <si>
    <t>https://twitter.com/GirkinGirkin/status/1494253577107390469</t>
  </si>
  <si>
    <t>Movement of Tanks</t>
  </si>
  <si>
    <t>https://twitter.com/WhereisRussia/status/1494285026153967622</t>
  </si>
  <si>
    <t>Amur Oblast</t>
  </si>
  <si>
    <t>Belogorsk</t>
  </si>
  <si>
    <t>UW0350</t>
  </si>
  <si>
    <t>https://bellingcat-archive.nyc3.cdn.digitaloceanspaces.com/Ukraine_Witness_Datasheet/Worksheet/youtube_dl_1494253577107390469.mp4</t>
  </si>
  <si>
    <t>2022-02-25T14:13:40+00:00</t>
  </si>
  <si>
    <t>https://bellingcat-archive.nyc3.cdn.digitaloceanspaces.com/Ukraine_Witness_Datasheet/Worksheet/youtube_dl__GirkinGirkin_status_14942535771073904692022-02-25T14:13:27.242031.png</t>
  </si>
  <si>
    <t>0466d644daecf598630ee9fcc6f4da5bf2b455bd10db53739f4856aa78ae9bdc</t>
  </si>
  <si>
    <t>https://bellingcat-archive.nyc3.cdn.digitaloceanspaces.com/Ukraine_Witness_Datasheet/Worksheet/youtube_dl_1494253577107390469/index.html</t>
  </si>
  <si>
    <t>IgorGirkin - Белогорск, Амурская обл</t>
  </si>
  <si>
    <t>2022-02-17T11:13:09+00:00</t>
  </si>
  <si>
    <t>https://twitter.com/GirkinGirkin/status/1494234727938723843</t>
  </si>
  <si>
    <t>Tanks of trains</t>
  </si>
  <si>
    <t>https://twitter.com/zcjbrooker/status/1494386990611116045</t>
  </si>
  <si>
    <t>UW0351</t>
  </si>
  <si>
    <t>https://bellingcat-archive.nyc3.cdn.digitaloceanspaces.com/Ukraine_Witness_Datasheet/Worksheet/youtube_dl_1494234727938723843.mp4</t>
  </si>
  <si>
    <t>2022-02-25T14:13:12+00:00</t>
  </si>
  <si>
    <t>https://bellingcat-archive.nyc3.cdn.digitaloceanspaces.com/Ukraine_Witness_Datasheet/Worksheet/youtube_dl__GirkinGirkin_status_14942347279387238432022-02-25T14:12:54.356949.png</t>
  </si>
  <si>
    <t>864bfdb66dbf6880f8ef6452c6b2f06f88f5bcfa8809c46a85075ef2e8270570</t>
  </si>
  <si>
    <t>https://bellingcat-archive.nyc3.cdn.digitaloceanspaces.com/Ukraine_Witness_Datasheet/Worksheet/youtube_dl_1494234727938723843/index.html</t>
  </si>
  <si>
    <t>IgorGirkin - Железногорск, Курская обл</t>
  </si>
  <si>
    <t>2022-02-17T09:58:15+00:00</t>
  </si>
  <si>
    <t>https://twitter.com/GirkinGirkin/status/1494116931854553093</t>
  </si>
  <si>
    <t>https://twitter.com/bobmoretti/status/1494119333135540224</t>
  </si>
  <si>
    <t>UW0352</t>
  </si>
  <si>
    <t>https://bellingcat-archive.nyc3.cdn.digitaloceanspaces.com/Ukraine_Witness_Datasheet/Worksheet/youtube_dl_1494116931854553093.mp4</t>
  </si>
  <si>
    <t>2022-02-25T14:12:49+00:00</t>
  </si>
  <si>
    <t>https://bellingcat-archive.nyc3.cdn.digitaloceanspaces.com/Ukraine_Witness_Datasheet/Worksheet/youtube_dl__GirkinGirkin_status_14941169318545530932022-02-25T14:12:37.126496.png</t>
  </si>
  <si>
    <t>113e38259eea5fe089608754e7de5b15f2df29d218e3a923c2d3ad229ad7c806</t>
  </si>
  <si>
    <t>https://bellingcat-archive.nyc3.cdn.digitaloceanspaces.com/Ukraine_Witness_Datasheet/Worksheet/youtube_dl_1494116931854553093/index.html</t>
  </si>
  <si>
    <t>2022-02-17T02:10:10+00:00</t>
  </si>
  <si>
    <t>https://twitter.com/GirkinGirkin/status/1494023598272614405</t>
  </si>
  <si>
    <t>https://twitter.com/NyarUwU/status/1494046394126151691</t>
  </si>
  <si>
    <t>Kozlovka</t>
  </si>
  <si>
    <t>UW0353</t>
  </si>
  <si>
    <t>https://bellingcat-archive.nyc3.cdn.digitaloceanspaces.com/Ukraine_Witness_Datasheet/Worksheet/youtube_dl_1494023598272614405.mp4</t>
  </si>
  <si>
    <t>2022-02-25T14:12:30+00:00</t>
  </si>
  <si>
    <t>https://bellingcat-archive.nyc3.cdn.digitaloceanspaces.com/Ukraine_Witness_Datasheet/Worksheet/youtube_dl__GirkinGirkin_status_14940235982726144052022-02-25T14:12:09.884812.png</t>
  </si>
  <si>
    <t>335342a427923a05eb6a1ce39e2832b8891a476e5c7ef930496cecc8156fd758</t>
  </si>
  <si>
    <t>https://bellingcat-archive.nyc3.cdn.digitaloceanspaces.com/Ukraine_Witness_Datasheet/Worksheet/youtube_dl_1494023598272614405/index.html</t>
  </si>
  <si>
    <t>2022-02-16T19:59:18+00:00</t>
  </si>
  <si>
    <t>https://twitter.com/GirkinGirkin/status/1494601682663219201</t>
  </si>
  <si>
    <t>https://twitter.com/ohsenty/status/1494604467152429056</t>
  </si>
  <si>
    <t>Soldatskoe</t>
  </si>
  <si>
    <t>UW0354</t>
  </si>
  <si>
    <t>https://bellingcat-archive.nyc3.cdn.digitaloceanspaces.com/Ukraine_Witness_Datasheet/Worksheet/youtube_dl_1494601682663219201.mp4</t>
  </si>
  <si>
    <t>2022-02-25T14:11:53+00:00</t>
  </si>
  <si>
    <t>https://bellingcat-archive.nyc3.cdn.digitaloceanspaces.com/Ukraine_Witness_Datasheet/Worksheet/youtube_dl__GirkinGirkin_status_14946016826632192012022-02-25T14:11:41.430883.png</t>
  </si>
  <si>
    <t>0dc75ef90183591d01c0e360194fc956821198d8bd4ac1aa671307e286eea5fb</t>
  </si>
  <si>
    <t>https://bellingcat-archive.nyc3.cdn.digitaloceanspaces.com/Ukraine_Witness_Datasheet/Worksheet/youtube_dl_1494601682663219201/index.html</t>
  </si>
  <si>
    <t>IgorGirkin - Солдатское, Воронежская обл</t>
  </si>
  <si>
    <t>2022-02-18T10:16:24+00:00</t>
  </si>
  <si>
    <t>https://www.tiktok.com/@moto_bat31/video/7065692988516617474?is_copy_url=1&amp;is_from_webapp=v1</t>
  </si>
  <si>
    <t>Tanks unloaded off train</t>
  </si>
  <si>
    <t>UW0355</t>
  </si>
  <si>
    <t>wayback: Internet Archive failed: {'duration_sec': 27.124, 'message': 'The server cannot find the requested resource https://www.tiktok.com/@moto_bat31/video/7065692988516617474?is_copy_url=1&amp;is_from_webapp=v1 (HTTP status=404).', 'job_id': 'spn2-107ecc347c41c18141b1b8e0b6351bd7cf7d8bd3-4b29398d', 'status': 'error', 'status_ext': 'error:not-found', 'resources': []}</t>
  </si>
  <si>
    <t>2022-02-25T14:11:32+00:00</t>
  </si>
  <si>
    <t>https://twitter.com/MotolkoHelp/status/1494333849362321409</t>
  </si>
  <si>
    <t>Heavy weaponry stationed</t>
  </si>
  <si>
    <t>https://twitter.com/danvan71/status/1494358103558696964</t>
  </si>
  <si>
    <t>UW0356</t>
  </si>
  <si>
    <t>https://bellingcat-archive.nyc3.cdn.digitaloceanspaces.com/Ukraine_Witness_Datasheet/Worksheet/youtube_dl_1494333849362321409.mp4</t>
  </si>
  <si>
    <t>2022-02-25T14:09:14+00:00</t>
  </si>
  <si>
    <t>https://bellingcat-archive.nyc3.cdn.digitaloceanspaces.com/Ukraine_Witness_Datasheet/Worksheet/youtube_dl__MotolkoHelp_status_14943338493623214092022-02-25T14:09:03.559979.png</t>
  </si>
  <si>
    <t>5caf70b5c6da795edc908cc7e4a2726991356f94778fde1c33d145ef34d16e4c</t>
  </si>
  <si>
    <t>https://bellingcat-archive.nyc3.cdn.digitaloceanspaces.com/Ukraine_Witness_Datasheet/Worksheet/youtube_dl_1494333849362321409/index.html</t>
  </si>
  <si>
    <t>MotolkoHelp - Armored personnel carriers in Kalinkavichy (Gomel region, Belarus) yesterday (16.02)</t>
  </si>
  <si>
    <t>2022-02-17T16:32:07+00:00</t>
  </si>
  <si>
    <t>https://twitter.com/GirkinGirkin/status/1494166438810112002</t>
  </si>
  <si>
    <t>https://twitter.com/Michael1Sheldon/status/1494407330422738950</t>
  </si>
  <si>
    <t>Zavidovka</t>
  </si>
  <si>
    <t>UW0357</t>
  </si>
  <si>
    <t>https://bellingcat-archive.nyc3.cdn.digitaloceanspaces.com/Ukraine_Witness_Datasheet/Worksheet/youtube_dl_1494166438810112002.mp4</t>
  </si>
  <si>
    <t>2022-02-25T14:08:58+00:00</t>
  </si>
  <si>
    <t>https://bellingcat-archive.nyc3.cdn.digitaloceanspaces.com/Ukraine_Witness_Datasheet/Worksheet/youtube_dl__GirkinGirkin_status_14941664388101120022022-02-25T14:08:47.234212.png</t>
  </si>
  <si>
    <t>20bd170198d02bab1efc35a2bf038be04a65435fe8cca4ffcdac9d09e2ebb1fd</t>
  </si>
  <si>
    <t>https://bellingcat-archive.nyc3.cdn.digitaloceanspaces.com/Ukraine_Witness_Datasheet/Worksheet/youtube_dl_1494166438810112002/index.html</t>
  </si>
  <si>
    <t>2022-02-17T05:26:53+00:00</t>
  </si>
  <si>
    <t>https://twitter.com/GirkinGirkin/status/1494396199411068932</t>
  </si>
  <si>
    <t xml:space="preserve">Helicopter stationed </t>
  </si>
  <si>
    <t>https://twitter.com/vcdgf555/status/1494412190639529984</t>
  </si>
  <si>
    <t>UW0358</t>
  </si>
  <si>
    <t>https://bellingcat-archive.nyc3.cdn.digitaloceanspaces.com/Ukraine_Witness_Datasheet/Worksheet/youtube_dl_1494396199411068932.mp4</t>
  </si>
  <si>
    <t>2022-02-25T14:08:42+00:00</t>
  </si>
  <si>
    <t>https://bellingcat-archive.nyc3.cdn.digitaloceanspaces.com/Ukraine_Witness_Datasheet/Worksheet/youtube_dl__GirkinGirkin_status_14943961994110689322022-02-25T14:08:30.525969.png</t>
  </si>
  <si>
    <t>17a294f27a3b8e154f157633a761dc4e8e0dc5b44d0d80f38506b123fa294f30</t>
  </si>
  <si>
    <t>https://bellingcat-archive.nyc3.cdn.digitaloceanspaces.com/Ukraine_Witness_Datasheet/Worksheet/youtube_dl_1494396199411068932/index.html</t>
  </si>
  <si>
    <t>IgorGirkin - Валуйки</t>
  </si>
  <si>
    <t>2022-02-17T20:39:53+00:00</t>
  </si>
  <si>
    <t>https://twitter.com/GirkinGirkin/status/1493256015445377033</t>
  </si>
  <si>
    <t>https://twitter.com/bobmoretti/status/1494137731143720961</t>
  </si>
  <si>
    <t>Pushkarnoe</t>
  </si>
  <si>
    <t>UW0359</t>
  </si>
  <si>
    <t>https://bellingcat-archive.nyc3.cdn.digitaloceanspaces.com/Ukraine_Witness_Datasheet/Worksheet/youtube_dl_1493256015445377033.mp4</t>
  </si>
  <si>
    <t>2022-02-25T14:08:25+00:00</t>
  </si>
  <si>
    <t>https://bellingcat-archive.nyc3.cdn.digitaloceanspaces.com/Ukraine_Witness_Datasheet/Worksheet/youtube_dl__GirkinGirkin_status_14932560154453770332022-02-25T14:08:14.419764.png</t>
  </si>
  <si>
    <t>5ed021dd509b3688ed593e0cd0fdc1157559844b6561f7148ffcb9ea07d7602a</t>
  </si>
  <si>
    <t>https://bellingcat-archive.nyc3.cdn.digitaloceanspaces.com/Ukraine_Witness_Datasheet/Worksheet/youtube_dl_1493256015445377033/index.html</t>
  </si>
  <si>
    <t>2022-02-14T17:09:12+00:00</t>
  </si>
  <si>
    <t>https://twitter.com/GirkinGirkin/status/1494532307193147392</t>
  </si>
  <si>
    <t>Tank movement</t>
  </si>
  <si>
    <t>https://twitter.com/Michael1Sheldon/status/1494546917073817601</t>
  </si>
  <si>
    <t>Veselaya Lopan'</t>
  </si>
  <si>
    <t>UW0360</t>
  </si>
  <si>
    <t>https://bellingcat-archive.nyc3.cdn.digitaloceanspaces.com/Ukraine_Witness_Datasheet/Worksheet/youtube_dl_1494532307193147392.mp4</t>
  </si>
  <si>
    <t>2022-02-25T14:08:09+00:00</t>
  </si>
  <si>
    <t>https://bellingcat-archive.nyc3.cdn.digitaloceanspaces.com/Ukraine_Witness_Datasheet/Worksheet/youtube_dl__GirkinGirkin_status_14945323071931473922022-02-25T14:07:55.181877.png</t>
  </si>
  <si>
    <t>3ec098dc4fe9e7e83797b194a277badc49a18b6b3c9ff6c6267162bd9e4759f5</t>
  </si>
  <si>
    <t>https://bellingcat-archive.nyc3.cdn.digitaloceanspaces.com/Ukraine_Witness_Datasheet/Worksheet/youtube_dl_1494532307193147392/index.html</t>
  </si>
  <si>
    <t>2022-02-18T05:40:43+00:00</t>
  </si>
  <si>
    <t>https://twitter.com/GirkinGirkin/status/1493969098690248707</t>
  </si>
  <si>
    <t>https://twitter.com/Idzanagi4/status/1494240825043304451</t>
  </si>
  <si>
    <t>UW0361</t>
  </si>
  <si>
    <t>https://bellingcat-archive.nyc3.cdn.digitaloceanspaces.com/Ukraine_Witness_Datasheet/Worksheet/youtube_dl_1493969098690248707.mp4</t>
  </si>
  <si>
    <t>2022-02-25T14:07:49+00:00</t>
  </si>
  <si>
    <t>https://bellingcat-archive.nyc3.cdn.digitaloceanspaces.com/Ukraine_Witness_Datasheet/Worksheet/youtube_dl__GirkinGirkin_status_14939690986902487072022-02-25T14:07:35.114577.png</t>
  </si>
  <si>
    <t>2f15178da3f7afeabfee16d7cdc860a3ee39f097878bb6d9d4972be2d39e6a27</t>
  </si>
  <si>
    <t>https://bellingcat-archive.nyc3.cdn.digitaloceanspaces.com/Ukraine_Witness_Datasheet/Worksheet/youtube_dl_1493969098690248707/index.html</t>
  </si>
  <si>
    <t>2022-02-16T16:22:44+00:00</t>
  </si>
  <si>
    <t>https://twitter.com/GirkinGirkin/status/1494310992494399492</t>
  </si>
  <si>
    <t>https://twitter.com/danvan71/status/1494481865193009162</t>
  </si>
  <si>
    <t>UW0362</t>
  </si>
  <si>
    <t>https://bellingcat-archive.nyc3.cdn.digitaloceanspaces.com/Ukraine_Witness_Datasheet/Worksheet/youtube_dl_1494310992494399492.mp4</t>
  </si>
  <si>
    <t>2022-02-25T14:07:28+00:00</t>
  </si>
  <si>
    <t>https://bellingcat-archive.nyc3.cdn.digitaloceanspaces.com/Ukraine_Witness_Datasheet/Worksheet/youtube_dl__GirkinGirkin_status_14943109924943994922022-02-25T14:07:16.953212.png</t>
  </si>
  <si>
    <t>a6899ec971fa56a0a7226b5906f5c621e75ceba846a1330fb4b85120b97c47f9</t>
  </si>
  <si>
    <t>https://bellingcat-archive.nyc3.cdn.digitaloceanspaces.com/Ukraine_Witness_Datasheet/Worksheet/youtube_dl_1494310992494399492/index.html</t>
  </si>
  <si>
    <t>2022-02-17T15:01:18+00:00</t>
  </si>
  <si>
    <t>https://twitter.com/GirkinGirkin/status/1494597653455380494</t>
  </si>
  <si>
    <t>https://twitter.com/noclador/status/1494618691983613960</t>
  </si>
  <si>
    <t>Izumrudne</t>
  </si>
  <si>
    <t>UW0363</t>
  </si>
  <si>
    <t>https://bellingcat-archive.nyc3.cdn.digitaloceanspaces.com/Ukraine_Witness_Datasheet/Worksheet/youtube_dl_1494597653455380494.mp4</t>
  </si>
  <si>
    <t>2022-02-25T14:07:10+00:00</t>
  </si>
  <si>
    <t>https://bellingcat-archive.nyc3.cdn.digitaloceanspaces.com/Ukraine_Witness_Datasheet/Worksheet/youtube_dl__GirkinGirkin_status_14945976534553804942022-02-25T14:06:59.178054.png</t>
  </si>
  <si>
    <t>dda9bc40a4623fd76652043666b16c9fe433a2d8090aeec2dc90500d011eb71d</t>
  </si>
  <si>
    <t>https://bellingcat-archive.nyc3.cdn.digitaloceanspaces.com/Ukraine_Witness_Datasheet/Worksheet/youtube_dl_1494597653455380494/index.html</t>
  </si>
  <si>
    <t>2022-02-18T10:00:23+00:00</t>
  </si>
  <si>
    <t>BS</t>
  </si>
  <si>
    <t>https://twitter.com/MotolkoHelp/status/1494667171972141061?s=20&amp;t=INxS006VnD8YOq83CznkMQ</t>
  </si>
  <si>
    <t>Military convoy headed to border</t>
  </si>
  <si>
    <t>Kirov</t>
  </si>
  <si>
    <t>UW0364</t>
  </si>
  <si>
    <t>https://bellingcat-archive.nyc3.cdn.digitaloceanspaces.com/Ukraine_Witness_Datasheet/Worksheet/youtube_dl_1494667171972141061.mp4</t>
  </si>
  <si>
    <t>2022-02-25T14:06:54+00:00</t>
  </si>
  <si>
    <t>https://bellingcat-archive.nyc3.cdn.digitaloceanspaces.com/Ukraine_Witness_Datasheet/Worksheet/youtube_dl__MotolkoHelp_status_14946671719721410612022-02-25T14:06:42.501229.png</t>
  </si>
  <si>
    <t>c6726affa178d9e1a070222fbabeffb06f4f9daf5b71b96288a1ac2855b76212</t>
  </si>
  <si>
    <t>https://bellingcat-archive.nyc3.cdn.digitaloceanspaces.com/Ukraine_Witness_Datasheet/Worksheet/youtube_dl_1494667171972141061/index.html</t>
  </si>
  <si>
    <t>MotolkoHelp - Russian Ministry of Defense brought self-propelled artillery systems today (18.02) to the village Kirau (Naroulya district, Belarus), on the border with Ukraine.  Noted by “Flagshtok” telegram channel.</t>
  </si>
  <si>
    <t>2022-02-18T14:36:38+00:00</t>
  </si>
  <si>
    <t>https://twitter.com/burtstengl/status/1494714871254036480</t>
  </si>
  <si>
    <t>Damage after explosion</t>
  </si>
  <si>
    <t>Donesk</t>
  </si>
  <si>
    <t>UW0365</t>
  </si>
  <si>
    <t>https://bellingcat-archive.nyc3.cdn.digitaloceanspaces.com/Ukraine_Witness_Datasheet/Worksheet/twitter__burtstengl_status_1494714871254036480.html</t>
  </si>
  <si>
    <t>2022-02-25T14:06:36+00:00</t>
  </si>
  <si>
    <t>https://bellingcat-archive.nyc3.cdn.digitaloceanspaces.com/Ukraine_Witness_Datasheet/Worksheet/twitter__burtstengl_status_14947148712540364802022-02-25T14:06:25.980800.png</t>
  </si>
  <si>
    <t>d01465d1efb823b8d6da0b44e7ea24a736fb0f8665559c8fbf21bd373a4b1786</t>
  </si>
  <si>
    <t>https://twitter.com/GirkinGirkin/status/1494733116417716225</t>
  </si>
  <si>
    <t>UW0366</t>
  </si>
  <si>
    <t>https://bellingcat-archive.nyc3.cdn.digitaloceanspaces.com/Ukraine_Witness_Datasheet/Worksheet/youtube_dl_1494733116417716225.mp4</t>
  </si>
  <si>
    <t>2022-02-25T14:06:22+00:00</t>
  </si>
  <si>
    <t>https://bellingcat-archive.nyc3.cdn.digitaloceanspaces.com/Ukraine_Witness_Datasheet/Worksheet/youtube_dl__GirkinGirkin_status_14947331164177162252022-02-25T14:06:10.587222.png</t>
  </si>
  <si>
    <t>1e118626c3b5ca1d0191e0c60d174931ba876e203165b208b2613b3c197a2c22</t>
  </si>
  <si>
    <t>https://bellingcat-archive.nyc3.cdn.digitaloceanspaces.com/Ukraine_Witness_Datasheet/Worksheet/youtube_dl_1494733116417716225/index.html</t>
  </si>
  <si>
    <t>IgorGirkin - Наровля, РБ</t>
  </si>
  <si>
    <t>2022-02-18T18:58:40+00:00</t>
  </si>
  <si>
    <t>https://twitter.com/GirkinGirkin/status/1494739311727714306</t>
  </si>
  <si>
    <t>Iskander system on the move</t>
  </si>
  <si>
    <t>https://twitter.com/ohsenty/status/1494746388760039426</t>
  </si>
  <si>
    <t>Karachev</t>
  </si>
  <si>
    <t>Iskander</t>
  </si>
  <si>
    <t>UW0367</t>
  </si>
  <si>
    <t>https://bellingcat-archive.nyc3.cdn.digitaloceanspaces.com/Ukraine_Witness_Datasheet/Worksheet/youtube_dl_1494739311727714306.mp4</t>
  </si>
  <si>
    <t>2022-02-25T14:06:04+00:00</t>
  </si>
  <si>
    <t>https://bellingcat-archive.nyc3.cdn.digitaloceanspaces.com/Ukraine_Witness_Datasheet/Worksheet/youtube_dl__GirkinGirkin_status_14947393117277143062022-02-25T14:05:52.346530.png</t>
  </si>
  <si>
    <t>d343ed53b4fd251e45aeda7b42ddd50631759d70600f98946590848e3a6705ce</t>
  </si>
  <si>
    <t>https://bellingcat-archive.nyc3.cdn.digitaloceanspaces.com/Ukraine_Witness_Datasheet/Worksheet/youtube_dl_1494739311727714306/index.html</t>
  </si>
  <si>
    <t>IgorGirkin - Карачев, Брянская обл</t>
  </si>
  <si>
    <t>2022-02-18T19:23:17+00:00</t>
  </si>
  <si>
    <t>https://twitter.com/MotolkoHelp/status/1494668118320373762</t>
  </si>
  <si>
    <t>Military convoy headed south</t>
  </si>
  <si>
    <t>Babruysk</t>
  </si>
  <si>
    <t>UW0368</t>
  </si>
  <si>
    <t>https://bellingcat-archive.nyc3.cdn.digitaloceanspaces.com/Ukraine_Witness_Datasheet/Worksheet/youtube_dl_1494668118320373762.mp4</t>
  </si>
  <si>
    <t>2022-02-25T14:05:47+00:00</t>
  </si>
  <si>
    <t>https://bellingcat-archive.nyc3.cdn.digitaloceanspaces.com/Ukraine_Witness_Datasheet/Worksheet/youtube_dl__MotolkoHelp_status_14946681183203737622022-02-25T14:05:35.696848.png</t>
  </si>
  <si>
    <t>c5cdffc77dbc1661315dfc91060215ed44a28ae9b129919cab0b7cb12a9ed0ee</t>
  </si>
  <si>
    <t>https://bellingcat-archive.nyc3.cdn.digitaloceanspaces.com/Ukraine_Witness_Datasheet/Worksheet/youtube_dl_1494668118320373762/index.html</t>
  </si>
  <si>
    <t>MotolkoHelp - A large column of vehicles is moving in the direction of Palessie. This is an interchange near Babruisk (Vishniouka village), R31 highway.  Noted by “Flagshtok” telegram channel.</t>
  </si>
  <si>
    <t>2022-02-18T14:40:23+00:00</t>
  </si>
  <si>
    <t xml:space="preserve">BEN B </t>
  </si>
  <si>
    <t>https://twitter.com/GirkinGirkin/status/1494733367597805569</t>
  </si>
  <si>
    <t>Military convoy headed west</t>
  </si>
  <si>
    <t>Yevpatoria</t>
  </si>
  <si>
    <t>UW0369</t>
  </si>
  <si>
    <t>https://bellingcat-archive.nyc3.cdn.digitaloceanspaces.com/Ukraine_Witness_Datasheet/Worksheet/youtube_dl_1494733367597805569.mp4</t>
  </si>
  <si>
    <t>2022-02-25T14:05:28+00:00</t>
  </si>
  <si>
    <t>https://bellingcat-archive.nyc3.cdn.digitaloceanspaces.com/Ukraine_Witness_Datasheet/Worksheet/youtube_dl__GirkinGirkin_status_14947333675978055692022-02-25T14:05:17.085100.png</t>
  </si>
  <si>
    <t>590a6ab6fd0e43c98b5496a8d6ee1af3068be02e0b23e6334cc7ce3c0457a268</t>
  </si>
  <si>
    <t>https://bellingcat-archive.nyc3.cdn.digitaloceanspaces.com/Ukraine_Witness_Datasheet/Worksheet/youtube_dl_1494733367597805569/index.html</t>
  </si>
  <si>
    <t>IgorGirkin - Евпатория, Крым</t>
  </si>
  <si>
    <t>2022-02-18T18:59:40+00:00</t>
  </si>
  <si>
    <t>https://twitter.com/herooftheday10/status/1494720540258488329</t>
  </si>
  <si>
    <t>Military vehicles in Kursk by the train station</t>
  </si>
  <si>
    <t>https://twitter.com/gfusfus/status/1494723645561839623</t>
  </si>
  <si>
    <t>UW0370</t>
  </si>
  <si>
    <t>https://web.archive.org/web/20220225140452/https://twitter.com/herooftheday10/status/1494720540258488329</t>
  </si>
  <si>
    <t>https://bellingcat-archive.nyc3.cdn.digitaloceanspaces.com/Ukraine_Witness_Datasheet/Worksheet/wayback__herooftheday10_status_14947205402584883292022-02-25T14:05:02.088742.png</t>
  </si>
  <si>
    <t>ЄС_EU_UA_NATO_USA_יִשְׂרָאֵל🇮🇱🇺🇦🇺🇸🇪🇺🇬🇧 on Twitter: "Курская, а где вывоз ? путен балабол… "</t>
  </si>
  <si>
    <t>https://twitter.com/GirkinGirkin/status/1494675977322041351</t>
  </si>
  <si>
    <t>BMPS sitting on a road</t>
  </si>
  <si>
    <t>https://twitter.com/gfusfus/status/1494697400493035526</t>
  </si>
  <si>
    <t>BMPs</t>
  </si>
  <si>
    <t>UW0371</t>
  </si>
  <si>
    <t>https://bellingcat-archive.nyc3.cdn.digitaloceanspaces.com/Ukraine_Witness_Datasheet/Worksheet/youtube_dl_1494675977322041351.mp4</t>
  </si>
  <si>
    <t>2022-02-25T14:03:53+00:00</t>
  </si>
  <si>
    <t>https://bellingcat-archive.nyc3.cdn.digitaloceanspaces.com/Ukraine_Witness_Datasheet/Worksheet/youtube_dl__GirkinGirkin_status_14946759773220413512022-02-25T14:03:40.928699.png</t>
  </si>
  <si>
    <t>a59570c5f846eac36c33c9997c60b8fcfea88d50bf3528ececdeb677737fda13</t>
  </si>
  <si>
    <t>https://bellingcat-archive.nyc3.cdn.digitaloceanspaces.com/Ukraine_Witness_Datasheet/Worksheet/youtube_dl_1494675977322041351/index.html</t>
  </si>
  <si>
    <t>2022-02-18T15:11:37+00:00</t>
  </si>
  <si>
    <t>https://twitter.com/GirkinGirkin/status/1494747979361792008</t>
  </si>
  <si>
    <t>Arty heading west off road</t>
  </si>
  <si>
    <t>https://twitter.com/jimmyarturopaiz/status/1494770812058062851</t>
  </si>
  <si>
    <t>Kirovskii</t>
  </si>
  <si>
    <t>UW0372</t>
  </si>
  <si>
    <t>https://bellingcat-archive.nyc3.cdn.digitaloceanspaces.com/Ukraine_Witness_Datasheet/Worksheet/youtube_dl_1494747979361792008.mp4</t>
  </si>
  <si>
    <t>2022-02-25T14:03:33+00:00</t>
  </si>
  <si>
    <t>https://bellingcat-archive.nyc3.cdn.digitaloceanspaces.com/Ukraine_Witness_Datasheet/Worksheet/youtube_dl__GirkinGirkin_status_14947479793617920082022-02-25T14:03:22.296312.png</t>
  </si>
  <si>
    <t>9194ad880b9a856b0976f7f7cba9d72d05ce62803b6af99d3c05a35a1a7dfea6</t>
  </si>
  <si>
    <t>https://bellingcat-archive.nyc3.cdn.digitaloceanspaces.com/Ukraine_Witness_Datasheet/Worksheet/youtube_dl_1494747979361792008/index.html</t>
  </si>
  <si>
    <t>2022-02-18T19:57:44+00:00</t>
  </si>
  <si>
    <t>https://twitter.com/Michael1Sheldon/status/1494799856346488840</t>
  </si>
  <si>
    <t>Tanks on side of the road</t>
  </si>
  <si>
    <t>https://twitter.com/Michael1Sheldon/status/1494800002287292419</t>
  </si>
  <si>
    <t>Stadnitsa</t>
  </si>
  <si>
    <t>UW0373</t>
  </si>
  <si>
    <t>https://bellingcat-archive.nyc3.cdn.digitaloceanspaces.com/Ukraine_Witness_Datasheet/Worksheet/youtube_dl_1494799856346488840.mp4</t>
  </si>
  <si>
    <t>2022-02-25T14:03:14+00:00</t>
  </si>
  <si>
    <t>https://bellingcat-archive.nyc3.cdn.digitaloceanspaces.com/Ukraine_Witness_Datasheet/Worksheet/youtube_dl__Michael1Sheldon_status_14947998563464888402022-02-25T14:03:01.220645.png</t>
  </si>
  <si>
    <t>4f90cd30809c6316d4182a07f4b71bf37209626752725ff3501c40faa15597a0</t>
  </si>
  <si>
    <t>https://bellingcat-archive.nyc3.cdn.digitaloceanspaces.com/Ukraine_Witness_Datasheet/Worksheet/youtube_dl_1494799856346488840/index.html</t>
  </si>
  <si>
    <t>Michael Sheldon - What looks like T-90As hiding in a wooded area on the side of the road connecting Tomarovka and Rakitnoe.</t>
  </si>
  <si>
    <t>2022-02-18T23:23:52+00:00</t>
  </si>
  <si>
    <t>https://twitter.com/JC_Monitoring/status/1494808918735867914</t>
  </si>
  <si>
    <t xml:space="preserve">BMPs on Rail transportation </t>
  </si>
  <si>
    <t>https://twitter.com/JC_Monitoring/status/1494809578890010631</t>
  </si>
  <si>
    <t>UW0374</t>
  </si>
  <si>
    <t>https://bellingcat-archive.nyc3.cdn.digitaloceanspaces.com/Ukraine_Witness_Datasheet/Worksheet/youtube_dl_1494808918735867914.mp4</t>
  </si>
  <si>
    <t>2022-02-25T14:02:52+00:00</t>
  </si>
  <si>
    <t>https://bellingcat-archive.nyc3.cdn.digitaloceanspaces.com/Ukraine_Witness_Datasheet/Worksheet/youtube_dl__JC_Monitoring_status_14948089187358679142022-02-25T14:02:38.323162.png</t>
  </si>
  <si>
    <t>2b2769f275a5927fabf2abb2b3afec7ad69643f6a0eb245e78076cdd79131e00</t>
  </si>
  <si>
    <t>https://bellingcat-archive.nyc3.cdn.digitaloceanspaces.com/Ukraine_Witness_Datasheet/Worksheet/youtube_dl_1494808918735867914/index.html</t>
  </si>
  <si>
    <t>JC_Monitoring - A trainload of Russian military hardware spotted in Voronezh.  Coordinates - 51.56451155,39.24592173</t>
  </si>
  <si>
    <t>2022-02-18T23:59:53+00:00</t>
  </si>
  <si>
    <t>https://twitter.com/Michael1Sheldon/status/1494813747612954625</t>
  </si>
  <si>
    <t>Tank and tank transporter making a u turn</t>
  </si>
  <si>
    <t>UW0375</t>
  </si>
  <si>
    <t>https://bellingcat-archive.nyc3.cdn.digitaloceanspaces.com/Ukraine_Witness_Datasheet/Worksheet/twitter__Michael1Sheldon_status_1494813747612954625.html</t>
  </si>
  <si>
    <t>2022-02-25T14:02:32+00:00</t>
  </si>
  <si>
    <t>https://bellingcat-archive.nyc3.cdn.digitaloceanspaces.com/Ukraine_Witness_Datasheet/Worksheet/twitter__Michael1Sheldon_status_14948137476129546252022-02-25T14:02:23.167872.png</t>
  </si>
  <si>
    <t>6cd20e27a24a94be4744f336e2129be388bec428a560d6f20d2e0879b605fcf2</t>
  </si>
  <si>
    <t>https://twitter.com/JC_Monitoring/status/1494814832536793090</t>
  </si>
  <si>
    <t>Tanks on the side of the road</t>
  </si>
  <si>
    <t>https://twitter.com/JC_Monitoring/status/1494816159916511236</t>
  </si>
  <si>
    <t>T-72s</t>
  </si>
  <si>
    <t>UW0376</t>
  </si>
  <si>
    <t>https://bellingcat-archive.nyc3.cdn.digitaloceanspaces.com/Ukraine_Witness_Datasheet/Worksheet/youtube_dl_1494814832536793090.mp4</t>
  </si>
  <si>
    <t>2022-02-25T14:02:16+00:00</t>
  </si>
  <si>
    <t>https://bellingcat-archive.nyc3.cdn.digitaloceanspaces.com/Ukraine_Witness_Datasheet/Worksheet/youtube_dl__JC_Monitoring_status_14948148325367930902022-02-25T14:02:02.819137.png</t>
  </si>
  <si>
    <t>c4ca52b88993b52c40462ae7758aa6b8a7db42743120d9f146ee167bfdb56fe8</t>
  </si>
  <si>
    <t>https://bellingcat-archive.nyc3.cdn.digitaloceanspaces.com/Ukraine_Witness_Datasheet/Worksheet/youtube_dl_1494814832536793090/index.html</t>
  </si>
  <si>
    <t>JC_Monitoring - Russian T-72s spotted in Tomarovka, Belgorod Oblast, less than 30km away from the border with Ukraine.  Coordinates - 50.67268971,36.23781723</t>
  </si>
  <si>
    <t>2022-02-19T00:23:23+00:00</t>
  </si>
  <si>
    <t>https://twitter.com/Michael1Sheldon/status/1494790890224762882</t>
  </si>
  <si>
    <t>BMPs on side of road</t>
  </si>
  <si>
    <t>https://twitter.com/Michael1Sheldon/status/1494791552811421698</t>
  </si>
  <si>
    <t>Pervomaiskiii</t>
  </si>
  <si>
    <t>UW0377</t>
  </si>
  <si>
    <t>https://bellingcat-archive.nyc3.cdn.digitaloceanspaces.com/Ukraine_Witness_Datasheet/Worksheet/youtube_dl_1494790890224762882.mp4</t>
  </si>
  <si>
    <t>2022-02-25T14:01:52+00:00</t>
  </si>
  <si>
    <t>https://bellingcat-archive.nyc3.cdn.digitaloceanspaces.com/Ukraine_Witness_Datasheet/Worksheet/youtube_dl__Michael1Sheldon_status_14947908902247628822022-02-25T14:01:40.212924.png</t>
  </si>
  <si>
    <t>2d4b018dee213213d7349e0153a823cbcb9bb7b2eff9c0cca864667c9a985a24</t>
  </si>
  <si>
    <t>https://bellingcat-archive.nyc3.cdn.digitaloceanspaces.com/Ukraine_Witness_Datasheet/Worksheet/youtube_dl_1494790890224762882/index.html</t>
  </si>
  <si>
    <t>Michael Sheldon - MTLBs near Aleksandrovka, Belgorod Oblast.</t>
  </si>
  <si>
    <t>2022-02-18T22:48:14+00:00</t>
  </si>
  <si>
    <t>https://twitter.com/GirkinGirkin/status/1494748190930788359</t>
  </si>
  <si>
    <t>T-72s on side of road being dropped of by transportation</t>
  </si>
  <si>
    <t>https://twitter.com/JohnPlatner/status/1494750965425217539</t>
  </si>
  <si>
    <t>UW0378</t>
  </si>
  <si>
    <t>https://bellingcat-archive.nyc3.cdn.digitaloceanspaces.com/Ukraine_Witness_Datasheet/Worksheet/youtube_dl_1494748190930788359.mp4</t>
  </si>
  <si>
    <t>2022-02-25T14:01:28+00:00</t>
  </si>
  <si>
    <t>https://bellingcat-archive.nyc3.cdn.digitaloceanspaces.com/Ukraine_Witness_Datasheet/Worksheet/youtube_dl__GirkinGirkin_status_14947481909307883592022-02-25T14:01:16.543961.png</t>
  </si>
  <si>
    <t>efca6d4a3952843f53cb43367bac220d8280c0470e6655abe96c027737dd886f</t>
  </si>
  <si>
    <t>https://bellingcat-archive.nyc3.cdn.digitaloceanspaces.com/Ukraine_Witness_Datasheet/Worksheet/youtube_dl_1494748190930788359/index.html</t>
  </si>
  <si>
    <t>IgorGirkin - Белгород, ч.2</t>
  </si>
  <si>
    <t>2022-02-18T19:58:34+00:00</t>
  </si>
  <si>
    <t>https://twitter.com/GirkinGirkin/status/1494748327287660548</t>
  </si>
  <si>
    <t>UW0379</t>
  </si>
  <si>
    <t>https://bellingcat-archive.nyc3.cdn.digitaloceanspaces.com/Ukraine_Witness_Datasheet/Worksheet/youtube_dl_1494748327287660548.mp4</t>
  </si>
  <si>
    <t>2022-02-25T14:01:11+00:00</t>
  </si>
  <si>
    <t>https://bellingcat-archive.nyc3.cdn.digitaloceanspaces.com/Ukraine_Witness_Datasheet/Worksheet/youtube_dl__GirkinGirkin_status_14947483272876605482022-02-25T14:00:59.456328.png</t>
  </si>
  <si>
    <t>4685c48b69ee6ff122b91e8e0fb17bbcd3176a878ee63514f804bcfa0371d550</t>
  </si>
  <si>
    <t>https://bellingcat-archive.nyc3.cdn.digitaloceanspaces.com/Ukraine_Witness_Datasheet/Worksheet/youtube_dl_1494748327287660548/index.html</t>
  </si>
  <si>
    <t>IgorGirkin - Белгород, ч.3</t>
  </si>
  <si>
    <t>2022-02-18T19:59:06+00:00</t>
  </si>
  <si>
    <t>https://twitter.com/GirkinGirkin/status/1494731971917922311</t>
  </si>
  <si>
    <t>Arty being transported</t>
  </si>
  <si>
    <t>https://twitter.com/Danspiun/status/1494785871983353857</t>
  </si>
  <si>
    <t>2S19 Msta-S howitzers + T72B3m</t>
  </si>
  <si>
    <t>UW0380</t>
  </si>
  <si>
    <t>https://bellingcat-archive.nyc3.cdn.digitaloceanspaces.com/Ukraine_Witness_Datasheet/Worksheet/youtube_dl_1494731971917922311.mp4</t>
  </si>
  <si>
    <t>2022-02-25T14:00:53+00:00</t>
  </si>
  <si>
    <t>https://bellingcat-archive.nyc3.cdn.digitaloceanspaces.com/Ukraine_Witness_Datasheet/Worksheet/youtube_dl__GirkinGirkin_status_14947319719179223112022-02-25T14:00:41.249759.png</t>
  </si>
  <si>
    <t>57ae8d62127881a3411f1e6f2837885a1d41d7989944585897648090d8c8112b</t>
  </si>
  <si>
    <t>https://bellingcat-archive.nyc3.cdn.digitaloceanspaces.com/Ukraine_Witness_Datasheet/Worksheet/youtube_dl_1494731971917922311/index.html</t>
  </si>
  <si>
    <t>2022-02-18T18:54:07+00:00</t>
  </si>
  <si>
    <t>https://twitter.com/GirkinGirkin/status/1494734878893645828</t>
  </si>
  <si>
    <t>Military vehicles on road</t>
  </si>
  <si>
    <t>https://twitter.com/Danspiun/status/1494789276147589126</t>
  </si>
  <si>
    <t>Russa</t>
  </si>
  <si>
    <t>UW0381</t>
  </si>
  <si>
    <t>https://bellingcat-archive.nyc3.cdn.digitaloceanspaces.com/Ukraine_Witness_Datasheet/Worksheet/youtube_dl_1494734878893645828.mp4</t>
  </si>
  <si>
    <t>2022-02-25T14:00:34+00:00</t>
  </si>
  <si>
    <t>https://bellingcat-archive.nyc3.cdn.digitaloceanspaces.com/Ukraine_Witness_Datasheet/Worksheet/youtube_dl__GirkinGirkin_status_14947348788936458282022-02-25T14:00:18.726934.png</t>
  </si>
  <si>
    <t>14b27a0ecbeba681c7159c7c7f75570d70ccfda802b6775a195cf7af4718a7ed</t>
  </si>
  <si>
    <t>https://bellingcat-archive.nyc3.cdn.digitaloceanspaces.com/Ukraine_Witness_Datasheet/Worksheet/youtube_dl_1494734878893645828/index.html</t>
  </si>
  <si>
    <t>IgorGirkin - Ивня, Белгородская обл</t>
  </si>
  <si>
    <t>2022-02-18T19:05:40+00:00</t>
  </si>
  <si>
    <t>https://twitter.com/Idzanagi4/status/1494620881687040000</t>
  </si>
  <si>
    <t>Military BBV and coverd IFV</t>
  </si>
  <si>
    <t>https://twitter.com/Danspiun/status/1494743219766272002</t>
  </si>
  <si>
    <t>UW0382</t>
  </si>
  <si>
    <t>https://bellingcat-archive.nyc3.cdn.digitaloceanspaces.com/Ukraine_Witness_Datasheet/Worksheet/youtube_dl_1494620881687040000.mp4</t>
  </si>
  <si>
    <t>2022-02-25T14:00:03+00:00</t>
  </si>
  <si>
    <t>https://bellingcat-archive.nyc3.cdn.digitaloceanspaces.com/Ukraine_Witness_Datasheet/Worksheet/youtube_dl__Idzanagi4_status_14946208816870400002022-02-25T13:59:51.116909.png</t>
  </si>
  <si>
    <t>baab7e44d45ac6c6c70a1b7e93f50c1e0fce4e1693ae6fbcb18729d384421193</t>
  </si>
  <si>
    <t>https://bellingcat-archive.nyc3.cdn.digitaloceanspaces.com/Ukraine_Witness_Datasheet/Worksheet/youtube_dl_1494620881687040000/index.html</t>
  </si>
  <si>
    <t>Идзанаги 🇺🇦 🇰🇿 - Брянськ</t>
  </si>
  <si>
    <t>2022-02-18T11:32:41+00:00</t>
  </si>
  <si>
    <t>https://twitter.com/Idzanagi4/status/1494018428679639042</t>
  </si>
  <si>
    <t>IFV on rail transport</t>
  </si>
  <si>
    <t>UW0383</t>
  </si>
  <si>
    <t>https://bellingcat-archive.nyc3.cdn.digitaloceanspaces.com/Ukraine_Witness_Datasheet/Worksheet/youtube_dl_1494018428679639042.mp4</t>
  </si>
  <si>
    <t>2022-02-25T13:59:45+00:00</t>
  </si>
  <si>
    <t>https://bellingcat-archive.nyc3.cdn.digitaloceanspaces.com/Ukraine_Witness_Datasheet/Worksheet/youtube_dl__Idzanagi4_status_14940184286796390422022-02-25T13:59:34.102465.png</t>
  </si>
  <si>
    <t>b1b4da493d8d1936657eb94376cf1c97ee0b6dbce3e9ae4e6562a6a488b23e94</t>
  </si>
  <si>
    <t>https://bellingcat-archive.nyc3.cdn.digitaloceanspaces.com/Ukraine_Witness_Datasheet/Worksheet/youtube_dl_1494018428679639042/index.html</t>
  </si>
  <si>
    <t>Идзанаги 🇺🇦 🇰🇿 - Новозибков, Брянська обл. місце зйомки: 52.52383860485062, 31.948376089631623</t>
  </si>
  <si>
    <t>2022-02-16T19:38:45+00:00</t>
  </si>
  <si>
    <t>https://twitter.com/GirkinGirkin/status/1494821968067145734</t>
  </si>
  <si>
    <t>3x BMPs 2x BBV</t>
  </si>
  <si>
    <t>https://twitter.com/ruggerz/status/1494834381273325576</t>
  </si>
  <si>
    <t>Stroitel</t>
  </si>
  <si>
    <t>UW0384</t>
  </si>
  <si>
    <t>https://bellingcat-archive.nyc3.cdn.digitaloceanspaces.com/Ukraine_Witness_Datasheet/Worksheet/youtube_dl_1494821968067145734.mp4</t>
  </si>
  <si>
    <t>2022-02-25T13:59:25+00:00</t>
  </si>
  <si>
    <t>https://bellingcat-archive.nyc3.cdn.digitaloceanspaces.com/Ukraine_Witness_Datasheet/Worksheet/youtube_dl__GirkinGirkin_status_14948219680671457342022-02-25T13:59:14.395920.png</t>
  </si>
  <si>
    <t>d13de42f9aee6996152249d712eba6c31aa6964f8d5ed6320a1094d10593dc39</t>
  </si>
  <si>
    <t>https://bellingcat-archive.nyc3.cdn.digitaloceanspaces.com/Ukraine_Witness_Datasheet/Worksheet/youtube_dl_1494821968067145734/index.html</t>
  </si>
  <si>
    <t>2022-02-19T00:51:44+00:00</t>
  </si>
  <si>
    <t>19/02/2022</t>
  </si>
  <si>
    <t>https://twitter.com/GirkinGirkin/status/1494885377890471941</t>
  </si>
  <si>
    <t>Rocket, ARTY and troop transporters</t>
  </si>
  <si>
    <t>https://twitter.com/bobmoretti/status/1494889005984354309</t>
  </si>
  <si>
    <t>UW0385</t>
  </si>
  <si>
    <t>https://bellingcat-archive.nyc3.cdn.digitaloceanspaces.com/Ukraine_Witness_Datasheet/Worksheet/youtube_dl_1494885377890471941.mp4</t>
  </si>
  <si>
    <t>2022-02-25T13:59:08+00:00</t>
  </si>
  <si>
    <t>https://bellingcat-archive.nyc3.cdn.digitaloceanspaces.com/Ukraine_Witness_Datasheet/Worksheet/youtube_dl__GirkinGirkin_status_14948853778904719412022-02-25T13:58:55.744366.png</t>
  </si>
  <si>
    <t>75084a5ee672f1932dfb1cc46bf898db40181ff7735ea39f067f8cafea03ebb0</t>
  </si>
  <si>
    <t>https://bellingcat-archive.nyc3.cdn.digitaloceanspaces.com/Ukraine_Witness_Datasheet/Worksheet/youtube_dl_1494885377890471941/index.html</t>
  </si>
  <si>
    <t>2022-02-19T05:03:42+00:00</t>
  </si>
  <si>
    <t>https://twitter.com/GirkinGirkin/status/1494830278136717313</t>
  </si>
  <si>
    <t>Military convoy heading south</t>
  </si>
  <si>
    <t>https://twitter.com/danvan71/status/1494849439940362246?s=20&amp;t=fNdQIqfJXju09bqbWecqpg</t>
  </si>
  <si>
    <t>UW0386</t>
  </si>
  <si>
    <t>https://bellingcat-archive.nyc3.cdn.digitaloceanspaces.com/Ukraine_Witness_Datasheet/Worksheet/youtube_dl_1494830278136717313.mp4</t>
  </si>
  <si>
    <t>2022-02-25T13:58:47+00:00</t>
  </si>
  <si>
    <t>https://bellingcat-archive.nyc3.cdn.digitaloceanspaces.com/Ukraine_Witness_Datasheet/Worksheet/youtube_dl__GirkinGirkin_status_14948302781367173132022-02-25T13:58:33.958674.png</t>
  </si>
  <si>
    <t>cf73cddf28d0f36b4ddeb0063a2f821f058a293efd7c4c953f7148815ab7fbdb</t>
  </si>
  <si>
    <t>https://bellingcat-archive.nyc3.cdn.digitaloceanspaces.com/Ukraine_Witness_Datasheet/Worksheet/youtube_dl_1494830278136717313/index.html</t>
  </si>
  <si>
    <t>2022-02-19T01:24:45+00:00</t>
  </si>
  <si>
    <t>https://twitter.com/GirkinGirkin/status/1494915178139373568</t>
  </si>
  <si>
    <t>Helicopters moving in formation</t>
  </si>
  <si>
    <t>https://twitter.com/bobmoretti/status/1494925131239464964</t>
  </si>
  <si>
    <t>UW0387</t>
  </si>
  <si>
    <t>https://bellingcat-archive.nyc3.cdn.digitaloceanspaces.com/Ukraine_Witness_Datasheet/Worksheet/youtube_dl_1494915178139373568.mp4</t>
  </si>
  <si>
    <t>2022-02-25T13:58:28+00:00</t>
  </si>
  <si>
    <t>https://bellingcat-archive.nyc3.cdn.digitaloceanspaces.com/Ukraine_Witness_Datasheet/Worksheet/youtube_dl__GirkinGirkin_status_14949151781393735682022-02-25T13:58:13.972705.png</t>
  </si>
  <si>
    <t>4c9c57d5724d7a54d5d1d60b70c36a9582b6896d35405e2756cce497d06304ac</t>
  </si>
  <si>
    <t>https://bellingcat-archive.nyc3.cdn.digitaloceanspaces.com/Ukraine_Witness_Datasheet/Worksheet/youtube_dl_1494915178139373568/index.html</t>
  </si>
  <si>
    <t>IgorGirkin - РБ</t>
  </si>
  <si>
    <t>2022-02-19T07:02:07+00:00</t>
  </si>
  <si>
    <t>https://twitter.com/GirkinGirkin/status/1495019081631772673</t>
  </si>
  <si>
    <t>Large numbers of tanks on side of road</t>
  </si>
  <si>
    <t>https://twitter.com/danvan71/status/1495033884219744256</t>
  </si>
  <si>
    <t>UW0388</t>
  </si>
  <si>
    <t>https://bellingcat-archive.nyc3.cdn.digitaloceanspaces.com/Ukraine_Witness_Datasheet/Worksheet/youtube_dl_1495019081631772673.mp4</t>
  </si>
  <si>
    <t>2022-02-25T13:58:07+00:00</t>
  </si>
  <si>
    <t>https://bellingcat-archive.nyc3.cdn.digitaloceanspaces.com/Ukraine_Witness_Datasheet/Worksheet/youtube_dl__GirkinGirkin_status_14950190816317726732022-02-25T13:57:56.088660.png</t>
  </si>
  <si>
    <t>9bbadb8fe17e861147825a074e1073afc9a121fd827c637d8cd5b4f5865a2283</t>
  </si>
  <si>
    <t>https://bellingcat-archive.nyc3.cdn.digitaloceanspaces.com/Ukraine_Witness_Datasheet/Worksheet/youtube_dl_1495019081631772673/index.html</t>
  </si>
  <si>
    <t>2022-02-19T13:54:59+00:00</t>
  </si>
  <si>
    <t>https://twitter.com/Michael1Sheldon/status/1495058835731582979</t>
  </si>
  <si>
    <t>Arty being pulled by BBV</t>
  </si>
  <si>
    <t>https://twitter.com/Michael1Sheldon/status/1495058510949888004</t>
  </si>
  <si>
    <t>Belyanka</t>
  </si>
  <si>
    <t>UW0389</t>
  </si>
  <si>
    <t>https://bellingcat-archive.nyc3.cdn.digitaloceanspaces.com/Ukraine_Witness_Datasheet/Worksheet/youtube_dl_1495058835731582979.mp4</t>
  </si>
  <si>
    <t>2022-02-25T13:57:47+00:00</t>
  </si>
  <si>
    <t>https://bellingcat-archive.nyc3.cdn.digitaloceanspaces.com/Ukraine_Witness_Datasheet/Worksheet/youtube_dl__Michael1Sheldon_status_14950588357315829792022-02-25T13:57:36.141695.png</t>
  </si>
  <si>
    <t>4c0f82fe3530aff24ca2d9395c70c81084694abae67389fdba16830fc921a0e9</t>
  </si>
  <si>
    <t>https://bellingcat-archive.nyc3.cdn.digitaloceanspaces.com/Ukraine_Witness_Datasheet/Worksheet/youtube_dl_1495058835731582979/index.html</t>
  </si>
  <si>
    <t>Michael Sheldon - Full video</t>
  </si>
  <si>
    <t>2022-02-19T16:32:57+00:00</t>
  </si>
  <si>
    <t>https://twitter.com/Michael1Sheldon/status/1495061641578401795</t>
  </si>
  <si>
    <t>AR</t>
  </si>
  <si>
    <t>https://twitter.com/Michael1Sheldon/status/1495063340250456070</t>
  </si>
  <si>
    <t>Shebekino</t>
  </si>
  <si>
    <t>UW0390</t>
  </si>
  <si>
    <t>https://bellingcat-archive.nyc3.cdn.digitaloceanspaces.com/Ukraine_Witness_Datasheet/Worksheet/youtube_dl_1495061641578401795.mp4</t>
  </si>
  <si>
    <t>2022-02-25T13:57:30+00:00</t>
  </si>
  <si>
    <t>https://bellingcat-archive.nyc3.cdn.digitaloceanspaces.com/Ukraine_Witness_Datasheet/Worksheet/youtube_dl__Michael1Sheldon_status_14950616415784017952022-02-25T13:57:17.521166.png</t>
  </si>
  <si>
    <t>ec52f7ff0412c3250f88a00c7c1a07e650948eb7770cdde38eb7ff7cde44467d</t>
  </si>
  <si>
    <t>https://bellingcat-archive.nyc3.cdn.digitaloceanspaces.com/Ukraine_Witness_Datasheet/Worksheet/youtube_dl_1495061641578401795/index.html</t>
  </si>
  <si>
    <t>Michael Sheldon - More footage of these in Shebekino</t>
  </si>
  <si>
    <t>2022-02-19T16:44:06+00:00</t>
  </si>
  <si>
    <t>https://twitter.com/Michael1Sheldon/status/1495062942903156744</t>
  </si>
  <si>
    <t>UW0391</t>
  </si>
  <si>
    <t>https://bellingcat-archive.nyc3.cdn.digitaloceanspaces.com/Ukraine_Witness_Datasheet/Worksheet/youtube_dl_1495062942903156744.mp4</t>
  </si>
  <si>
    <t>2022-02-25T13:57:10+00:00</t>
  </si>
  <si>
    <t>https://bellingcat-archive.nyc3.cdn.digitaloceanspaces.com/Ukraine_Witness_Datasheet/Worksheet/youtube_dl__Michael1Sheldon_status_14950629429031567442022-02-25T13:56:58.454408.png</t>
  </si>
  <si>
    <t>8a57f4cd75e7ea238efe15c8581430867c1d7feafa35f0c528c8ca02ba6870d9</t>
  </si>
  <si>
    <t>https://bellingcat-archive.nyc3.cdn.digitaloceanspaces.com/Ukraine_Witness_Datasheet/Worksheet/youtube_dl_1495062942903156744/index.html</t>
  </si>
  <si>
    <t>Michael Sheldon - https://t.co/s4xsnEUhF7</t>
  </si>
  <si>
    <t>2022-02-19T16:49:17+00:00</t>
  </si>
  <si>
    <t>https://twitter.com/JC_Monitoring/status/1495059793966514183</t>
  </si>
  <si>
    <t>IFV lined up in a row</t>
  </si>
  <si>
    <t>https://twitter.com/JC_Monitoring/status/1495060287342456834</t>
  </si>
  <si>
    <t>Saltyki</t>
  </si>
  <si>
    <t>UW0392</t>
  </si>
  <si>
    <t>https://bellingcat-archive.nyc3.cdn.digitaloceanspaces.com/Ukraine_Witness_Datasheet/Worksheet/youtube_dl_1495059793966514183.mp4</t>
  </si>
  <si>
    <t>2022-02-25T13:56:51+00:00</t>
  </si>
  <si>
    <t>https://bellingcat-archive.nyc3.cdn.digitaloceanspaces.com/Ukraine_Witness_Datasheet/Worksheet/youtube_dl__JC_Monitoring_status_14950597939665141832022-02-25T13:56:39.257031.png</t>
  </si>
  <si>
    <t>16e84cf08f11e0199d02bf2d8c15ed80b28a31df456d0c297730ff3563f82e2c</t>
  </si>
  <si>
    <t>https://bellingcat-archive.nyc3.cdn.digitaloceanspaces.com/Ukraine_Witness_Datasheet/Worksheet/youtube_dl_1495059793966514183/index.html</t>
  </si>
  <si>
    <t>JC_Monitoring - Russian military convoy of 7x BTR-80s Armoured personnel carriers spotted in Saltyki, Oryol Oblast.  Coordinates - 52.82655484, 35.87144975</t>
  </si>
  <si>
    <t>2022-02-19T16:36:46+00:00</t>
  </si>
  <si>
    <t>https://twitter.com/GirkinGirkin/status/1494825550342459392</t>
  </si>
  <si>
    <t>https://twitter.com/danvan71/status/1495025962223865856</t>
  </si>
  <si>
    <t>Volokolamsk</t>
  </si>
  <si>
    <t>UW0393</t>
  </si>
  <si>
    <t>https://bellingcat-archive.nyc3.cdn.digitaloceanspaces.com/Ukraine_Witness_Datasheet/Worksheet/youtube_dl_1494825550342459392.mp4</t>
  </si>
  <si>
    <t>2022-02-25T13:56:34+00:00</t>
  </si>
  <si>
    <t>https://bellingcat-archive.nyc3.cdn.digitaloceanspaces.com/Ukraine_Witness_Datasheet/Worksheet/youtube_dl__GirkinGirkin_status_14948255503424593922022-02-25T13:56:22.900351.png</t>
  </si>
  <si>
    <t>36b62a07ee032d877f29e84309edf65fa3f98ab39090ea303d0fd2433f368fd3</t>
  </si>
  <si>
    <t>https://bellingcat-archive.nyc3.cdn.digitaloceanspaces.com/Ukraine_Witness_Datasheet/Worksheet/youtube_dl_1494825550342459392/index.html</t>
  </si>
  <si>
    <t>2022-02-19T01:05:58+00:00</t>
  </si>
  <si>
    <t>https://twitter.com/GirkinGirkin/status/1495018245631397892</t>
  </si>
  <si>
    <t xml:space="preserve">Movement of tanks </t>
  </si>
  <si>
    <t>https://twitter.com/danvan71/status/1495032321585688576</t>
  </si>
  <si>
    <t>UW0394</t>
  </si>
  <si>
    <t>https://bellingcat-archive.nyc3.cdn.digitaloceanspaces.com/Ukraine_Witness_Datasheet/Worksheet/youtube_dl_1495018245631397892.mp4</t>
  </si>
  <si>
    <t>2022-02-25T13:56:18+00:00</t>
  </si>
  <si>
    <t>https://bellingcat-archive.nyc3.cdn.digitaloceanspaces.com/Ukraine_Witness_Datasheet/Worksheet/youtube_dl__GirkinGirkin_status_14950182456313978922022-02-25T13:56:05.762010.png</t>
  </si>
  <si>
    <t>f630d786811c0a02cdb1403fb13a5fecd969a84f428572939ed62f12d52d828c</t>
  </si>
  <si>
    <t>https://bellingcat-archive.nyc3.cdn.digitaloceanspaces.com/Ukraine_Witness_Datasheet/Worksheet/youtube_dl_1495018245631397892/index.html</t>
  </si>
  <si>
    <t>2022-02-19T13:51:40+00:00</t>
  </si>
  <si>
    <t>https://twitter.com/GirkinGirkin/status/1495022443857162250</t>
  </si>
  <si>
    <t>Tanks being transported by train</t>
  </si>
  <si>
    <t>https://twitter.com/danvan71/status/1495025908784275461</t>
  </si>
  <si>
    <t>UW0395</t>
  </si>
  <si>
    <t>https://bellingcat-archive.nyc3.cdn.digitaloceanspaces.com/Ukraine_Witness_Datasheet/Worksheet/youtube_dl_1495022443857162250.mp4</t>
  </si>
  <si>
    <t>2022-02-25T13:55:56+00:00</t>
  </si>
  <si>
    <t>https://bellingcat-archive.nyc3.cdn.digitaloceanspaces.com/Ukraine_Witness_Datasheet/Worksheet/youtube_dl__GirkinGirkin_status_14950224438571622502022-02-25T13:55:43.934820.png</t>
  </si>
  <si>
    <t>51f59b9d8f384c3dda196667a363156e49332ebd0cb85ad3054b935a043444ec</t>
  </si>
  <si>
    <t>https://bellingcat-archive.nyc3.cdn.digitaloceanspaces.com/Ukraine_Witness_Datasheet/Worksheet/youtube_dl_1495022443857162250/index.html</t>
  </si>
  <si>
    <t>IgorGirkin - Волокаламск</t>
  </si>
  <si>
    <t>2022-02-19T14:08:21+00:00</t>
  </si>
  <si>
    <t>https://twitter.com/GirkinGirkin/status/1494984111471140871</t>
  </si>
  <si>
    <t>Setting up of military base</t>
  </si>
  <si>
    <t>https://twitter.com/danvan71/status/1495045082537410565</t>
  </si>
  <si>
    <t>UW0396</t>
  </si>
  <si>
    <t>https://bellingcat-archive.nyc3.cdn.digitaloceanspaces.com/Ukraine_Witness_Datasheet/Worksheet/youtube_dl_1494984111471140871.mp4</t>
  </si>
  <si>
    <t>2022-02-25T13:55:36+00:00</t>
  </si>
  <si>
    <t>https://bellingcat-archive.nyc3.cdn.digitaloceanspaces.com/Ukraine_Witness_Datasheet/Worksheet/youtube_dl__GirkinGirkin_status_14949841114711408712022-02-25T13:55:23.969275.png</t>
  </si>
  <si>
    <t>cfa6ab3a813faceccad848f97d055e99612f7d161171d2771e0b127c5c9e481e</t>
  </si>
  <si>
    <t>https://bellingcat-archive.nyc3.cdn.digitaloceanspaces.com/Ukraine_Witness_Datasheet/Worksheet/youtube_dl_1494984111471140871/index.html</t>
  </si>
  <si>
    <t>2022-02-19T11:36:02+00:00</t>
  </si>
  <si>
    <t>https://twitter.com/Idzanagi4/status/1495061583571079174</t>
  </si>
  <si>
    <t>https://twitter.com/danvan71/status/1495082231504715784</t>
  </si>
  <si>
    <t>Ternovoe</t>
  </si>
  <si>
    <t>UW0397</t>
  </si>
  <si>
    <t>https://bellingcat-archive.nyc3.cdn.digitaloceanspaces.com/Ukraine_Witness_Datasheet/Worksheet/youtube_dl_1495061583571079174.mp4</t>
  </si>
  <si>
    <t>2022-02-25T13:55:19+00:00</t>
  </si>
  <si>
    <t>https://bellingcat-archive.nyc3.cdn.digitaloceanspaces.com/Ukraine_Witness_Datasheet/Worksheet/youtube_dl__Idzanagi4_status_14950615835710791742022-02-25T13:54:59.643594.png</t>
  </si>
  <si>
    <t>6eaabf245c7915878c5cff51e0bb4632a531a445fd31ea79a9c94f3c2c1ba34c</t>
  </si>
  <si>
    <t>https://bellingcat-archive.nyc3.cdn.digitaloceanspaces.com/Ukraine_Witness_Datasheet/Worksheet/youtube_dl_1495061583571079174/index.html</t>
  </si>
  <si>
    <t>Идзанаги 🇺🇦 🇰🇿 - @Michael1Sheldon More "Z". Ternovoe, Belgorod Oblast. Posted February 18.</t>
  </si>
  <si>
    <t>2022-02-19T16:43:53+00:00</t>
  </si>
  <si>
    <t>https://twitter.com/Idzanagi4/status/1495053679266832390</t>
  </si>
  <si>
    <t>Tanks moving through town</t>
  </si>
  <si>
    <t>https://twitter.com/danvan71/status/1495090587640512515</t>
  </si>
  <si>
    <t>Novorossiysk</t>
  </si>
  <si>
    <t>UW0398</t>
  </si>
  <si>
    <t>https://bellingcat-archive.nyc3.cdn.digitaloceanspaces.com/Ukraine_Witness_Datasheet/Worksheet/youtube_dl_1495053679266832390.mp4</t>
  </si>
  <si>
    <t>2022-02-25T13:54:42+00:00</t>
  </si>
  <si>
    <t>https://bellingcat-archive.nyc3.cdn.digitaloceanspaces.com/Ukraine_Witness_Datasheet/Worksheet/youtube_dl__Idzanagi4_status_14950536792668323902022-02-25T13:54:30.665053.png</t>
  </si>
  <si>
    <t>7b7c94a4aabd3606136ef43582b6c1dd1694cbfde52edd295b2d4aa763b890a7</t>
  </si>
  <si>
    <t>https://bellingcat-archive.nyc3.cdn.digitaloceanspaces.com/Ukraine_Witness_Datasheet/Worksheet/youtube_dl_1495053679266832390/index.html</t>
  </si>
  <si>
    <t>Идзанаги 🇺🇦 🇰🇿 - Новоросійськ</t>
  </si>
  <si>
    <t>2022-02-19T16:12:28+00:00</t>
  </si>
  <si>
    <t>https://twitter.com/KyleJGlen/status/1494984191586578434</t>
  </si>
  <si>
    <t>https://twitter.com/danvan71/status/1495070428787793929</t>
  </si>
  <si>
    <t>Proletarskii,</t>
  </si>
  <si>
    <t>UW0399</t>
  </si>
  <si>
    <t>https://bellingcat-archive.nyc3.cdn.digitaloceanspaces.com/Ukraine_Witness_Datasheet/Worksheet/youtube_dl_1494984191586578434.mp4</t>
  </si>
  <si>
    <t>2022-02-25T13:54:25+00:00</t>
  </si>
  <si>
    <t>https://bellingcat-archive.nyc3.cdn.digitaloceanspaces.com/Ukraine_Witness_Datasheet/Worksheet/youtube_dl__KyleJGlen_status_14949841915865784342022-02-25T13:54:13.815810.png</t>
  </si>
  <si>
    <t>df2857dda1dd2c5d207eae7efc6f9f63d90da627af4e229969662f6a6d8f7690</t>
  </si>
  <si>
    <t>https://bellingcat-archive.nyc3.cdn.digitaloceanspaces.com/Ukraine_Witness_Datasheet/Worksheet/youtube_dl_1494984191586578434/index.html</t>
  </si>
  <si>
    <t>Kyle Glen - Vvedenskaya Gotnya, Belgorod region. Approx 30km from the Ukrainian border.</t>
  </si>
  <si>
    <t>2022-02-19T11:36:21+00:00</t>
  </si>
  <si>
    <t>https://twitter.com/GirkinGirkin/status/1494867617634471940</t>
  </si>
  <si>
    <t>Movement of military logistics</t>
  </si>
  <si>
    <t>https://twitter.com/ToasterIntel/status/1494870329952329731</t>
  </si>
  <si>
    <t>UW0400</t>
  </si>
  <si>
    <t>https://bellingcat-archive.nyc3.cdn.digitaloceanspaces.com/Ukraine_Witness_Datasheet/Worksheet/youtube_dl_1494867617634471940.mp4</t>
  </si>
  <si>
    <t>2022-02-25T13:54:07+00:00</t>
  </si>
  <si>
    <t>https://bellingcat-archive.nyc3.cdn.digitaloceanspaces.com/Ukraine_Witness_Datasheet/Worksheet/youtube_dl__GirkinGirkin_status_14948676176344719402022-02-25T13:53:54.115652.png</t>
  </si>
  <si>
    <t>9095ef2db4dd2ae075a208c75639c0468a415dd983b5e8844b4e836e1c5dd720</t>
  </si>
  <si>
    <t>https://bellingcat-archive.nyc3.cdn.digitaloceanspaces.com/Ukraine_Witness_Datasheet/Worksheet/youtube_dl_1494867617634471940/index.html</t>
  </si>
  <si>
    <t>2022-02-19T03:53:07+00:00</t>
  </si>
  <si>
    <t>https://twitter.com/Idzanagi4/status/1495049985150312449</t>
  </si>
  <si>
    <t>Military convoy moving</t>
  </si>
  <si>
    <t>https://twitter.com/danvan71/status/1495115084791795717</t>
  </si>
  <si>
    <t>UW0401</t>
  </si>
  <si>
    <t>https://bellingcat-archive.nyc3.cdn.digitaloceanspaces.com/Ukraine_Witness_Datasheet/Worksheet/youtube_dl_1495049985150312449.mp4</t>
  </si>
  <si>
    <t>2022-02-25T13:53:47+00:00</t>
  </si>
  <si>
    <t>https://bellingcat-archive.nyc3.cdn.digitaloceanspaces.com/Ukraine_Witness_Datasheet/Worksheet/youtube_dl__Idzanagi4_status_14950499851503124492022-02-25T13:53:34.051135.png</t>
  </si>
  <si>
    <t>6c28ed2931160c5eab71c7ffcc2fd77a642cf545ce9000529af5e53f080c2408</t>
  </si>
  <si>
    <t>https://bellingcat-archive.nyc3.cdn.digitaloceanspaces.com/Ukraine_Witness_Datasheet/Worksheet/youtube_dl_1495049985150312449/index.html</t>
  </si>
  <si>
    <t>Идзанаги 🇺🇦 🇰🇿 - 18.02.2022. Білорусь.</t>
  </si>
  <si>
    <t>2022-02-19T15:57:47+00:00</t>
  </si>
  <si>
    <t>https://twitter.com/Idzanagi4/status/1495019720361320453</t>
  </si>
  <si>
    <t>Heavy weaponry moving through the town</t>
  </si>
  <si>
    <t>https://twitter.com/danvan71/status/1495124428782452742</t>
  </si>
  <si>
    <t>UW0402</t>
  </si>
  <si>
    <t>https://bellingcat-archive.nyc3.cdn.digitaloceanspaces.com/Ukraine_Witness_Datasheet/Worksheet/youtube_dl_1495019720361320453.mp4</t>
  </si>
  <si>
    <t>2022-02-25T13:53:28+00:00</t>
  </si>
  <si>
    <t>https://bellingcat-archive.nyc3.cdn.digitaloceanspaces.com/Ukraine_Witness_Datasheet/Worksheet/youtube_dl__Idzanagi4_status_14950197203613204532022-02-25T13:53:17.350048.png</t>
  </si>
  <si>
    <t>579a4c8e06a1e5ca39da3ae35665c76e7a9139fadbc8a2831a21e60e8b9c40a3</t>
  </si>
  <si>
    <t>https://bellingcat-archive.nyc3.cdn.digitaloceanspaces.com/Ukraine_Witness_Datasheet/Worksheet/youtube_dl_1495019720361320453/index.html</t>
  </si>
  <si>
    <t>Идзанаги 🇺🇦 🇰🇿 - Брянська область(?).</t>
  </si>
  <si>
    <t>2022-02-19T13:57:32+00:00</t>
  </si>
  <si>
    <t>https://twitter.com/MotolkoHelp/status/1495008242430316547</t>
  </si>
  <si>
    <t>Heavy weaponry being transported</t>
  </si>
  <si>
    <t>https://twitter.com/gfusfus/status/1495014816171413509</t>
  </si>
  <si>
    <t>Bol'shaia Horozha</t>
  </si>
  <si>
    <t>UW0403</t>
  </si>
  <si>
    <t>https://bellingcat-archive.nyc3.cdn.digitaloceanspaces.com/Ukraine_Witness_Datasheet/Worksheet/youtube_dl_1495008242430316547.mp4</t>
  </si>
  <si>
    <t>2022-02-25T13:53:12+00:00</t>
  </si>
  <si>
    <t>https://bellingcat-archive.nyc3.cdn.digitaloceanspaces.com/Ukraine_Witness_Datasheet/Worksheet/youtube_dl__MotolkoHelp_status_14950082424303165472022-02-25T13:52:57.728744.png</t>
  </si>
  <si>
    <t>53c4d9139636f52665c321fb19af2280ff0c07dd56c86eb4634f3f9c53df073e</t>
  </si>
  <si>
    <t>https://bellingcat-archive.nyc3.cdn.digitaloceanspaces.com/Ukraine_Witness_Datasheet/Worksheet/youtube_dl_1495008242430316547/index.html</t>
  </si>
  <si>
    <t>MotolkoHelp - A column of Russian “Iskander” missile systems, KamAZ trucks, fuel trucks and communication vehicles was moving today (19.02) along the M5 highway from Asipovichy towards Babruisk (Mogilev region, Belarus).</t>
  </si>
  <si>
    <t>2022-02-19T13:11:55+00:00</t>
  </si>
  <si>
    <t>https://twitter.com/Idzanagi4/status/1495015956078374913</t>
  </si>
  <si>
    <t>https://twitter.com/gfusfus/status/1495019285235871746</t>
  </si>
  <si>
    <t>Temryuk</t>
  </si>
  <si>
    <t>UW0404</t>
  </si>
  <si>
    <t>https://bellingcat-archive.nyc3.cdn.digitaloceanspaces.com/Ukraine_Witness_Datasheet/Worksheet/youtube_dl_1495015956078374913.mp4</t>
  </si>
  <si>
    <t>2022-02-25T13:52:43+00:00</t>
  </si>
  <si>
    <t>https://bellingcat-archive.nyc3.cdn.digitaloceanspaces.com/Ukraine_Witness_Datasheet/Worksheet/youtube_dl__Idzanagi4_status_14950159560783749132022-02-25T13:52:31.103322.png</t>
  </si>
  <si>
    <t>e4f9b492f34a0d5e3fb86b1b4b46ac1ad8e953cae890e412e931bd1bed57833a</t>
  </si>
  <si>
    <t>https://bellingcat-archive.nyc3.cdn.digitaloceanspaces.com/Ukraine_Witness_Datasheet/Worksheet/youtube_dl_1495015956078374913/index.html</t>
  </si>
  <si>
    <t>Идзанаги 🇺🇦 🇰🇿 - Темрюк</t>
  </si>
  <si>
    <t>2022-02-19T13:42:34+00:00</t>
  </si>
  <si>
    <t>https://twitter.com/GirkinGirkin/status/1495032915264163846</t>
  </si>
  <si>
    <t>Heavy weaponry stationed at the side of the road</t>
  </si>
  <si>
    <t>https://twitter.com/gfusfus/status/1495036262385963010</t>
  </si>
  <si>
    <t>Yakovlevo</t>
  </si>
  <si>
    <t>UW0405</t>
  </si>
  <si>
    <t>https://bellingcat-archive.nyc3.cdn.digitaloceanspaces.com/Ukraine_Witness_Datasheet/Worksheet/youtube_dl_1495032915264163846.mp4</t>
  </si>
  <si>
    <t>2022-02-25T13:52:25+00:00</t>
  </si>
  <si>
    <t>https://bellingcat-archive.nyc3.cdn.digitaloceanspaces.com/Ukraine_Witness_Datasheet/Worksheet/youtube_dl__GirkinGirkin_status_14950329152641638462022-02-25T13:52:14.166217.png</t>
  </si>
  <si>
    <t>7d1c5a0330d37870a873d9eff9dd660988ec1f0132e54fb21784b26ae1be7da0</t>
  </si>
  <si>
    <t>https://bellingcat-archive.nyc3.cdn.digitaloceanspaces.com/Ukraine_Witness_Datasheet/Worksheet/youtube_dl_1495032915264163846/index.html</t>
  </si>
  <si>
    <t>IgorGirkin - Яковлево, Белгородская обл  закипел</t>
  </si>
  <si>
    <t>2022-02-19T14:49:58+00:00</t>
  </si>
  <si>
    <t>https://twitter.com/sasha_sotnik/status/1495024214939774980</t>
  </si>
  <si>
    <t>https://twitter.com/gfusfus/status/1495045278617026562</t>
  </si>
  <si>
    <t>UW0406</t>
  </si>
  <si>
    <t>https://bellingcat-archive.nyc3.cdn.digitaloceanspaces.com/Ukraine_Witness_Datasheet/Worksheet/youtube_dl_1495024214939774980.mp4</t>
  </si>
  <si>
    <t>2022-02-25T13:52:09+00:00</t>
  </si>
  <si>
    <t>https://bellingcat-archive.nyc3.cdn.digitaloceanspaces.com/Ukraine_Witness_Datasheet/Worksheet/youtube_dl__sasha_sotnik_status_14950242149397749802022-02-25T13:51:54.518183.png</t>
  </si>
  <si>
    <t>656cc350d6293ad9208d801f946169fe27ed52aecb082d4a7185cd064c2a3b60</t>
  </si>
  <si>
    <t>https://bellingcat-archive.nyc3.cdn.digitaloceanspaces.com/Ukraine_Witness_Datasheet/Worksheet/youtube_dl_1495024214939774980/index.html</t>
  </si>
  <si>
    <t>Sasha Sotnik - Брянск. 5 минут назад. Только что прислали.</t>
  </si>
  <si>
    <t>2022-02-19T14:15:23+00:00</t>
  </si>
  <si>
    <t>https://t.me/new_militarycolumnist/72285</t>
  </si>
  <si>
    <t xml:space="preserve">Military personnel </t>
  </si>
  <si>
    <t>https://twitter.com/gfusfus/status/1495123304193081345</t>
  </si>
  <si>
    <t>UW0407</t>
  </si>
  <si>
    <t>telegram: already archived</t>
  </si>
  <si>
    <t>https://bellingcat-archive.nyc3.cdn.digitaloceanspaces.com/Ukraine_Witness_Datasheet/Worksheet/telegram_5c25a5ec5c.mp4</t>
  </si>
  <si>
    <t>2022-02-25T15:00:52+00:00</t>
  </si>
  <si>
    <t>https://bellingcat-archive.nyc3.cdn.digitaloceanspaces.com/Ukraine_Witness_Datasheet/Worksheet/telegram__new_militarycolumnist_722852022-02-25T15:00:36.352128.png</t>
  </si>
  <si>
    <t>6bc05ac665f38c25210ebe8f8cf7205946b7f758c8908519b6af3447aa022838</t>
  </si>
  <si>
    <t>https://bellingcat-archive.nyc3.cdn.digitaloceanspaces.com/Ukraine_Witness_Datasheet/Worksheet/telegram_5c25a5ec5c/index.html</t>
  </si>
  <si>
    <t>2022-02-19T09:56:42+00:00</t>
  </si>
  <si>
    <t>20/02/2022</t>
  </si>
  <si>
    <t>https://twitter.com/JC_Monitoring/status/1495152980093513731</t>
  </si>
  <si>
    <t>https://twitter.com/JC_Monitoring/status/1495153116957847556</t>
  </si>
  <si>
    <t>Chemburka</t>
  </si>
  <si>
    <t>UW0408</t>
  </si>
  <si>
    <t>https://bellingcat-archive.nyc3.cdn.digitaloceanspaces.com/Ukraine_Witness_Datasheet/Worksheet/youtube_dl_1495152980093513731.mp4</t>
  </si>
  <si>
    <t>2022-02-25T13:49:30+00:00</t>
  </si>
  <si>
    <t>https://bellingcat-archive.nyc3.cdn.digitaloceanspaces.com/Ukraine_Witness_Datasheet/Worksheet/youtube_dl__JC_Monitoring_status_14951529800935137312022-02-25T13:49:18.261620.png</t>
  </si>
  <si>
    <t>086a7e844720288fd6beadf7db58683ae954ad2cb219c49816cbe6142de6cfe2</t>
  </si>
  <si>
    <t>https://bellingcat-archive.nyc3.cdn.digitaloceanspaces.com/Ukraine_Witness_Datasheet/Worksheet/youtube_dl_1495152980093513731/index.html</t>
  </si>
  <si>
    <t>JC_Monitoring - Russian military convoy spotted near Anapa, Krasnodar Krai with several BTR-82 Armoured personnel carriers  Coordinates - 44.92816534, 37.33466657</t>
  </si>
  <si>
    <t>2022-02-19T22:47:03+00:00</t>
  </si>
  <si>
    <t>https://twitter.com/JC_Monitoring/status/1495143188599824384</t>
  </si>
  <si>
    <t>Movement of logistical equipment</t>
  </si>
  <si>
    <t>https://twitter.com/DefMon3/status/1495147958706352128</t>
  </si>
  <si>
    <t>Yasnaya Polyana</t>
  </si>
  <si>
    <t>UW0409</t>
  </si>
  <si>
    <t>https://bellingcat-archive.nyc3.cdn.digitaloceanspaces.com/Ukraine_Witness_Datasheet/Worksheet/youtube_dl_1495143188599824384.mp4</t>
  </si>
  <si>
    <t>2022-02-25T13:49:13+00:00</t>
  </si>
  <si>
    <t>https://bellingcat-archive.nyc3.cdn.digitaloceanspaces.com/Ukraine_Witness_Datasheet/Worksheet/youtube_dl__JC_Monitoring_status_14951431885998243842022-02-25T13:49:01.317433.png</t>
  </si>
  <si>
    <t>629c320e687aebcfadd9c4903fae62f8b60516f365eb084702a66ca8c8cede73</t>
  </si>
  <si>
    <t>https://bellingcat-archive.nyc3.cdn.digitaloceanspaces.com/Ukraine_Witness_Datasheet/Worksheet/youtube_dl_1495143188599824384/index.html</t>
  </si>
  <si>
    <t>JC_Monitoring - Russian military convoy reportedly spotted on the Stroitel - Prokhorovka road, Belgorod Oblast. Exact location could not be determined</t>
  </si>
  <si>
    <t>2022-02-19T22:08:09+00:00</t>
  </si>
  <si>
    <t>https://twitter.com/GirkinGirkin/status/1495122053116145667</t>
  </si>
  <si>
    <t>Equipment moving west</t>
  </si>
  <si>
    <t>Maksimovka</t>
  </si>
  <si>
    <t>Msta-S, 1V13 artillery battery C2 vehicles, BMP-2, tanks, TOS-1A MLRS, MT-LB</t>
  </si>
  <si>
    <t>UW0410</t>
  </si>
  <si>
    <t>https://bellingcat-archive.nyc3.cdn.digitaloceanspaces.com/Ukraine_Witness_Datasheet/Worksheet/youtube_dl_1495122053116145667.mp4</t>
  </si>
  <si>
    <t>2022-02-25T13:48:56+00:00</t>
  </si>
  <si>
    <t>https://bellingcat-archive.nyc3.cdn.digitaloceanspaces.com/Ukraine_Witness_Datasheet/Worksheet/youtube_dl__GirkinGirkin_status_14951220531161456672022-02-25T13:48:36.237709.png</t>
  </si>
  <si>
    <t>e94bb22a333120ee8edb4b1af8b264ffad9953ca93df3e1483e4a7f5c57d1910</t>
  </si>
  <si>
    <t>https://bellingcat-archive.nyc3.cdn.digitaloceanspaces.com/Ukraine_Witness_Datasheet/Worksheet/youtube_dl_1495122053116145667/index.html</t>
  </si>
  <si>
    <t>IgorGirkin - Шебекинский район, Белгородская обл</t>
  </si>
  <si>
    <t>2022-02-19T20:44:10+00:00</t>
  </si>
  <si>
    <t>https://twitter.com/JC_Monitoring/status/1495169062866927620</t>
  </si>
  <si>
    <t xml:space="preserve">Tanks being transported </t>
  </si>
  <si>
    <t>https://twitter.com/JC_Monitoring/status/1495170828215980032</t>
  </si>
  <si>
    <t>UW0411</t>
  </si>
  <si>
    <t>https://bellingcat-archive.nyc3.cdn.digitaloceanspaces.com/Ukraine_Witness_Datasheet/Worksheet/youtube_dl_1495169062866927620.mp4</t>
  </si>
  <si>
    <t>2022-02-25T13:48:21+00:00</t>
  </si>
  <si>
    <t>https://bellingcat-archive.nyc3.cdn.digitaloceanspaces.com/Ukraine_Witness_Datasheet/Worksheet/youtube_dl__JC_Monitoring_status_14951690628669276202022-02-25T13:48:08.551498.png</t>
  </si>
  <si>
    <t>fc861b8fd53e524316bee8c411fb78f85ac88e96230feb74e490a6e786abefec</t>
  </si>
  <si>
    <t>https://bellingcat-archive.nyc3.cdn.digitaloceanspaces.com/Ukraine_Witness_Datasheet/Worksheet/youtube_dl_1495169062866927620/index.html</t>
  </si>
  <si>
    <t>JC_Monitoring - Russian military convoy spotted earlier in Rechytsa,  Gomel Oblast, Belarus heading South.  Coordinates - 52.36658936, 30.34938996</t>
  </si>
  <si>
    <t>2022-02-19T23:50:58+00:00</t>
  </si>
  <si>
    <t>https://twitter.com/YWNReporter/status/1495168140061384708</t>
  </si>
  <si>
    <t>Large convoy of military equipment</t>
  </si>
  <si>
    <t>Bershakova</t>
  </si>
  <si>
    <t>UW0412</t>
  </si>
  <si>
    <t>https://bellingcat-archive.nyc3.cdn.digitaloceanspaces.com/Ukraine_Witness_Datasheet/Worksheet/youtube_dl_1495168140061384708.mp4</t>
  </si>
  <si>
    <t>2022-02-25T13:48:04+00:00</t>
  </si>
  <si>
    <t>https://bellingcat-archive.nyc3.cdn.digitaloceanspaces.com/Ukraine_Witness_Datasheet/Worksheet/youtube_dl__YWNReporter_status_14951681400613847082022-02-25T13:47:51.542872.png</t>
  </si>
  <si>
    <t>0cc109365685baa1904b465208d3dff6b562a3c1ff146148220c6202643ad2ef</t>
  </si>
  <si>
    <t>https://bellingcat-archive.nyc3.cdn.digitaloceanspaces.com/Ukraine_Witness_Datasheet/Worksheet/youtube_dl_1495168140061384708/index.html</t>
  </si>
  <si>
    <t>Moshe Schwartz - This video uploaded an hour ago. User reports 200+ military vehicles drove through Bershakovo, Russia. (Approx. 10 km from border of Ukraine.)  📍50.550785,37.450317</t>
  </si>
  <si>
    <t>2022-02-19T23:47:18+00:00</t>
  </si>
  <si>
    <t>https://twitter.com/YWNReporter/status/1495172211002466311</t>
  </si>
  <si>
    <t>UW0413</t>
  </si>
  <si>
    <t>https://bellingcat-archive.nyc3.cdn.digitaloceanspaces.com/Ukraine_Witness_Datasheet/Worksheet/youtube_dl_1495172211002466311.mp4</t>
  </si>
  <si>
    <t>2022-02-25T13:47:44+00:00</t>
  </si>
  <si>
    <t>https://bellingcat-archive.nyc3.cdn.digitaloceanspaces.com/Ukraine_Witness_Datasheet/Worksheet/youtube_dl__YWNReporter_status_14951722110024663112022-02-25T13:47:33.024808.png</t>
  </si>
  <si>
    <t>3a86a7237949b3315dcba8d545aff7d10bf989560b4b3ba2ab54b7192e1d7864</t>
  </si>
  <si>
    <t>https://bellingcat-archive.nyc3.cdn.digitaloceanspaces.com/Ukraine_Witness_Datasheet/Worksheet/youtube_dl_1495172211002466311/index.html</t>
  </si>
  <si>
    <t>Moshe Schwartz - Shebekino, Russia. Approximately 5km from Ukrainian border. Author reports over 31 pieces.</t>
  </si>
  <si>
    <t>2022-02-20T00:03:28+00:00</t>
  </si>
  <si>
    <t>https://twitter.com/Michael1Sheldon/status/1495266521777594374</t>
  </si>
  <si>
    <t>https://twitter.com/Michael1Sheldon/status/1495266329192026112</t>
  </si>
  <si>
    <t>Pavloka</t>
  </si>
  <si>
    <t>UW0414</t>
  </si>
  <si>
    <t>https://bellingcat-archive.nyc3.cdn.digitaloceanspaces.com/Ukraine_Witness_Datasheet/Worksheet/youtube_dl_1495266521777594374.mp4</t>
  </si>
  <si>
    <t>https://bellingcat-archive.nyc3.cdn.digitaloceanspaces.com/Ukraine_Witness_Datasheet/Worksheet/youtube_dl__Michael1Sheldon_status_14952665217775943742022-02-25T13:47:12.569399.png</t>
  </si>
  <si>
    <t>7b4e183dab5eb58b66165b8334552060562ceedf9786edced42d6d1c43115728</t>
  </si>
  <si>
    <t>https://bellingcat-archive.nyc3.cdn.digitaloceanspaces.com/Ukraine_Witness_Datasheet/Worksheet/youtube_dl_1495266521777594374/index.html</t>
  </si>
  <si>
    <t>Michael Sheldon - https://t.co/yBxzvxAY6i</t>
  </si>
  <si>
    <t>2022-02-20T06:18:14+00:00</t>
  </si>
  <si>
    <t>https://twitter.com/4emberlen/status/1495231557829038083</t>
  </si>
  <si>
    <t>Large amount of military equipment</t>
  </si>
  <si>
    <t>UW0415</t>
  </si>
  <si>
    <t>https://bellingcat-archive.nyc3.cdn.digitaloceanspaces.com/Ukraine_Witness_Datasheet/Worksheet/youtube_dl_1495231557829038083.mp4</t>
  </si>
  <si>
    <t>2022-02-25T13:46:54+00:00</t>
  </si>
  <si>
    <t>https://bellingcat-archive.nyc3.cdn.digitaloceanspaces.com/Ukraine_Witness_Datasheet/Worksheet/youtube_dl__4emberlen_status_14952315578290380832022-02-25T13:46:43.404377.png</t>
  </si>
  <si>
    <t>dbcad8c843a9b7adaa6dc70e7b3dd7ee8156ce6a9e180539deda70b25b669edf</t>
  </si>
  <si>
    <t>https://bellingcat-archive.nyc3.cdn.digitaloceanspaces.com/Ukraine_Witness_Datasheet/Worksheet/youtube_dl_1495231557829038083/index.html</t>
  </si>
  <si>
    <t>4emberlen - Весела лопань 19.02.2022</t>
  </si>
  <si>
    <t>2022-02-20T03:59:18+00:00</t>
  </si>
  <si>
    <t>https://twitter.com/4emberlen/status/1495316374553612289</t>
  </si>
  <si>
    <t>Tanks with 'z' markings</t>
  </si>
  <si>
    <t>https://twitter.com/4emberlen/status/1495316464756314116</t>
  </si>
  <si>
    <t>Bol'shoe Shumakovo</t>
  </si>
  <si>
    <t>UW0416</t>
  </si>
  <si>
    <t>https://bellingcat-archive.nyc3.cdn.digitaloceanspaces.com/Ukraine_Witness_Datasheet/Worksheet/youtube_dl_1495316374553612289.mp4</t>
  </si>
  <si>
    <t>2022-02-25T13:46:38+00:00</t>
  </si>
  <si>
    <t>https://bellingcat-archive.nyc3.cdn.digitaloceanspaces.com/Ukraine_Witness_Datasheet/Worksheet/youtube_dl__4emberlen_status_14953163745536122892022-02-25T13:46:26.417138.png</t>
  </si>
  <si>
    <t>15edef3808c0daf2b5a09aec45f1444dfb34c5752d11217989c15da748a708bd</t>
  </si>
  <si>
    <t>https://bellingcat-archive.nyc3.cdn.digitaloceanspaces.com/Ukraine_Witness_Datasheet/Worksheet/youtube_dl_1495316374553612289/index.html</t>
  </si>
  <si>
    <t>4emberlen - Курська обл. 19.02.2022</t>
  </si>
  <si>
    <t>2022-02-20T09:36:19+00:00</t>
  </si>
  <si>
    <t>https://twitter.com/MotolkoHelp/status/1494998947387084810</t>
  </si>
  <si>
    <t>Convoy moving south</t>
  </si>
  <si>
    <t>https://twitter.com/danvan71/status/1495002460355796997</t>
  </si>
  <si>
    <t>Slutsk</t>
  </si>
  <si>
    <t>Kukhty</t>
  </si>
  <si>
    <t>UW0417</t>
  </si>
  <si>
    <t>https://bellingcat-archive.nyc3.cdn.digitaloceanspaces.com/Ukraine_Witness_Datasheet/Worksheet/youtube_dl_1494998947387084810.mp4</t>
  </si>
  <si>
    <t>2022-02-25T13:46:20+00:00</t>
  </si>
  <si>
    <t>https://bellingcat-archive.nyc3.cdn.digitaloceanspaces.com/Ukraine_Witness_Datasheet/Worksheet/youtube_dl__MotolkoHelp_status_14949989473870848102022-02-25T13:46:06.186079.png</t>
  </si>
  <si>
    <t>781ed0962b065b2125e1f1cd803762a0f77b3eef39c500e89b11ed0f7dcb30de</t>
  </si>
  <si>
    <t>https://bellingcat-archive.nyc3.cdn.digitaloceanspaces.com/Ukraine_Witness_Datasheet/Worksheet/youtube_dl_1494998947387084810/index.html</t>
  </si>
  <si>
    <t>MotolkoHelp - A convoy of Russian military equipment was seen in Slutsk district today (19.02), moving south towards Salihorsk (Minsk region, Belarus). The column included: “Tigr” with automatic grenade launcher (AGS),KamAZ and Ural trucks, communication vehicles, and white Toyota Hilux jeeps.</t>
  </si>
  <si>
    <t>2022-02-19T12:34:59+00:00</t>
  </si>
  <si>
    <t>https://twitter.com/4emberlen/status/1495357694294777864</t>
  </si>
  <si>
    <t>UW0418</t>
  </si>
  <si>
    <t>https://bellingcat-archive.nyc3.cdn.digitaloceanspaces.com/Ukraine_Witness_Datasheet/Worksheet/youtube_dl_1495357694294777864.mp4</t>
  </si>
  <si>
    <t>2022-02-25T13:45:49+00:00</t>
  </si>
  <si>
    <t>https://bellingcat-archive.nyc3.cdn.digitaloceanspaces.com/Ukraine_Witness_Datasheet/Worksheet/youtube_dl__4emberlen_status_14953576942947778642022-02-25T13:45:38.034282.png</t>
  </si>
  <si>
    <t>ca3bd0b6aeb647a88152e337fe7290bd303889a315ab54c6163280ad15a87dda</t>
  </si>
  <si>
    <t>https://bellingcat-archive.nyc3.cdn.digitaloceanspaces.com/Ukraine_Witness_Datasheet/Worksheet/youtube_dl_1495357694294777864/index.html</t>
  </si>
  <si>
    <t>4emberlen - Бєлгородська обл. 20.02.2022</t>
  </si>
  <si>
    <t>2022-02-20T12:20:31+00:00</t>
  </si>
  <si>
    <t>https://twitter.com/4emberlen/status/1495365726869327877</t>
  </si>
  <si>
    <t>https://twitter.com/4emberlen/status/1495365795249070084</t>
  </si>
  <si>
    <t>Zlynkovsky</t>
  </si>
  <si>
    <t>Zlynka</t>
  </si>
  <si>
    <t>UW0419</t>
  </si>
  <si>
    <t>https://bellingcat-archive.nyc3.cdn.digitaloceanspaces.com/Ukraine_Witness_Datasheet/Worksheet/youtube_dl_1495365726869327877.mp4</t>
  </si>
  <si>
    <t>2022-02-25T13:45:31+00:00</t>
  </si>
  <si>
    <t>https://bellingcat-archive.nyc3.cdn.digitaloceanspaces.com/Ukraine_Witness_Datasheet/Worksheet/youtube_dl__4emberlen_status_14953657268693278772022-02-25T13:45:20.296067.png</t>
  </si>
  <si>
    <t>c1273e379b9661fee4abaa2d9956f242ac14695a61cacda6152c91ba7cf0f921</t>
  </si>
  <si>
    <t>https://bellingcat-archive.nyc3.cdn.digitaloceanspaces.com/Ukraine_Witness_Datasheet/Worksheet/youtube_dl_1495365726869327877/index.html</t>
  </si>
  <si>
    <t>4emberlen - Злинка 20.02.2022</t>
  </si>
  <si>
    <t>2022-02-20T12:52:26+00:00</t>
  </si>
  <si>
    <t>https://twitter.com/4emberlen/status/1495370167030882304</t>
  </si>
  <si>
    <t>Convoy heading north</t>
  </si>
  <si>
    <t>Printsevka</t>
  </si>
  <si>
    <t>UW0420</t>
  </si>
  <si>
    <t>https://bellingcat-archive.nyc3.cdn.digitaloceanspaces.com/Ukraine_Witness_Datasheet/Worksheet/youtube_dl_1495370167030882304.mp4</t>
  </si>
  <si>
    <t>2022-02-25T13:45:14+00:00</t>
  </si>
  <si>
    <t>https://bellingcat-archive.nyc3.cdn.digitaloceanspaces.com/Ukraine_Witness_Datasheet/Worksheet/youtube_dl__4emberlen_status_14953701670308823042022-02-25T13:45:03.337278.png</t>
  </si>
  <si>
    <t>9298d2934824a1a4b47f0fa7aee4ba3166ed8d2c779e00345ac5bd34adef5072</t>
  </si>
  <si>
    <t>https://bellingcat-archive.nyc3.cdn.digitaloceanspaces.com/Ukraine_Witness_Datasheet/Worksheet/youtube_dl_1495370167030882304/index.html</t>
  </si>
  <si>
    <t>4emberlen - Волоконовка 20.02.2022</t>
  </si>
  <si>
    <t>2022-02-20T13:10:05+00:00</t>
  </si>
  <si>
    <t>https://twitter.com/GirkinGirkin/status/1495389712634335234</t>
  </si>
  <si>
    <t>Tanks moving west</t>
  </si>
  <si>
    <t>Medvenka</t>
  </si>
  <si>
    <t>UW0421</t>
  </si>
  <si>
    <t>https://bellingcat-archive.nyc3.cdn.digitaloceanspaces.com/Ukraine_Witness_Datasheet/Worksheet/youtube_dl_1495389712634335234.mp4</t>
  </si>
  <si>
    <t>2022-02-25T15:01:16+00:00</t>
  </si>
  <si>
    <t>https://bellingcat-archive.nyc3.cdn.digitaloceanspaces.com/Ukraine_Witness_Datasheet/Worksheet/youtube_dl__GirkinGirkin_status_14953897126343352342022-02-25T15:00:58.673215.png</t>
  </si>
  <si>
    <t>03798f123fe47bb2d6e0b72282a1d474eadb998d0d989fa4e182582b05f3f305</t>
  </si>
  <si>
    <t>https://bellingcat-archive.nyc3.cdn.digitaloceanspaces.com/Ukraine_Witness_Datasheet/Worksheet/youtube_dl_1495389712634335234/index.html</t>
  </si>
  <si>
    <t>IgorGirkin - Медвенка</t>
  </si>
  <si>
    <t>2022-02-20T14:27:45+00:00</t>
  </si>
  <si>
    <t>https://twitter.com/GirkinGirkin/status/1495462683218427914</t>
  </si>
  <si>
    <t>https://twitter.com/PPoutsup/status/1495467798621048839</t>
  </si>
  <si>
    <t>Lipestk</t>
  </si>
  <si>
    <t>Kliuch Zhizni</t>
  </si>
  <si>
    <t>UW0422</t>
  </si>
  <si>
    <t>https://bellingcat-archive.nyc3.cdn.digitaloceanspaces.com/Ukraine_Witness_Datasheet/Worksheet/youtube_dl_1495462683218427914.mp4</t>
  </si>
  <si>
    <t>2022-02-25T13:43:23+00:00</t>
  </si>
  <si>
    <t>https://bellingcat-archive.nyc3.cdn.digitaloceanspaces.com/Ukraine_Witness_Datasheet/Worksheet/youtube_dl__GirkinGirkin_status_14954626832184279142022-02-25T13:43:11.721028.png</t>
  </si>
  <si>
    <t>b6063451a0b66b0e84c3c59bbc6a2df594198cb8e70f4677c41848b09a62bc5f</t>
  </si>
  <si>
    <t>https://bellingcat-archive.nyc3.cdn.digitaloceanspaces.com/Ukraine_Witness_Datasheet/Worksheet/youtube_dl_1495462683218427914/index.html</t>
  </si>
  <si>
    <t>IgorGirkin - Елец</t>
  </si>
  <si>
    <t>2022-02-20T19:17:42+00:00</t>
  </si>
  <si>
    <t>https://twitter.com/GirkinGirkin/status/1495276351242317832</t>
  </si>
  <si>
    <t>https://twitter.com/cdrsalamander/status/1495455979307413505</t>
  </si>
  <si>
    <t>UW0423</t>
  </si>
  <si>
    <t>https://bellingcat-archive.nyc3.cdn.digitaloceanspaces.com/Ukraine_Witness_Datasheet/Worksheet/youtube_dl_1495276351242317832.mp4</t>
  </si>
  <si>
    <t>2022-02-25T13:43:07+00:00</t>
  </si>
  <si>
    <t>https://bellingcat-archive.nyc3.cdn.digitaloceanspaces.com/Ukraine_Witness_Datasheet/Worksheet/youtube_dl__GirkinGirkin_status_14952763512423178322022-02-25T13:42:54.956298.png</t>
  </si>
  <si>
    <t>cb7b9c2738da64cf7fe84178df3e8724e9282bd42adcf3221fd39f742fe42e97</t>
  </si>
  <si>
    <t>https://bellingcat-archive.nyc3.cdn.digitaloceanspaces.com/Ukraine_Witness_Datasheet/Worksheet/youtube_dl_1495276351242317832/index.html</t>
  </si>
  <si>
    <t>IgorGirkin - Гомельская обл</t>
  </si>
  <si>
    <t>2022-02-20T06:57:17+00:00</t>
  </si>
  <si>
    <t>https://twitter.com/GirkinGirkin/status/1495130617851392004</t>
  </si>
  <si>
    <t>Movement of bridge parts and boats</t>
  </si>
  <si>
    <t>https://twitter.com/gfusfus/status/1495164060182142978</t>
  </si>
  <si>
    <t>Yurovka</t>
  </si>
  <si>
    <t>UW0424</t>
  </si>
  <si>
    <t>https://bellingcat-archive.nyc3.cdn.digitaloceanspaces.com/Ukraine_Witness_Datasheet/Worksheet/youtube_dl_1495130617851392004.mp4</t>
  </si>
  <si>
    <t>2022-02-25T13:42:50+00:00</t>
  </si>
  <si>
    <t>https://bellingcat-archive.nyc3.cdn.digitaloceanspaces.com/Ukraine_Witness_Datasheet/Worksheet/youtube_dl__GirkinGirkin_status_14951306178513920042022-02-25T13:42:35.908130.png</t>
  </si>
  <si>
    <t>9b575bbd572e38df8469167acf200c7a2bd02e9d5bfab7649142c3b00ed22db8</t>
  </si>
  <si>
    <t>https://bellingcat-archive.nyc3.cdn.digitaloceanspaces.com/Ukraine_Witness_Datasheet/Worksheet/youtube_dl_1495130617851392004/index.html</t>
  </si>
  <si>
    <t>2022-02-19T21:18:12+00:00</t>
  </si>
  <si>
    <t>https://twitter.com/GirkinGirkin/status/1495398896973107205</t>
  </si>
  <si>
    <t>Tanks stationed in the side of the road</t>
  </si>
  <si>
    <t>https://twitter.com/gfusfus/status/1495402759247511555</t>
  </si>
  <si>
    <t>UW0425</t>
  </si>
  <si>
    <t>https://bellingcat-archive.nyc3.cdn.digitaloceanspaces.com/Ukraine_Witness_Datasheet/Worksheet/youtube_dl_1495398896973107205.mp4</t>
  </si>
  <si>
    <t>2022-02-25T13:42:29+00:00</t>
  </si>
  <si>
    <t>https://bellingcat-archive.nyc3.cdn.digitaloceanspaces.com/Ukraine_Witness_Datasheet/Worksheet/youtube_dl__GirkinGirkin_status_14953988969731072052022-02-25T13:42:14.526830.png</t>
  </si>
  <si>
    <t>245485e2e5db0b863502778f3382389075c1863adb474c64049d07cf3aaed812</t>
  </si>
  <si>
    <t>https://bellingcat-archive.nyc3.cdn.digitaloceanspaces.com/Ukraine_Witness_Datasheet/Worksheet/youtube_dl_1495398896973107205/index.html</t>
  </si>
  <si>
    <t>2022-02-20T15:04:14+00:00</t>
  </si>
  <si>
    <t xml:space="preserve">20/02/2022 </t>
  </si>
  <si>
    <t>https://twitter.com/GirkinGirkin/status/1495392608859963395</t>
  </si>
  <si>
    <t xml:space="preserve">Tanks moving </t>
  </si>
  <si>
    <t>https://twitter.com/gfusfus/status/1495413643311202306</t>
  </si>
  <si>
    <t>UW0426</t>
  </si>
  <si>
    <t>https://bellingcat-archive.nyc3.cdn.digitaloceanspaces.com/Ukraine_Witness_Datasheet/Worksheet/youtube_dl_1495392608859963395.mp4</t>
  </si>
  <si>
    <t>2022-02-25T13:42:05+00:00</t>
  </si>
  <si>
    <t>https://bellingcat-archive.nyc3.cdn.digitaloceanspaces.com/Ukraine_Witness_Datasheet/Worksheet/youtube_dl__GirkinGirkin_status_14953926088599633952022-02-25T13:41:50.392484.png</t>
  </si>
  <si>
    <t>554302156961b32cbc259a9b9433c30c8ef4a09fc7dfb3899268dff2c0533e19</t>
  </si>
  <si>
    <t>https://bellingcat-archive.nyc3.cdn.digitaloceanspaces.com/Ukraine_Witness_Datasheet/Worksheet/youtube_dl_1495392608859963395/index.html</t>
  </si>
  <si>
    <t>IgorGirkin - Злынка, Брянская обл</t>
  </si>
  <si>
    <t>2022-02-20T14:39:15+00:00</t>
  </si>
  <si>
    <t>20/02/2022 Tanks on the move</t>
  </si>
  <si>
    <t>https://twitter.com/GirkinGirkin/status/1495393293890371584</t>
  </si>
  <si>
    <t>https://twitter.com/gfusfus/status/1495417103276548101</t>
  </si>
  <si>
    <t>Yevpatoriya</t>
  </si>
  <si>
    <t>UW0427</t>
  </si>
  <si>
    <t>https://bellingcat-archive.nyc3.cdn.digitaloceanspaces.com/Ukraine_Witness_Datasheet/Worksheet/youtube_dl_1495393293890371584.mp4</t>
  </si>
  <si>
    <t>2022-02-25T13:41:44+00:00</t>
  </si>
  <si>
    <t>https://bellingcat-archive.nyc3.cdn.digitaloceanspaces.com/Ukraine_Witness_Datasheet/Worksheet/youtube_dl__GirkinGirkin_status_14953932938903715842022-02-25T13:41:32.823406.png</t>
  </si>
  <si>
    <t>94555884c67f33cc5ced21cc47ff1fc9b21bbb5a1003be656e2fc6d557fd8bcc</t>
  </si>
  <si>
    <t>https://bellingcat-archive.nyc3.cdn.digitaloceanspaces.com/Ukraine_Witness_Datasheet/Worksheet/youtube_dl_1495393293890371584/index.html</t>
  </si>
  <si>
    <t>IgorGirkin - Евпатория, Крым, 17 фев</t>
  </si>
  <si>
    <t>2022-02-20T14:41:58+00:00</t>
  </si>
  <si>
    <t>20/02/2022 Heavy weaponry on the move</t>
  </si>
  <si>
    <t>https://twitter.com/GirkinGirkin/status/1495463432790941701</t>
  </si>
  <si>
    <t>https://twitter.com/gfusfus/status/1495471651282198530</t>
  </si>
  <si>
    <t>UW0428</t>
  </si>
  <si>
    <t>https://bellingcat-archive.nyc3.cdn.digitaloceanspaces.com/Ukraine_Witness_Datasheet/Worksheet/youtube_dl_1495463432790941701.mp4</t>
  </si>
  <si>
    <t>2022-02-25T13:41:28+00:00</t>
  </si>
  <si>
    <t>https://bellingcat-archive.nyc3.cdn.digitaloceanspaces.com/Ukraine_Witness_Datasheet/Worksheet/youtube_dl__GirkinGirkin_status_14954634327909417012022-02-25T13:41:16.269758.png</t>
  </si>
  <si>
    <t>57fe90f5e77f4a85c08a98770fdf9f1c13589051f991504c5825305448c66de6</t>
  </si>
  <si>
    <t>https://bellingcat-archive.nyc3.cdn.digitaloceanspaces.com/Ukraine_Witness_Datasheet/Worksheet/youtube_dl_1495463432790941701/index.html</t>
  </si>
  <si>
    <t>2022-02-20T19:20:41+00:00</t>
  </si>
  <si>
    <t>20/02/2022 Military convoy with 'Z' on the move</t>
  </si>
  <si>
    <t>https://twitter.com/GirkinGirkin/status/1495482636533391370</t>
  </si>
  <si>
    <t xml:space="preserve">Large military convoy with 'z' </t>
  </si>
  <si>
    <t>UW0429</t>
  </si>
  <si>
    <t>https://bellingcat-archive.nyc3.cdn.digitaloceanspaces.com/Ukraine_Witness_Datasheet/Worksheet/youtube_dl_1495482636533391370.mp4</t>
  </si>
  <si>
    <t>2022-02-25T13:41:10+00:00</t>
  </si>
  <si>
    <t>https://bellingcat-archive.nyc3.cdn.digitaloceanspaces.com/Ukraine_Witness_Datasheet/Worksheet/youtube_dl__GirkinGirkin_status_14954826365333913702022-02-25T13:40:55.544880.png</t>
  </si>
  <si>
    <t>de9df24ef244298a66a98523b8bfd313c38f4d7170ff4d82cec99023e73ce61a</t>
  </si>
  <si>
    <t>https://bellingcat-archive.nyc3.cdn.digitaloceanspaces.com/Ukraine_Witness_Datasheet/Worksheet/youtube_dl_1495482636533391370/index.html</t>
  </si>
  <si>
    <t>IgorGirkin - Отрешково, Курск</t>
  </si>
  <si>
    <t>2022-02-20T20:36:59+00:00</t>
  </si>
  <si>
    <t>https://twitter.com/GirkinGirkin/status/1495479787007234048</t>
  </si>
  <si>
    <t>https://twitter.com/gfusfus/status/1495493346885881857</t>
  </si>
  <si>
    <t>UW0430</t>
  </si>
  <si>
    <t>https://bellingcat-archive.nyc3.cdn.digitaloceanspaces.com/Ukraine_Witness_Datasheet/Worksheet/youtube_dl_1495479787007234048.mp4</t>
  </si>
  <si>
    <t>https://bellingcat-archive.nyc3.cdn.digitaloceanspaces.com/Ukraine_Witness_Datasheet/Worksheet/youtube_dl__GirkinGirkin_status_14954797870072340482022-02-25T13:40:29.722865.png</t>
  </si>
  <si>
    <t>5e7761a83c463ea47d5cea6c5c3d52b80302e8128171cc302dd8d3fe5f80aef0</t>
  </si>
  <si>
    <t>https://bellingcat-archive.nyc3.cdn.digitaloceanspaces.com/Ukraine_Witness_Datasheet/Worksheet/youtube_dl_1495479787007234048/index.html</t>
  </si>
  <si>
    <t>IgorGirkin - Солнцево, Курская обл</t>
  </si>
  <si>
    <t>2022-02-20T20:25:40+00:00</t>
  </si>
  <si>
    <t>20/02/2022 movement of heavy weaponry</t>
  </si>
  <si>
    <t>https://twitter.com/MotolkoHelp/status/1495369733461397514</t>
  </si>
  <si>
    <t>https://twitter.com/danvan71/status/1495533648724078595</t>
  </si>
  <si>
    <t>Kozenki</t>
  </si>
  <si>
    <t>UW0431</t>
  </si>
  <si>
    <t>https://bellingcat-archive.nyc3.cdn.digitaloceanspaces.com/Ukraine_Witness_Datasheet/Worksheet/youtube_dl_1495369733461397514.mp4</t>
  </si>
  <si>
    <t>2022-02-25T13:40:23+00:00</t>
  </si>
  <si>
    <t>https://bellingcat-archive.nyc3.cdn.digitaloceanspaces.com/Ukraine_Witness_Datasheet/Worksheet/youtube_dl__MotolkoHelp_status_14953697334613975142022-02-25T13:40:09.753473.png</t>
  </si>
  <si>
    <t>936ff27cebd68b300e674d38f8fc0fe24f054bbd39ee4ce4d2fae1c6710b6dd2</t>
  </si>
  <si>
    <t>https://bellingcat-archive.nyc3.cdn.digitaloceanspaces.com/Ukraine_Witness_Datasheet/Worksheet/youtube_dl_1495369733461397514/index.html</t>
  </si>
  <si>
    <t>MotolkoHelp - Military equipment was moving yesterday (19.02) from Mazyr in the direction of Lelchitsy (Gomel region, Belarus), 10 km from the border with Ukraine.</t>
  </si>
  <si>
    <t>2022-02-20T13:08:21+00:00</t>
  </si>
  <si>
    <t>20/02/2022 Tanks stationed in the side of the road</t>
  </si>
  <si>
    <t>https://twitter.com/GirkinGirkin/status/1495472823824957440</t>
  </si>
  <si>
    <t>https://twitter.com/ohsendit/status/1495482836610125828</t>
  </si>
  <si>
    <t>Dmitriyev</t>
  </si>
  <si>
    <t>UW0432</t>
  </si>
  <si>
    <t>https://bellingcat-archive.nyc3.cdn.digitaloceanspaces.com/Ukraine_Witness_Datasheet/Worksheet/youtube_dl_1495472823824957440.mp4</t>
  </si>
  <si>
    <t>2022-02-25T13:40:01+00:00</t>
  </si>
  <si>
    <t>https://bellingcat-archive.nyc3.cdn.digitaloceanspaces.com/Ukraine_Witness_Datasheet/Worksheet/youtube_dl__GirkinGirkin_status_14954728238249574402022-02-25T13:39:50.291136.png</t>
  </si>
  <si>
    <t>d6445aff0343df15d24594cedf295876938e2a03d6f750d130445066b44a67b3</t>
  </si>
  <si>
    <t>https://bellingcat-archive.nyc3.cdn.digitaloceanspaces.com/Ukraine_Witness_Datasheet/Worksheet/youtube_dl_1495472823824957440/index.html</t>
  </si>
  <si>
    <t>IgorGirkin - Дмитриев, Курская обл</t>
  </si>
  <si>
    <t>2022-02-20T19:58:00+00:00</t>
  </si>
  <si>
    <t>21/02/2022 Tanks stationed in the side of the road</t>
  </si>
  <si>
    <t>21/02/2022</t>
  </si>
  <si>
    <t>https://twitter.com/Michael1Sheldon/status/1495548898944897028</t>
  </si>
  <si>
    <t>https://twitter.com/Michael1Sheldon/status/1495549246514339841</t>
  </si>
  <si>
    <t>Tver Oblast</t>
  </si>
  <si>
    <t>Dorki</t>
  </si>
  <si>
    <t>UW0433</t>
  </si>
  <si>
    <t>https://bellingcat-archive.nyc3.cdn.digitaloceanspaces.com/Ukraine_Witness_Datasheet/Worksheet/youtube_dl_1495548898944897028.mp4</t>
  </si>
  <si>
    <t>2022-02-25T13:39:45+00:00</t>
  </si>
  <si>
    <t>https://bellingcat-archive.nyc3.cdn.digitaloceanspaces.com/Ukraine_Witness_Datasheet/Worksheet/youtube_dl__Michael1Sheldon_status_14955488989448970282022-02-25T13:39:30.229185.png</t>
  </si>
  <si>
    <t>5e3066b851349f4dd8728d619a8215e18d009f5972d096b5e9bce786c2ece74a</t>
  </si>
  <si>
    <t>https://bellingcat-archive.nyc3.cdn.digitaloceanspaces.com/Ukraine_Witness_Datasheet/Worksheet/youtube_dl_1495548898944897028/index.html</t>
  </si>
  <si>
    <t>Michael Sheldon - Same convoy spotted west of the city.</t>
  </si>
  <si>
    <t>2022-02-21T01:00:18+00:00</t>
  </si>
  <si>
    <t xml:space="preserve">20/02/2022 Tanks stationed </t>
  </si>
  <si>
    <t>https://twitter.com/Michael1Sheldon/status/1495548048679882759</t>
  </si>
  <si>
    <t>https://twitter.com/Michael1Sheldon/status/1495548452935278597</t>
  </si>
  <si>
    <t>Vyshny Volochyok</t>
  </si>
  <si>
    <t>UW0434</t>
  </si>
  <si>
    <t>https://bellingcat-archive.nyc3.cdn.digitaloceanspaces.com/Ukraine_Witness_Datasheet/Worksheet/youtube_dl_1495548048679882759.mp4</t>
  </si>
  <si>
    <t>2022-02-25T13:39:20+00:00</t>
  </si>
  <si>
    <t>https://bellingcat-archive.nyc3.cdn.digitaloceanspaces.com/Ukraine_Witness_Datasheet/Worksheet/youtube_dl__Michael1Sheldon_status_14955480486798827592022-02-25T13:39:07.619800.png</t>
  </si>
  <si>
    <t>3a3702907be804f75a64f38a9666710af738259e8c5fc56b965db60ef2ff740c</t>
  </si>
  <si>
    <t>https://bellingcat-archive.nyc3.cdn.digitaloceanspaces.com/Ukraine_Witness_Datasheet/Worksheet/youtube_dl_1495548048679882759/index.html</t>
  </si>
  <si>
    <t>Michael Sheldon - BMD-2 with parachutes moving from train station in Vyshniy Volochyok.</t>
  </si>
  <si>
    <t>2022-02-21T00:56:55+00:00</t>
  </si>
  <si>
    <t>https://twitter.com/YWNReporter/status/1495470916679184388</t>
  </si>
  <si>
    <t>Heavy equipment moving north</t>
  </si>
  <si>
    <t>UW0435</t>
  </si>
  <si>
    <t>https://bellingcat-archive.nyc3.cdn.digitaloceanspaces.com/Ukraine_Witness_Datasheet/Worksheet/youtube_dl_1495470916679184388.mp4</t>
  </si>
  <si>
    <t>2022-02-25T13:39:01+00:00</t>
  </si>
  <si>
    <t>https://bellingcat-archive.nyc3.cdn.digitaloceanspaces.com/Ukraine_Witness_Datasheet/Worksheet/youtube_dl__YWNReporter_status_14954709166791843882022-02-25T13:38:50.622604.png</t>
  </si>
  <si>
    <t>b521837c5d1e126f38270da046f59c533cacf95ca0654c1b5324a5486ccfde2e</t>
  </si>
  <si>
    <t>https://bellingcat-archive.nyc3.cdn.digitaloceanspaces.com/Ukraine_Witness_Datasheet/Worksheet/youtube_dl_1495470916679184388/index.html</t>
  </si>
  <si>
    <t>Moshe Schwartz - This video is in Printsevka, Belgorod region, Russia (per author).   Likely in this area- 50.319344,37.922939</t>
  </si>
  <si>
    <t>2022-02-20T19:50:25+00:00</t>
  </si>
  <si>
    <t>https://twitter.com/4emberlen/status/1495357148984922118</t>
  </si>
  <si>
    <t>Equipment on the move</t>
  </si>
  <si>
    <t>Cherenovo</t>
  </si>
  <si>
    <t>UW0436</t>
  </si>
  <si>
    <t>https://bellingcat-archive.nyc3.cdn.digitaloceanspaces.com/Ukraine_Witness_Datasheet/Worksheet/youtube_dl_1495357148984922118.mp4</t>
  </si>
  <si>
    <t>2022-02-25T13:38:45+00:00</t>
  </si>
  <si>
    <t>https://bellingcat-archive.nyc3.cdn.digitaloceanspaces.com/Ukraine_Witness_Datasheet/Worksheet/youtube_dl__4emberlen_status_14953571489849221182022-02-25T13:38:31.502800.png</t>
  </si>
  <si>
    <t>acd449db7827c06a7fb8a280d659d2d41e699d838f8834be7aaad7b99be00c62</t>
  </si>
  <si>
    <t>https://bellingcat-archive.nyc3.cdn.digitaloceanspaces.com/Ukraine_Witness_Datasheet/Worksheet/youtube_dl_1495357148984922118/index.html</t>
  </si>
  <si>
    <t>2022-02-20T12:18:21+00:00</t>
  </si>
  <si>
    <t xml:space="preserve">21/02/2022 Heavy weaponry movement </t>
  </si>
  <si>
    <t>https://twitter.com/GirkinGirkin/status/1495622087339397120</t>
  </si>
  <si>
    <t>Borisoglebsk-2 Electronic Warfare System and other armoured fighting vehicles on the move</t>
  </si>
  <si>
    <t>https://twitter.com/GirkinGirkin/status/1495607504390217736</t>
  </si>
  <si>
    <t>Step'</t>
  </si>
  <si>
    <t>UW0437</t>
  </si>
  <si>
    <t>https://bellingcat-archive.nyc3.cdn.digitaloceanspaces.com/Ukraine_Witness_Datasheet/Worksheet/youtube_dl_1495622087339397120.mp4</t>
  </si>
  <si>
    <t>2022-02-25T13:38:25+00:00</t>
  </si>
  <si>
    <t>https://bellingcat-archive.nyc3.cdn.digitaloceanspaces.com/Ukraine_Witness_Datasheet/Worksheet/youtube_dl__GirkinGirkin_status_14956220873393971202022-02-25T13:38:13.257687.png</t>
  </si>
  <si>
    <t>7889e7437376ab54ba0e8485d2e2098c4d863b41f62b245685235ca7f084dac2</t>
  </si>
  <si>
    <t>https://bellingcat-archive.nyc3.cdn.digitaloceanspaces.com/Ukraine_Witness_Datasheet/Worksheet/youtube_dl_1495622087339397120/index.html</t>
  </si>
  <si>
    <t>IgorGirkin - Ивня</t>
  </si>
  <si>
    <t>2022-02-21T05:51:07+00:00</t>
  </si>
  <si>
    <t>https://twitter.com/GirkinGirkin/status/1495474393560059907</t>
  </si>
  <si>
    <t>https://twitter.com/ohsendit/status/1495477786047401988</t>
  </si>
  <si>
    <t>Proletarskii</t>
  </si>
  <si>
    <t>UW0438</t>
  </si>
  <si>
    <t>https://bellingcat-archive.nyc3.cdn.digitaloceanspaces.com/Ukraine_Witness_Datasheet/Worksheet/youtube_dl_1495474393560059907.mp4</t>
  </si>
  <si>
    <t>2022-02-25T13:38:05+00:00</t>
  </si>
  <si>
    <t>https://bellingcat-archive.nyc3.cdn.digitaloceanspaces.com/Ukraine_Witness_Datasheet/Worksheet/youtube_dl__GirkinGirkin_status_14954743935600599072022-02-25T13:37:53.992948.png</t>
  </si>
  <si>
    <t>8aaaac164675e9aec138b4e64b91e82721d1eff5be3739e7f89d3cdb158cc383</t>
  </si>
  <si>
    <t>https://bellingcat-archive.nyc3.cdn.digitaloceanspaces.com/Ukraine_Witness_Datasheet/Worksheet/youtube_dl_1495474393560059907/index.html</t>
  </si>
  <si>
    <t>IgorGirkin - Красная Яруга, Белгородская обл</t>
  </si>
  <si>
    <t>2022-02-20T20:04:14+00:00</t>
  </si>
  <si>
    <t xml:space="preserve">20/02/2022 Heavy weaponry </t>
  </si>
  <si>
    <t>https://twitter.com/GirkinGirkin/status/1495413406622490629</t>
  </si>
  <si>
    <t>https://twitter.com/ruggerz/status/1495419236008742916</t>
  </si>
  <si>
    <t>Sevsk</t>
  </si>
  <si>
    <t>UW0439</t>
  </si>
  <si>
    <t>https://bellingcat-archive.nyc3.cdn.digitaloceanspaces.com/Ukraine_Witness_Datasheet/Worksheet/youtube_dl_1495413406622490629.mp4</t>
  </si>
  <si>
    <t>2022-02-25T13:37:49+00:00</t>
  </si>
  <si>
    <t>https://bellingcat-archive.nyc3.cdn.digitaloceanspaces.com/Ukraine_Witness_Datasheet/Worksheet/youtube_dl__GirkinGirkin_status_14954134066224906292022-02-25T13:37:34.248304.png</t>
  </si>
  <si>
    <t>315d5d1e6637de5f2f979d4160ba501c3bc37dce64628d8a7a21defb7dd77a76</t>
  </si>
  <si>
    <t>https://bellingcat-archive.nyc3.cdn.digitaloceanspaces.com/Ukraine_Witness_Datasheet/Worksheet/youtube_dl_1495413406622490629/index.html</t>
  </si>
  <si>
    <t>IgorGirkin - Севск, Брянская</t>
  </si>
  <si>
    <t>2022-02-20T16:01:54+00:00</t>
  </si>
  <si>
    <t>https://twitter.com/GirkinGirkin/status/1495296046712430594</t>
  </si>
  <si>
    <t>https://twitter.com/MilitaryEmpire/status/1495345861022437379</t>
  </si>
  <si>
    <t>UW0440</t>
  </si>
  <si>
    <t>https://bellingcat-archive.nyc3.cdn.digitaloceanspaces.com/Ukraine_Witness_Datasheet/Worksheet/youtube_dl_1495296046712430594.mp4</t>
  </si>
  <si>
    <t>2022-02-25T13:37:15+00:00</t>
  </si>
  <si>
    <t>https://bellingcat-archive.nyc3.cdn.digitaloceanspaces.com/Ukraine_Witness_Datasheet/Worksheet/youtube_dl__GirkinGirkin_status_14952960467124305942022-02-25T13:37:03.909279.png</t>
  </si>
  <si>
    <t>4574c02f4ca182fc07429a662803269295750146a903e9f02d97f1a0ebddc282</t>
  </si>
  <si>
    <t>https://bellingcat-archive.nyc3.cdn.digitaloceanspaces.com/Ukraine_Witness_Datasheet/Worksheet/youtube_dl_1495296046712430594/index.html</t>
  </si>
  <si>
    <t>IgorGirkin - На Белгород</t>
  </si>
  <si>
    <t>2022-02-20T08:15:33+00:00</t>
  </si>
  <si>
    <t xml:space="preserve">19/02/2022 Heavy weaponry on the move </t>
  </si>
  <si>
    <t>https://twitter.com/GirkinGirkin/status/1495118536548700162</t>
  </si>
  <si>
    <t>Valyuki</t>
  </si>
  <si>
    <t>UW0441</t>
  </si>
  <si>
    <t>https://bellingcat-archive.nyc3.cdn.digitaloceanspaces.com/Ukraine_Witness_Datasheet/Worksheet/youtube_dl_1495118536548700162.mp4</t>
  </si>
  <si>
    <t>2022-02-25T13:36:58+00:00</t>
  </si>
  <si>
    <t>https://bellingcat-archive.nyc3.cdn.digitaloceanspaces.com/Ukraine_Witness_Datasheet/Worksheet/youtube_dl__GirkinGirkin_status_14951185365487001622022-02-25T13:36:46.595438.png</t>
  </si>
  <si>
    <t>d53f1a870efe04340ea5b3b58ff95d30627cbccc10ba7958aa672f1c8e91bf32</t>
  </si>
  <si>
    <t>https://bellingcat-archive.nyc3.cdn.digitaloceanspaces.com/Ukraine_Witness_Datasheet/Worksheet/youtube_dl_1495118536548700162/index.html</t>
  </si>
  <si>
    <t>IgorGirkin - Валуйки, Белгородская обл</t>
  </si>
  <si>
    <t>2022-02-19T20:30:11+00:00</t>
  </si>
  <si>
    <t>19/02/2022 Heavy weaponry on the move</t>
  </si>
  <si>
    <t>https://twitter.com/GirkinGirkin/status/1495112678532128770</t>
  </si>
  <si>
    <t>https://twitter.com/MilitaryEmpire/status/1495136388332896256</t>
  </si>
  <si>
    <t>Voznesenovka</t>
  </si>
  <si>
    <t>UW0442</t>
  </si>
  <si>
    <t>https://bellingcat-archive.nyc3.cdn.digitaloceanspaces.com/Ukraine_Witness_Datasheet/Worksheet/youtube_dl_1495112678532128770.mp4</t>
  </si>
  <si>
    <t>2022-02-25T13:36:41+00:00</t>
  </si>
  <si>
    <t>https://bellingcat-archive.nyc3.cdn.digitaloceanspaces.com/Ukraine_Witness_Datasheet/Worksheet/youtube_dl__GirkinGirkin_status_14951126785321287702022-02-25T13:36:28.528790.png</t>
  </si>
  <si>
    <t>1fae9c7056e0da06d26198a94ba4ed86b3a787a937d1a2c89229d7e9b627fd37</t>
  </si>
  <si>
    <t>https://bellingcat-archive.nyc3.cdn.digitaloceanspaces.com/Ukraine_Witness_Datasheet/Worksheet/youtube_dl_1495112678532128770/index.html</t>
  </si>
  <si>
    <t>2022-02-19T20:06:55+00:00</t>
  </si>
  <si>
    <t>https://twitter.com/GirkinGirkin/status/1495063279000948738</t>
  </si>
  <si>
    <t>Stationed tanks</t>
  </si>
  <si>
    <t>https://twitter.com/MilitaryEmpire/status/1495106478457462787</t>
  </si>
  <si>
    <t>Pervomaiskii</t>
  </si>
  <si>
    <t>UW0443</t>
  </si>
  <si>
    <t>https://bellingcat-archive.nyc3.cdn.digitaloceanspaces.com/Ukraine_Witness_Datasheet/Worksheet/youtube_dl_1495063279000948738.mp4</t>
  </si>
  <si>
    <t>2022-02-25T13:36:23+00:00</t>
  </si>
  <si>
    <t>https://bellingcat-archive.nyc3.cdn.digitaloceanspaces.com/Ukraine_Witness_Datasheet/Worksheet/youtube_dl__GirkinGirkin_status_14950632790009487382022-02-25T13:36:11.592769.png</t>
  </si>
  <si>
    <t>e98035225a967de3d97d39c4a177a9e98fe9c213c4f12789ad82e036731fc65e</t>
  </si>
  <si>
    <t>https://bellingcat-archive.nyc3.cdn.digitaloceanspaces.com/Ukraine_Witness_Datasheet/Worksheet/youtube_dl_1495063279000948738/index.html</t>
  </si>
  <si>
    <t>IgorGirkin - Шебекинский рн, Белгородская обл</t>
  </si>
  <si>
    <t>2022-02-19T16:50:37+00:00</t>
  </si>
  <si>
    <t>https://twitter.com/GirkinGirkin/status/1495020849748971520</t>
  </si>
  <si>
    <t>https://twitter.com/danvan71/status/1495027071076163585</t>
  </si>
  <si>
    <t>UW0444</t>
  </si>
  <si>
    <t>https://bellingcat-archive.nyc3.cdn.digitaloceanspaces.com/Ukraine_Witness_Datasheet/Worksheet/youtube_dl_1495020849748971520.mp4</t>
  </si>
  <si>
    <t>2022-02-25T13:36:04+00:00</t>
  </si>
  <si>
    <t>https://bellingcat-archive.nyc3.cdn.digitaloceanspaces.com/Ukraine_Witness_Datasheet/Worksheet/youtube_dl__GirkinGirkin_status_14950208497489715202022-02-25T13:35:52.170969.png</t>
  </si>
  <si>
    <t>2d288309e381e7c67f7393ac57ad03a5d47b5da1dd4fad388c10d1c3cc8cb37a</t>
  </si>
  <si>
    <t>https://bellingcat-archive.nyc3.cdn.digitaloceanspaces.com/Ukraine_Witness_Datasheet/Worksheet/youtube_dl_1495020849748971520/index.html</t>
  </si>
  <si>
    <t>IgorGirkin - Белгород  🔞 ненормативная лексика</t>
  </si>
  <si>
    <t>2022-02-19T14:02:01+00:00</t>
  </si>
  <si>
    <t xml:space="preserve">19/02/2022 Heavy weaponry </t>
  </si>
  <si>
    <t>https://twitter.com/GirkinGirkin/status/1494985842535849984</t>
  </si>
  <si>
    <t>https://twitter.com/MilitaryEmpire/status/1495004137263620097</t>
  </si>
  <si>
    <t>UW0445</t>
  </si>
  <si>
    <t>https://bellingcat-archive.nyc3.cdn.digitaloceanspaces.com/Ukraine_Witness_Datasheet/Worksheet/youtube_dl_1494985842535849984.mp4</t>
  </si>
  <si>
    <t>2022-02-25T13:35:47+00:00</t>
  </si>
  <si>
    <t>https://bellingcat-archive.nyc3.cdn.digitaloceanspaces.com/Ukraine_Witness_Datasheet/Worksheet/youtube_dl__GirkinGirkin_status_14949858425358499842022-02-25T13:35:36.162404.png</t>
  </si>
  <si>
    <t>9bb07affba7275a5785e2958fd619ea9b36d50ade24e6b4bf8b4b8e6107a7746</t>
  </si>
  <si>
    <t>https://bellingcat-archive.nyc3.cdn.digitaloceanspaces.com/Ukraine_Witness_Datasheet/Worksheet/youtube_dl_1494985842535849984/index.html</t>
  </si>
  <si>
    <t>2022-02-19T11:42:55+00:00</t>
  </si>
  <si>
    <t>https://twitter.com/GirkinGirkin/status/1495471310159421443</t>
  </si>
  <si>
    <t>Tanks moving north west</t>
  </si>
  <si>
    <t>https://twitter.com/ruggerz/status/1495513744473997312</t>
  </si>
  <si>
    <t>Chaika</t>
  </si>
  <si>
    <t>UW0446</t>
  </si>
  <si>
    <t>https://bellingcat-archive.nyc3.cdn.digitaloceanspaces.com/Ukraine_Witness_Datasheet/Worksheet/youtube_dl_1495471310159421443.mp4</t>
  </si>
  <si>
    <t>2022-02-25T13:35:31+00:00</t>
  </si>
  <si>
    <t>https://bellingcat-archive.nyc3.cdn.digitaloceanspaces.com/Ukraine_Witness_Datasheet/Worksheet/youtube_dl__GirkinGirkin_status_14954713101594214432022-02-25T13:35:18.776048.png</t>
  </si>
  <si>
    <t>d3b7208f90c6922ba2c2934a0c556206539ca3d529b0507dbb8c8a1a0e680698</t>
  </si>
  <si>
    <t>https://bellingcat-archive.nyc3.cdn.digitaloceanspaces.com/Ukraine_Witness_Datasheet/Worksheet/youtube_dl_1495471310159421443/index.html</t>
  </si>
  <si>
    <t>2022-02-20T19:51:59+00:00</t>
  </si>
  <si>
    <t>https://twitter.com/MotolkoHelp/status/1495731393854427137</t>
  </si>
  <si>
    <t>Rosgvardia convoy heading south</t>
  </si>
  <si>
    <t>Sanyuki</t>
  </si>
  <si>
    <t>UW0447</t>
  </si>
  <si>
    <t>https://bellingcat-archive.nyc3.cdn.digitaloceanspaces.com/Ukraine_Witness_Datasheet/Worksheet/youtube_dl_1495731393854427137.mp4</t>
  </si>
  <si>
    <t>2022-02-25T13:35:13+00:00</t>
  </si>
  <si>
    <t>https://bellingcat-archive.nyc3.cdn.digitaloceanspaces.com/Ukraine_Witness_Datasheet/Worksheet/youtube_dl__MotolkoHelp_status_14957313938544271372022-02-25T13:34:58.871421.png</t>
  </si>
  <si>
    <t>21b62edac12403db2d6fc292fa16f960ad22d51a4333dc4343566f54de38bbd4</t>
  </si>
  <si>
    <t>https://bellingcat-archive.nyc3.cdn.digitaloceanspaces.com/Ukraine_Witness_Datasheet/Worksheet/youtube_dl_1495731393854427137/index.html</t>
  </si>
  <si>
    <t>MotolkoHelp - Troops of the National Guard of Russia from Chechnya were spotted in Yelsk district, Gomel region. In the video you can see that the license plates of the vehicles are removed. It’s reported that the column was moving towards Naroulya. 1/2</t>
  </si>
  <si>
    <t>2022-02-21T13:05:28+00:00</t>
  </si>
  <si>
    <t>https://twitter.com/no_itsmyturn/status/1495724090019229699</t>
  </si>
  <si>
    <t>Large camp with heavy military equipment</t>
  </si>
  <si>
    <t>UW0448</t>
  </si>
  <si>
    <t>https://bellingcat-archive.nyc3.cdn.digitaloceanspaces.com/Ukraine_Witness_Datasheet/Worksheet/youtube_dl_1495724090019229699.mp4</t>
  </si>
  <si>
    <t>https://bellingcat-archive.nyc3.cdn.digitaloceanspaces.com/Ukraine_Witness_Datasheet/Worksheet/youtube_dl__no_itsmyturn_status_14957240900192296992022-02-25T13:34:31.786582.png</t>
  </si>
  <si>
    <t>a127d4262a7db17757ea28a2abee65fccfb34dcc9a2706ea8f113b078ddb235c</t>
  </si>
  <si>
    <t>https://bellingcat-archive.nyc3.cdn.digitaloceanspaces.com/Ukraine_Witness_Datasheet/Worksheet/youtube_dl_1495724090019229699/index.html</t>
  </si>
  <si>
    <t>Aleph א #IStandWithUkraine 🇺🇦 - Kursk, #Russia  Post date: February 20, 2022.</t>
  </si>
  <si>
    <t>2022-02-21T12:36:26+00:00</t>
  </si>
  <si>
    <t>https://twitter.com/4emberlen/status/1495235434875609088</t>
  </si>
  <si>
    <t>Tanks being loaded</t>
  </si>
  <si>
    <t>https://twitter.com/danvan71/status/1495726381417869313</t>
  </si>
  <si>
    <t>UW0449</t>
  </si>
  <si>
    <t>https://bellingcat-archive.nyc3.cdn.digitaloceanspaces.com/Ukraine_Witness_Datasheet/Worksheet/youtube_dl_1495235434875609088.mp4</t>
  </si>
  <si>
    <t>https://bellingcat-archive.nyc3.cdn.digitaloceanspaces.com/Ukraine_Witness_Datasheet/Worksheet/youtube_dl__4emberlen_status_14952354348756090882022-02-25T13:34:13.592310.png</t>
  </si>
  <si>
    <t>31012edceb8d2f3a5ea51655413432e5869065e972d3d9499c8b529dc398ee30</t>
  </si>
  <si>
    <t>https://bellingcat-archive.nyc3.cdn.digitaloceanspaces.com/Ukraine_Witness_Datasheet/Worksheet/youtube_dl_1495235434875609088/index.html</t>
  </si>
  <si>
    <t>4emberlen - Знайшлась 205 омсбр</t>
  </si>
  <si>
    <t>2022-02-20T04:14:42+00:00</t>
  </si>
  <si>
    <t>https://twitter.com/YWNReporter/status/1495764242846392332</t>
  </si>
  <si>
    <t>Tanks moving south</t>
  </si>
  <si>
    <t>https://twitter.com/YWNReporter/status/1495765659468324865</t>
  </si>
  <si>
    <t>Pogarsky</t>
  </si>
  <si>
    <t>Nizy</t>
  </si>
  <si>
    <t>UW0450</t>
  </si>
  <si>
    <t>https://bellingcat-archive.nyc3.cdn.digitaloceanspaces.com/Ukraine_Witness_Datasheet/Worksheet/youtube_dl_1495764242846392332.mp4</t>
  </si>
  <si>
    <t>https://bellingcat-archive.nyc3.cdn.digitaloceanspaces.com/Ukraine_Witness_Datasheet/Worksheet/youtube_dl__YWNReporter_status_14957642428463923322022-02-25T13:33:55.816441.png</t>
  </si>
  <si>
    <t>975cad89116a617c042e5775f3d76fae8dc1e3c7bf12e90cc8af2ed2eef65f1a</t>
  </si>
  <si>
    <t>https://bellingcat-archive.nyc3.cdn.digitaloceanspaces.com/Ukraine_Witness_Datasheet/Worksheet/youtube_dl_1495764242846392332/index.html</t>
  </si>
  <si>
    <t>Moshe Schwartz - This video uploaded 3 hours ago is located in the Bryansk region of Russia, about 15 miles from the border.  The tanks are driving South off the road towards the Ukrainian border.  📍I've geolocated this video with high confidence to 52.548883,32.961264 (Google Street View avail)</t>
  </si>
  <si>
    <t>2022-02-21T15:16:00+00:00</t>
  </si>
  <si>
    <t>https://twitter.com/4emberlen/status/1495715028900720649?s=21</t>
  </si>
  <si>
    <t>Missiles visable and painted heavy equipment</t>
  </si>
  <si>
    <t>UW0451</t>
  </si>
  <si>
    <t>https://bellingcat-archive.nyc3.cdn.digitaloceanspaces.com/Ukraine_Witness_Datasheet/Worksheet/youtube_dl_1495715028900720649.mp4</t>
  </si>
  <si>
    <t>2022-02-25T13:33:50+00:00</t>
  </si>
  <si>
    <t>https://bellingcat-archive.nyc3.cdn.digitaloceanspaces.com/Ukraine_Witness_Datasheet/Worksheet/youtube_dl__4emberlen_status_14957150289007206492022-02-25T13:33:38.588264.png</t>
  </si>
  <si>
    <t>8d35b4bd9393c07d4d95aa5c855cb1f94d09848384ddb3d62088f7a1637ded1e</t>
  </si>
  <si>
    <t>https://bellingcat-archive.nyc3.cdn.digitaloceanspaces.com/Ukraine_Witness_Datasheet/Worksheet/youtube_dl_1495715028900720649/index.html</t>
  </si>
  <si>
    <t>2022-02-21T12:00:26+00:00</t>
  </si>
  <si>
    <t>22/02/2022</t>
  </si>
  <si>
    <t>https://twitter.com/GirkinGirkin/status/1495860047691329537</t>
  </si>
  <si>
    <t>https://twitter.com/gfusfus/status/1495886627885002758</t>
  </si>
  <si>
    <t xml:space="preserve">Tomarovka </t>
  </si>
  <si>
    <t>UW0452</t>
  </si>
  <si>
    <t>https://bellingcat-archive.nyc3.cdn.digitaloceanspaces.com/Ukraine_Witness_Datasheet/Worksheet/youtube_dl_1495860047691329537.mp4</t>
  </si>
  <si>
    <t>2022-02-25T13:33:33+00:00</t>
  </si>
  <si>
    <t>https://bellingcat-archive.nyc3.cdn.digitaloceanspaces.com/Ukraine_Witness_Datasheet/Worksheet/youtube_dl__GirkinGirkin_status_14958600476913295372022-02-25T13:33:21.257256.png</t>
  </si>
  <si>
    <t>b241849d3ce40989f3a787766ea6e27a66587f9243ab88468f8b77161acc41f6</t>
  </si>
  <si>
    <t>https://bellingcat-archive.nyc3.cdn.digitaloceanspaces.com/Ukraine_Witness_Datasheet/Worksheet/youtube_dl_1495860047691329537/index.html</t>
  </si>
  <si>
    <t>IgorGirkin - Томаровка</t>
  </si>
  <si>
    <t>2022-02-21T21:36:41+00:00</t>
  </si>
  <si>
    <t>https://twitter.com/GirkinGirkin/status/1495845829147561989</t>
  </si>
  <si>
    <t>https://twitter.com/zcjbrooker/status/1495857397675483138</t>
  </si>
  <si>
    <t>Borisovka</t>
  </si>
  <si>
    <t>UW0453</t>
  </si>
  <si>
    <t>https://bellingcat-archive.nyc3.cdn.digitaloceanspaces.com/Ukraine_Witness_Datasheet/Worksheet/youtube_dl_1495845829147561989.mp4</t>
  </si>
  <si>
    <t>2022-02-25T13:33:14+00:00</t>
  </si>
  <si>
    <t>https://bellingcat-archive.nyc3.cdn.digitaloceanspaces.com/Ukraine_Witness_Datasheet/Worksheet/youtube_dl__GirkinGirkin_status_14958458291475619892022-02-25T13:32:54.911586.png</t>
  </si>
  <si>
    <t>f8a45c856ba2e36993fb93a6c8d83551760a2b3ff51c41caa814495c3fddf661</t>
  </si>
  <si>
    <t>https://bellingcat-archive.nyc3.cdn.digitaloceanspaces.com/Ukraine_Witness_Datasheet/Worksheet/youtube_dl_1495845829147561989/index.html</t>
  </si>
  <si>
    <t>2022-02-21T20:40:11+00:00</t>
  </si>
  <si>
    <t>https://twitter.com/GirkinGirkin/status/1495816924801941517</t>
  </si>
  <si>
    <t>Tanks transported by trains</t>
  </si>
  <si>
    <t>https://twitter.com/vpkivimaki/status/1495887143960518665</t>
  </si>
  <si>
    <t>Kropotkin</t>
  </si>
  <si>
    <t>UW0454</t>
  </si>
  <si>
    <t>https://bellingcat-archive.nyc3.cdn.digitaloceanspaces.com/Ukraine_Witness_Datasheet/Worksheet/youtube_dl_1495816924801941517.mp4</t>
  </si>
  <si>
    <t>2022-02-25T13:32:47+00:00</t>
  </si>
  <si>
    <t>https://bellingcat-archive.nyc3.cdn.digitaloceanspaces.com/Ukraine_Witness_Datasheet/Worksheet/youtube_dl__GirkinGirkin_status_14958169248019415172022-02-25T13:32:35.298253.png</t>
  </si>
  <si>
    <t>b759e08d3d0636f0a1d68d748bacc6469efa7a94dfa795f18d27481825fa0259</t>
  </si>
  <si>
    <t>https://bellingcat-archive.nyc3.cdn.digitaloceanspaces.com/Ukraine_Witness_Datasheet/Worksheet/youtube_dl_1495816924801941517/index.html</t>
  </si>
  <si>
    <t>IgorGirkin - Кропоткин</t>
  </si>
  <si>
    <t>2022-02-21T18:45:20+00:00</t>
  </si>
  <si>
    <t>https://twitter.com/GirkinGirkin/status/1495815793904398337</t>
  </si>
  <si>
    <t>Military convoy moving on the highway</t>
  </si>
  <si>
    <t>https://twitter.com/ohsendit/status/1495828633759502336</t>
  </si>
  <si>
    <t>Shakhty</t>
  </si>
  <si>
    <t>https://bellingcat-archive.nyc3.cdn.digitaloceanspaces.com/Ukraine_Witness_Datasheet/Worksheet/youtube_dl_1495815793904398337.mp4</t>
  </si>
  <si>
    <t>2022-02-25T13:32:31+00:00</t>
  </si>
  <si>
    <t>https://bellingcat-archive.nyc3.cdn.digitaloceanspaces.com/Ukraine_Witness_Datasheet/Worksheet/youtube_dl__GirkinGirkin_status_14958157939043983372022-02-25T13:32:19.547105.png</t>
  </si>
  <si>
    <t>910e2959d00741b8a386bdad2b980cb6b898ced80c10e13a1bcd651b16f6bb68</t>
  </si>
  <si>
    <t>https://bellingcat-archive.nyc3.cdn.digitaloceanspaces.com/Ukraine_Witness_Datasheet/Worksheet/youtube_dl_1495815793904398337/index.html</t>
  </si>
  <si>
    <t>IgorGirkin - Рнд</t>
  </si>
  <si>
    <t>2022-02-21T18:40:50+00:00</t>
  </si>
  <si>
    <t>https://twitter.com/4emberlen/status/1495731452230656008</t>
  </si>
  <si>
    <t>https://twitter.com/4emberlen/status/1495731554433347584</t>
  </si>
  <si>
    <t>UW0455</t>
  </si>
  <si>
    <t>https://bellingcat-archive.nyc3.cdn.digitaloceanspaces.com/Ukraine_Witness_Datasheet/Worksheet/youtube_dl_1495731452230656008.mp4</t>
  </si>
  <si>
    <t>2022-02-25T13:32:14+00:00</t>
  </si>
  <si>
    <t>https://bellingcat-archive.nyc3.cdn.digitaloceanspaces.com/Ukraine_Witness_Datasheet/Worksheet/youtube_dl__4emberlen_status_14957314522306560082022-02-25T13:32:02.724131.png</t>
  </si>
  <si>
    <t>a04f0736e74613b7023355951019ceb0ab07b1f96e934e1f95d42d0b58f7041e</t>
  </si>
  <si>
    <t>https://bellingcat-archive.nyc3.cdn.digitaloceanspaces.com/Ukraine_Witness_Datasheet/Worksheet/youtube_dl_1495731452230656008/index.html</t>
  </si>
  <si>
    <t>4emberlen - Краснодар 20.02.2022</t>
  </si>
  <si>
    <t>2022-02-21T13:05:42+00:00</t>
  </si>
  <si>
    <t>https://twitter.com/MotolkoHelp/status/1495808675235364868</t>
  </si>
  <si>
    <t>Train moving west</t>
  </si>
  <si>
    <t>https://twitter.com/danvan71/status/1495814581997998080</t>
  </si>
  <si>
    <t>UW0456</t>
  </si>
  <si>
    <t>https://bellingcat-archive.nyc3.cdn.digitaloceanspaces.com/Ukraine_Witness_Datasheet/Worksheet/youtube_dl_1495808675235364868.mp4</t>
  </si>
  <si>
    <t>2022-02-25T13:31:56+00:00</t>
  </si>
  <si>
    <t>https://bellingcat-archive.nyc3.cdn.digitaloceanspaces.com/Ukraine_Witness_Datasheet/Worksheet/youtube_dl__MotolkoHelp_status_14958086752353648682022-02-25T13:31:41.680823.png</t>
  </si>
  <si>
    <t>da3f06cddc9e92face5c4e74f22867df4b8f3a83df0d41c237ac9ec99666c83b</t>
  </si>
  <si>
    <t>https://bellingcat-archive.nyc3.cdn.digitaloceanspaces.com/Ukraine_Witness_Datasheet/Worksheet/youtube_dl_1495808675235364868/index.html</t>
  </si>
  <si>
    <t>MotolkoHelp - A train carrying Russian KamAZ trucks, Ural trucks, infantry fighting vehicles and fuel trucks was seen today (21.02) in Rechitsa (Gomel region, Belarus)</t>
  </si>
  <si>
    <t>2022-02-21T18:12:33+00:00</t>
  </si>
  <si>
    <t>https://twitter.com/YWNReporter/status/1495858102964559873</t>
  </si>
  <si>
    <t>Tanks moving towards the border</t>
  </si>
  <si>
    <t>https://twitter.com/YWNReporter/status/1495858232304316424</t>
  </si>
  <si>
    <t>Gora-Podol</t>
  </si>
  <si>
    <t>UW0457</t>
  </si>
  <si>
    <t>https://bellingcat-archive.nyc3.cdn.digitaloceanspaces.com/Ukraine_Witness_Datasheet/Worksheet/youtube_dl_1495858102964559873.mp4</t>
  </si>
  <si>
    <t>2022-02-25T13:31:35+00:00</t>
  </si>
  <si>
    <t>https://bellingcat-archive.nyc3.cdn.digitaloceanspaces.com/Ukraine_Witness_Datasheet/Worksheet/youtube_dl__YWNReporter_status_14958581029645598732022-02-25T13:31:21.274380.png</t>
  </si>
  <si>
    <t>10c215a84c6e78f13f0bff579d39fbf5de0446baab7bc2de1c9c3a5fda7a15e7</t>
  </si>
  <si>
    <t>https://bellingcat-archive.nyc3.cdn.digitaloceanspaces.com/Ukraine_Witness_Datasheet/Worksheet/youtube_dl_1495858102964559873/index.html</t>
  </si>
  <si>
    <t>Moshe Schwartz - #BREAKING: Video uploaded today from the Belgorod, Region of Russia shows a large column of about 45 tanks headed WEST in the direction of the border.   📍I have geolocated this video with high confidence to 50.458490,35.654072 which is JUST 3.4 km to the Ukrainian border.</t>
  </si>
  <si>
    <t>2022-02-21T21:28:58+00:00</t>
  </si>
  <si>
    <t>https://twitter.com/JC_Monitoring/status/1495852505921732616</t>
  </si>
  <si>
    <t>https://twitter.com/JC_Monitoring/status/1495853203560312835</t>
  </si>
  <si>
    <t>Timashevsk</t>
  </si>
  <si>
    <t>UW0458</t>
  </si>
  <si>
    <t>https://bellingcat-archive.nyc3.cdn.digitaloceanspaces.com/Ukraine_Witness_Datasheet/Worksheet/youtube_dl_1495852505921732616.mp4</t>
  </si>
  <si>
    <t>2022-02-25T13:31:11+00:00</t>
  </si>
  <si>
    <t>https://bellingcat-archive.nyc3.cdn.digitaloceanspaces.com/Ukraine_Witness_Datasheet/Worksheet/youtube_dl__JC_Monitoring_status_14958525059217326162022-02-25T13:30:59.155220.png</t>
  </si>
  <si>
    <t>c8412d1c5d82dee50e0ae366ad3c77d1d0a17a85f7bfdebf89f3fafd4a3486a6</t>
  </si>
  <si>
    <t>https://bellingcat-archive.nyc3.cdn.digitaloceanspaces.com/Ukraine_Witness_Datasheet/Worksheet/youtube_dl_1495852505921732616/index.html</t>
  </si>
  <si>
    <t>JC_Monitoring - Russian military hardware spotted in Timashyovsk, Krasnodar Krai.  Coordinates - 45.63520469, 38.93636737</t>
  </si>
  <si>
    <t>2022-02-21T21:06:43+00:00</t>
  </si>
  <si>
    <t>https://twitter.com/MotolkoHelp/status/1495776848260870149</t>
  </si>
  <si>
    <t>Convoy on the south</t>
  </si>
  <si>
    <t>https://twitter.com/danvan71/status/1495827054532694018</t>
  </si>
  <si>
    <t>UW0459</t>
  </si>
  <si>
    <t>https://bellingcat-archive.nyc3.cdn.digitaloceanspaces.com/Ukraine_Witness_Datasheet/Worksheet/youtube_dl_1495776848260870149.mp4</t>
  </si>
  <si>
    <t>2022-02-25T13:30:54+00:00</t>
  </si>
  <si>
    <t>https://bellingcat-archive.nyc3.cdn.digitaloceanspaces.com/Ukraine_Witness_Datasheet/Worksheet/youtube_dl__MotolkoHelp_status_14957768482608701492022-02-25T13:30:40.955171.png</t>
  </si>
  <si>
    <t>7b2e0bdecc20099e78a3b6a56b7545f495cf0329c7dd5ba0312431bb16053cb5</t>
  </si>
  <si>
    <t>https://bellingcat-archive.nyc3.cdn.digitaloceanspaces.com/Ukraine_Witness_Datasheet/Worksheet/youtube_dl_1495776848260870149/index.html</t>
  </si>
  <si>
    <t>MotolkoHelp - Transportation of T-72B tanks was spotted yesterday (20.02) in Mazyr (Gomel region, Belarus). Presumably, the tanks were transported in the direction of Yelsk or Naroulya.</t>
  </si>
  <si>
    <t>2022-02-21T16:06:05+00:00</t>
  </si>
  <si>
    <t>https://twitter.com/YWNReporter/status/1495944475264307204</t>
  </si>
  <si>
    <t>https://twitter.com/YWNReporter/status/1495957498330759169</t>
  </si>
  <si>
    <t>UW0460</t>
  </si>
  <si>
    <t>https://bellingcat-archive.nyc3.cdn.digitaloceanspaces.com/Ukraine_Witness_Datasheet/Worksheet/youtube_dl_1495944475264307204.mp4</t>
  </si>
  <si>
    <t>2022-02-25T13:30:36+00:00</t>
  </si>
  <si>
    <t>https://bellingcat-archive.nyc3.cdn.digitaloceanspaces.com/Ukraine_Witness_Datasheet/Worksheet/youtube_dl__YWNReporter_status_14959444752643072042022-02-25T13:30:23.614065.png</t>
  </si>
  <si>
    <t>3a601c7c3b5a7503ff588e49cb1ed0e4924f727665c2eb6b4115cb2648d62b5d</t>
  </si>
  <si>
    <t>https://bellingcat-archive.nyc3.cdn.digitaloceanspaces.com/Ukraine_Witness_Datasheet/Worksheet/youtube_dl_1495944475264307204/index.html</t>
  </si>
  <si>
    <t>Moshe Schwartz - Video uploaded 30 minutes ago claims to be from Shebekino in the Belgorod region of Russia- just 2.5 miles at the closest from the Ukrainian border.</t>
  </si>
  <si>
    <t>2022-02-22T03:12:10+00:00</t>
  </si>
  <si>
    <t>https://twitter.com/GirkinGirkin/status/1495829232068538371</t>
  </si>
  <si>
    <t>Convoy moving north west</t>
  </si>
  <si>
    <t>https://twitter.com/hengenahm/status/1495846513578233856</t>
  </si>
  <si>
    <t>Makiivka</t>
  </si>
  <si>
    <t>UW0461a</t>
  </si>
  <si>
    <t>https://bellingcat-archive.nyc3.cdn.digitaloceanspaces.com/Ukraine_Witness_Datasheet/Worksheet/youtube_dl_1495829232068538371.mp4</t>
  </si>
  <si>
    <t>2022-02-25T13:30:18+00:00</t>
  </si>
  <si>
    <t>https://bellingcat-archive.nyc3.cdn.digitaloceanspaces.com/Ukraine_Witness_Datasheet/Worksheet/youtube_dl__GirkinGirkin_status_14958292320685383712022-02-25T13:30:07.102182.png</t>
  </si>
  <si>
    <t>06815d439bd087db37b943820cf0dc997483a6df746b5f8f63d724e645115bef</t>
  </si>
  <si>
    <t>https://bellingcat-archive.nyc3.cdn.digitaloceanspaces.com/Ukraine_Witness_Datasheet/Worksheet/youtube_dl_1495829232068538371/index.html</t>
  </si>
  <si>
    <t>IgorGirkin - Макеевка, донецкий талибан</t>
  </si>
  <si>
    <t>2022-02-21T19:34:14+00:00</t>
  </si>
  <si>
    <t>https://twitter.com/Michael1Sheldon/status/1496086615776804868</t>
  </si>
  <si>
    <t>Convoy moving towards the border</t>
  </si>
  <si>
    <t>https://twitter.com/Michael1Sheldon/status/1496087055083921414</t>
  </si>
  <si>
    <t>Denisovka</t>
  </si>
  <si>
    <t>UW0461b</t>
  </si>
  <si>
    <t>https://bellingcat-archive.nyc3.cdn.digitaloceanspaces.com/Ukraine_Witness_Datasheet/Worksheet/youtube_dl_1496086615776804868.mp4</t>
  </si>
  <si>
    <t>2022-02-25T13:30:03+00:00</t>
  </si>
  <si>
    <t>https://bellingcat-archive.nyc3.cdn.digitaloceanspaces.com/Ukraine_Witness_Datasheet/Worksheet/youtube_dl__Michael1Sheldon_status_14960866157768048682022-02-25T13:29:51.240132.png</t>
  </si>
  <si>
    <t>0e6d217abc32582e5ed879a97bf2111541cf513e66b0367c807cd11bd2f4818d</t>
  </si>
  <si>
    <t>https://bellingcat-archive.nyc3.cdn.digitaloceanspaces.com/Ukraine_Witness_Datasheet/Worksheet/youtube_dl_1496086615776804868/index.html</t>
  </si>
  <si>
    <t>Michael Sheldon - Similar convoy in the Matveev Kurgan area, heading towards the border. Published 21.02.</t>
  </si>
  <si>
    <t>2022-02-22T12:36:59+00:00</t>
  </si>
  <si>
    <t>https://twitter.com/MotolkoHelp/status/1495775151761338378</t>
  </si>
  <si>
    <t>https://twitter.com/ohsendit/status/1495800680392663051</t>
  </si>
  <si>
    <t>UW0462</t>
  </si>
  <si>
    <t>https://bellingcat-archive.nyc3.cdn.digitaloceanspaces.com/Ukraine_Witness_Datasheet/Worksheet/youtube_dl_1495775151761338378.mp4</t>
  </si>
  <si>
    <t>2022-02-25T13:29:46+00:00</t>
  </si>
  <si>
    <t>https://bellingcat-archive.nyc3.cdn.digitaloceanspaces.com/Ukraine_Witness_Datasheet/Worksheet/youtube_dl__MotolkoHelp_status_14957751517613383782022-02-25T13:29:34.920173.png</t>
  </si>
  <si>
    <t>530eb4af9ff59c221cf10184db77fc5064651ef740210ea519e25c8449cf1da9</t>
  </si>
  <si>
    <t>https://bellingcat-archive.nyc3.cdn.digitaloceanspaces.com/Ukraine_Witness_Datasheet/Worksheet/youtube_dl_1495775151761338378/index.html</t>
  </si>
  <si>
    <t>MotolkoHelp - A command post and launchers of S-300 anti-aircraft missile systems were seen today (21.02) in Polatsk (Vitebsk region, Belarus).</t>
  </si>
  <si>
    <t>2022-02-21T15:59:20+00:00</t>
  </si>
  <si>
    <t>https://twitter.com/4emberlen/status/1496093439938764800</t>
  </si>
  <si>
    <t>Tanks moving north</t>
  </si>
  <si>
    <t>https://twitter.com/gfusfus/status/1496110661071425540</t>
  </si>
  <si>
    <t>Striguny</t>
  </si>
  <si>
    <t>UW0463</t>
  </si>
  <si>
    <t>https://bellingcat-archive.nyc3.cdn.digitaloceanspaces.com/Ukraine_Witness_Datasheet/Worksheet/youtube_dl_1496093439938764800.mp4</t>
  </si>
  <si>
    <t>2022-02-25T13:29:29+00:00</t>
  </si>
  <si>
    <t>https://bellingcat-archive.nyc3.cdn.digitaloceanspaces.com/Ukraine_Witness_Datasheet/Worksheet/youtube_dl__4emberlen_status_14960934399387648002022-02-25T13:29:14.025921.png</t>
  </si>
  <si>
    <t>d4161bdaeae6f0427d893550f7d4aa80569d18b665842178533de7dd4ff84299</t>
  </si>
  <si>
    <t>https://bellingcat-archive.nyc3.cdn.digitaloceanspaces.com/Ukraine_Witness_Datasheet/Worksheet/youtube_dl_1496093439938764800/index.html</t>
  </si>
  <si>
    <t>4emberlen - Стригуни , Бєлгородська обл. 21.02.2022</t>
  </si>
  <si>
    <t>2022-02-22T13:04:06+00:00</t>
  </si>
  <si>
    <t>https://twitter.com/98Volodymyr/status/1495979198665695232</t>
  </si>
  <si>
    <t>Stationed military logistics</t>
  </si>
  <si>
    <t>https://twitter.com/gfusfus/status/1496121952179834884</t>
  </si>
  <si>
    <t>UW0464</t>
  </si>
  <si>
    <t>https://bellingcat-archive.nyc3.cdn.digitaloceanspaces.com/Ukraine_Witness_Datasheet/Worksheet/youtube_dl_1495979198665695232.mp4</t>
  </si>
  <si>
    <t>2022-02-25T13:28:56+00:00</t>
  </si>
  <si>
    <t>https://bellingcat-archive.nyc3.cdn.digitaloceanspaces.com/Ukraine_Witness_Datasheet/Worksheet/youtube_dl__98Volodymyr_status_14959791986656952322022-02-25T13:28:43.639931.png</t>
  </si>
  <si>
    <t>faf9b93bdd35c8ad702d48f67a03dfadce1d6548fe289b77dc29d8ab327b1a81</t>
  </si>
  <si>
    <t>https://bellingcat-archive.nyc3.cdn.digitaloceanspaces.com/Ukraine_Witness_Datasheet/Worksheet/youtube_dl_1495979198665695232/index.html</t>
  </si>
  <si>
    <t>Volodymyr_98 - @Idzanagi4 Шебекино</t>
  </si>
  <si>
    <t>2022-02-22T05:30:09+00:00</t>
  </si>
  <si>
    <t>https://twitter.com/YWNReporter/status/1496126142272659457</t>
  </si>
  <si>
    <t>Military convoys and heavy weaponry on the move</t>
  </si>
  <si>
    <t>https://twitter.com/gfusfus/status/1496140033627201548</t>
  </si>
  <si>
    <t>UW0465</t>
  </si>
  <si>
    <t>https://bellingcat-archive.nyc3.cdn.digitaloceanspaces.com/Ukraine_Witness_Datasheet/Worksheet/youtube_dl_1496126142272659457.mp4</t>
  </si>
  <si>
    <t>2022-02-25T13:28:36+00:00</t>
  </si>
  <si>
    <t>https://bellingcat-archive.nyc3.cdn.digitaloceanspaces.com/Ukraine_Witness_Datasheet/Worksheet/youtube_dl__YWNReporter_status_14961261422726594572022-02-25T13:28:23.976075.png</t>
  </si>
  <si>
    <t>cf9794e2d78e5a7eb433bca82ec0dceeb4bee00e155035f85940c87263934480</t>
  </si>
  <si>
    <t>https://bellingcat-archive.nyc3.cdn.digitaloceanspaces.com/Ukraine_Witness_Datasheet/Worksheet/youtube_dl_1496126142272659457/index.html</t>
  </si>
  <si>
    <t>Moshe Schwartz - Video uploaded an hour ago shows a large amount of military ambulances in the Belgorod region of Russia, per video author. Working on location...</t>
  </si>
  <si>
    <t>2022-02-22T15:14:03+00:00</t>
  </si>
  <si>
    <t>https://twitter.com/Michael1Sheldon/status/1496101698758225924</t>
  </si>
  <si>
    <t>military convoy on the move</t>
  </si>
  <si>
    <t>https://twitter.com/Michael1Sheldon/status/1496102050375028736</t>
  </si>
  <si>
    <t>Rostov Oblast</t>
  </si>
  <si>
    <t>Gusev</t>
  </si>
  <si>
    <t>UW0466</t>
  </si>
  <si>
    <t>https://bellingcat-archive.nyc3.cdn.digitaloceanspaces.com/Ukraine_Witness_Datasheet/Worksheet/youtube_dl_1496101698758225924.mp4</t>
  </si>
  <si>
    <t>2022-02-25T13:28:17+00:00</t>
  </si>
  <si>
    <t>https://bellingcat-archive.nyc3.cdn.digitaloceanspaces.com/Ukraine_Witness_Datasheet/Worksheet/youtube_dl__Michael1Sheldon_status_14961016987582259242022-02-25T13:28:05.218201.png</t>
  </si>
  <si>
    <t>d9933c3c79d57232019d704a2c9814be0bb21d4b1c07a469a99f431b27d2759f</t>
  </si>
  <si>
    <t>https://bellingcat-archive.nyc3.cdn.digitaloceanspaces.com/Ukraine_Witness_Datasheet/Worksheet/youtube_dl_1496101698758225924/index.html</t>
  </si>
  <si>
    <t>Michael Sheldon - Troops at Gusev, Rostov Oblast. 15km from border with Ukraine</t>
  </si>
  <si>
    <t>2022-02-22T13:36:55+00:00</t>
  </si>
  <si>
    <t>https://twitter.com/4emberlen/status/1495693049032331266</t>
  </si>
  <si>
    <t>Military and medical convoy</t>
  </si>
  <si>
    <t>https://twitter.com/KotsNash/status/1495707513274122243</t>
  </si>
  <si>
    <t>Vyazma</t>
  </si>
  <si>
    <t>UW0467</t>
  </si>
  <si>
    <t>https://bellingcat-archive.nyc3.cdn.digitaloceanspaces.com/Ukraine_Witness_Datasheet/Worksheet/youtube_dl_1495693049032331266.mp4</t>
  </si>
  <si>
    <t>2022-02-25T13:27:58+00:00</t>
  </si>
  <si>
    <t>https://bellingcat-archive.nyc3.cdn.digitaloceanspaces.com/Ukraine_Witness_Datasheet/Worksheet/youtube_dl__4emberlen_status_14956930490323312662022-02-25T13:27:47.230201.png</t>
  </si>
  <si>
    <t>21ead873edeea8f74c5c835746c4f838584f7a2d494a88517b5b9e5bcaeb8b87</t>
  </si>
  <si>
    <t>https://bellingcat-archive.nyc3.cdn.digitaloceanspaces.com/Ukraine_Witness_Datasheet/Worksheet/youtube_dl_1495693049032331266/index.html</t>
  </si>
  <si>
    <t>4emberlen - Вязьма 20.02.2022</t>
  </si>
  <si>
    <t>2022-02-21T10:33:06+00:00</t>
  </si>
  <si>
    <t>https://twitter.com/GirkinGirkin/status/1495413984530509826</t>
  </si>
  <si>
    <t>Military convoy on the move</t>
  </si>
  <si>
    <t>https://twitter.com/KotsNash/status/1495416766293491721</t>
  </si>
  <si>
    <t>UW0468</t>
  </si>
  <si>
    <t>https://bellingcat-archive.nyc3.cdn.digitaloceanspaces.com/Ukraine_Witness_Datasheet/Worksheet/youtube_dl_1495413984530509826.mp4</t>
  </si>
  <si>
    <t>2022-02-25T13:27:42+00:00</t>
  </si>
  <si>
    <t>https://bellingcat-archive.nyc3.cdn.digitaloceanspaces.com/Ukraine_Witness_Datasheet/Worksheet/youtube_dl__GirkinGirkin_status_14954139845305098262022-02-25T13:27:31.097633.png</t>
  </si>
  <si>
    <t>aac07df98506723ff7df5930c7fcb9a7bdeda581c4d8811feed6363945ee011c</t>
  </si>
  <si>
    <t>https://bellingcat-archive.nyc3.cdn.digitaloceanspaces.com/Ukraine_Witness_Datasheet/Worksheet/youtube_dl_1495413984530509826/index.html</t>
  </si>
  <si>
    <t>IgorGirkin - Анапа</t>
  </si>
  <si>
    <t>2022-02-20T16:04:12+00:00</t>
  </si>
  <si>
    <t>https://twitter.com/4emberlen/status/1496127648887619596</t>
  </si>
  <si>
    <t>Military convoy on side of road</t>
  </si>
  <si>
    <t>https://twitter.com/gfusfus/status/1496176138225434627</t>
  </si>
  <si>
    <t>Matveev Kurgan</t>
  </si>
  <si>
    <t>UW0469</t>
  </si>
  <si>
    <t>https://bellingcat-archive.nyc3.cdn.digitaloceanspaces.com/Ukraine_Witness_Datasheet/Worksheet/youtube_dl_1496127648887619596.mp4</t>
  </si>
  <si>
    <t>2022-02-25T13:27:25+00:00</t>
  </si>
  <si>
    <t>https://bellingcat-archive.nyc3.cdn.digitaloceanspaces.com/Ukraine_Witness_Datasheet/Worksheet/youtube_dl__4emberlen_status_14961276488876195962022-02-25T13:27:13.479301.png</t>
  </si>
  <si>
    <t>3dae35436bc2555f51f1e449f1e773baeb0e655779422619b9b2a56026ededb2</t>
  </si>
  <si>
    <t>https://bellingcat-archive.nyc3.cdn.digitaloceanspaces.com/Ukraine_Witness_Datasheet/Worksheet/youtube_dl_1496127648887619596/index.html</t>
  </si>
  <si>
    <t>4emberlen - Ростовська обл. 21.02.2022</t>
  </si>
  <si>
    <t>2022-02-22T15:20:02+00:00</t>
  </si>
  <si>
    <t>https://twitter.com/GirkinGirkin/status/1496158245077065728</t>
  </si>
  <si>
    <t>Arty traveling east</t>
  </si>
  <si>
    <t>https://twitter.com/Jack_P_Taylor/status/1496169975924547594</t>
  </si>
  <si>
    <t>Mykhailivka</t>
  </si>
  <si>
    <t>UW0470</t>
  </si>
  <si>
    <t>https://bellingcat-archive.nyc3.cdn.digitaloceanspaces.com/Ukraine_Witness_Datasheet/Worksheet/youtube_dl_1496158245077065728.mp4</t>
  </si>
  <si>
    <t>https://bellingcat-archive.nyc3.cdn.digitaloceanspaces.com/Ukraine_Witness_Datasheet/Worksheet/youtube_dl__GirkinGirkin_status_14961582450770657282022-02-25T13:26:57.034035.png</t>
  </si>
  <si>
    <t>585efaffd6f596e43b29e56ba0d582430e7a0d68082031652a62fa5061c93cf8</t>
  </si>
  <si>
    <t>https://bellingcat-archive.nyc3.cdn.digitaloceanspaces.com/Ukraine_Witness_Datasheet/Worksheet/youtube_dl_1496158245077065728/index.html</t>
  </si>
  <si>
    <t>IgorGirkin - луганский талибан</t>
  </si>
  <si>
    <t>2022-02-22T17:21:37+00:00</t>
  </si>
  <si>
    <t>Tanks on rail transport moving west</t>
  </si>
  <si>
    <t>UW0471</t>
  </si>
  <si>
    <t>2022-02-25T13:26:51+00:00</t>
  </si>
  <si>
    <t>https://bellingcat-archive.nyc3.cdn.digitaloceanspaces.com/Ukraine_Witness_Datasheet/Worksheet/youtube_dl__GirkinGirkin_status_14958169248019415172022-02-25T13:26:39.437438.png</t>
  </si>
  <si>
    <t>https://twitter.com/fpleitgenCNN/status/1496059846210334731</t>
  </si>
  <si>
    <t xml:space="preserve">Tanks on mud road </t>
  </si>
  <si>
    <t>https://twitter.com/YWNReporter/status/1496084853254922246</t>
  </si>
  <si>
    <t>Neklinovsky District</t>
  </si>
  <si>
    <t>UW0472</t>
  </si>
  <si>
    <t>https://bellingcat-archive.nyc3.cdn.digitaloceanspaces.com/Ukraine_Witness_Datasheet/Worksheet/youtube_dl_1496059846210334731.mp4</t>
  </si>
  <si>
    <t>2022-02-25T13:26:34+00:00</t>
  </si>
  <si>
    <t>https://bellingcat-archive.nyc3.cdn.digitaloceanspaces.com/Ukraine_Witness_Datasheet/Worksheet/youtube_dl__fpleitgenCNN_status_14960598462103347312022-02-25T13:26:22.658920.png</t>
  </si>
  <si>
    <t>97c4a52d0756d7d13e55ee8ddd074921eef9697f21a9243c136094b1c240cbfa</t>
  </si>
  <si>
    <t>https://bellingcat-archive.nyc3.cdn.digitaloceanspaces.com/Ukraine_Witness_Datasheet/Worksheet/youtube_dl_1496059846210334731/index.html</t>
  </si>
  <si>
    <t>Frederik Pleitgen - Infantry fighting vehicles and self-propelled artillery near Sambek close to the border with Donbas.</t>
  </si>
  <si>
    <t>2022-02-22T10:50:37+00:00</t>
  </si>
  <si>
    <t>https://twitter.com/COUPSURE/status/1496164131833102348</t>
  </si>
  <si>
    <t>Footage of shelling</t>
  </si>
  <si>
    <t>https://twitter.com/COUPSURE/status/1496195986099777538</t>
  </si>
  <si>
    <t>Schastya</t>
  </si>
  <si>
    <t>UW0473</t>
  </si>
  <si>
    <t>https://bellingcat-archive.nyc3.cdn.digitaloceanspaces.com/Ukraine_Witness_Datasheet/Worksheet/youtube_dl_1496164131833102348.mp4</t>
  </si>
  <si>
    <t>2022-02-25T13:26:17+00:00</t>
  </si>
  <si>
    <t>https://bellingcat-archive.nyc3.cdn.digitaloceanspaces.com/Ukraine_Witness_Datasheet/Worksheet/youtube_dl__COUPSURE_status_14961641318331023482022-02-25T13:26:03.797071.png</t>
  </si>
  <si>
    <t>4672b336ac74f8e32e1eec6b4d3a69ee14e8e90f5e91cf3658d3c50a95777e79</t>
  </si>
  <si>
    <t>https://bellingcat-archive.nyc3.cdn.digitaloceanspaces.com/Ukraine_Witness_Datasheet/Worksheet/youtube_dl_1496164131833102348/index.html</t>
  </si>
  <si>
    <t>C O U P S U R E - Heaving shelling on the village of Peredelskoye near Schastya. Video is presumably from this afternoon.</t>
  </si>
  <si>
    <t>2022-02-22T17:45:01+00:00</t>
  </si>
  <si>
    <t>https://twitter.com/YWNReporter/status/1496183319893057542</t>
  </si>
  <si>
    <t>Tanks in field next to road</t>
  </si>
  <si>
    <t>https://twitter.com/gfusfus/status/1496196329667764225</t>
  </si>
  <si>
    <t>Belgord</t>
  </si>
  <si>
    <t>UW0474</t>
  </si>
  <si>
    <t>https://bellingcat-archive.nyc3.cdn.digitaloceanspaces.com/Ukraine_Witness_Datasheet/Worksheet/youtube_dl_1496183319893057542.mp4</t>
  </si>
  <si>
    <t>2022-02-25T13:25:57+00:00</t>
  </si>
  <si>
    <t>https://bellingcat-archive.nyc3.cdn.digitaloceanspaces.com/Ukraine_Witness_Datasheet/Worksheet/youtube_dl__YWNReporter_status_14961833198930575422022-02-25T13:25:41.800497.png</t>
  </si>
  <si>
    <t>45ea7c12e9aa0ed45c44c369d03e256a67911dcad0e01f9e97412f63e6773e69</t>
  </si>
  <si>
    <t>https://bellingcat-archive.nyc3.cdn.digitaloceanspaces.com/Ukraine_Witness_Datasheet/Worksheet/youtube_dl_1496183319893057542/index.html</t>
  </si>
  <si>
    <t>Moshe Schwartz - Video uploaded a couple hours ago shows a large amount of Russian forces off-road in the Belgorod region of Russia, per video author.</t>
  </si>
  <si>
    <t>2022-02-22T19:01:15+00:00</t>
  </si>
  <si>
    <t>https://twitter.com/4emberlen/status/1496220038923272196</t>
  </si>
  <si>
    <t>Tanks travelling west</t>
  </si>
  <si>
    <t>https://twitter.com/danvan71/status/1496222410508537857</t>
  </si>
  <si>
    <t>Bile</t>
  </si>
  <si>
    <t>UW0475</t>
  </si>
  <si>
    <t>https://bellingcat-archive.nyc3.cdn.digitaloceanspaces.com/Ukraine_Witness_Datasheet/Worksheet/youtube_dl_1496220038923272196.mp4</t>
  </si>
  <si>
    <t>2022-02-25T13:25:31+00:00</t>
  </si>
  <si>
    <t>https://bellingcat-archive.nyc3.cdn.digitaloceanspaces.com/Ukraine_Witness_Datasheet/Worksheet/youtube_dl__4emberlen_status_14962200389232721962022-02-25T13:25:14.364178.png</t>
  </si>
  <si>
    <t>e6a38c27e90f93a45228f2e6012c8be4c5b5b8586de3d63dcc9c0cee0ad937ed</t>
  </si>
  <si>
    <t>https://bellingcat-archive.nyc3.cdn.digitaloceanspaces.com/Ukraine_Witness_Datasheet/Worksheet/youtube_dl_1496220038923272196/index.html</t>
  </si>
  <si>
    <t>4emberlen - Луганський талібан 22.02.2022</t>
  </si>
  <si>
    <t>2022-02-22T21:27:10+00:00</t>
  </si>
  <si>
    <t>https://twitter.com/Archer83Able/status/1496156796217708548</t>
  </si>
  <si>
    <t>IFV traveling north</t>
  </si>
  <si>
    <t>Vishnevo</t>
  </si>
  <si>
    <t>UW0476</t>
  </si>
  <si>
    <t>https://bellingcat-archive.nyc3.cdn.digitaloceanspaces.com/Ukraine_Witness_Datasheet/Worksheet/youtube_dl_1496156796217708548.mp4</t>
  </si>
  <si>
    <t>2022-02-25T13:24:58+00:00</t>
  </si>
  <si>
    <t>https://bellingcat-archive.nyc3.cdn.digitaloceanspaces.com/Ukraine_Witness_Datasheet/Worksheet/youtube_dl__Archer83Able_status_14961567962177085482022-02-25T13:24:47.584679.png</t>
  </si>
  <si>
    <t>e00c802b424ddbf7958efe520a93f84c7678d6775f21b9aadd0c4819958bffd5</t>
  </si>
  <si>
    <t>https://bellingcat-archive.nyc3.cdn.digitaloceanspaces.com/Ukraine_Witness_Datasheet/Worksheet/youtube_dl_1496156796217708548/index.html</t>
  </si>
  <si>
    <t>Status-6 - Russian military trucks, BTR-80 APCs and BM-27 Uragan MLRS in Vishnevo, Kursk Oblast, approx. 10km from the border with Ukraine. Video appeared on February 22.  Coords: 51.0120870, 35.6355383</t>
  </si>
  <si>
    <t>2022-02-22T17:15:52+00:00</t>
  </si>
  <si>
    <t>https://twitter.com/4emberlen/status/1496209530472050699</t>
  </si>
  <si>
    <t>Tanks and BBV moving west</t>
  </si>
  <si>
    <t>https://twitter.com/Archer83Able/status/1496213818120323073</t>
  </si>
  <si>
    <t>UW0477</t>
  </si>
  <si>
    <t>https://bellingcat-archive.nyc3.cdn.digitaloceanspaces.com/Ukraine_Witness_Datasheet/Worksheet/youtube_dl_1496209530472050699.mp4</t>
  </si>
  <si>
    <t>2022-02-25T13:24:41+00:00</t>
  </si>
  <si>
    <t>https://bellingcat-archive.nyc3.cdn.digitaloceanspaces.com/Ukraine_Witness_Datasheet/Worksheet/youtube_dl__4emberlen_status_14962095304720506992022-02-25T13:24:30.420821.png</t>
  </si>
  <si>
    <t>2d8ec397f2329898af7c0b42d4346270ba96dcb2f0f1e88ce37219461276e891</t>
  </si>
  <si>
    <t>https://bellingcat-archive.nyc3.cdn.digitaloceanspaces.com/Ukraine_Witness_Datasheet/Worksheet/youtube_dl_1496209530472050699/index.html</t>
  </si>
  <si>
    <t>4emberlen - Валуйки 22.02.2022</t>
  </si>
  <si>
    <t>2022-02-22T20:45:24+00:00</t>
  </si>
  <si>
    <t>https://twitter.com/GirkinGirkin/status/1496180287126048769</t>
  </si>
  <si>
    <t>Military convoy stationed in the side of the road</t>
  </si>
  <si>
    <t>https://twitter.com/danvan71/status/1496232534740512769</t>
  </si>
  <si>
    <t>Kaznacheevka</t>
  </si>
  <si>
    <t>UW0478</t>
  </si>
  <si>
    <t>https://bellingcat-archive.nyc3.cdn.digitaloceanspaces.com/Ukraine_Witness_Datasheet/Worksheet/youtube_dl_1496180287126048769.mp4</t>
  </si>
  <si>
    <t>2022-02-25T13:24:25+00:00</t>
  </si>
  <si>
    <t>https://bellingcat-archive.nyc3.cdn.digitaloceanspaces.com/Ukraine_Witness_Datasheet/Worksheet/youtube_dl__GirkinGirkin_status_14961802871260487692022-02-25T13:24:12.549389.png</t>
  </si>
  <si>
    <t>0cad64ee6daf690c634391d6ad4d0e25291e80f6ec32d79e3dd83a7a7a58424a</t>
  </si>
  <si>
    <t>https://bellingcat-archive.nyc3.cdn.digitaloceanspaces.com/Ukraine_Witness_Datasheet/Worksheet/youtube_dl_1496180287126048769/index.html</t>
  </si>
  <si>
    <t>IgorGirkin - Леонова, Валуйский рн</t>
  </si>
  <si>
    <t>2022-02-22T18:49:12+00:00</t>
  </si>
  <si>
    <t>https://twitter.com/4emberlen/status/1496124505999171586</t>
  </si>
  <si>
    <t xml:space="preserve">Tanks on the move </t>
  </si>
  <si>
    <t>https://twitter.com/danvan71/status/1496167176914485249</t>
  </si>
  <si>
    <t>UW0479</t>
  </si>
  <si>
    <t>https://bellingcat-archive.nyc3.cdn.digitaloceanspaces.com/Ukraine_Witness_Datasheet/Worksheet/youtube_dl_1496124505999171586.mp4</t>
  </si>
  <si>
    <t>https://bellingcat-archive.nyc3.cdn.digitaloceanspaces.com/Ukraine_Witness_Datasheet/Worksheet/youtube_dl__4emberlen_status_14961245059991715862022-02-25T13:23:54.361164.png</t>
  </si>
  <si>
    <t>5be25b3f1017f30a6bcd8cd943d55e12a216d92dd9448df0475f8d1e1348c7c4</t>
  </si>
  <si>
    <t>https://bellingcat-archive.nyc3.cdn.digitaloceanspaces.com/Ukraine_Witness_Datasheet/Worksheet/youtube_dl_1496124505999171586/index.html</t>
  </si>
  <si>
    <t>4emberlen - Бєлгородська обл. 22.02.2022</t>
  </si>
  <si>
    <t>2022-02-22T15:07:33+00:00</t>
  </si>
  <si>
    <t>https://twitter.com/4emberlen/status/1496238941741137933</t>
  </si>
  <si>
    <t>https://twitter.com/gfusfus/status/1496253442377097218</t>
  </si>
  <si>
    <t>UW0480</t>
  </si>
  <si>
    <t>https://bellingcat-archive.nyc3.cdn.digitaloceanspaces.com/Ukraine_Witness_Datasheet/Worksheet/youtube_dl_1496238941741137933.mp4</t>
  </si>
  <si>
    <t>2022-02-25T13:23:49+00:00</t>
  </si>
  <si>
    <t>https://bellingcat-archive.nyc3.cdn.digitaloceanspaces.com/Ukraine_Witness_Datasheet/Worksheet/youtube_dl__4emberlen_status_14962389417411379332022-02-25T13:23:34.113907.png</t>
  </si>
  <si>
    <t>23ce038b27584105c5a6a40b513a0169a8167e71998a2e2273b3dcfac10f0f2c</t>
  </si>
  <si>
    <t>https://bellingcat-archive.nyc3.cdn.digitaloceanspaces.com/Ukraine_Witness_Datasheet/Worksheet/youtube_dl_1496238941741137933/index.html</t>
  </si>
  <si>
    <t>4emberlen - армія агресора 22.02.2022</t>
  </si>
  <si>
    <t>2022-02-22T22:42:17+00:00</t>
  </si>
  <si>
    <t>https://twitter.com/YWNReporter/status/1496249989676380166</t>
  </si>
  <si>
    <t>Tanks moving towards the Ukranian border</t>
  </si>
  <si>
    <t>https://twitter.com/YWNReporter/status/1496250162620084229</t>
  </si>
  <si>
    <t>Poddubnovka</t>
  </si>
  <si>
    <t>UW0481</t>
  </si>
  <si>
    <t>https://bellingcat-archive.nyc3.cdn.digitaloceanspaces.com/Ukraine_Witness_Datasheet/Worksheet/youtube_dl_1496249989676380166.mp4</t>
  </si>
  <si>
    <t>2022-02-25T13:23:24+00:00</t>
  </si>
  <si>
    <t>https://bellingcat-archive.nyc3.cdn.digitaloceanspaces.com/Ukraine_Witness_Datasheet/Worksheet/youtube_dl__YWNReporter_status_14962499896763801662022-02-25T13:23:12.463856.png</t>
  </si>
  <si>
    <t>4b542bf6c9390e577ca3df6f53acd9ea2bd2513a036a98f1625e9562351c34e0</t>
  </si>
  <si>
    <t>https://bellingcat-archive.nyc3.cdn.digitaloceanspaces.com/Ukraine_Witness_Datasheet/Worksheet/youtube_dl_1496249989676380166/index.html</t>
  </si>
  <si>
    <t>Moshe Schwartz - #BREAKING: I've geolocated this video uploaded this evening showing tanks driving in the direction of the Ukrainian border in the Kursk region, Russia.  📍Don't use Google Street View on this: 51.604874,34.591355  Use Yandex mirrors. Link 👉 More in thread</t>
  </si>
  <si>
    <t>2022-02-22T23:26:11+00:00</t>
  </si>
  <si>
    <t>23/02/2022</t>
  </si>
  <si>
    <t>https://twitter.com/GirkinGirkin/status/1496302983495229440</t>
  </si>
  <si>
    <t>https://twitter.com/Michael1Sheldon/status/1496343540477136896</t>
  </si>
  <si>
    <t>UW0482</t>
  </si>
  <si>
    <t>https://bellingcat-archive.nyc3.cdn.digitaloceanspaces.com/Ukraine_Witness_Datasheet/Worksheet/youtube_dl_1496302983495229440.mp4</t>
  </si>
  <si>
    <t>2022-02-25T13:23:07+00:00</t>
  </si>
  <si>
    <t>https://bellingcat-archive.nyc3.cdn.digitaloceanspaces.com/Ukraine_Witness_Datasheet/Worksheet/youtube_dl__GirkinGirkin_status_14963029834952294402022-02-25T13:22:55.216320.png</t>
  </si>
  <si>
    <t>14ec863688316346d53729a19416305374fa64e982b9e4ff481168dd225bdaab</t>
  </si>
  <si>
    <t>https://bellingcat-archive.nyc3.cdn.digitaloceanspaces.com/Ukraine_Witness_Datasheet/Worksheet/youtube_dl_1496302983495229440/index.html</t>
  </si>
  <si>
    <t>IgorGirkin - Каменск-Шахтинский, Ростов</t>
  </si>
  <si>
    <t>2022-02-23T02:56:45+00:00</t>
  </si>
  <si>
    <t>https://twitter.com/GirkinGirkin/status/1496326525280468993</t>
  </si>
  <si>
    <t>https://twitter.com/IntelCrab/status/1496327708510408704</t>
  </si>
  <si>
    <t>UW0483</t>
  </si>
  <si>
    <t>https://bellingcat-archive.nyc3.cdn.digitaloceanspaces.com/Ukraine_Witness_Datasheet/Worksheet/youtube_dl_1496326525280468993.mp4</t>
  </si>
  <si>
    <t>2022-02-25T13:22:49+00:00</t>
  </si>
  <si>
    <t>https://bellingcat-archive.nyc3.cdn.digitaloceanspaces.com/Ukraine_Witness_Datasheet/Worksheet/youtube_dl__GirkinGirkin_status_14963265252804689932022-02-25T13:22:38.198276.png</t>
  </si>
  <si>
    <t>b90ef3c6fd6276ba5e14648ded5d32fdda2bc824a7317a3136cb14d6fd9531ec</t>
  </si>
  <si>
    <t>https://bellingcat-archive.nyc3.cdn.digitaloceanspaces.com/Ukraine_Witness_Datasheet/Worksheet/youtube_dl_1496326525280468993/index.html</t>
  </si>
  <si>
    <t>2022-02-23T04:30:18+00:00</t>
  </si>
  <si>
    <t>https://twitter.com/GirkinGirkin/status/1496140293908963329</t>
  </si>
  <si>
    <t>https://twitter.com/danvan71/status/1495432916331020292</t>
  </si>
  <si>
    <t>UW0484</t>
  </si>
  <si>
    <t>https://bellingcat-archive.nyc3.cdn.digitaloceanspaces.com/Ukraine_Witness_Datasheet/Worksheet/youtube_dl_1496140293908963329.mp4</t>
  </si>
  <si>
    <t>2022-02-25T13:22:33+00:00</t>
  </si>
  <si>
    <t>https://bellingcat-archive.nyc3.cdn.digitaloceanspaces.com/Ukraine_Witness_Datasheet/Worksheet/youtube_dl__GirkinGirkin_status_14961402939089633292022-02-25T13:22:18.877455.png</t>
  </si>
  <si>
    <t>3bb22a09f2461c3b163a84fafc5c83a2956b805ac331a2d90386e1351f5b4070</t>
  </si>
  <si>
    <t>https://bellingcat-archive.nyc3.cdn.digitaloceanspaces.com/Ukraine_Witness_Datasheet/Worksheet/youtube_dl_1496140293908963329/index.html</t>
  </si>
  <si>
    <t>2022-02-22T16:10:17+00:00</t>
  </si>
  <si>
    <t>https://twitter.com/CSBiggers/status/1496239487021731841</t>
  </si>
  <si>
    <t>Formation of military base</t>
  </si>
  <si>
    <t>https://twitter.com/danvan71/status/1496301143328276481</t>
  </si>
  <si>
    <t>UW0485</t>
  </si>
  <si>
    <t>https://bellingcat-archive.nyc3.cdn.digitaloceanspaces.com/Ukraine_Witness_Datasheet/Worksheet/twitter__CSBiggers_status_1496239487021731841.html</t>
  </si>
  <si>
    <t>2022-02-25T13:22:08+00:00</t>
  </si>
  <si>
    <t>https://bellingcat-archive.nyc3.cdn.digitaloceanspaces.com/Ukraine_Witness_Datasheet/Worksheet/twitter__CSBiggers_status_14962394870217318412022-02-25T13:21:58.498757.png</t>
  </si>
  <si>
    <t>d8ce5c59a546ab2cd086ac0efd749bcb0fdce9083140545f8ab7923d9902026d</t>
  </si>
  <si>
    <t>https://twitter.com/ckoettl/status/1496283968655839240</t>
  </si>
  <si>
    <t>https://twitter.com/danvan71/status/1496299688378929152</t>
  </si>
  <si>
    <t>Velikii Bokov</t>
  </si>
  <si>
    <t>UW0486</t>
  </si>
  <si>
    <t>https://bellingcat-archive.nyc3.cdn.digitaloceanspaces.com/Ukraine_Witness_Datasheet/Worksheet/youtube_dl_1496283968655839240.mp4</t>
  </si>
  <si>
    <t>2022-02-25T13:21:54+00:00</t>
  </si>
  <si>
    <t>https://bellingcat-archive.nyc3.cdn.digitaloceanspaces.com/Ukraine_Witness_Datasheet/Worksheet/youtube_dl__ckoettl_status_14962839686558392402022-02-25T13:21:44.016772.png</t>
  </si>
  <si>
    <t>9ed5b29ef440edc561c1bfa03425d317711ebae1f237ecfaab7c2dcc29ce770e</t>
  </si>
  <si>
    <t>https://bellingcat-archive.nyc3.cdn.digitaloceanspaces.com/Ukraine_Witness_Datasheet/Worksheet/youtube_dl_1496283968655839240/index.html</t>
  </si>
  <si>
    <t>Christoph Koettl - Change at V.D. Bolshoy Bokov aerodrome, #Belarus. Feb 4 vs. Feb 22. More details here: 🛰️📷 @Maxar</t>
  </si>
  <si>
    <t>2022-02-23T01:41:12+00:00</t>
  </si>
  <si>
    <t>https://twitter.com/ckoettl/status/1495553833023512577/photo/1</t>
  </si>
  <si>
    <t xml:space="preserve">Satelliate Imargery of helicopters </t>
  </si>
  <si>
    <t>https://twitter.com/danvan71/status/1496270816467730432</t>
  </si>
  <si>
    <t>UW0487</t>
  </si>
  <si>
    <t>https://bellingcat-archive.nyc3.cdn.digitaloceanspaces.com/Ukraine_Witness_Datasheet/Worksheet/youtube_dl_1494137731143720961.mp4</t>
  </si>
  <si>
    <t>2022-02-25T13:21:40+00:00</t>
  </si>
  <si>
    <t>https://bellingcat-archive.nyc3.cdn.digitaloceanspaces.com/Ukraine_Witness_Datasheet/Worksheet/youtube_dl__ckoettl_status_1495553833023512577_photo_12022-02-25T13:21:26.930031.png</t>
  </si>
  <si>
    <t>https://bellingcat-archive.nyc3.cdn.digitaloceanspaces.com/Ukraine_Witness_Datasheet/Worksheet/youtube_dl_1494137731143720961/index.html</t>
  </si>
  <si>
    <t>bobmoretti - @GirkinGirkin Same location as this: @DefMon3 I found the location! 50.7009, 36.2902</t>
  </si>
  <si>
    <t>2022-02-17T03:32:49+00:00</t>
  </si>
  <si>
    <t>https://twitter.com/GirkinGirkin/status/1496146336982384643</t>
  </si>
  <si>
    <t>Movement of military convoy</t>
  </si>
  <si>
    <t>https://twitter.com/danvan71/status/1496244726256836611</t>
  </si>
  <si>
    <t>Gomel Oblast</t>
  </si>
  <si>
    <t>UW0488</t>
  </si>
  <si>
    <t>https://bellingcat-archive.nyc3.cdn.digitaloceanspaces.com/Ukraine_Witness_Datasheet/Worksheet/youtube_dl_1496146336982384643.mp4</t>
  </si>
  <si>
    <t>2022-02-25T13:21:19+00:00</t>
  </si>
  <si>
    <t>https://bellingcat-archive.nyc3.cdn.digitaloceanspaces.com/Ukraine_Witness_Datasheet/Worksheet/youtube_dl__GirkinGirkin_status_14961463369823846432022-02-25T13:21:05.446167.png</t>
  </si>
  <si>
    <t>6e78db0e04fb2ec0d4193cc751c1411a4ff2b0db518579b75573eaefff2bb681</t>
  </si>
  <si>
    <t>https://bellingcat-archive.nyc3.cdn.digitaloceanspaces.com/Ukraine_Witness_Datasheet/Worksheet/youtube_dl_1496146336982384643/index.html</t>
  </si>
  <si>
    <t>IgorGirkin - Направление - Лоевский рн, РБ</t>
  </si>
  <si>
    <t>2022-02-22T16:34:18+00:00</t>
  </si>
  <si>
    <t>https://twitter.com/GirkinGirkin/status/1495478565923655696</t>
  </si>
  <si>
    <t>https://twitter.com/Danspiun/status/1496189488644739073</t>
  </si>
  <si>
    <t>Reutchanskii</t>
  </si>
  <si>
    <t>UW0489</t>
  </si>
  <si>
    <t>https://bellingcat-archive.nyc3.cdn.digitaloceanspaces.com/Ukraine_Witness_Datasheet/Worksheet/youtube_dl_1495478565923655696.mp4</t>
  </si>
  <si>
    <t>2022-02-25T13:20:58+00:00</t>
  </si>
  <si>
    <t>https://bellingcat-archive.nyc3.cdn.digitaloceanspaces.com/Ukraine_Witness_Datasheet/Worksheet/youtube_dl__GirkinGirkin_status_14954785659236556962022-02-25T13:20:43.666733.png</t>
  </si>
  <si>
    <t>ff03f1ea8b4aca6de4fd9f9cf6862544c56bfcd55df25af4ce496bbe2037518a</t>
  </si>
  <si>
    <t>https://bellingcat-archive.nyc3.cdn.digitaloceanspaces.com/Ukraine_Witness_Datasheet/Worksheet/youtube_dl_1495478565923655696/index.html</t>
  </si>
  <si>
    <t>2022-02-20T20:20:49+00:00</t>
  </si>
  <si>
    <t>https://twitter.com/YWNReporter/status/1496187284177264652</t>
  </si>
  <si>
    <t>Convoy with 'Z' insignia</t>
  </si>
  <si>
    <t>https://twitter.com/gfusfus/status/1496203281542045697</t>
  </si>
  <si>
    <t>Skorodnoe</t>
  </si>
  <si>
    <t>UW0490</t>
  </si>
  <si>
    <t>https://bellingcat-archive.nyc3.cdn.digitaloceanspaces.com/Ukraine_Witness_Datasheet/Worksheet/youtube_dl_1496187284177264652.mp4</t>
  </si>
  <si>
    <t>https://bellingcat-archive.nyc3.cdn.digitaloceanspaces.com/Ukraine_Witness_Datasheet/Worksheet/youtube_dl__YWNReporter_status_14961872841772646522022-02-25T13:20:24.193660.png</t>
  </si>
  <si>
    <t>4f73f4fae42dbd13738fe46a1df35349cb527a3dbe9b07b649dd12eeb574a30d</t>
  </si>
  <si>
    <t>https://bellingcat-archive.nyc3.cdn.digitaloceanspaces.com/Ukraine_Witness_Datasheet/Worksheet/youtube_dl_1496187284177264652/index.html</t>
  </si>
  <si>
    <t>Moshe Schwartz - This video uploaded 2 hours ago shows a convoy all 'Z'ed up. The video is from the Belgorod region of Russia, per video author.</t>
  </si>
  <si>
    <t>2022-02-22T19:17:01+00:00</t>
  </si>
  <si>
    <t>https://twitter.com/GirkinGirkin/status/1496422142648410115</t>
  </si>
  <si>
    <t>Convoy moving west towards border</t>
  </si>
  <si>
    <t>UW0491</t>
  </si>
  <si>
    <t>https://bellingcat-archive.nyc3.cdn.digitaloceanspaces.com/Ukraine_Witness_Datasheet/Worksheet/youtube_dl_1496422142648410115.mp4</t>
  </si>
  <si>
    <t>2022-02-25T13:20:16+00:00</t>
  </si>
  <si>
    <t>https://bellingcat-archive.nyc3.cdn.digitaloceanspaces.com/Ukraine_Witness_Datasheet/Worksheet/youtube_dl__GirkinGirkin_status_14964221426484101152022-02-25T13:20:03.379726.png</t>
  </si>
  <si>
    <t>36137a0806c9fdb603f900b177610ee2adc38e81ca75304868a0733e7268c79b</t>
  </si>
  <si>
    <t>https://bellingcat-archive.nyc3.cdn.digitaloceanspaces.com/Ukraine_Witness_Datasheet/Worksheet/youtube_dl_1496422142648410115/index.html</t>
  </si>
  <si>
    <t>IgorGirkin - Красная Яруга, Белгород</t>
  </si>
  <si>
    <t>2022-02-23T10:50:15+00:00</t>
  </si>
  <si>
    <t>https://twitter.com/GirkinGirkin/status/1496419288932044800</t>
  </si>
  <si>
    <t>https://twitter.com/seb_bourdon/status/1496432522879717376</t>
  </si>
  <si>
    <t>Nikitovka</t>
  </si>
  <si>
    <t>UW0492</t>
  </si>
  <si>
    <t>https://bellingcat-archive.nyc3.cdn.digitaloceanspaces.com/Ukraine_Witness_Datasheet/Worksheet/youtube_dl_1496419288932044800.mp4</t>
  </si>
  <si>
    <t>2022-02-25T13:19:57+00:00</t>
  </si>
  <si>
    <t>https://bellingcat-archive.nyc3.cdn.digitaloceanspaces.com/Ukraine_Witness_Datasheet/Worksheet/youtube_dl__GirkinGirkin_status_14964192889320448002022-02-25T13:19:43.246077.png</t>
  </si>
  <si>
    <t>df47a74af651d7bf603adb1ed96cda7a9996f217d8c997756aecf0e8593c0fa6</t>
  </si>
  <si>
    <t>https://bellingcat-archive.nyc3.cdn.digitaloceanspaces.com/Ukraine_Witness_Datasheet/Worksheet/youtube_dl_1496419288932044800/index.html</t>
  </si>
  <si>
    <t>2022-02-23T10:38:55+00:00</t>
  </si>
  <si>
    <t>https://twitter.com/Mike_Eckel/status/1496356475702235141?s=20&amp;t=bmoU-TFYLQDvwn7RjrOVcA</t>
  </si>
  <si>
    <t>Image</t>
  </si>
  <si>
    <t>Shows 4 sets of satellite images. 1-2 are from 51.986053, 29.160662. 3-4 are from 50.524185, 36.361644</t>
  </si>
  <si>
    <t>UW0493</t>
  </si>
  <si>
    <t>https://bellingcat-archive.nyc3.cdn.digitaloceanspaces.com/Ukraine_Witness_Datasheet/Worksheet/twitter__Mike_Eckel_status_1496356475702235141.html</t>
  </si>
  <si>
    <t>2022-02-25T13:19:35+00:00</t>
  </si>
  <si>
    <t>https://bellingcat-archive.nyc3.cdn.digitaloceanspaces.com/Ukraine_Witness_Datasheet/Worksheet/twitter__Mike_Eckel_status_14963564757022351412022-02-25T13:19:24.693058.png</t>
  </si>
  <si>
    <t>9d50d0c493c7072740f6c912699c4103a6b0378d8954ef02340a95192a530c6e</t>
  </si>
  <si>
    <t>https://twitter.com/Mike_Eckel/status/1496357210527522817?s=20&amp;t=bmoU-TFYLQDvwn7RjrOVcA</t>
  </si>
  <si>
    <t>Images show field hospital here 50.649803, 36.527582</t>
  </si>
  <si>
    <t>UW0494</t>
  </si>
  <si>
    <t>https://bellingcat-archive.nyc3.cdn.digitaloceanspaces.com/Ukraine_Witness_Datasheet/Worksheet/twitter__Mike_Eckel_status_1496357210527522817.html</t>
  </si>
  <si>
    <t>2022-02-25T13:19:15+00:00</t>
  </si>
  <si>
    <t>https://bellingcat-archive.nyc3.cdn.digitaloceanspaces.com/Ukraine_Witness_Datasheet/Worksheet/twitter__Mike_Eckel_status_14963572105275228172022-02-25T13:19:05.161262.png</t>
  </si>
  <si>
    <t>31390faaae2be445cd49560715da16432e7053bb465a52a5b3b5c68a67344d64</t>
  </si>
  <si>
    <t>https://twitter.com/Mike_Eckel/status/1496357739248955397?s=20&amp;t=bmoU-TFYLQDvwn7RjrOVcA</t>
  </si>
  <si>
    <t>UW0495</t>
  </si>
  <si>
    <t>https://bellingcat-archive.nyc3.cdn.digitaloceanspaces.com/Ukraine_Witness_Datasheet/Worksheet/twitter__Mike_Eckel_status_1496357739248955397.html</t>
  </si>
  <si>
    <t>2022-02-25T13:18:56+00:00</t>
  </si>
  <si>
    <t>https://bellingcat-archive.nyc3.cdn.digitaloceanspaces.com/Ukraine_Witness_Datasheet/Worksheet/twitter__Mike_Eckel_status_14963577392489553972022-02-25T13:18:47.398436.png</t>
  </si>
  <si>
    <t>f85a8348c821f793329c1def17bbcaac5c88d3c6fb756440ed9a10ec7e5d5d29</t>
  </si>
  <si>
    <t>https://twitter.com/JackDetsch/status/1496274679748775936?s=20&amp;t=bmoU-TFYLQDvwn7RjrOVcA</t>
  </si>
  <si>
    <t>Satellite imagery of clearing near Pochep, Russia</t>
  </si>
  <si>
    <t>UW0496</t>
  </si>
  <si>
    <t>https://bellingcat-archive.nyc3.cdn.digitaloceanspaces.com/Ukraine_Witness_Datasheet/Worksheet/twitter__JackDetsch_status_1496274679748775936.html</t>
  </si>
  <si>
    <t>2022-02-25T13:18:38+00:00</t>
  </si>
  <si>
    <t>https://bellingcat-archive.nyc3.cdn.digitaloceanspaces.com/Ukraine_Witness_Datasheet/Worksheet/twitter__JackDetsch_status_14962746797487759362022-02-25T13:18:28.657255.png</t>
  </si>
  <si>
    <t>6a9487db10b84d0764ef1b99b729091bd5553d10d212df54c232495582175a5b</t>
  </si>
  <si>
    <t>https://twitter.com/JackDetsch/status/1495532423395913733?s=20&amp;t=d5Ps2BRE7GJHztIqDU_zGQ</t>
  </si>
  <si>
    <t>UW0497</t>
  </si>
  <si>
    <t>https://bellingcat-archive.nyc3.cdn.digitaloceanspaces.com/Ukraine_Witness_Datasheet/Worksheet/twitter__JackDetsch_status_1495532423395913733.html</t>
  </si>
  <si>
    <t>2022-02-25T13:18:24+00:00</t>
  </si>
  <si>
    <t>https://bellingcat-archive.nyc3.cdn.digitaloceanspaces.com/Ukraine_Witness_Datasheet/Worksheet/twitter__JackDetsch_status_14955324233959137332022-02-25T13:18:08.938286.png</t>
  </si>
  <si>
    <t>4262b21b67a86df7982b258d231b7b1f6043cf0ccbe7ae444188e489a8717272</t>
  </si>
  <si>
    <t>https://twitter.com/ChristopherJM/status/1493477624525594630?s=20&amp;t=d5Ps2BRE7GJHztIqDU_zGQ</t>
  </si>
  <si>
    <t>UW0498</t>
  </si>
  <si>
    <t>https://bellingcat-archive.nyc3.cdn.digitaloceanspaces.com/Ukraine_Witness_Datasheet/Worksheet/twitter__ChristopherJM_status_1493477624525594630.html</t>
  </si>
  <si>
    <t>2022-02-25T13:18:05+00:00</t>
  </si>
  <si>
    <t>https://bellingcat-archive.nyc3.cdn.digitaloceanspaces.com/Ukraine_Witness_Datasheet/Worksheet/twitter__ChristopherJM_status_14934776245255946302022-02-25T13:17:55.251710.png</t>
  </si>
  <si>
    <t>e5aa10ad280f3802ab1af179dc25e6167382feeeaf381929c5358c8ff4edd8bd</t>
  </si>
  <si>
    <t>https://twitter.com/ChristopherJM/status/1493478759143559173?s=20&amp;t=d5Ps2BRE7GJHztIqDU_zGQ</t>
  </si>
  <si>
    <t>UW0499</t>
  </si>
  <si>
    <t>https://bellingcat-archive.nyc3.cdn.digitaloceanspaces.com/Ukraine_Witness_Datasheet/Worksheet/twitter__ChristopherJM_status_1493478759143559173.html</t>
  </si>
  <si>
    <t>2022-02-25T13:17:48+00:00</t>
  </si>
  <si>
    <t>https://bellingcat-archive.nyc3.cdn.digitaloceanspaces.com/Ukraine_Witness_Datasheet/Worksheet/twitter__ChristopherJM_status_14934787591435591732022-02-25T13:17:33.963559.png</t>
  </si>
  <si>
    <t>061b225247572007aa0275c05ac7f08704ad1c28fb52315264c5649835f33a74</t>
  </si>
  <si>
    <t>https://twitter.com/ChristopherJM/status/1494077100650868743?s=20&amp;t=d5Ps2BRE7GJHztIqDU_zGQ</t>
  </si>
  <si>
    <t>UW0500</t>
  </si>
  <si>
    <t>https://bellingcat-archive.nyc3.cdn.digitaloceanspaces.com/Ukraine_Witness_Datasheet/Worksheet/twitter__ChristopherJM_status_1494077100650868743.html</t>
  </si>
  <si>
    <t>2022-02-25T13:17:28+00:00</t>
  </si>
  <si>
    <t>https://bellingcat-archive.nyc3.cdn.digitaloceanspaces.com/Ukraine_Witness_Datasheet/Worksheet/twitter__ChristopherJM_status_14940771006508687432022-02-25T13:17:16.930940.png</t>
  </si>
  <si>
    <t>6df906c68e4be4f472e24a64b22877f1585b707b1dbcdb49fc8a04958918eed2</t>
  </si>
  <si>
    <t>https://twitter.com/ChristopherJM/status/1493481608116117506?s=20&amp;t=d5Ps2BRE7GJHztIqDU_zGQ</t>
  </si>
  <si>
    <t>UW0501</t>
  </si>
  <si>
    <t>https://bellingcat-archive.nyc3.cdn.digitaloceanspaces.com/Ukraine_Witness_Datasheet/Worksheet/twitter__ChristopherJM_status_1493481608116117506.html</t>
  </si>
  <si>
    <t>2022-02-25T13:17:10+00:00</t>
  </si>
  <si>
    <t>https://bellingcat-archive.nyc3.cdn.digitaloceanspaces.com/Ukraine_Witness_Datasheet/Worksheet/twitter__ChristopherJM_status_14934816081161175062022-02-25T13:17:00.436376.png</t>
  </si>
  <si>
    <t>2b4439155bc9d1cd0ec77a3f9d36c1ff31d5bc964aa60e88853548061c5ea8cf</t>
  </si>
  <si>
    <t>https://twitter.com/GirkinGirkin/status/1496479572333842439</t>
  </si>
  <si>
    <t>Tanks moving towards the Ukrainian border</t>
  </si>
  <si>
    <t>https://twitter.com/BriceLeBorgne/status/1496483523074666500</t>
  </si>
  <si>
    <t>UW0502</t>
  </si>
  <si>
    <t>https://bellingcat-archive.nyc3.cdn.digitaloceanspaces.com/Ukraine_Witness_Datasheet/Worksheet/youtube_dl_1496479572333842439.mp4</t>
  </si>
  <si>
    <t>2022-02-25T13:08:13+00:00</t>
  </si>
  <si>
    <t>https://bellingcat-archive.nyc3.cdn.digitaloceanspaces.com/Ukraine_Witness_Datasheet/Worksheet/youtube_dl__GirkinGirkin_status_14964795723338424392022-02-25T13:08:00.942838.png</t>
  </si>
  <si>
    <t>48e1e2f8c5622ab1b75f3c5d04c5d78f69c8a8da8059ba04dd0371cd269c40b7</t>
  </si>
  <si>
    <t>https://bellingcat-archive.nyc3.cdn.digitaloceanspaces.com/Ukraine_Witness_Datasheet/Worksheet/youtube_dl_1496479572333842439/index.html</t>
  </si>
  <si>
    <t>IgorGirkin - Серетино, Белгородская обл</t>
  </si>
  <si>
    <t>2022-02-23T14:38:27+00:00</t>
  </si>
  <si>
    <t>https://twitter.com/YWNReporter/status/1496452064578347009</t>
  </si>
  <si>
    <t>convoy of tanks</t>
  </si>
  <si>
    <t>https://twitter.com/YWNReporter/status/1496452386054889472</t>
  </si>
  <si>
    <t>UW0503</t>
  </si>
  <si>
    <t>https://bellingcat-archive.nyc3.cdn.digitaloceanspaces.com/Ukraine_Witness_Datasheet/Worksheet/youtube_dl_1496452064578347009.mp4</t>
  </si>
  <si>
    <t>2022-02-25T13:07:55+00:00</t>
  </si>
  <si>
    <t>https://bellingcat-archive.nyc3.cdn.digitaloceanspaces.com/Ukraine_Witness_Datasheet/Worksheet/youtube_dl__YWNReporter_status_14964520645783470092022-02-25T13:07:42.680039.png</t>
  </si>
  <si>
    <t>a5955b97ef70d8b6a14f0a539ab2c8c7ca74d33fd37b541fcc76ef6c3a6e6c0f</t>
  </si>
  <si>
    <t>https://bellingcat-archive.nyc3.cdn.digitaloceanspaces.com/Ukraine_Witness_Datasheet/Worksheet/youtube_dl_1496452064578347009/index.html</t>
  </si>
  <si>
    <t>Moshe Schwartz - I've geolocated this video uploaded 2 hours ago to the Belgorod region of Russia just 8 miles from the Ukrainian border.  📍50.437254,36.380161 - Use Google Street View, however, note that you won't see street lights on the right side of the street.   See thread for details. 👇</t>
  </si>
  <si>
    <t>2022-02-23T12:49:09+00:00</t>
  </si>
  <si>
    <t>https://twitter.com/donetsk2022/status/1496489324208177158</t>
  </si>
  <si>
    <t>https://twitter.com/gfusfus/status/1496501211528372225</t>
  </si>
  <si>
    <t>UW0504</t>
  </si>
  <si>
    <t>https://bellingcat-archive.nyc3.cdn.digitaloceanspaces.com/Ukraine_Witness_Datasheet/Worksheet/youtube_dl_1496489324208177158.mp4</t>
  </si>
  <si>
    <t>2022-02-25T13:07:35+00:00</t>
  </si>
  <si>
    <t>https://bellingcat-archive.nyc3.cdn.digitaloceanspaces.com/Ukraine_Witness_Datasheet/Worksheet/youtube_dl__donetsk2022_status_14964893242081771582022-02-25T13:07:22.943514.png</t>
  </si>
  <si>
    <t>1d699f4e82dc825c5c27e39d8fd527809fc0ebad8ac670e8faf10d242dc36ff1</t>
  </si>
  <si>
    <t>https://bellingcat-archive.nyc3.cdn.digitaloceanspaces.com/Ukraine_Witness_Datasheet/Worksheet/youtube_dl_1496489324208177158/index.html</t>
  </si>
  <si>
    <t>Donetsk2022 - Белгородская обл,рядом с границей Укр</t>
  </si>
  <si>
    <t>2022-02-23T15:17:12+00:00</t>
  </si>
  <si>
    <t>BP</t>
  </si>
  <si>
    <t>https://twitter.com/COUPSURE/status/1496525699267575810?s=20&amp;t=KdhrRKwB4U_nBTFJYvUStA</t>
  </si>
  <si>
    <t>Russian military camp in southern Belarus</t>
  </si>
  <si>
    <t>Bragin</t>
  </si>
  <si>
    <t>Dublin</t>
  </si>
  <si>
    <t>UW0505</t>
  </si>
  <si>
    <t>https://bellingcat-archive.nyc3.cdn.digitaloceanspaces.com/Ukraine_Witness_Datasheet/Worksheet/twitter__COUPSURE_status_1496525699267575810.html</t>
  </si>
  <si>
    <t>2022-02-25T13:16:55+00:00</t>
  </si>
  <si>
    <t>https://bellingcat-archive.nyc3.cdn.digitaloceanspaces.com/Ukraine_Witness_Datasheet/Worksheet/twitter__COUPSURE_status_14965256992675758102022-02-25T13:16:45.326065.png</t>
  </si>
  <si>
    <t>8fafc048b6a90315f8913865ed5ec64c520b7d4bce93f3904ab21cd5d3b00e9a</t>
  </si>
  <si>
    <t>https://twitter.com/COUPSURE/status/1496375725145874432?s=20&amp;t=KdhrRKwB4U_nBTFJYvUStA</t>
  </si>
  <si>
    <t>Equipment leaving a Russian training ground</t>
  </si>
  <si>
    <t>Chkalova</t>
  </si>
  <si>
    <t>UW0506</t>
  </si>
  <si>
    <t>https://bellingcat-archive.nyc3.cdn.digitaloceanspaces.com/Ukraine_Witness_Datasheet/Worksheet/twitter__COUPSURE_status_1496375725145874432.html</t>
  </si>
  <si>
    <t>https://bellingcat-archive.nyc3.cdn.digitaloceanspaces.com/Ukraine_Witness_Datasheet/Worksheet/twitter__COUPSURE_status_14963757251458744322022-02-25T13:16:30.549629.png</t>
  </si>
  <si>
    <t>56ea745382288e71512d72c8eaf008a88e4b8851ddced2601c8142b656d7f533</t>
  </si>
  <si>
    <t>https://twitter.com/ckoettl/status/1496260001094156288?s=20&amp;t=oxD3uzr6oKtW9D0Xd07RaA</t>
  </si>
  <si>
    <t>Small camp setup after Feb. 5th around 7 miles from the Ukraine border</t>
  </si>
  <si>
    <t>Krasnyi Oktyabr'</t>
  </si>
  <si>
    <t>UW0507</t>
  </si>
  <si>
    <t>https://bellingcat-archive.nyc3.cdn.digitaloceanspaces.com/Ukraine_Witness_Datasheet/Worksheet/twitter__ckoettl_status_1496260001094156288.html</t>
  </si>
  <si>
    <t>https://bellingcat-archive.nyc3.cdn.digitaloceanspaces.com/Ukraine_Witness_Datasheet/Worksheet/twitter__ckoettl_status_14962600010941562882022-02-25T13:16:09.169536.png</t>
  </si>
  <si>
    <t>74d98d84c51269b88ad1ab14d21b6d81bcb433bc3a7ccfaa09a5592de5ed07db</t>
  </si>
  <si>
    <t>https://twitter.com/jakluge/status/1496521293126066181?s=20&amp;t=l9wWpS_B0SrTuJujs-1Nxg</t>
  </si>
  <si>
    <t>Russian TV with alleged shelling of journalists in Ukraine</t>
  </si>
  <si>
    <t>https://twitter.com/obretix/status/1496539729113853961?s=20&amp;t=l9wWpS_B0SrTuJujs-1Nxg</t>
  </si>
  <si>
    <t>UW0508</t>
  </si>
  <si>
    <t>https://bellingcat-archive.nyc3.cdn.digitaloceanspaces.com/Ukraine_Witness_Datasheet/Worksheet/youtube_dl_1496521293126066181.mp4</t>
  </si>
  <si>
    <t>2022-02-25T13:01:39+00:00</t>
  </si>
  <si>
    <t>https://bellingcat-archive.nyc3.cdn.digitaloceanspaces.com/Ukraine_Witness_Datasheet/Worksheet/youtube_dl__jakluge_status_14965212931260661812022-02-25T13:01:19.132790.png</t>
  </si>
  <si>
    <t>85a6980147fd8300cfe8764271cc1ffdbfbd70afc08b67b68d0ca2dd672e7b2a</t>
  </si>
  <si>
    <t>https://bellingcat-archive.nyc3.cdn.digitaloceanspaces.com/Ukraine_Witness_Datasheet/Worksheet/youtube_dl_1496521293126066181/index.html</t>
  </si>
  <si>
    <t>Janis Kluge - Russian TV with alleged shelling of journalists by #Ukraine. Judge for yourself how convincing you find it.</t>
  </si>
  <si>
    <t>2022-02-23T17:24:14+00:00</t>
  </si>
  <si>
    <t>https://twitter.com/ckoettl/status/1496261582929674245?s=20&amp;t=oxD3uzr6oKtW9D0Xd07RaA</t>
  </si>
  <si>
    <t>Field hospital and military camp in Belgorod</t>
  </si>
  <si>
    <t>UW0509</t>
  </si>
  <si>
    <t>https://bellingcat-archive.nyc3.cdn.digitaloceanspaces.com/Ukraine_Witness_Datasheet/Worksheet/twitter__ckoettl_status_1496261582929674245.html</t>
  </si>
  <si>
    <t>2022-02-25T13:16:04+00:00</t>
  </si>
  <si>
    <t>https://bellingcat-archive.nyc3.cdn.digitaloceanspaces.com/Ukraine_Witness_Datasheet/Worksheet/twitter__ckoettl_status_14962615829296742452022-02-25T13:15:51.428597.png</t>
  </si>
  <si>
    <t>a6dab292eb736ab15dd72eeff49c84b8fc6bb97a6bc89e56a7573d06a9d95db5</t>
  </si>
  <si>
    <t>https://twitter.com/GirkinGirkin/status/1496565850949787651?s=20&amp;t=4fxy5yNDvSfHsb64Wq4XsQ</t>
  </si>
  <si>
    <t>Possible 40N6-series radar mast for an S-300 or S-400</t>
  </si>
  <si>
    <t>https://twitter.com/RALee85/status/1496566802616401927?s=20&amp;t=r6FLoPR5kG__OC2393Ob7A</t>
  </si>
  <si>
    <t>Ulitsa Neftestroiteley</t>
  </si>
  <si>
    <t>UW0510</t>
  </si>
  <si>
    <t>YES</t>
  </si>
  <si>
    <t>https://bellingcat-archive.nyc3.cdn.digitaloceanspaces.com/Ukraine_Witness_Datasheet/Worksheet/twitter__GirkinGirkin_status_1496565850949787651.html</t>
  </si>
  <si>
    <t>2022-02-25T13:15:44+00:00</t>
  </si>
  <si>
    <t>https://bellingcat-archive.nyc3.cdn.digitaloceanspaces.com/Ukraine_Witness_Datasheet/Worksheet/twitter__GirkinGirkin_status_14965658509497876512022-02-25T13:15:32.004565.png</t>
  </si>
  <si>
    <t>3b68b66d8190555645e5e4a6ddada709cc1195374187aa1c5b682f23ae12366f</t>
  </si>
  <si>
    <t>https://twitter.com/L_Team10/status/1496187104786845700?s=20&amp;t=KdhrRKwB4U_nBTFJYvUStA</t>
  </si>
  <si>
    <t>Russian Military Movements + possible camp with a field hospital</t>
  </si>
  <si>
    <t>https://twitter.com/COUPSURE/status/1496190504198881282?s=20&amp;t=KdhrRKwB4U_nBTFJYvUStA</t>
  </si>
  <si>
    <t>UW0511</t>
  </si>
  <si>
    <t>https://bellingcat-archive.nyc3.cdn.digitaloceanspaces.com/Ukraine_Witness_Datasheet/Worksheet/youtube_dl_1496187104786845700.mp4</t>
  </si>
  <si>
    <t>2022-02-25T12:57:18+00:00</t>
  </si>
  <si>
    <t>https://bellingcat-archive.nyc3.cdn.digitaloceanspaces.com/Ukraine_Witness_Datasheet/Worksheet/youtube_dl__L_Team10_status_14961871047868457002022-02-25T12:56:58.503689.png</t>
  </si>
  <si>
    <t>32a65a387444a85ab99552973d81a1d36f7f314789de2621a41cd81be73b9468</t>
  </si>
  <si>
    <t>https://bellingcat-archive.nyc3.cdn.digitaloceanspaces.com/Ukraine_Witness_Datasheet/Worksheet/youtube_dl_1496187104786845700/index.html</t>
  </si>
  <si>
    <t>🅻-🆃🅴🅰🅼 - ⭕️🇷🇺#Russia: Belgorod today on February 22,2022.  👉Presumably, 📹 shows a concentration area of the Russian army</t>
  </si>
  <si>
    <t>2022-02-22T19:16:18+00:00</t>
  </si>
  <si>
    <t>Dorko</t>
  </si>
  <si>
    <t>https://twitter.com/michaelh992/status/1496082009088794625</t>
  </si>
  <si>
    <t>video</t>
  </si>
  <si>
    <t>Damage to power plant caused by shelling</t>
  </si>
  <si>
    <t>Luhansk Oblast</t>
  </si>
  <si>
    <t xml:space="preserve">Schastia </t>
  </si>
  <si>
    <t>UW0512</t>
  </si>
  <si>
    <t>https://bellingcat-archive.nyc3.cdn.digitaloceanspaces.com/Ukraine_Witness_Datasheet/Worksheet/youtube_dl_1496082009088794625.mp4</t>
  </si>
  <si>
    <t>2022-02-25T12:56:43+00:00</t>
  </si>
  <si>
    <t>https://bellingcat-archive.nyc3.cdn.digitaloceanspaces.com/Ukraine_Witness_Datasheet/Worksheet/youtube_dl__michaelh992_status_14960820090887946252022-02-25T12:56:25.981754.png</t>
  </si>
  <si>
    <t>a7f61e7f9cdec3bbca9375465078b52e831dcb9a08ac7e89686f9213b64f45ae</t>
  </si>
  <si>
    <t>https://bellingcat-archive.nyc3.cdn.digitaloceanspaces.com/Ukraine_Witness_Datasheet/Worksheet/youtube_dl_1496082009088794625/index.html</t>
  </si>
  <si>
    <t>Michael A. Horowitz - #Breaking a shell impacted the Luhansk power plant, in #Ukrainian-controlled territory in the Donbas</t>
  </si>
  <si>
    <t>2022-02-22T12:18:41+00:00</t>
  </si>
  <si>
    <t>https://twitter.com/COUPSURE/status/1496048169033117697?s=20&amp;t=KdhrRKwB4U_nBTFJYvUStA</t>
  </si>
  <si>
    <t>Military camp + field hospital (visible in Maxar imagery)</t>
  </si>
  <si>
    <t>Slavne</t>
  </si>
  <si>
    <t>UW0513</t>
  </si>
  <si>
    <t>https://bellingcat-archive.nyc3.cdn.digitaloceanspaces.com/Ukraine_Witness_Datasheet/Worksheet/youtube_dl_1496048169033117697.mp4</t>
  </si>
  <si>
    <t>2022-02-25T12:56:21+00:00</t>
  </si>
  <si>
    <t>https://bellingcat-archive.nyc3.cdn.digitaloceanspaces.com/Ukraine_Witness_Datasheet/Worksheet/youtube_dl__COUPSURE_status_14960481690331176972022-02-25T12:56:12.030080.png</t>
  </si>
  <si>
    <t>5f908070a38dd54aa6b2e361a207ab3a287916633fa2f65dd3aa32ce53e071ec</t>
  </si>
  <si>
    <t>C O U P S U R E - SAR imagery of the camp</t>
  </si>
  <si>
    <t>2022-02-22T10:04:13+00:00</t>
  </si>
  <si>
    <t>https://twitter.com/BackAndAlive/status/1496162101349523461</t>
  </si>
  <si>
    <t xml:space="preserve">Footage from film crews taking refuge from shelling </t>
  </si>
  <si>
    <t xml:space="preserve">Shchastia </t>
  </si>
  <si>
    <t xml:space="preserve">Щастя means "Schastia" Sunlight angle and layout of the streets, means it can only be Donets'ka St, 38А, this is the only building with two chimmneys </t>
  </si>
  <si>
    <t>UW0514</t>
  </si>
  <si>
    <t>https://bellingcat-archive.nyc3.cdn.digitaloceanspaces.com/Ukraine_Witness_Datasheet/Worksheet/youtube_dl_1496162101349523461.mp4</t>
  </si>
  <si>
    <t>2022-02-25T12:56:09+00:00</t>
  </si>
  <si>
    <t>https://bellingcat-archive.nyc3.cdn.digitaloceanspaces.com/Ukraine_Witness_Datasheet/Worksheet/youtube_dl__BackAndAlive_status_14961621013495234612022-02-25T12:55:57.421354.png</t>
  </si>
  <si>
    <t>846abeca4271831b2b9169252efefd81b82dac15836f982628f0835310c47474</t>
  </si>
  <si>
    <t>https://bellingcat-archive.nyc3.cdn.digitaloceanspaces.com/Ukraine_Witness_Datasheet/Worksheet/youtube_dl_1496162101349523461/index.html</t>
  </si>
  <si>
    <t>Повернись живим - 🚀 Обстріл Щастя 🇷🇺 окупантами з РСЗВ «Град».   Щонайменше 6 снарядів прилетіло в дачі біля міста. Дві садиби зайнялися. Постраждалих намагаються вивезти.   За запитом військових знімальна група «Повернись живим» вивезла з Щастя родину 🇺🇦захисника, їх  ділянку було обстріляно.</t>
  </si>
  <si>
    <t>2022-02-22T17:36:56+00:00</t>
  </si>
  <si>
    <t>https://twitter.com/yasiremres/status/1496196904161628162?s=20&amp;t=__rJZ_Gx8jw0w6qoKrMADA</t>
  </si>
  <si>
    <t>Papers being burned at the Russian consulat in Odessa</t>
  </si>
  <si>
    <t>https://twitter.com/COUPSURE/status/1496200356933824512?s=20&amp;t=__rJZ_Gx8jw0w6qoKrMADA</t>
  </si>
  <si>
    <t>Odessa Oblast</t>
  </si>
  <si>
    <t>Odessa</t>
  </si>
  <si>
    <t>UW0515</t>
  </si>
  <si>
    <t>https://bellingcat-archive.nyc3.cdn.digitaloceanspaces.com/Ukraine_Witness_Datasheet/Worksheet/youtube_dl_1496196904161628162.mp4</t>
  </si>
  <si>
    <t>2022-02-25T12:55:52+00:00</t>
  </si>
  <si>
    <t>https://bellingcat-archive.nyc3.cdn.digitaloceanspaces.com/Ukraine_Witness_Datasheet/Worksheet/youtube_dl__yasiremres_status_14961969041616281622022-02-25T12:55:39.535879.png</t>
  </si>
  <si>
    <t>3dafcd8bb1c6a2fea641fe2c9d4fe06b27b0d14155c65a7271c99abadd285003</t>
  </si>
  <si>
    <t>https://bellingcat-archive.nyc3.cdn.digitaloceanspaces.com/Ukraine_Witness_Datasheet/Worksheet/youtube_dl_1496196904161628162/index.html</t>
  </si>
  <si>
    <t>Yaser Emre - #Russia - #Ukraine</t>
  </si>
  <si>
    <t>2022-02-22T19:55:14+00:00</t>
  </si>
  <si>
    <t>Deleted</t>
  </si>
  <si>
    <t>https://www.tiktok.com/@andrei198803/video/7067969626512133382?is_copy_url=1&amp;is_from_webapp=v1</t>
  </si>
  <si>
    <t>Helicopters flying over city look like Mi-8 (22 seconds)</t>
  </si>
  <si>
    <t>One video first part showing launchers moving id by name of police and then location of the road with junction and buildings, helos flying over Kalinkavichy, (Id by buildings and stores)</t>
  </si>
  <si>
    <t>UW0516</t>
  </si>
  <si>
    <t>https://bellingcat-archive.nyc3.cdn.digitaloceanspaces.com/Ukraine_Witness_Datasheet/Worksheet/tiktok_7067969626512133382.mp4</t>
  </si>
  <si>
    <t>2022-02-25T12:55:32+00:00</t>
  </si>
  <si>
    <t>https://bellingcat-archive.nyc3.cdn.digitaloceanspaces.com/Ukraine_Witness_Datasheet/Worksheet/tiktok__@andrei198803_video_70679696265121333822022-02-25T12:55:23.863783.png</t>
  </si>
  <si>
    <t>9fe9518d470ff8594620a111b5e2bec905ba884d5371d4d4d5ab1a8e99c9cf34</t>
  </si>
  <si>
    <t>https://bellingcat-archive.nyc3.cdn.digitaloceanspaces.com/Ukraine_Witness_Datasheet/Worksheet/tiktok_7067969626512133382/index.html</t>
  </si>
  <si>
    <t>#беларусь #военнаятехника #вертолеты #022022 #чтопроисходит #непонятно</t>
  </si>
  <si>
    <t>2022-02-23T19:11:58+00:00</t>
  </si>
  <si>
    <t>Two transporters, 22T6 loader launcher moving S-400 missle Reload pods</t>
  </si>
  <si>
    <t>Grodno</t>
  </si>
  <si>
    <t>UW0517</t>
  </si>
  <si>
    <t>2022-02-25T12:55:14+00:00</t>
  </si>
  <si>
    <t>https://bellingcat-archive.nyc3.cdn.digitaloceanspaces.com/Ukraine_Witness_Datasheet/Worksheet/tiktok__@andrei198803_video_70679696265121333822022-02-25T12:55:03.210305.png</t>
  </si>
  <si>
    <t>24/02/2022</t>
  </si>
  <si>
    <t>https://twitter.com/ELINTNews/status/1496705653422895108/video/1</t>
  </si>
  <si>
    <t>Russian multiple launch rocket systems (MLRS) impacting reportedly on the outskirts of Kharkiv</t>
  </si>
  <si>
    <t>https://twitter.com/Cen4infoRes/status/1496723182354640897?s=20&amp;t=vYbp3tDSULu9BJiKXp-wQA</t>
  </si>
  <si>
    <t>Kharkiv Oblast</t>
  </si>
  <si>
    <t xml:space="preserve">Kharkiv </t>
  </si>
  <si>
    <t>UW0518</t>
  </si>
  <si>
    <t>https://bellingcat-archive.nyc3.cdn.digitaloceanspaces.com/Ukraine_Witness_Datasheet/Worksheet/youtube_dl_1496705653422895108.mp4</t>
  </si>
  <si>
    <t>2022-02-25T12:54:41+00:00</t>
  </si>
  <si>
    <t>https://bellingcat-archive.nyc3.cdn.digitaloceanspaces.com/Ukraine_Witness_Datasheet/Worksheet/youtube_dl__ELINTNews_status_1496705653422895108_video_12022-02-25T12:54:28.923939.png</t>
  </si>
  <si>
    <t>8dbf799b9d45501a49e6db5d12cd177feffa09986fcbb7b9ab8d668930f57f19</t>
  </si>
  <si>
    <t>https://bellingcat-archive.nyc3.cdn.digitaloceanspaces.com/Ukraine_Witness_Datasheet/Worksheet/youtube_dl_1496705653422895108/index.html</t>
  </si>
  <si>
    <t>ELINT News - Russian multiple launch rocket systems (MLRS) impacting reportedly on the outskirts of Kharkiv</t>
  </si>
  <si>
    <t>2022-02-24T05:36:49+00:00</t>
  </si>
  <si>
    <t>https://twitter.com/NewsX/status/1496729252795928578</t>
  </si>
  <si>
    <t>Bombing in the city</t>
  </si>
  <si>
    <t>Ivano-Frankivsk Oblast</t>
  </si>
  <si>
    <t xml:space="preserve">Ivano-Frankivsk </t>
  </si>
  <si>
    <t>UW0519</t>
  </si>
  <si>
    <t>https://bellingcat-archive.nyc3.cdn.digitaloceanspaces.com/Ukraine_Witness_Datasheet/Worksheet/youtube_dl_1496729252795928578.mp4</t>
  </si>
  <si>
    <t>2022-02-25T12:54:24+00:00</t>
  </si>
  <si>
    <t>https://bellingcat-archive.nyc3.cdn.digitaloceanspaces.com/Ukraine_Witness_Datasheet/Worksheet/youtube_dl__NewsX_status_14967292527959285782022-02-25T12:54:12.953956.png</t>
  </si>
  <si>
    <t>2a780d5799e291ba14c0a157c89990b61281c5e0988c6bf19078a5b1c0e4fbf5</t>
  </si>
  <si>
    <t>https://bellingcat-archive.nyc3.cdn.digitaloceanspaces.com/Ukraine_Witness_Datasheet/Worksheet/youtube_dl_1496729252795928578/index.html</t>
  </si>
  <si>
    <t>NewsX - #BreakingNews | Russian army bombing in Ivano-Frankivsk city of Ukraine.</t>
  </si>
  <si>
    <t>2022-02-24T07:10:36+00:00</t>
  </si>
  <si>
    <t>https://twitter.com/Capt_Navy/status/1496732785771483143</t>
  </si>
  <si>
    <t>https://twitter.com/COUPSURE/status/1496734007081549826</t>
  </si>
  <si>
    <t>Armiansk</t>
  </si>
  <si>
    <t>UW0520</t>
  </si>
  <si>
    <t>https://bellingcat-archive.nyc3.cdn.digitaloceanspaces.com/Ukraine_Witness_Datasheet/Worksheet/youtube_dl_1496732785771483143.mp4</t>
  </si>
  <si>
    <t>2022-02-25T12:54:08+00:00</t>
  </si>
  <si>
    <t>https://bellingcat-archive.nyc3.cdn.digitaloceanspaces.com/Ukraine_Witness_Datasheet/Worksheet/youtube_dl__Capt_Navy_status_14967327857714831432022-02-25T12:53:56.595013.png</t>
  </si>
  <si>
    <t>c70b336f71aea074ca84bdb216e96c06f26eac9b4fdbaef5a6e794bf90671a6d</t>
  </si>
  <si>
    <t>https://bellingcat-archive.nyc3.cdn.digitaloceanspaces.com/Ukraine_Witness_Datasheet/Worksheet/youtube_dl_1496732785771483143/index.html</t>
  </si>
  <si>
    <t>Capt(N) - #war The footage was taken this morning in the city of Armyansk in the north of the Crimean peninsula.</t>
  </si>
  <si>
    <t>2022-02-24T07:24:38+00:00</t>
  </si>
  <si>
    <t>https://twitter.com/tom_bullock_/status/1496742808358686723</t>
  </si>
  <si>
    <t>Russian tanks in Kharkiv</t>
  </si>
  <si>
    <t>https://twitter.com/michael1sheldon/status/1496743960445952004?s=21</t>
  </si>
  <si>
    <t>Kharkiv</t>
  </si>
  <si>
    <t>UW0521</t>
  </si>
  <si>
    <t xml:space="preserve"> Russian Military Movements </t>
  </si>
  <si>
    <t>https://bellingcat-archive.nyc3.cdn.digitaloceanspaces.com/Ukraine_Witness_Datasheet/Worksheet/twitter__tom_bullock__status_1496742808358686723.html</t>
  </si>
  <si>
    <t>2022-02-25T12:53:52+00:00</t>
  </si>
  <si>
    <t>https://bellingcat-archive.nyc3.cdn.digitaloceanspaces.com/Ukraine_Witness_Datasheet/Worksheet/twitter__tom_bullock__status_14967428083586867232022-02-25T12:53:43.590424.png</t>
  </si>
  <si>
    <t>8179e7a10a43f16ae1b5482a412e1c8ff7edcbbd6d37b05cd119190306f16501</t>
  </si>
  <si>
    <t>https://twitter.com/zyundex/status/1496735074720563203?s=21</t>
  </si>
  <si>
    <t>Body covered by blanket in street where bombing was claimed to have happened</t>
  </si>
  <si>
    <t>Cherkasy Oblast</t>
  </si>
  <si>
    <t>Uman'</t>
  </si>
  <si>
    <t>UW0522</t>
  </si>
  <si>
    <t>https://bellingcat-archive.nyc3.cdn.digitaloceanspaces.com/Ukraine_Witness_Datasheet/Worksheet/youtube_dl_1496735074720563203.mp4</t>
  </si>
  <si>
    <t>2022-02-25T12:53:40+00:00</t>
  </si>
  <si>
    <t>https://bellingcat-archive.nyc3.cdn.digitaloceanspaces.com/Ukraine_Witness_Datasheet/Worksheet/youtube_dl__zyundex_status_14967350747205632032022-02-25T12:53:28.079389.png</t>
  </si>
  <si>
    <t>d4150b13b3dfb1a217679d9b3f436d36e37e231a3a6df78dd8560a04906af626</t>
  </si>
  <si>
    <t>https://bellingcat-archive.nyc3.cdn.digitaloceanspaces.com/Ukraine_Witness_Datasheet/Worksheet/youtube_dl_1496735074720563203/index.html</t>
  </si>
  <si>
    <t>ZYUNDEX - На этом видео из Умани (Черкасская область) жертва бомбардировки и последствия атаки.</t>
  </si>
  <si>
    <t>2022-02-24T07:33:44+00:00</t>
  </si>
  <si>
    <t>https://twitter.com/AlexanderLouri4/status/1496761690561683456?s=20&amp;t=AjOjSdcrpAlShDB8aSAywA</t>
  </si>
  <si>
    <t>Residential area that is claimed to have been bombed</t>
  </si>
  <si>
    <t>Chuhuiv</t>
  </si>
  <si>
    <t>UW0523</t>
  </si>
  <si>
    <t>https://bellingcat-archive.nyc3.cdn.digitaloceanspaces.com/Ukraine_Witness_Datasheet/Worksheet/youtube_dl_1496761690561683456.mp4</t>
  </si>
  <si>
    <t>2022-02-25T12:53:22+00:00</t>
  </si>
  <si>
    <t>https://bellingcat-archive.nyc3.cdn.digitaloceanspaces.com/Ukraine_Witness_Datasheet/Worksheet/youtube_dl__AlexanderLouri4_status_14967616905616834562022-02-25T12:53:09.710816.png</t>
  </si>
  <si>
    <t>e2ba00e9cd1fc4bf31fe97131b6bd0809ff7f6662115c563c5026995459501a1</t>
  </si>
  <si>
    <t>https://bellingcat-archive.nyc3.cdn.digitaloceanspaces.com/Ukraine_Witness_Datasheet/Worksheet/youtube_dl_1496761690561683456/index.html</t>
  </si>
  <si>
    <t>Alexander Lourie - Russians bombed a civilian apartment complex in Chuhuiv, near Kharkiv</t>
  </si>
  <si>
    <t>2022-02-24T09:19:30+00:00</t>
  </si>
  <si>
    <t>https://twitter.com/AlexanderLouri4/status/1496761690561683456?s=20&amp;t=9ggNlm9Ee7pWqGyL3Vb09w</t>
  </si>
  <si>
    <t>2022-02-25T12:53:06+00:00</t>
  </si>
  <si>
    <t>https://bellingcat-archive.nyc3.cdn.digitaloceanspaces.com/Ukraine_Witness_Datasheet/Worksheet/youtube_dl__AlexanderLouri4_status_14967616905616834562022-02-25T12:52:53.669460.png</t>
  </si>
  <si>
    <t>https://twitter.com/JimmySecUK/status/1496754882002534400?s=20&amp;t=9ggNlm9Ee7pWqGyL3Vb09w</t>
  </si>
  <si>
    <t>https://bellingcat-archive.nyc3.cdn.digitaloceanspaces.com/Ukraine_Witness_Datasheet/Worksheet/youtube_dl_1496754882002534400.mp4</t>
  </si>
  <si>
    <t>2022-02-25T12:52:48+00:00</t>
  </si>
  <si>
    <t>https://bellingcat-archive.nyc3.cdn.digitaloceanspaces.com/Ukraine_Witness_Datasheet/Worksheet/youtube_dl__JimmySecUK_status_14967548820025344002022-02-25T12:52:36.390278.png</t>
  </si>
  <si>
    <t>4f75933ffb862e42f8281eedb9afcb0dc5a041fdda4d0c72485b084d6003a758</t>
  </si>
  <si>
    <t>https://bellingcat-archive.nyc3.cdn.digitaloceanspaces.com/Ukraine_Witness_Datasheet/Worksheet/youtube_dl_1496754882002534400/index.html</t>
  </si>
  <si>
    <t>Jimmy - More footage of the apartment block that was hit by Russian heavy artillery in Chuhuiv, south of Kharkiv. You can see the utter devastation caused by this indiscriminate attack on a clearly civilian target.   This is a clear and unambiguous war crime.</t>
  </si>
  <si>
    <t>2022-02-24T08:52:26+00:00</t>
  </si>
  <si>
    <t>https://twitter.com/Caucasuswar/status/1496742212947820545</t>
  </si>
  <si>
    <t>Russian forces on the outskirts of Kharkiv</t>
  </si>
  <si>
    <t>https://twitter.com/gfusfus/status/1496747356276076548</t>
  </si>
  <si>
    <t xml:space="preserve">Ukraine </t>
  </si>
  <si>
    <t>UW0526</t>
  </si>
  <si>
    <t>https://bellingcat-archive.nyc3.cdn.digitaloceanspaces.com/Ukraine_Witness_Datasheet/Worksheet/youtube_dl_1496742212947820545.mp4</t>
  </si>
  <si>
    <t>2022-02-25T12:52:29+00:00</t>
  </si>
  <si>
    <t>https://bellingcat-archive.nyc3.cdn.digitaloceanspaces.com/Ukraine_Witness_Datasheet/Worksheet/youtube_dl__Caucasuswar_status_14967422129478205452022-02-25T12:52:17.352217.png</t>
  </si>
  <si>
    <t>c99450ab76b66557faf87a8f03e4d94ee2d4d7bbede90cbba512e226869ab045</t>
  </si>
  <si>
    <t>https://bellingcat-archive.nyc3.cdn.digitaloceanspaces.com/Ukraine_Witness_Datasheet/Worksheet/youtube_dl_1496742212947820545/index.html</t>
  </si>
  <si>
    <t>CaucasusWarReport - Footage of Russian forces in the outskirts of Kharkov city. Looks like Ukrainian civilians are stuck there.</t>
  </si>
  <si>
    <t>2022-02-24T08:02:06+00:00</t>
  </si>
  <si>
    <t>https://twitter.com/KyleJGlen/status/1496773833839230977</t>
  </si>
  <si>
    <t xml:space="preserve">Smoke from explosion in the background </t>
  </si>
  <si>
    <t>https://twitter.com/gfusfus/status/1496782315388764161</t>
  </si>
  <si>
    <t>Odesa</t>
  </si>
  <si>
    <t>UW0527</t>
  </si>
  <si>
    <t>https://bellingcat-archive.nyc3.cdn.digitaloceanspaces.com/Ukraine_Witness_Datasheet/Worksheet/youtube_dl_1496773833839230977.mp4</t>
  </si>
  <si>
    <t>2022-02-25T12:52:12+00:00</t>
  </si>
  <si>
    <t>https://bellingcat-archive.nyc3.cdn.digitaloceanspaces.com/Ukraine_Witness_Datasheet/Worksheet/youtube_dl__KyleJGlen_status_14967738338392309772022-02-25T12:52:00.563143.png</t>
  </si>
  <si>
    <t>858b3a36951c51b5acef6395c2840e9537e12136acf0e38da2166785809bb7ae</t>
  </si>
  <si>
    <t>https://bellingcat-archive.nyc3.cdn.digitaloceanspaces.com/Ukraine_Witness_Datasheet/Worksheet/youtube_dl_1496773833839230977/index.html</t>
  </si>
  <si>
    <t>Kyle Glen - Smoke is still rising over the city of Odessa in Ukraine. There are unconfirmed reports of additional missile impacts in the city.</t>
  </si>
  <si>
    <t>2022-02-24T10:07:45+00:00</t>
  </si>
  <si>
    <t>https://twitter.com/sebshukla/status/1496770773612371971</t>
  </si>
  <si>
    <t>https://twitter.com/gfusfus/status/1496775016800657408</t>
  </si>
  <si>
    <t>Nikolske</t>
  </si>
  <si>
    <t>UW0528</t>
  </si>
  <si>
    <t>https://bellingcat-archive.nyc3.cdn.digitaloceanspaces.com/Ukraine_Witness_Datasheet/Worksheet/twitter__sebshukla_status_1496770773612371971.html</t>
  </si>
  <si>
    <t>2022-02-25T12:51:51+00:00</t>
  </si>
  <si>
    <t>https://bellingcat-archive.nyc3.cdn.digitaloceanspaces.com/Ukraine_Witness_Datasheet/Worksheet/twitter__sebshukla_status_14967707736123719712022-02-25T12:51:41.191074.png</t>
  </si>
  <si>
    <t>4b7a0d2debbf2adea3e4a7b3622ba2b299755072571a0f6429b76eff67b7ae62</t>
  </si>
  <si>
    <t>https://twitter.com/RALee85/status/1496790012242837506</t>
  </si>
  <si>
    <t xml:space="preserve">Tanks moving towards north Crimea </t>
  </si>
  <si>
    <t>https://twitter.com/john_marquee/status/1496791001427374080</t>
  </si>
  <si>
    <t>Kherson Oblast</t>
  </si>
  <si>
    <t>Tavriis'k</t>
  </si>
  <si>
    <t>UW0529</t>
  </si>
  <si>
    <t xml:space="preserve"> Russian Military Movements</t>
  </si>
  <si>
    <t>https://bellingcat-archive.nyc3.cdn.digitaloceanspaces.com/Ukraine_Witness_Datasheet/Worksheet/youtube_dl_-123538639_456275300.mp4</t>
  </si>
  <si>
    <t>2022-02-25T12:51:37+00:00</t>
  </si>
  <si>
    <t>https://bellingcat-archive.nyc3.cdn.digitaloceanspaces.com/Ukraine_Witness_Datasheet/Worksheet/youtube_dl__RALee85_status_14967900122428375062022-02-25T12:50:46.277517.png</t>
  </si>
  <si>
    <t>7378324a1caf5e2a0860795469be42c33e62389c54a506d74f2fe9425b9bcbbf</t>
  </si>
  <si>
    <t>https://bellingcat-archive.nyc3.cdn.digitaloceanspaces.com/Ukraine_Witness_Datasheet/Worksheet/youtube_dl_-123538639_456275300/index.html</t>
  </si>
  <si>
    <t>Украина, ZZ-top-column</t>
  </si>
  <si>
    <t>2022-02-24T10:22:20+00:00</t>
  </si>
  <si>
    <t>https://twitter.com/Volnovakha/status/1496789425287839746</t>
  </si>
  <si>
    <t>INV0002</t>
  </si>
  <si>
    <t>Artillery strike at hospital</t>
  </si>
  <si>
    <t>Vuhledar</t>
  </si>
  <si>
    <t>UW0530</t>
  </si>
  <si>
    <t>https://bellingcat-archive.nyc3.cdn.digitaloceanspaces.com/Ukraine_Witness_Datasheet/Worksheet/twitter__Volnovakha_status_1496789425287839746.html</t>
  </si>
  <si>
    <t>2022-02-25T12:43:16+00:00</t>
  </si>
  <si>
    <t>https://bellingcat-archive.nyc3.cdn.digitaloceanspaces.com/Ukraine_Witness_Datasheet/Worksheet/twitter__Volnovakha_status_14967894252878397462022-02-25T12:43:07.309269.png</t>
  </si>
  <si>
    <t>898947c9c777bd06723fb8d1068d86738623b81e44eb51e70506deaf2f615519</t>
  </si>
  <si>
    <t>https://twitter.com/RALee85/status/1496774496790929412</t>
  </si>
  <si>
    <t>Fighting in the background</t>
  </si>
  <si>
    <t>https://twitter.com/john_marquee/status/1496781846130032641</t>
  </si>
  <si>
    <t>UW0531</t>
  </si>
  <si>
    <t xml:space="preserve">Explosion </t>
  </si>
  <si>
    <t>https://bellingcat-archive.nyc3.cdn.digitaloceanspaces.com/Ukraine_Witness_Datasheet/Worksheet/youtube_dl_1496774496790929412.mp4</t>
  </si>
  <si>
    <t>2022-02-25T12:43:04+00:00</t>
  </si>
  <si>
    <t>https://bellingcat-archive.nyc3.cdn.digitaloceanspaces.com/Ukraine_Witness_Datasheet/Worksheet/youtube_dl__RALee85_status_14967744967909294122022-02-25T12:42:52.028074.png</t>
  </si>
  <si>
    <t>74f6966cd20137d15f4b7eb2596c192845d5e67ca799a7705776619b5be27f26</t>
  </si>
  <si>
    <t>https://bellingcat-archive.nyc3.cdn.digitaloceanspaces.com/Ukraine_Witness_Datasheet/Worksheet/youtube_dl_1496774496790929412/index.html</t>
  </si>
  <si>
    <t>Rob Lee - Reportedly video of fighting outside of Kharkiv. Sounds like small arms fire but it is hard to tell.</t>
  </si>
  <si>
    <t>2022-02-24T10:10:23+00:00</t>
  </si>
  <si>
    <t>https://twitter.com/oryxspioenkop/status/1496788629527564293</t>
  </si>
  <si>
    <t>Destroyed Ukrainian military equipment</t>
  </si>
  <si>
    <t>https://twitter.com/john_marquee/status/1496792740457115650</t>
  </si>
  <si>
    <t>Alisivka</t>
  </si>
  <si>
    <t>UW0532</t>
  </si>
  <si>
    <t>Russian military losses</t>
  </si>
  <si>
    <t>https://bellingcat-archive.nyc3.cdn.digitaloceanspaces.com/Ukraine_Witness_Datasheet/Worksheet/youtube_dl_1496788629527564293.mp4</t>
  </si>
  <si>
    <t>2022-02-25T12:42:47+00:00</t>
  </si>
  <si>
    <t>https://bellingcat-archive.nyc3.cdn.digitaloceanspaces.com/Ukraine_Witness_Datasheet/Worksheet/youtube_dl__oryxspioenkop_status_14967886295275642932022-02-25T12:42:35.869472.png</t>
  </si>
  <si>
    <t>5a42b479aebfe4156a7ca12d744ebd8f0e0eae158ff7b012aa0bf996c98603b8</t>
  </si>
  <si>
    <t>https://bellingcat-archive.nyc3.cdn.digitaloceanspaces.com/Ukraine_Witness_Datasheet/Worksheet/youtube_dl_1496788629527564293/index.html</t>
  </si>
  <si>
    <t>Oryx - Footage shows a destroyed Ukrainian BTR-4 IFV and a Russian Tiger-M IMV that is also destroyed.</t>
  </si>
  <si>
    <t>2022-02-24T11:06:32+00:00</t>
  </si>
  <si>
    <t>https://twitter.com/200_zoka/status/1496763694159695873</t>
  </si>
  <si>
    <t>Destroyed radar base</t>
  </si>
  <si>
    <t>https://twitter.com/john_marquee/status/1496768232186728452</t>
  </si>
  <si>
    <t>Donetsk Oblast</t>
  </si>
  <si>
    <t>Mariupol'</t>
  </si>
  <si>
    <t>UW0533</t>
  </si>
  <si>
    <t>Military infrastructure damage</t>
  </si>
  <si>
    <t>https://bellingcat-archive.nyc3.cdn.digitaloceanspaces.com/Ukraine_Witness_Datasheet/Worksheet/youtube_dl_1496763694159695873.mp4</t>
  </si>
  <si>
    <t>2022-02-25T12:42:31+00:00</t>
  </si>
  <si>
    <t>https://bellingcat-archive.nyc3.cdn.digitaloceanspaces.com/Ukraine_Witness_Datasheet/Worksheet/youtube_dl__200_zoka_status_14967636941596958732022-02-25T12:42:18.665845.png</t>
  </si>
  <si>
    <t>f6945838617b6b67f14857473be845c669f5a7041cfc044b7583ec6b7064b087</t>
  </si>
  <si>
    <t>https://bellingcat-archive.nyc3.cdn.digitaloceanspaces.com/Ukraine_Witness_Datasheet/Worksheet/youtube_dl_1496763694159695873/index.html</t>
  </si>
  <si>
    <t>ZOKA - Mariupol Radar base</t>
  </si>
  <si>
    <t>2022-02-24T09:27:27+00:00</t>
  </si>
  <si>
    <t>https://twitter.com/dzyga71/status/1496719052592631809</t>
  </si>
  <si>
    <t>Explosion in the background</t>
  </si>
  <si>
    <t>https://twitter.com/john_marquee/status/1496729048000593921</t>
  </si>
  <si>
    <t>UW0534</t>
  </si>
  <si>
    <t>https://bellingcat-archive.nyc3.cdn.digitaloceanspaces.com/Ukraine_Witness_Datasheet/Worksheet/youtube_dl_1496719052592631809.mp4</t>
  </si>
  <si>
    <t>2022-02-25T12:41:55+00:00</t>
  </si>
  <si>
    <t>https://bellingcat-archive.nyc3.cdn.digitaloceanspaces.com/Ukraine_Witness_Datasheet/Worksheet/youtube_dl__dzyga71_status_14967190525926318092022-02-25T12:41:42.976237.png</t>
  </si>
  <si>
    <t>04caaa24669cd418d171c4f95b6bc030586b38731298f6fb8912cba5692aa73d</t>
  </si>
  <si>
    <t>https://bellingcat-archive.nyc3.cdn.digitaloceanspaces.com/Ukraine_Witness_Datasheet/Worksheet/youtube_dl_1496719052592631809/index.html</t>
  </si>
  <si>
    <t>Anastasiya Dzyga - Currently situation in my city. That's Ivano-Frankivsk, 300 km from Poland, NATO state, and who what to tell me that would be different and we need to refuse from our wishes to become NATO member.</t>
  </si>
  <si>
    <t>2022-02-24T06:30:04+00:00</t>
  </si>
  <si>
    <t>https://twitter.com/RALee85/status/1496735344221470721</t>
  </si>
  <si>
    <t xml:space="preserve">Explosion near the airport </t>
  </si>
  <si>
    <t>https://twitter.com/john_marquee/status/1496749318094479370</t>
  </si>
  <si>
    <t>UW0535</t>
  </si>
  <si>
    <t>https://bellingcat-archive.nyc3.cdn.digitaloceanspaces.com/Ukraine_Witness_Datasheet/Worksheet/youtube_dl_1496735344221470721.mp4</t>
  </si>
  <si>
    <t>2022-02-25T12:41:38+00:00</t>
  </si>
  <si>
    <t>https://bellingcat-archive.nyc3.cdn.digitaloceanspaces.com/Ukraine_Witness_Datasheet/Worksheet/youtube_dl__RALee85_status_14967353442214707212022-02-25T12:41:27.271364.png</t>
  </si>
  <si>
    <t>16f3d29217f3fdf34b7d4ef948de3e5db5c9666029208e8f5851af52469a2b5b</t>
  </si>
  <si>
    <t>https://bellingcat-archive.nyc3.cdn.digitaloceanspaces.com/Ukraine_Witness_Datasheet/Worksheet/youtube_dl_1496735344221470721/index.html</t>
  </si>
  <si>
    <t>Rob Lee - Reportedly a Kalibr cruise missile striking a target at the Ivano-Frankivsk airport.</t>
  </si>
  <si>
    <t>2022-02-24T07:34:48+00:00</t>
  </si>
  <si>
    <t>https://twitter.com/Michael1Sheldon/status/1496807616605040647</t>
  </si>
  <si>
    <t>Missile launches</t>
  </si>
  <si>
    <t>https://twitter.com/Michael1Sheldon/status/1496808278466117634</t>
  </si>
  <si>
    <t>UW0536</t>
  </si>
  <si>
    <t>missile</t>
  </si>
  <si>
    <t>https://bellingcat-archive.nyc3.cdn.digitaloceanspaces.com/Ukraine_Witness_Datasheet/Worksheet/youtube_dl_1496807616605040647.mp4</t>
  </si>
  <si>
    <t>2022-02-25T12:41:22+00:00</t>
  </si>
  <si>
    <t>https://bellingcat-archive.nyc3.cdn.digitaloceanspaces.com/Ukraine_Witness_Datasheet/Worksheet/youtube_dl__Michael1Sheldon_status_14968076166050406472022-02-25T12:41:06.048418.png</t>
  </si>
  <si>
    <t>a6f102091fc186ce8d63fd869cb81f04dd18ab73579b66e13ee5d411708068ba</t>
  </si>
  <si>
    <t>https://bellingcat-archive.nyc3.cdn.digitaloceanspaces.com/Ukraine_Witness_Datasheet/Worksheet/youtube_dl_1496807616605040647/index.html</t>
  </si>
  <si>
    <t>Michael Sheldon - https://t.co/VYnabxfU83</t>
  </si>
  <si>
    <t>2022-02-24T12:21:59+00:00</t>
  </si>
  <si>
    <t>https://twitter.com/Michael1Sheldon/status/1496731220138414082</t>
  </si>
  <si>
    <t>Helicopters over Luhansk</t>
  </si>
  <si>
    <t>https://twitter.com/Michael1Sheldon/status/1496731457871568900</t>
  </si>
  <si>
    <t>UW0537</t>
  </si>
  <si>
    <t>https://bellingcat-archive.nyc3.cdn.digitaloceanspaces.com/Ukraine_Witness_Datasheet/Worksheet/youtube_dl_1496731220138414082.mp4</t>
  </si>
  <si>
    <t>2022-02-25T12:40:59+00:00</t>
  </si>
  <si>
    <t>https://bellingcat-archive.nyc3.cdn.digitaloceanspaces.com/Ukraine_Witness_Datasheet/Worksheet/youtube_dl__Michael1Sheldon_status_14967312201384140822022-02-25T12:40:47.611423.png</t>
  </si>
  <si>
    <t>066f1e2c1f0ce4fd57b6f984673eae830bf1cb416bd084e24771fc260154ba31</t>
  </si>
  <si>
    <t>https://bellingcat-archive.nyc3.cdn.digitaloceanspaces.com/Ukraine_Witness_Datasheet/Worksheet/youtube_dl_1496731220138414082/index.html</t>
  </si>
  <si>
    <t>Michael Sheldon - Russian helicopters over Luhansk.</t>
  </si>
  <si>
    <t>2022-02-24T07:18:25+00:00</t>
  </si>
  <si>
    <t>https://twitter.com/ua_industrial/status/1496709775886884871</t>
  </si>
  <si>
    <t>Explosions in the background</t>
  </si>
  <si>
    <t>https://twitter.com/Michael1Sheldon/status/1496721524119715843</t>
  </si>
  <si>
    <t>UW0538</t>
  </si>
  <si>
    <t>https://bellingcat-archive.nyc3.cdn.digitaloceanspaces.com/Ukraine_Witness_Datasheet/Worksheet/youtube_dl_1496709775886884871.mp4</t>
  </si>
  <si>
    <t>2022-02-25T12:40:42+00:00</t>
  </si>
  <si>
    <t>https://bellingcat-archive.nyc3.cdn.digitaloceanspaces.com/Ukraine_Witness_Datasheet/Worksheet/youtube_dl__ua_industrial_status_14967097758868848712022-02-25T12:40:31.625406.png</t>
  </si>
  <si>
    <t>c7655cdfa4e50813d52fbbd5d89eb0260069f9fd5a930894f5b4f0def80c78e0</t>
  </si>
  <si>
    <t>https://bellingcat-archive.nyc3.cdn.digitaloceanspaces.com/Ukraine_Witness_Datasheet/Worksheet/youtube_dl_1496709775886884871/index.html</t>
  </si>
  <si>
    <t>Промисловий Портал - Щастя, ракета влучила в інтернат. Про постраждалих не відомо.</t>
  </si>
  <si>
    <t>2022-02-24T05:53:12+00:00</t>
  </si>
  <si>
    <t>https://twitter.com/Michael1Sheldon/status/1496717647089651716</t>
  </si>
  <si>
    <t>CIV0001</t>
  </si>
  <si>
    <t>UW0539</t>
  </si>
  <si>
    <t>no</t>
  </si>
  <si>
    <t>https://bellingcat-archive.nyc3.cdn.digitaloceanspaces.com/Ukraine_Witness_Datasheet/Worksheet/twitter__Michael1Sheldon_status_1496717647089651716.html</t>
  </si>
  <si>
    <t>2022-02-25T12:40:26+00:00</t>
  </si>
  <si>
    <t>https://bellingcat-archive.nyc3.cdn.digitaloceanspaces.com/Ukraine_Witness_Datasheet/Worksheet/twitter__Michael1Sheldon_status_14967176470896517162022-02-25T12:40:16.213810.png</t>
  </si>
  <si>
    <t>b8612342fbcb8171f2fc92b7d4c76e5131fdfce09b2b85737e6fe1bd231fc91c</t>
  </si>
  <si>
    <t>https://twitter.com/DeanoBeano1/status/1496806993448902658</t>
  </si>
  <si>
    <t>Helicopters moving towards airfield</t>
  </si>
  <si>
    <t>Kyiv Oblast</t>
  </si>
  <si>
    <t>Hostomel</t>
  </si>
  <si>
    <t>UW0540</t>
  </si>
  <si>
    <t>https://bellingcat-archive.nyc3.cdn.digitaloceanspaces.com/Ukraine_Witness_Datasheet/Worksheet/youtube_dl_1496806993448902658.mp4</t>
  </si>
  <si>
    <t>2022-02-25T12:40:12+00:00</t>
  </si>
  <si>
    <t>https://bellingcat-archive.nyc3.cdn.digitaloceanspaces.com/Ukraine_Witness_Datasheet/Worksheet/youtube_dl__DeanoBeano1_status_14968069934489026582022-02-25T12:40:00.614768.png</t>
  </si>
  <si>
    <t>eb32d411dd2b63d82070b789d904a25ca9ce192562e112bdeed6e66e08093c71</t>
  </si>
  <si>
    <t>https://bellingcat-archive.nyc3.cdn.digitaloceanspaces.com/Ukraine_Witness_Datasheet/Worksheet/youtube_dl_1496806993448902658/index.html</t>
  </si>
  <si>
    <t>Dean O'Brien - 🇷🇺🇺🇦 ⚡️Another video from Gostomel, about 30 Russian helicopters moving forward</t>
  </si>
  <si>
    <t>2022-02-24T12:19:31+00:00</t>
  </si>
  <si>
    <t>https://twitter.com/Kyruer/status/1496813193011908609</t>
  </si>
  <si>
    <t>Destroyed military equipment</t>
  </si>
  <si>
    <t>https://twitter.com/gfusfus/status/1496816120703107073</t>
  </si>
  <si>
    <t>UW0541</t>
  </si>
  <si>
    <t>https://bellingcat-archive.nyc3.cdn.digitaloceanspaces.com/Ukraine_Witness_Datasheet/Worksheet/twitter__Kyruer_status_1496813193011908609.html</t>
  </si>
  <si>
    <t>2022-02-25T12:39:56+00:00</t>
  </si>
  <si>
    <t>https://bellingcat-archive.nyc3.cdn.digitaloceanspaces.com/Ukraine_Witness_Datasheet/Worksheet/twitter__Kyruer_status_14968131930119086092022-02-25T12:39:47.178894.png</t>
  </si>
  <si>
    <t>144f72fd77caa290e357f6687c5fddeafd5b0d2e16124ead05b28e4583fcb638</t>
  </si>
  <si>
    <t>https://twitter.com/RALee85/status/1496809383929524230</t>
  </si>
  <si>
    <t xml:space="preserve">Helicopter bombing </t>
  </si>
  <si>
    <t>https://twitter.com/EydouxT/status/1496811750628511755</t>
  </si>
  <si>
    <t>Hostomel'</t>
  </si>
  <si>
    <t>UW0542</t>
  </si>
  <si>
    <t>https://bellingcat-archive.nyc3.cdn.digitaloceanspaces.com/Ukraine_Witness_Datasheet/Worksheet/youtube_dl_1496809383929524230.mp4</t>
  </si>
  <si>
    <t>2022-02-25T12:39:43+00:00</t>
  </si>
  <si>
    <t>https://bellingcat-archive.nyc3.cdn.digitaloceanspaces.com/Ukraine_Witness_Datasheet/Worksheet/youtube_dl__RALee85_status_14968093839295242302022-02-25T12:39:24.704066.png</t>
  </si>
  <si>
    <t>6fde4f730a94e02d6b6102578b23f94b62931cdb4db864420f6419dcea49b78c</t>
  </si>
  <si>
    <t>https://bellingcat-archive.nyc3.cdn.digitaloceanspaces.com/Ukraine_Witness_Datasheet/Worksheet/youtube_dl_1496809383929524230/index.html</t>
  </si>
  <si>
    <t>Rob Lee - Another video of the Russian air assault operation in Hostomel. 2/</t>
  </si>
  <si>
    <t>2022-02-24T12:29:01+00:00</t>
  </si>
  <si>
    <t>https://twitter.com/tom_bullock_/status/1496804754395213832</t>
  </si>
  <si>
    <t>Russian military movement</t>
  </si>
  <si>
    <t>Nova Kakhovka</t>
  </si>
  <si>
    <t>UW0543</t>
  </si>
  <si>
    <t>https://bellingcat-archive.nyc3.cdn.digitaloceanspaces.com/Ukraine_Witness_Datasheet/Worksheet/twitter__tom_bullock__status_1496804754395213832.html</t>
  </si>
  <si>
    <t>2022-02-25T12:39:14+00:00</t>
  </si>
  <si>
    <t>https://bellingcat-archive.nyc3.cdn.digitaloceanspaces.com/Ukraine_Witness_Datasheet/Worksheet/twitter__tom_bullock__status_14968047543952138322022-02-25T12:39:06.313725.png</t>
  </si>
  <si>
    <t>f442ad3d6a3d7b313b1e94271275f6b3d4fe2642754eefeb5c6c8d07ec224b9e</t>
  </si>
  <si>
    <t>https://twitter.com/666_mancer/status/1496818023306567681</t>
  </si>
  <si>
    <t>bombing in the background</t>
  </si>
  <si>
    <t>https://twitter.com/ohsendit/status/1496820988876632070</t>
  </si>
  <si>
    <t>Bucha</t>
  </si>
  <si>
    <t>UW0544</t>
  </si>
  <si>
    <t>https://bellingcat-archive.nyc3.cdn.digitaloceanspaces.com/Ukraine_Witness_Datasheet/Worksheet/youtube_dl_1496818023306567681.mp4</t>
  </si>
  <si>
    <t>2022-02-25T12:39:02+00:00</t>
  </si>
  <si>
    <t>https://bellingcat-archive.nyc3.cdn.digitaloceanspaces.com/Ukraine_Witness_Datasheet/Worksheet/youtube_dl__666_mancer_status_14968180233065676812022-02-25T12:38:50.004711.png</t>
  </si>
  <si>
    <t>0a77c77a9cf6c05df8e3dd52d1754434428cd9c43456d278ce316436ef20e5ac</t>
  </si>
  <si>
    <t>https://bellingcat-archive.nyc3.cdn.digitaloceanspaces.com/Ukraine_Witness_Datasheet/Worksheet/youtube_dl_1496818023306567681/index.html</t>
  </si>
  <si>
    <t>Necro Mancer - #Гостомель, предположительно, сбили российский вертолет</t>
  </si>
  <si>
    <t>2022-02-24T13:03:20+00:00</t>
  </si>
  <si>
    <t>https://twitter.com/pmakela1/status/1496781698280865794</t>
  </si>
  <si>
    <t>Russian forces entering Ukraine</t>
  </si>
  <si>
    <t>https://twitter.com/Danspiun/status/1496788882121240580</t>
  </si>
  <si>
    <t>Chernihiv Oblast</t>
  </si>
  <si>
    <t>Sen'kivka</t>
  </si>
  <si>
    <t>UW0545</t>
  </si>
  <si>
    <t>https://bellingcat-archive.nyc3.cdn.digitaloceanspaces.com/Ukraine_Witness_Datasheet/Worksheet/youtube_dl_1496758908769161216.mp4</t>
  </si>
  <si>
    <t>2022-02-25T12:38:45+00:00</t>
  </si>
  <si>
    <t>https://bellingcat-archive.nyc3.cdn.digitaloceanspaces.com/Ukraine_Witness_Datasheet/Worksheet/youtube_dl__pmakela1_status_14967816982808657942022-02-25T12:38:31.095250.png</t>
  </si>
  <si>
    <t>1b9fce7bd25f78384ec33708e018be797a3fea83735ee31e4bbc4ea8fd050d7f</t>
  </si>
  <si>
    <t>https://bellingcat-archive.nyc3.cdn.digitaloceanspaces.com/Ukraine_Witness_Datasheet/Worksheet/youtube_dl_1496758908769161216/index.html</t>
  </si>
  <si>
    <t>Paweł Rybicki - Rosjanie nawet nie trudzili się wyłączyć kamer na ukraińskim posterunku granicznym, więc cały świat może oglądać jak ich czołgi wtaczają się na Ukrainę od strony Białorusi.</t>
  </si>
  <si>
    <t>2022-02-24T09:08:26+00:00</t>
  </si>
  <si>
    <t>https://twitter.com/RALee85/status/1496801532066635779</t>
  </si>
  <si>
    <t>Helicopter and tanks arriving at Kakhovka Hydroelectric Power Plant</t>
  </si>
  <si>
    <t>UW0546</t>
  </si>
  <si>
    <t>https://bellingcat-archive.nyc3.cdn.digitaloceanspaces.com/Ukraine_Witness_Datasheet/Worksheet/youtube_dl_1496801532066635779.mp4</t>
  </si>
  <si>
    <t>2022-02-25T12:38:25+00:00</t>
  </si>
  <si>
    <t>https://bellingcat-archive.nyc3.cdn.digitaloceanspaces.com/Ukraine_Witness_Datasheet/Worksheet/youtube_dl__RALee85_status_14968015320666357792022-02-25T12:38:09.634686.png</t>
  </si>
  <si>
    <t>10281e73d14a02d40ba4540081f08027665993df92bbd60a9eba26149adfbc81</t>
  </si>
  <si>
    <t>https://bellingcat-archive.nyc3.cdn.digitaloceanspaces.com/Ukraine_Witness_Datasheet/Worksheet/youtube_dl_1496801532066635779/index.html</t>
  </si>
  <si>
    <t>Rob Lee - Russian Mi-24/35M and Mi-28N attack helicopters flying over the Kakhovka Hydroelectric Power Plant on the Dnieper river.</t>
  </si>
  <si>
    <t>2022-02-24T11:57:49+00:00</t>
  </si>
  <si>
    <t>https://twitter.com/Archer83Able/status/1496821978669502471</t>
  </si>
  <si>
    <t>Helicopters using flares</t>
  </si>
  <si>
    <t>Vyshhorod</t>
  </si>
  <si>
    <t>UW0547</t>
  </si>
  <si>
    <t>Missile</t>
  </si>
  <si>
    <t>https://bellingcat-archive.nyc3.cdn.digitaloceanspaces.com/Ukraine_Witness_Datasheet/Worksheet/youtube_dl_1496821978669502471.mp4</t>
  </si>
  <si>
    <t>2022-02-25T12:37:59+00:00</t>
  </si>
  <si>
    <t>https://bellingcat-archive.nyc3.cdn.digitaloceanspaces.com/Ukraine_Witness_Datasheet/Worksheet/youtube_dl__Archer83Able_status_14968219786695024712022-02-25T12:37:47.824762.png</t>
  </si>
  <si>
    <t>b6949fe8b3168f418fec87d61e664a8507420209a20a29676eae90de60e792be</t>
  </si>
  <si>
    <t>https://bellingcat-archive.nyc3.cdn.digitaloceanspaces.com/Ukraine_Witness_Datasheet/Worksheet/youtube_dl_1496821978669502471/index.html</t>
  </si>
  <si>
    <t>Status-6 - Russian Mil Mi-8/17 helicopters launching flares over Vyshgorod in the Kyiv Oblast. Clashes reportedly underway there.</t>
  </si>
  <si>
    <t>2022-02-24T13:19:03+00:00</t>
  </si>
  <si>
    <t>https://twitter.com/Archer83Able/status/1496828953515937794</t>
  </si>
  <si>
    <t>Ukrainka</t>
  </si>
  <si>
    <t>UW0548</t>
  </si>
  <si>
    <t>https://bellingcat-archive.nyc3.cdn.digitaloceanspaces.com/Ukraine_Witness_Datasheet/Worksheet/youtube_dl_1496828953515937794.mp4</t>
  </si>
  <si>
    <t>2022-02-25T12:37:42+00:00</t>
  </si>
  <si>
    <t>https://bellingcat-archive.nyc3.cdn.digitaloceanspaces.com/Ukraine_Witness_Datasheet/Worksheet/youtube_dl__Archer83Able_status_14968289535159377942022-02-25T12:37:31.545855.png</t>
  </si>
  <si>
    <t>379944307320df459533e9b3cd4f590a81c4e820a708ed8099d66da409e43c2d</t>
  </si>
  <si>
    <t>https://bellingcat-archive.nyc3.cdn.digitaloceanspaces.com/Ukraine_Witness_Datasheet/Worksheet/youtube_dl_1496828953515937794/index.html</t>
  </si>
  <si>
    <t>Status-6 - Russian strikes in Ukrainka, Kyiv Oblast.  Coords: 50.1364747, 30.7558098</t>
  </si>
  <si>
    <t>2022-02-24T13:46:46+00:00</t>
  </si>
  <si>
    <t>https://t.me/millnr/7240</t>
  </si>
  <si>
    <t>"LNR" press video showing armoured vehicles and pontoon bridge over Seversky Donets river</t>
  </si>
  <si>
    <t xml:space="preserve">Slov'yanoserbs'kyi </t>
  </si>
  <si>
    <t>Dovhe</t>
  </si>
  <si>
    <t>UW0549</t>
  </si>
  <si>
    <t>https://bellingcat-archive.nyc3.cdn.digitaloceanspaces.com/Ukraine_Witness_Datasheet/Worksheet/telegram_0125326f11.mp4</t>
  </si>
  <si>
    <t>2022-02-25T14:59:12+00:00</t>
  </si>
  <si>
    <t>https://bellingcat-archive.nyc3.cdn.digitaloceanspaces.com/Ukraine_Witness_Datasheet/Worksheet/telegram__millnr_72402022-02-25T14:58:57.039629.png</t>
  </si>
  <si>
    <t>602c9ddaf0ece735e9d30baac1224735bbc38fecdb5c5414d3b9cf7105cdaf46</t>
  </si>
  <si>
    <t>https://bellingcat-archive.nyc3.cdn.digitaloceanspaces.com/Ukraine_Witness_Datasheet/Worksheet/telegram_0125326f11/index.html</t>
  </si>
  <si>
    <t>2022-02-24T10:05:43+00:00</t>
  </si>
  <si>
    <t>https://twitter.com/AuroraIntel/status/1496814717964324865</t>
  </si>
  <si>
    <t>UW0550</t>
  </si>
  <si>
    <t>https://bellingcat-archive.nyc3.cdn.digitaloceanspaces.com/Ukraine_Witness_Datasheet/Worksheet/youtube_dl_1496814717964324865.mp4</t>
  </si>
  <si>
    <t>2022-02-25T12:34:55+00:00</t>
  </si>
  <si>
    <t>https://bellingcat-archive.nyc3.cdn.digitaloceanspaces.com/Ukraine_Witness_Datasheet/Worksheet/youtube_dl__AuroraIntel_status_14968147179643248652022-02-25T12:34:44.020785.png</t>
  </si>
  <si>
    <t>235aaab65a3f13df3086575b58b4275e2aebd391bf1303517fa50f1ae194e711</t>
  </si>
  <si>
    <t>https://bellingcat-archive.nyc3.cdn.digitaloceanspaces.com/Ukraine_Witness_Datasheet/Worksheet/youtube_dl_1496814717964324865/index.html</t>
  </si>
  <si>
    <t>Aurora Intel - Video below shows Russian helicopters near Vyshgorod Ukraine which is only 15km from the capital of Kyiv.   Initial reports also indicate that the Ukrainian Airforce Mig-29s are engaging Russian Airforce Su-35s over Kyiv (per @no_itsmyturn)  #Ukraine #Russia  [Knish]</t>
  </si>
  <si>
    <t>2022-02-24T12:50:12+00:00</t>
  </si>
  <si>
    <t>https://twitter.com/aldin_ww/status/1496853954558320642</t>
  </si>
  <si>
    <t>Tanks after crossing Antonovsky bridge</t>
  </si>
  <si>
    <t>Antonivka</t>
  </si>
  <si>
    <t>UW0551</t>
  </si>
  <si>
    <t>https://bellingcat-archive.nyc3.cdn.digitaloceanspaces.com/Ukraine_Witness_Datasheet/Worksheet/youtube_dl_1496853954558320642.mp4</t>
  </si>
  <si>
    <t>2022-02-25T12:34:38+00:00</t>
  </si>
  <si>
    <t>https://bellingcat-archive.nyc3.cdn.digitaloceanspaces.com/Ukraine_Witness_Datasheet/Worksheet/youtube_dl__aldin_ww_status_14968539545583206422022-02-25T12:34:26.678684.png</t>
  </si>
  <si>
    <t>6da548d7651a323c38c05325bf0d5b84de21657a06c5892c4144fd44fa1ba45b</t>
  </si>
  <si>
    <t>https://bellingcat-archive.nyc3.cdn.digitaloceanspaces.com/Ukraine_Witness_Datasheet/Worksheet/youtube_dl_1496853954558320642/index.html</t>
  </si>
  <si>
    <t>Aldin 🇧🇦 - Russian troops have crossed Antonovsky bridge over Dnieper river and moved into Antonivka suburb of Kherson city.</t>
  </si>
  <si>
    <t>2022-02-24T15:26:07+00:00</t>
  </si>
  <si>
    <t>https://twitter.com/RALee85/status/1496841037360340993?s=20&amp;t=dTwmawBnF1c6TRjXx7zNuw</t>
  </si>
  <si>
    <t>https://twitter.com/gfusfus/status/1496872569785524224?s=20&amp;t=dTwmawBnF1c6TRjXx7zNuw</t>
  </si>
  <si>
    <t>Vovchans'k</t>
  </si>
  <si>
    <t>UW0552</t>
  </si>
  <si>
    <t>https://bellingcat-archive.nyc3.cdn.digitaloceanspaces.com/Ukraine_Witness_Datasheet/Worksheet/youtube_dl_1496841037360340993.mp4</t>
  </si>
  <si>
    <t>2022-02-25T12:34:22+00:00</t>
  </si>
  <si>
    <t>https://bellingcat-archive.nyc3.cdn.digitaloceanspaces.com/Ukraine_Witness_Datasheet/Worksheet/youtube_dl__RALee85_status_14968410373603409932022-02-25T12:34:08.265154.png</t>
  </si>
  <si>
    <t>eb59acb4db858fb0431b8f36cbc15681cbe6408af9889ac36126860fbf9de350</t>
  </si>
  <si>
    <t>https://bellingcat-archive.nyc3.cdn.digitaloceanspaces.com/Ukraine_Witness_Datasheet/Worksheet/youtube_dl_1496841037360340993/index.html</t>
  </si>
  <si>
    <t>Rob Lee - Russian military column in Volchansk, Kharkiv with Msta-B howitzers, MT-LB, BMP-2, TOS-1A thermobaric MLRS, T-72B3, Tigr-M vehicles, etc.</t>
  </si>
  <si>
    <t>2022-02-24T14:34:47+00:00</t>
  </si>
  <si>
    <t>https://twitter.com/GirkinGirkin/status/1496838814324641792</t>
  </si>
  <si>
    <t>Helicopter downing</t>
  </si>
  <si>
    <t>https://twitter.com/azyakancokkacan/status/1496862156708618249</t>
  </si>
  <si>
    <t>Kozyn</t>
  </si>
  <si>
    <t>UW0553</t>
  </si>
  <si>
    <t>https://bellingcat-archive.nyc3.cdn.digitaloceanspaces.com/Ukraine_Witness_Datasheet/Worksheet/youtube_dl_1496838814324641792.mp4</t>
  </si>
  <si>
    <t>2022-02-25T12:34:00+00:00</t>
  </si>
  <si>
    <t>https://bellingcat-archive.nyc3.cdn.digitaloceanspaces.com/Ukraine_Witness_Datasheet/Worksheet/youtube_dl__GirkinGirkin_status_14968388143246417922022-02-25T12:33:49.380164.png</t>
  </si>
  <si>
    <t>49bad1db1c7f9a2159d2bc1b729a496153c6545daf162618b807cf8a5b0545a2</t>
  </si>
  <si>
    <t>https://bellingcat-archive.nyc3.cdn.digitaloceanspaces.com/Ukraine_Witness_Datasheet/Worksheet/youtube_dl_1496838814324641792/index.html</t>
  </si>
  <si>
    <t>IgorGirkin - No comments</t>
  </si>
  <si>
    <t>2022-02-24T14:25:57+00:00</t>
  </si>
  <si>
    <t>https://twitter.com/200_zoka/status/1496875924779937793?s=20&amp;t=Mh_9AYiKPim3KiINrxUwoQ</t>
  </si>
  <si>
    <t>Military equipment in Sumy</t>
  </si>
  <si>
    <t>Sumy Oblast</t>
  </si>
  <si>
    <t>Sumy</t>
  </si>
  <si>
    <t>UW0554</t>
  </si>
  <si>
    <t>Russian Russian Military Movements</t>
  </si>
  <si>
    <t>https://bellingcat-archive.nyc3.cdn.digitaloceanspaces.com/Ukraine_Witness_Datasheet/Worksheet/youtube_dl_1496875924779937793.mp4</t>
  </si>
  <si>
    <t>2022-02-25T12:33:45+00:00</t>
  </si>
  <si>
    <t>https://bellingcat-archive.nyc3.cdn.digitaloceanspaces.com/Ukraine_Witness_Datasheet/Worksheet/youtube_dl__200_zoka_status_14968759247799377932022-02-25T12:33:26.388995.png</t>
  </si>
  <si>
    <t>aac330264979924d28579017bc39bf5ddf3bfbab48a98f80fdc49dce40da8e12</t>
  </si>
  <si>
    <t>https://bellingcat-archive.nyc3.cdn.digitaloceanspaces.com/Ukraine_Witness_Datasheet/Worksheet/youtube_dl_1496875924779937793/index.html</t>
  </si>
  <si>
    <t>ZOKA - Russians in Sumi,seems city fall</t>
  </si>
  <si>
    <t>2022-02-24T16:53:25+00:00</t>
  </si>
  <si>
    <t>https://twitter.com/NeilPHauer/status/1496890420260974596?s=20&amp;t=Mh_9AYiKPim3KiINrxUwoQ</t>
  </si>
  <si>
    <t>Sound of missiles</t>
  </si>
  <si>
    <t>UW0555</t>
  </si>
  <si>
    <t>https://bellingcat-archive.nyc3.cdn.digitaloceanspaces.com/ukraine_witness_test/Worksheet/youtube_dl_1496890420260974596.mp4</t>
  </si>
  <si>
    <t>2022-02-25T12:12:25+00:00</t>
  </si>
  <si>
    <t>https://bellingcat-archive.nyc3.cdn.digitaloceanspaces.com/ukraine_witness_test/Worksheet/youtube_dl__NeilPHauer_status_14968904202609745962022-02-25T12:12:13.233704.png</t>
  </si>
  <si>
    <t>e51b1f5f867df078d804d6dad4582aed44abb5c4dc9642d85f1aea279f07369a</t>
  </si>
  <si>
    <t>https://bellingcat-archive.nyc3.cdn.digitaloceanspaces.com/ukraine_witness_test/Worksheet/youtube_dl_1496890420260974596/index.html</t>
  </si>
  <si>
    <t>Neil Hauer - Sounds of the battle for Antonov airport west of Kyiv this afternoon, from Bucha town 3km away. Airport was seized by Russian paratroopers, Ukrainian army trying to push them out. (Video via @Tomthescribe)</t>
  </si>
  <si>
    <t>2022-02-24T17:51:01+00:00</t>
  </si>
  <si>
    <t>https://twitter.com/BabakTaghvaee/status/1496882689261068296</t>
  </si>
  <si>
    <t>Gunfire in the streets</t>
  </si>
  <si>
    <t>Okhtyrka</t>
  </si>
  <si>
    <t>UW0556</t>
  </si>
  <si>
    <t>Battle</t>
  </si>
  <si>
    <t>https://bellingcat-archive.nyc3.cdn.digitaloceanspaces.com/ukraine_witness_test/Worksheet/youtube_dl_1496882689261068296.mp4</t>
  </si>
  <si>
    <t>2022-02-25T12:12:08+00:00</t>
  </si>
  <si>
    <t>https://bellingcat-archive.nyc3.cdn.digitaloceanspaces.com/ukraine_witness_test/Worksheet/youtube_dl__BabakTaghvaee_status_14968826892610682962022-02-25T12:11:56.696098.png</t>
  </si>
  <si>
    <t>acb4f030a903c5b0e32ad79af6970bb3695466f9564fc08b2d7bf1adb7ca38fb</t>
  </si>
  <si>
    <t>https://bellingcat-archive.nyc3.cdn.digitaloceanspaces.com/ukraine_witness_test/Worksheet/youtube_dl_1496882689261068296/index.html</t>
  </si>
  <si>
    <t>Babak Taghvaee - Μπάπακ Τακβαίε - بابک تقوایی - Street clashes between #Ukraine &amp;amp; #Russia Armies in city of #Okhtyrka which is located in Northwest of #Kharkiv.</t>
  </si>
  <si>
    <t>2022-02-24T17:20:18+00:00</t>
  </si>
  <si>
    <t>https://twitter.com/planet/status/1496901514996031510?s=20&amp;t=fLA9HXcvePcG3oh_T9T5qA</t>
  </si>
  <si>
    <t>Chuhuiv Airbase on fire</t>
  </si>
  <si>
    <t>UW0557</t>
  </si>
  <si>
    <t>Military Infrastructure Damage</t>
  </si>
  <si>
    <t>https://bellingcat-archive.nyc3.cdn.digitaloceanspaces.com/Ukraine_Witness_Datasheet/Worksheet/twitter__planet_status_1496901514996031510.html</t>
  </si>
  <si>
    <t>2022-02-25T14:48:56+00:00</t>
  </si>
  <si>
    <t>https://bellingcat-archive.nyc3.cdn.digitaloceanspaces.com/Ukraine_Witness_Datasheet/Worksheet/twitter__planet_status_14969015149960315102022-02-25T14:48:47.321655.png</t>
  </si>
  <si>
    <t>e11148fde70d230434369f8d639972f304aacb456645fcf8280181fba2b592b3</t>
  </si>
  <si>
    <t>https://twitter.com/COUPSURE/status/1496903553109086210?s=20&amp;t=Mh_9AYiKPim3KiINrxUwoQ</t>
  </si>
  <si>
    <t>Military convoy in Kherson</t>
  </si>
  <si>
    <t>UW0558</t>
  </si>
  <si>
    <t>https://bellingcat-archive.nyc3.cdn.digitaloceanspaces.com/Ukraine_Witness_Datasheet/Worksheet/twitter__COUPSURE_status_1496903553109086210.html</t>
  </si>
  <si>
    <t>2022-02-25T14:49:09+00:00</t>
  </si>
  <si>
    <t>https://bellingcat-archive.nyc3.cdn.digitaloceanspaces.com/Ukraine_Witness_Datasheet/Worksheet/twitter__COUPSURE_status_14969035531090862102022-02-25T14:49:01.368635.png</t>
  </si>
  <si>
    <t>569882fb40abee7b95c45432c11e09c95a41f6525827bb961883cbe2037ff4d3</t>
  </si>
  <si>
    <t>https://twitter.com/ThomasVLinge/status/1496907711602204673?s=20&amp;t=Mh_9AYiKPim3KiINrxUwoQ</t>
  </si>
  <si>
    <t>Russian military equipment near the Chernobyl nuclear power plant</t>
  </si>
  <si>
    <t>Pryp'yat'</t>
  </si>
  <si>
    <t>UW0559</t>
  </si>
  <si>
    <t>https://bellingcat-archive.nyc3.cdn.digitaloceanspaces.com/ukraine_witness_test/Worksheet/youtube_dl_1496907711602204673.mp4</t>
  </si>
  <si>
    <t>2022-02-25T12:08:55+00:00</t>
  </si>
  <si>
    <t>https://bellingcat-archive.nyc3.cdn.digitaloceanspaces.com/ukraine_witness_test/Worksheet/youtube_dl__ThomasVLinge_status_14969077116022046732022-02-25T12:08:43.391382.png</t>
  </si>
  <si>
    <t>674184e1f47b418aad8d18129996f510d18298b23fbd695f46c0ff20d20b0e4e</t>
  </si>
  <si>
    <t>https://bellingcat-archive.nyc3.cdn.digitaloceanspaces.com/ukraine_witness_test/Worksheet/youtube_dl_1496907711602204673/index.html</t>
  </si>
  <si>
    <t>Thomas van Linge - #Ukraine 🇺🇦: footage from earlier today allegedly showing Russian invasion forces in the #Chernobyl Exclusion Zone.</t>
  </si>
  <si>
    <t>2022-02-24T18:59:44+00:00</t>
  </si>
  <si>
    <t>https://twitter.com/MarQs__/status/1496851744227303425</t>
  </si>
  <si>
    <t>Russian military equipment in Buryn</t>
  </si>
  <si>
    <t>Buryn</t>
  </si>
  <si>
    <t>UW0560</t>
  </si>
  <si>
    <t>https://bellingcat-archive.nyc3.cdn.digitaloceanspaces.com/ukraine_witness_test/Worksheet/youtube_dl_1496851744227303425.mp4</t>
  </si>
  <si>
    <t>2022-02-25T12:08:38+00:00</t>
  </si>
  <si>
    <t>https://bellingcat-archive.nyc3.cdn.digitaloceanspaces.com/ukraine_witness_test/Worksheet/youtube_dl__MarQs___status_14968517442273034252022-02-25T12:08:26.261675.png</t>
  </si>
  <si>
    <t>a57a99bca12061e5da29759f88eaddf70dd0b44618e7a81d86a9539ac5f6852d</t>
  </si>
  <si>
    <t>https://bellingcat-archive.nyc3.cdn.digitaloceanspaces.com/ukraine_witness_test/Worksheet/youtube_dl_1496851744227303425/index.html</t>
  </si>
  <si>
    <t>marqs - Russian tanks moving through Buryn in the #Sumy region</t>
  </si>
  <si>
    <t>2022-02-24T15:17:20+00:00</t>
  </si>
  <si>
    <t>https://twitter.com/antiputler_news/status/1496837191183577097</t>
  </si>
  <si>
    <t>Russian military equipment moving north in Lyuboml</t>
  </si>
  <si>
    <t>Volyn Oblast</t>
  </si>
  <si>
    <t>Lyuboml</t>
  </si>
  <si>
    <t>UW0561</t>
  </si>
  <si>
    <t>Ukrain forces</t>
  </si>
  <si>
    <t>NO SHEET, PRIVACY ISSUE</t>
  </si>
  <si>
    <t>Ukrainien forces</t>
  </si>
  <si>
    <t>https://bellingcat-archive.nyc3.cdn.digitaloceanspaces.com/ukraine_witness_test/Worksheet/youtube_dl_1496837191183577097.mp4</t>
  </si>
  <si>
    <t>2022-02-25T12:08:22+00:00</t>
  </si>
  <si>
    <t>https://bellingcat-archive.nyc3.cdn.digitaloceanspaces.com/ukraine_witness_test/Worksheet/youtube_dl__antiputler_news_status_14968371911835770972022-02-25T12:08:11.077079.png</t>
  </si>
  <si>
    <t>2b514e90a0fc09e231b79a75f98d727c553232307080c2696353206467b5fb53</t>
  </si>
  <si>
    <t>https://bellingcat-archive.nyc3.cdn.digitaloceanspaces.com/ukraine_witness_test/Worksheet/youtube_dl_1496837191183577097/index.html</t>
  </si>
  <si>
    <t>Аслан - Город Любомль, Волынская область. Недалеко от белорусской границы.</t>
  </si>
  <si>
    <t>2022-02-24T14:19:30+00:00</t>
  </si>
  <si>
    <t>https://twitter.com/sternenko/status/1496892418066690049</t>
  </si>
  <si>
    <t>Russian military equipment destroyed</t>
  </si>
  <si>
    <t>UW0562</t>
  </si>
  <si>
    <t>https://bellingcat-archive.nyc3.cdn.digitaloceanspaces.com/ukraine_witness_test/Worksheet/youtube_dl_1496892418066690049.mp4</t>
  </si>
  <si>
    <t>2022-02-25T12:08:05+00:00</t>
  </si>
  <si>
    <t>https://bellingcat-archive.nyc3.cdn.digitaloceanspaces.com/ukraine_witness_test/Worksheet/youtube_dl__sternenko_status_14968924180666900492022-02-25T12:07:54.214240.png</t>
  </si>
  <si>
    <t>415e24b424168607e54daf95656265eeebdbc2942c680a6a6b4d416d639a8020</t>
  </si>
  <si>
    <t>https://bellingcat-archive.nyc3.cdn.digitaloceanspaces.com/ukraine_witness_test/Worksheet/youtube_dl_1496892418066690049/index.html</t>
  </si>
  <si>
    <t>Serhii Sternenko - Суми. Росіяни відправляються до пекла🔥</t>
  </si>
  <si>
    <t>2022-02-24T17:58:58+00:00</t>
  </si>
  <si>
    <t>https://twitter.com/MotolkoHelp/status/1496937266668883974</t>
  </si>
  <si>
    <t>Russian military moving north</t>
  </si>
  <si>
    <t>Dubitsa</t>
  </si>
  <si>
    <t>UW0563</t>
  </si>
  <si>
    <t>https://bellingcat-archive.nyc3.cdn.digitaloceanspaces.com/ukraine_witness_test/Worksheet/youtube_dl_1496937266668883974.mp4</t>
  </si>
  <si>
    <t>2022-02-25T12:07:48+00:00</t>
  </si>
  <si>
    <t>https://bellingcat-archive.nyc3.cdn.digitaloceanspaces.com/ukraine_witness_test/Worksheet/youtube_dl__MotolkoHelp_status_14969372666688839742022-02-25T12:07:28.821395.png</t>
  </si>
  <si>
    <t>3704a9c140aa94cc8db60fd7df46215e6ba4c0283f1d0d87df4230a888b80da2</t>
  </si>
  <si>
    <t>https://bellingcat-archive.nyc3.cdn.digitaloceanspaces.com/ukraine_witness_test/Worksheet/youtube_dl_1496937266668883974/index.html</t>
  </si>
  <si>
    <t>MotolkoHelp - Today (24.02), social media users filmed the movement of a convoy of Russian military equipment through the village Dubitsa (Brest region, Belarus). According to eyewitnesses, the column was moving towards Brest. 1/2</t>
  </si>
  <si>
    <t>2022-02-24T20:57:10+00:00</t>
  </si>
  <si>
    <t>https://twitter.com/Danspiun/status/1496962298342109195</t>
  </si>
  <si>
    <t>Destroyed Russian military equipment</t>
  </si>
  <si>
    <t>https://twitter.com/Danspiun/status/1496959317446389760</t>
  </si>
  <si>
    <t>Perekop</t>
  </si>
  <si>
    <t>UW0564</t>
  </si>
  <si>
    <t>https://bellingcat-archive.nyc3.cdn.digitaloceanspaces.com/ukraine_witness_test/Worksheet/youtube_dl_1496962298342109195.mp4</t>
  </si>
  <si>
    <t>2022-02-25T12:07:20+00:00</t>
  </si>
  <si>
    <t>https://bellingcat-archive.nyc3.cdn.digitaloceanspaces.com/ukraine_witness_test/Worksheet/youtube_dl__Danspiun_status_14969622983421091952022-02-25T12:07:08.994940.png</t>
  </si>
  <si>
    <t>b454a330e9a0dabb475a8d37bab3000031d35dbfa97f95642352bd378c27585e</t>
  </si>
  <si>
    <t>https://bellingcat-archive.nyc3.cdn.digitaloceanspaces.com/ukraine_witness_test/Worksheet/youtube_dl_1496962298342109195/index.html</t>
  </si>
  <si>
    <t>Dan - 2. Film of same location of the destroyed Russian MT-LB with ZU-23-2 AA gun + TOR AA system in twt 1. Something else smoulders in a field while PP205 pontoon bridging trucks, R-166 comnd/signals vehicles BTR (possible RPM-2) + TOS-1A Thermobaric MLRSs pass in opposite direction.</t>
  </si>
  <si>
    <t>2022-02-24T22:36:38+00:00</t>
  </si>
  <si>
    <t>https://www.youtube.com/watch?v=ywUryvex00w&amp;ab_channel=DFRLMichaelSheldon</t>
  </si>
  <si>
    <t>Damage to civilian houses</t>
  </si>
  <si>
    <t>https://twitter.com/Michael1Sheldon/status/1496986762698182656</t>
  </si>
  <si>
    <t>UW0565</t>
  </si>
  <si>
    <t>https://bellingcat-archive.nyc3.cdn.digitaloceanspaces.com/ukraine_witness_test/Worksheet/youtube_dl_ywUryvex00w.webm</t>
  </si>
  <si>
    <t>2022-02-25T12:07:03+00:00</t>
  </si>
  <si>
    <t>https://bellingcat-archive.nyc3.cdn.digitaloceanspaces.com/ukraine_witness_test/Worksheet/youtube_dl__watch2022-02-25T12:06:50.198817.png</t>
  </si>
  <si>
    <t>471c9991881c566f85476c5074b399b1de6dda6dddda261ad77def4bb060a423</t>
  </si>
  <si>
    <t>https://bellingcat-archive.nyc3.cdn.digitaloceanspaces.com/ukraine_witness_test/Worksheet/youtube_dl_ywUryvex00w/index.html</t>
  </si>
  <si>
    <t>okhtyrka_online 24.02.2022</t>
  </si>
  <si>
    <t>2022-02-24T00:00:00+00:00</t>
  </si>
  <si>
    <t>https://twitter.com/N_Waters89/status/1496846533085564929</t>
  </si>
  <si>
    <t>Civilian casualty</t>
  </si>
  <si>
    <t>Mariupol</t>
  </si>
  <si>
    <t>UW0566</t>
  </si>
  <si>
    <t>https://bellingcat-archive.nyc3.cdn.digitaloceanspaces.com/ukraine_witness_test/Worksheet/youtube_dl_1496846533085564929.mp4</t>
  </si>
  <si>
    <t>2022-02-25T12:06:44+00:00</t>
  </si>
  <si>
    <t>https://bellingcat-archive.nyc3.cdn.digitaloceanspaces.com/ukraine_witness_test/Worksheet/youtube_dl__N_Waters89_status_14968465330855649292022-02-25T12:06:32.018397.png</t>
  </si>
  <si>
    <t>f13130d63f129fd77c11af8e0c94ad1531a979b021b89b8e2426f74dc16c0882</t>
  </si>
  <si>
    <t>https://bellingcat-archive.nyc3.cdn.digitaloceanspaces.com/ukraine_witness_test/Worksheet/youtube_dl_1496846533085564929/index.html</t>
  </si>
  <si>
    <t>Nick Waters - 1 x civcas in Eastern Mariupol at 47.120915, 37.680973.   Seen lots of reports of casualties from Mariupol, and there seems to be quite a spread of damage there.</t>
  </si>
  <si>
    <t>2022-02-24T14:56:38+00:00</t>
  </si>
  <si>
    <t>25/02/2022</t>
  </si>
  <si>
    <t>https://twitter.com/AlexKhrebet/status/1497123956318523392</t>
  </si>
  <si>
    <t>Tank driving over civilian car</t>
  </si>
  <si>
    <t>Kyiv</t>
  </si>
  <si>
    <t>UW0567</t>
  </si>
  <si>
    <t>https://bellingcat-archive.nyc3.cdn.digitaloceanspaces.com/ukraine_witness_test/Worksheet/youtube_dl_1497123956318523392.mp4</t>
  </si>
  <si>
    <t>2022-02-25T12:06:27+00:00</t>
  </si>
  <si>
    <t>https://bellingcat-archive.nyc3.cdn.digitaloceanspaces.com/ukraine_witness_test/Worksheet/youtube_dl__AlexKhrebet_status_14971239563185233922022-02-25T12:06:15.136581.png</t>
  </si>
  <si>
    <t>982acad0f626f7f8f702a086f196ecd404883291de8099f1576c23eeefb2e0e6</t>
  </si>
  <si>
    <t>https://bellingcat-archive.nyc3.cdn.digitaloceanspaces.com/ukraine_witness_test/Worksheet/youtube_dl_1497123956318523392/index.html</t>
  </si>
  <si>
    <t>Alexander Khrebet/Олександр Хребет - An armed #Russia's vehicle ran over a civilian car just on the streets of Obolon district in Kyiv. #Ukraine</t>
  </si>
  <si>
    <t>2022-02-25T09:19:01+00:00</t>
  </si>
  <si>
    <t>https://twitter.com/NatashaBertrand/status/1496849053824471041</t>
  </si>
  <si>
    <t>Russian VDV taking up position outside airport</t>
  </si>
  <si>
    <t>https://twitter.com/AnalystMick/status/1496891234799218688</t>
  </si>
  <si>
    <t>Kyiv oblast</t>
  </si>
  <si>
    <t>UW0568</t>
  </si>
  <si>
    <t>https://bellingcat-archive.nyc3.cdn.digitaloceanspaces.com/ukraine_witness_test/Worksheet/youtube_dl_1496849053824471041.mp4</t>
  </si>
  <si>
    <t>2022-02-25T12:06:08+00:00</t>
  </si>
  <si>
    <t>https://bellingcat-archive.nyc3.cdn.digitaloceanspaces.com/ukraine_witness_test/Worksheet/youtube_dl__NatashaBertrand_status_14968490538244710412022-02-25T12:05:53.491217.png</t>
  </si>
  <si>
    <t>60d9792cc254063fbc371afb7a21d561c28c2057b75e2b989962b969ccbad078</t>
  </si>
  <si>
    <t>https://bellingcat-archive.nyc3.cdn.digitaloceanspaces.com/ukraine_witness_test/Worksheet/youtube_dl_1496849053824471041/index.html</t>
  </si>
  <si>
    <t>Natasha Bertrand - Breaking: @mchancecnn with Russian forces at the Antonov airport about 15 miles outside of Kyiv. "These troops you can see over here, they are Russian airborne forces. They have taken this airport"</t>
  </si>
  <si>
    <t>2022-02-24T15:06:39+00:00</t>
  </si>
  <si>
    <t>https://twitter.com/200_zoka/status/1496819885539831810</t>
  </si>
  <si>
    <t>https://twitter.com/Danspiun/status/1497002375667666944</t>
  </si>
  <si>
    <t>Sumy oblast</t>
  </si>
  <si>
    <t>Postol'ne</t>
  </si>
  <si>
    <t>UW0569</t>
  </si>
  <si>
    <t>https://bellingcat-archive.nyc3.cdn.digitaloceanspaces.com/ukraine_witness_test/Worksheet/youtube_dl_1496819885539831810.mp4</t>
  </si>
  <si>
    <t>2022-02-25T12:05:47+00:00</t>
  </si>
  <si>
    <t>https://bellingcat-archive.nyc3.cdn.digitaloceanspaces.com/ukraine_witness_test/Worksheet/youtube_dl__200_zoka_status_14968198855398318102022-02-25T12:05:35.162718.png</t>
  </si>
  <si>
    <t>90632cbb8c5dcde9f5fc260ff6dbbc855ab200e7c0fd09612e1610a86c4b47cc</t>
  </si>
  <si>
    <t>https://bellingcat-archive.nyc3.cdn.digitaloceanspaces.com/ukraine_witness_test/Worksheet/youtube_dl_1496819885539831810/index.html</t>
  </si>
  <si>
    <t>ZOKA - Sumy fall without a fight,column marched to Kiev.</t>
  </si>
  <si>
    <t>2022-02-24T13:10:44+00:00</t>
  </si>
  <si>
    <t>https://twitter.com/andreivaitovich/status/1497004870112452613</t>
  </si>
  <si>
    <t xml:space="preserve">Russian military equipment abandoned </t>
  </si>
  <si>
    <t>https://twitter.com/gfusfus/status/1497019749800284170</t>
  </si>
  <si>
    <t>UW0570</t>
  </si>
  <si>
    <t>https://bellingcat-archive.nyc3.cdn.digitaloceanspaces.com/ukraine_witness_test/Worksheet/youtube_dl_1497004870112452613.mp4</t>
  </si>
  <si>
    <t>2022-02-25T12:05:29+00:00</t>
  </si>
  <si>
    <t>https://bellingcat-archive.nyc3.cdn.digitaloceanspaces.com/ukraine_witness_test/Worksheet/youtube_dl__andreivaitovich_status_14970048701124526132022-02-25T12:05:14.856314.png</t>
  </si>
  <si>
    <t>c21b6cf82dfe142c1e8ec5dcc434ba7ba8c3d2a08faca75627731228c0ed1c5e</t>
  </si>
  <si>
    <t>https://bellingcat-archive.nyc3.cdn.digitaloceanspaces.com/ukraine_witness_test/Worksheet/youtube_dl_1497004870112452613/index.html</t>
  </si>
  <si>
    <t>Andreï VAITOVICH - Les militaires ukrainiens montrent comment l’armée russe abandonne son équipement après la défaite. #UkraineInvasion</t>
  </si>
  <si>
    <t>2022-02-25T01:25:48+00:00</t>
  </si>
  <si>
    <t>https://twitter.com/RALee85/status/1497135346387148820?s=20&amp;t=HVISarK0tA1dTFzX42BCNA</t>
  </si>
  <si>
    <t>Possible Russian spetsnaz forces driving north on Bohdana Khmelnytskoho Ave in Melitopol, Zaporizhia Oblast, Ukraine.</t>
  </si>
  <si>
    <t>Zaporizhia Oblast</t>
  </si>
  <si>
    <t>Melitopol</t>
  </si>
  <si>
    <t>UW0571</t>
  </si>
  <si>
    <t>https://bellingcat-archive.nyc3.cdn.digitaloceanspaces.com/ukraine_witness_test/Worksheet/youtube_dl_1497135346387148820.mp4</t>
  </si>
  <si>
    <t>2022-02-25T12:05:08+00:00</t>
  </si>
  <si>
    <t>https://bellingcat-archive.nyc3.cdn.digitaloceanspaces.com/ukraine_witness_test/Worksheet/youtube_dl__RALee85_status_14971353463871488202022-02-25T12:04:53.699320.png</t>
  </si>
  <si>
    <t>16c0602e9889bd2e08994bfb0b670db77bf998a6fa47e775eddd06d6c7997fd4</t>
  </si>
  <si>
    <t>https://bellingcat-archive.nyc3.cdn.digitaloceanspaces.com/ukraine_witness_test/Worksheet/youtube_dl_1497135346387148820/index.html</t>
  </si>
  <si>
    <t>Rob Lee - Likely Russian spetsnaz in Melitopol with Tigr-M SpN vehicles and UAZ Patriot pickup trucks.</t>
  </si>
  <si>
    <t>2022-02-25T10:04:16+00:00</t>
  </si>
  <si>
    <t>https://twitter.com/Archer83Able/status/1497045708788011008</t>
  </si>
  <si>
    <t>Destroyed Civilian building</t>
  </si>
  <si>
    <t>https://twitter.com/gfusfus/status/1497055290193334272</t>
  </si>
  <si>
    <t>UW0572</t>
  </si>
  <si>
    <t>https://bellingcat-archive.nyc3.cdn.digitaloceanspaces.com/ukraine_witness_test/Worksheet/twitter__Archer83Able_status_1497045708788011008.html</t>
  </si>
  <si>
    <t>2022-02-25T12:04:47+00:00</t>
  </si>
  <si>
    <t>https://bellingcat-archive.nyc3.cdn.digitaloceanspaces.com/ukraine_witness_test/Worksheet/twitter__Archer83Able_status_14970457087880110082022-02-25T12:04:38.245309.png</t>
  </si>
  <si>
    <t>28083a7250e796fa9ca558806ad2b6c5fe19b4225252f51850ea602328fde788</t>
  </si>
  <si>
    <t>https://twitter.com/IdeologyWars/status/1497038963067875328</t>
  </si>
  <si>
    <t xml:space="preserve">Interception of shelling </t>
  </si>
  <si>
    <t>https://twitter.com/ohsendit/status/1497045128338452492</t>
  </si>
  <si>
    <t>UW0573</t>
  </si>
  <si>
    <t xml:space="preserve">Missile </t>
  </si>
  <si>
    <t>https://bellingcat-archive.nyc3.cdn.digitaloceanspaces.com/ukraine_witness_test/Worksheet/youtube_dl_1497038963067875328.mp4</t>
  </si>
  <si>
    <t>2022-02-25T12:04:32+00:00</t>
  </si>
  <si>
    <t>https://bellingcat-archive.nyc3.cdn.digitaloceanspaces.com/ukraine_witness_test/Worksheet/youtube_dl__IdeologyWars_status_14970389630678753282022-02-25T12:04:20.560360.png</t>
  </si>
  <si>
    <t>352c81cf734cd6f6753e6ab46c1ba927305a61f88c00bd04541e8af6e9d4b0d1</t>
  </si>
  <si>
    <t>https://bellingcat-archive.nyc3.cdn.digitaloceanspaces.com/ukraine_witness_test/Worksheet/youtube_dl_1497038963067875328/index.html</t>
  </si>
  <si>
    <t>World Events Live - Jon - 🚨🇺🇦 Ukrainian air defense systems intercepting large objects over Kyiv!!! #Russia #Ukraine #UkraineUnderAttack #UkraineWar #Europe #NATO #EU #US [80]</t>
  </si>
  <si>
    <t>2022-02-25T03:41:17+00:00</t>
  </si>
  <si>
    <t>https://twitter.com/IdeologyWars/status/1497039245277642752</t>
  </si>
  <si>
    <t>https://twitter.com/ohsendit/status/1497043772617670656</t>
  </si>
  <si>
    <t>UW0574</t>
  </si>
  <si>
    <t>https://bellingcat-archive.nyc3.cdn.digitaloceanspaces.com/ukraine_witness_test/Worksheet/twitter__IdeologyWars_status_1497039245277642752.html</t>
  </si>
  <si>
    <t>2022-02-25T12:04:16+00:00</t>
  </si>
  <si>
    <t>https://bellingcat-archive.nyc3.cdn.digitaloceanspaces.com/ukraine_witness_test/Worksheet/twitter__IdeologyWars_status_14970392452776427522022-02-25T12:04:07.238389.png</t>
  </si>
  <si>
    <t>9e13b6b2d669b51314572ffb6d508eb74183b7e9ad9a3b8ebf7180bdb35c9643</t>
  </si>
  <si>
    <t>https://twitter.com/RALee85/status/1496977994019082244</t>
  </si>
  <si>
    <t>Russian military attack</t>
  </si>
  <si>
    <t>https://twitter.com/Danspiun/status/1496982553571569668</t>
  </si>
  <si>
    <t>UW0575</t>
  </si>
  <si>
    <t>https://bellingcat-archive.nyc3.cdn.digitaloceanspaces.com/ukraine_witness_test/Worksheet/youtube_dl_1496975560634945537.mp4</t>
  </si>
  <si>
    <t>2022-02-25T12:04:03+00:00</t>
  </si>
  <si>
    <t>https://bellingcat-archive.nyc3.cdn.digitaloceanspaces.com/ukraine_witness_test/Worksheet/youtube_dl__RALee85_status_14969779940190822442022-02-25T12:03:46.833095.png</t>
  </si>
  <si>
    <t>1cfd0bb605c3d638261b502c6df4a8561a992bcbedaa48ab3eb83bf32a84d967</t>
  </si>
  <si>
    <t>https://bellingcat-archive.nyc3.cdn.digitaloceanspaces.com/ukraine_witness_test/Worksheet/youtube_dl_1496975560634945537/index.html</t>
  </si>
  <si>
    <t>Oliver Darcy - CNN's @mchancecnn and team witnessed a firefight outside Kyiv.</t>
  </si>
  <si>
    <t>2022-02-24T23:29:20+00:00</t>
  </si>
  <si>
    <t>https://twitter.com/200_zoka/status/1496933410950025217</t>
  </si>
  <si>
    <t>Russian soldiers moving</t>
  </si>
  <si>
    <t>https://twitter.com/Danspiun/status/1496994434109653000</t>
  </si>
  <si>
    <t>UW0576</t>
  </si>
  <si>
    <t>https://bellingcat-archive.nyc3.cdn.digitaloceanspaces.com/ukraine_witness_test/Worksheet/youtube_dl_1496933410950025217.mp4</t>
  </si>
  <si>
    <t>2022-02-25T12:03:35+00:00</t>
  </si>
  <si>
    <t>https://bellingcat-archive.nyc3.cdn.digitaloceanspaces.com/ukraine_witness_test/Worksheet/youtube_dl__200_zoka_status_14969334109500252172022-02-25T12:03:21.435154.png</t>
  </si>
  <si>
    <t>2f1f1af6946217cd4cfafd6a557faacee08ef89d52aa52ece5e0e415cc729e93</t>
  </si>
  <si>
    <t>https://bellingcat-archive.nyc3.cdn.digitaloceanspaces.com/ukraine_witness_test/Worksheet/youtube_dl_1496933410950025217/index.html</t>
  </si>
  <si>
    <t>ZOKA - Hostomel early today Russian landing</t>
  </si>
  <si>
    <t>2022-02-24T20:41:51+00:00</t>
  </si>
  <si>
    <t>https://twitter.com/Bachodolidze/status/1497140092896432129?s=20&amp;t=7nIoG_IDIBkYU9qKRJYrKQ</t>
  </si>
  <si>
    <t xml:space="preserve"> Tank driving over civilian car</t>
  </si>
  <si>
    <t>UW0577</t>
  </si>
  <si>
    <t>https://bellingcat-archive.nyc3.cdn.digitaloceanspaces.com/ukraine_witness_test/Worksheet/youtube_dl_1497140092896432129.mp4</t>
  </si>
  <si>
    <t>2022-02-25T12:03:15+00:00</t>
  </si>
  <si>
    <t>https://bellingcat-archive.nyc3.cdn.digitaloceanspaces.com/ukraine_witness_test/Worksheet/youtube_dl__Bachodolidze_status_14971400928964321292022-02-25T12:03:03.915953.png</t>
  </si>
  <si>
    <t>e22d4430e56b6b9cbfd33712e179db73233e3d08a08a546288ba57ee59ff0eca</t>
  </si>
  <si>
    <t>https://bellingcat-archive.nyc3.cdn.digitaloceanspaces.com/ukraine_witness_test/Worksheet/youtube_dl_1497140092896432129/index.html</t>
  </si>
  <si>
    <t>Bacho Dolidze - Russian Tank in the street of #Kyiv  That is how peaceful citizens of #Ukraine are murdered by Putin regime. Lights on Buildings with Ukrainian flag colors do not help , actions needed ! #BREAKING</t>
  </si>
  <si>
    <t>2022-02-25T10:23:08+00:00</t>
  </si>
  <si>
    <t>https://twitter.com/no_itsmyturn/status/1497136412046544896</t>
  </si>
  <si>
    <t>aftermath of tank driving over civilian car</t>
  </si>
  <si>
    <t>UW0578</t>
  </si>
  <si>
    <t>https://bellingcat-archive.nyc3.cdn.digitaloceanspaces.com/ukraine_witness_test/Worksheet/youtube_dl_1497136412046544896.mp4</t>
  </si>
  <si>
    <t>2022-02-25T12:02:59+00:00</t>
  </si>
  <si>
    <t>https://bellingcat-archive.nyc3.cdn.digitaloceanspaces.com/ukraine_witness_test/Worksheet/youtube_dl__no_itsmyturn_status_14971364120465448962022-02-25T12:02:41.816340.png</t>
  </si>
  <si>
    <t>b96e0e1d28268936fe6a6c4a9acb350556079347cbacfb90a7e98eb0a87d9c32</t>
  </si>
  <si>
    <t>https://bellingcat-archive.nyc3.cdn.digitaloceanspaces.com/ukraine_witness_test/Worksheet/youtube_dl_1497136412046544896/index.html</t>
  </si>
  <si>
    <t>Aleph א #IStandWithUkraine 🇺🇦 - The man whose car was rammed and crushed by alleged Russian strela has been rescued,  Kyiv oblast #Ukraine</t>
  </si>
  <si>
    <t>2022-02-25T10:08:30+00:00</t>
  </si>
  <si>
    <t>https://twitter.com/GirkinGirkin/status/1497112867618889728</t>
  </si>
  <si>
    <t>https://twitter.com/SignalPanel/status/1497115970871062528</t>
  </si>
  <si>
    <t>UW0579</t>
  </si>
  <si>
    <t>Military infrastructure losses</t>
  </si>
  <si>
    <t>https://bellingcat-archive.nyc3.cdn.digitaloceanspaces.com/ukraine_witness_test/Worksheet/youtube_dl_1497112867618889728.mp4</t>
  </si>
  <si>
    <t>2022-02-25T12:02:29+00:00</t>
  </si>
  <si>
    <t>https://bellingcat-archive.nyc3.cdn.digitaloceanspaces.com/ukraine_witness_test/Worksheet/youtube_dl__GirkinGirkin_status_14971128676188897282022-02-25T12:02:10.777900.png</t>
  </si>
  <si>
    <t>1f817d8944188bfcb219dbb36f93c2a5c7809af990f39ee458bc4347aebdd1b4</t>
  </si>
  <si>
    <t>https://bellingcat-archive.nyc3.cdn.digitaloceanspaces.com/ukraine_witness_test/Worksheet/youtube_dl_1497112867618889728/index.html</t>
  </si>
  <si>
    <t>IgorGirkin - Херсон</t>
  </si>
  <si>
    <t>2022-02-25T08:34:57+00:00</t>
  </si>
  <si>
    <t>https://twitter.com/GirkinGirkin/status/1496992981349453829</t>
  </si>
  <si>
    <t xml:space="preserve">Russian Military Movements </t>
  </si>
  <si>
    <t>https://twitter.com/jimmyarturopaiz/status/1497005280961478662</t>
  </si>
  <si>
    <t>Rozkishne</t>
  </si>
  <si>
    <t>UW0580</t>
  </si>
  <si>
    <t>Russian military movements</t>
  </si>
  <si>
    <t>https://bellingcat-archive.nyc3.cdn.digitaloceanspaces.com/ukraine_witness_test/Worksheet/youtube_dl_1496992981349453829.mp4</t>
  </si>
  <si>
    <t>2022-02-25T12:02:05+00:00</t>
  </si>
  <si>
    <t>https://bellingcat-archive.nyc3.cdn.digitaloceanspaces.com/ukraine_witness_test/Worksheet/youtube_dl__GirkinGirkin_status_14969929813494538292022-02-25T12:01:54.161700.png</t>
  </si>
  <si>
    <t>7e0062d464f8eb7f8d50dd1cda5a998221d34724298f1ba1c9f1b0bd26ea27a8</t>
  </si>
  <si>
    <t>https://bellingcat-archive.nyc3.cdn.digitaloceanspaces.com/ukraine_witness_test/Worksheet/youtube_dl_1496992981349453829/index.html</t>
  </si>
  <si>
    <t>IgorGirkin - Луганск, Роскошное</t>
  </si>
  <si>
    <t>2022-02-25T00:38:34+00:00</t>
  </si>
  <si>
    <t>DO</t>
  </si>
  <si>
    <t>https://t.me/vorposte/13720</t>
  </si>
  <si>
    <t>CIV0018</t>
  </si>
  <si>
    <t>Missile in street</t>
  </si>
  <si>
    <t>9M55K, 300, 9N210, Smerch, Смерч</t>
  </si>
  <si>
    <t>UW0581</t>
  </si>
  <si>
    <t>telegram: success</t>
  </si>
  <si>
    <t>https://bellingcat-archive.nyc3.cdn.digitaloceanspaces.com/Ukraine_Witness_Datasheet/Worksheet/telegram__vorposte_13720.html</t>
  </si>
  <si>
    <t>2022-02-25T20:13:28+00:00</t>
  </si>
  <si>
    <t>https://bellingcat-archive.nyc3.cdn.digitaloceanspaces.com/Ukraine_Witness_Datasheet/Worksheet/telegram__vorposte_137202022-02-25T20:13:11.222805.png</t>
  </si>
  <si>
    <t>635205e042fa981151240133f2f3c530e6f7f1d0027919fc5daa0280f056e231</t>
  </si>
  <si>
    <t>https://www.gettyimages.es/detail/fotograf%C3%ADa-de-noticias/column-of-military-vehicles-approaches-the-fotograf%C3%ADa-de-noticias/1238725698?adppopup=true</t>
  </si>
  <si>
    <t>TOS-1 Buratinos on low loaders</t>
  </si>
  <si>
    <t>UW0582</t>
  </si>
  <si>
    <t>https://web.archive.org/web/20220225115923/https://www.gettyimages.es/detail/fotograf%C3%ADa-de-noticias/column-of-military-vehicles-approaches-the-fotograf%C3%ADa-de-noticias/1238725698?adppopup=true</t>
  </si>
  <si>
    <t>2022-02-25T11:59:53+00:00</t>
  </si>
  <si>
    <t>https://bellingcat-archive.nyc3.cdn.digitaloceanspaces.com/ukraine_witness_test/Worksheet/wayback__detail_fotograf%C3%ADa-de-noticias_column-of-military-vehicles-approaches-the-fotograf%C3%ADa-de-noticias_12387256982022-02-25T11:59:37.645985.png</t>
  </si>
  <si>
    <t>A column of military vehicles approaches the Perekop checkpoint on... Fotografía de noticias - Getty Images</t>
  </si>
  <si>
    <t>https://www.gettyimages.es/detail/fotograf%C3%ADa-de-noticias/tanks-move-across-the-town-of-armyansk-northern-fotograf%C3%ADa-de-noticias/1238728359?adppopup=true</t>
  </si>
  <si>
    <t>Tanks on road</t>
  </si>
  <si>
    <t>UW0583</t>
  </si>
  <si>
    <t>https://web.archive.org/web/20220225115625/https://www.gettyimages.es/detail/fotograf%C3%ADa-de-noticias/tanks-move-across-the-town-of-armyansk-northern-fotograf%C3%ADa-de-noticias/1238728359?adppopup=true</t>
  </si>
  <si>
    <t>2022-02-25T11:57:47+00:00</t>
  </si>
  <si>
    <t>https://bellingcat-archive.nyc3.cdn.digitaloceanspaces.com/ukraine_witness_test/Worksheet/wayback__detail_fotograf%C3%ADa-de-noticias_tanks-move-across-the-town-of-armyansk-northern-fotograf%C3%ADa-de-noticias_12387283592022-02-25T11:57:34.243161.png</t>
  </si>
  <si>
    <t>https://twitter.com/ralee85/status/1497158075723264001?s=21</t>
  </si>
  <si>
    <t>Destroyed bridge</t>
  </si>
  <si>
    <t>UW0584</t>
  </si>
  <si>
    <t>https://bellingcat-archive.nyc3.cdn.digitaloceanspaces.com/ukraine_witness_test/Worksheet/youtube_dl_1497158075723264001.mp4</t>
  </si>
  <si>
    <t>2022-02-25T11:55:25+00:00</t>
  </si>
  <si>
    <t>https://bellingcat-archive.nyc3.cdn.digitaloceanspaces.com/ukraine_witness_test/Worksheet/youtube_dl__ralee85_status_14971580757232640012022-02-25T11:55:13.556473.png</t>
  </si>
  <si>
    <t>b4c9f1ec6c2f26bdb87043f4d763535499f6616cea26937583682fcf3faadd8a</t>
  </si>
  <si>
    <t>https://bellingcat-archive.nyc3.cdn.digitaloceanspaces.com/ukraine_witness_test/Worksheet/youtube_dl_1497158075723264001/index.html</t>
  </si>
  <si>
    <t>Rob Lee - A destroyed bridge in Vyshgorod.</t>
  </si>
  <si>
    <t>2022-02-25T11:34:35+00:00</t>
  </si>
  <si>
    <t>https://twitter.com/IAPonomarenko/status/1497128097140858901/photo/1</t>
  </si>
  <si>
    <t>INV0003</t>
  </si>
  <si>
    <t>Fire at Millerovo Airbase following reported Ukrainian missile strike</t>
  </si>
  <si>
    <t>UW0585</t>
  </si>
  <si>
    <t>https://bellingcat-archive.nyc3.cdn.digitaloceanspaces.com/ukraine_witness_test/Worksheet/twitter__IAPonomarenko_status_1497128097140858901_photo_1.html</t>
  </si>
  <si>
    <t>2022-02-25T11:58:20+00:00</t>
  </si>
  <si>
    <t>https://bellingcat-archive.nyc3.cdn.digitaloceanspaces.com/ukraine_witness_test/Worksheet/twitter__IAPonomarenko_status_1497128097140858901_photo_12022-02-25T11:58:07.189650.png</t>
  </si>
  <si>
    <t>f50062fce203493d0b8efbb3068135f072e69d145b038bf9872ac25fa2668cb8</t>
  </si>
  <si>
    <t>https://twitter.com/CITeam_en/status/1497179839245262883</t>
  </si>
  <si>
    <t>Destroyed Russian Grad MLRS</t>
  </si>
  <si>
    <t>Kharkivs'ka oblast</t>
  </si>
  <si>
    <t>UW0586</t>
  </si>
  <si>
    <t>https://bellingcat-archive.nyc3.cdn.digitaloceanspaces.com/Ukraine_Witness_Datasheet/Worksheet/youtube_dl_1497179839245262883.mp4</t>
  </si>
  <si>
    <t>2022-02-25T14:57:27+00:00</t>
  </si>
  <si>
    <t>https://bellingcat-archive.nyc3.cdn.digitaloceanspaces.com/Ukraine_Witness_Datasheet/Worksheet/youtube_dl__CITeam_en_status_14971798392452628832022-02-25T14:57:12.325485.png</t>
  </si>
  <si>
    <t>513052e5400acfd7a769e7ec80abdd86c74b03a761395a9e5059e48288826f88</t>
  </si>
  <si>
    <t>https://bellingcat-archive.nyc3.cdn.digitaloceanspaces.com/Ukraine_Witness_Datasheet/Worksheet/youtube_dl_1497179839245262883/index.html</t>
  </si>
  <si>
    <t>CIT (en) - Video allegedly filmed this morning near Kharkiv shows two damaged and abandoned Russian Grad MLRS.  Yellow five-pointed star markings suggest they belong to the 200th Separate Motorized Rifle Brigade of the Northern Fleet</t>
  </si>
  <si>
    <t>2022-02-25T13:01:04+00:00</t>
  </si>
  <si>
    <t>Tom Sou</t>
  </si>
  <si>
    <t>https://t.me/bbbreaking/116412</t>
  </si>
  <si>
    <t>Firefight in Obolon</t>
  </si>
  <si>
    <t>UW0588</t>
  </si>
  <si>
    <t>https://bellingcat-archive.nyc3.cdn.digitaloceanspaces.com/Ukraine_Witness_Datasheet/Worksheet/telegram_851b236b49.mp4</t>
  </si>
  <si>
    <t>2022-02-25T14:57:44+00:00</t>
  </si>
  <si>
    <t>https://bellingcat-archive.nyc3.cdn.digitaloceanspaces.com/Ukraine_Witness_Datasheet/Worksheet/telegram__bbbreaking_1164122022-02-25T14:57:29.803121.png</t>
  </si>
  <si>
    <t>98003169a0b91b82f61758d1a0228ff8efd96d2a75e2c6276d9dac0499e452bc</t>
  </si>
  <si>
    <t>https://bellingcat-archive.nyc3.cdn.digitaloceanspaces.com/Ukraine_Witness_Datasheet/Worksheet/telegram_851b236b49/index.html</t>
  </si>
  <si>
    <t>2022-02-25T07:54:22+00:00</t>
  </si>
  <si>
    <t>https://t.me/bbbreaking/116403</t>
  </si>
  <si>
    <t>Explosion near Anatovsky Bridge, Kherson</t>
  </si>
  <si>
    <t>UW0589</t>
  </si>
  <si>
    <t>https://bellingcat-archive.nyc3.cdn.digitaloceanspaces.com/Ukraine_Witness_Datasheet/Worksheet/telegram_b1525a0818.mp4</t>
  </si>
  <si>
    <t>2022-02-25T14:58:00+00:00</t>
  </si>
  <si>
    <t>https://bellingcat-archive.nyc3.cdn.digitaloceanspaces.com/Ukraine_Witness_Datasheet/Worksheet/telegram__bbbreaking_1164032022-02-25T14:57:47.321330.png</t>
  </si>
  <si>
    <t>ea1fd0f2616abc762bce10f0e6fcab0e62990a113f87c5beaa396badb9eb5aa4</t>
  </si>
  <si>
    <t>https://bellingcat-archive.nyc3.cdn.digitaloceanspaces.com/Ukraine_Witness_Datasheet/Worksheet/telegram_b1525a0818/index.html</t>
  </si>
  <si>
    <t>2022-02-25T07:25:12+00:00</t>
  </si>
  <si>
    <t>https://twitter.com/200_zoka/status/1497177588925612035</t>
  </si>
  <si>
    <t>INV0004</t>
  </si>
  <si>
    <t>Chechen forces amassing and leaving</t>
  </si>
  <si>
    <t>Chechenya</t>
  </si>
  <si>
    <t>Grozny</t>
  </si>
  <si>
    <t>UW0591</t>
  </si>
  <si>
    <t>https://bellingcat-archive.nyc3.cdn.digitaloceanspaces.com/Ukraine_Witness_Datasheet/Worksheet/twitter__200_zoka_status_1497177588925612035.html</t>
  </si>
  <si>
    <t>2022-02-25T14:49:24+00:00</t>
  </si>
  <si>
    <t>https://bellingcat-archive.nyc3.cdn.digitaloceanspaces.com/Ukraine_Witness_Datasheet/Worksheet/twitter__200_zoka_status_14971775889256120352022-02-25T14:49:15.497074.png</t>
  </si>
  <si>
    <t>1f8ea7177778b5478665632091cb874ee9371ce1ebfa178de51598e049dbf7ef</t>
  </si>
  <si>
    <t>https://twitter.com/YWNReporter/status/1497190358173818907</t>
  </si>
  <si>
    <t>UW0592</t>
  </si>
  <si>
    <t>https://bellingcat-archive.nyc3.cdn.digitaloceanspaces.com/Ukraine_Witness_Datasheet/Worksheet/youtube_dl_1497190358173818907.mp4</t>
  </si>
  <si>
    <t>2022-02-25T14:49:41+00:00</t>
  </si>
  <si>
    <t>https://bellingcat-archive.nyc3.cdn.digitaloceanspaces.com/Ukraine_Witness_Datasheet/Worksheet/youtube_dl__YWNReporter_status_14971903581738189072022-02-25T14:49:29.406590.png</t>
  </si>
  <si>
    <t>507b2492395b2c4f3417c7ff52241f91ae6013b16a38d2eccd0abf078692d541</t>
  </si>
  <si>
    <t>https://bellingcat-archive.nyc3.cdn.digitaloceanspaces.com/Ukraine_Witness_Datasheet/Worksheet/youtube_dl_1497190358173818907/index.html</t>
  </si>
  <si>
    <t>Moshe Schwartz - Video shows a Ukrainian citizen attempting to block a large convoy of Russian vehicles.</t>
  </si>
  <si>
    <t>2022-02-25T13:42:52+00:00</t>
  </si>
  <si>
    <t>https://2ch.hk/wm/src/3786765/16457811796811.mp4</t>
  </si>
  <si>
    <t>UW0594</t>
  </si>
  <si>
    <t>https://bellingcat-archive.nyc3.cdn.digitaloceanspaces.com/Ukraine_Witness_Datasheet/Worksheet/youtube_dl_16457811796811.mp4</t>
  </si>
  <si>
    <t>2022-02-25T14:50:01+00:00</t>
  </si>
  <si>
    <t>https://bellingcat-archive.nyc3.cdn.digitaloceanspaces.com/Ukraine_Witness_Datasheet/Worksheet/youtube_dl__wm_src_3786765_16457811796811.mp42022-02-25T14:49:46.994829.png</t>
  </si>
  <si>
    <t>d96f9d2abd69fffe9fe9d1e9cda041a366c3d1636f1b0ec9b628f9254f4ddf92</t>
  </si>
  <si>
    <t>https://bellingcat-archive.nyc3.cdn.digitaloceanspaces.com/Ukraine_Witness_Datasheet/Worksheet/youtube_dl_16457811796811/index.html</t>
  </si>
  <si>
    <t>2022-02-25T10:26:20+00:00</t>
  </si>
  <si>
    <t>https://t.me/intelslava/20492</t>
  </si>
  <si>
    <t>Artillery batteries firing at Ukrainian positions</t>
  </si>
  <si>
    <t>UW0595</t>
  </si>
  <si>
    <t>https://bellingcat-archive.nyc3.cdn.digitaloceanspaces.com/Ukraine_Witness_Datasheet/Worksheet/telegram_ac90089256.mp4</t>
  </si>
  <si>
    <t>2022-02-25T14:53:15+00:00</t>
  </si>
  <si>
    <t>https://bellingcat-archive.nyc3.cdn.digitaloceanspaces.com/Ukraine_Witness_Datasheet/Worksheet/telegram__intelslava_204922022-02-25T14:53:00.062214.png</t>
  </si>
  <si>
    <t>74539f6cd019139db59c7850b8f685b00200b230ba8b0dc9b3b9f585cb2b9398</t>
  </si>
  <si>
    <t>https://bellingcat-archive.nyc3.cdn.digitaloceanspaces.com/Ukraine_Witness_Datasheet/Worksheet/telegram_ac90089256/index.html</t>
  </si>
  <si>
    <t>2022-02-25T11:26:12+00:00</t>
  </si>
  <si>
    <t>Tom Sou/BS</t>
  </si>
  <si>
    <t>https://twitter.com/AFPphoto/status/1496804838637768707</t>
  </si>
  <si>
    <t>Civilian casualty, Chugiuv</t>
  </si>
  <si>
    <r>
      <rPr>
        <sz val="11.0"/>
      </rPr>
      <t xml:space="preserve">Same vehicle seen against the wall of the building in this footage: </t>
    </r>
    <r>
      <rPr>
        <color rgb="FF1155CC"/>
        <sz val="11.0"/>
        <u/>
      </rPr>
      <t>https://twitter.com/PDocumentarians/status/1496731018723835907?s=20&amp;t=7X8nsZXT_9wyUVYNeKAvmA</t>
    </r>
  </si>
  <si>
    <t>UW0596</t>
  </si>
  <si>
    <t>https://bellingcat-archive.nyc3.cdn.digitaloceanspaces.com/Ukraine_Witness_Datasheet/Worksheet/twitter__AFPphoto_status_1496804838637768707.html</t>
  </si>
  <si>
    <t>2022-02-25T14:53:37+00:00</t>
  </si>
  <si>
    <t>https://bellingcat-archive.nyc3.cdn.digitaloceanspaces.com/Ukraine_Witness_Datasheet/Worksheet/twitter__AFPphoto_status_14968048386377687072022-02-25T14:53:20.966953.png</t>
  </si>
  <si>
    <t>b786424978a080173fa0564a0cae807307b4b47bfeb7cb4d62a2016e326e3fd6</t>
  </si>
  <si>
    <t>https://twitter.com/NeilPHauer/status/1497196542138196000</t>
  </si>
  <si>
    <t>Chechen forces amassing</t>
  </si>
  <si>
    <t>UW0597</t>
  </si>
  <si>
    <t>https://bellingcat-archive.nyc3.cdn.digitaloceanspaces.com/Ukraine_Witness_Datasheet/Worksheet/youtube_dl_1497196542138196000.mp4</t>
  </si>
  <si>
    <t>2022-02-25T14:53:54+00:00</t>
  </si>
  <si>
    <t>https://bellingcat-archive.nyc3.cdn.digitaloceanspaces.com/Ukraine_Witness_Datasheet/Worksheet/youtube_dl__NeilPHauer_status_14971965421381960002022-02-25T14:53:42.757990.png</t>
  </si>
  <si>
    <t>d8dd6cdc55e8badaf0cda80b0191762c0b42ab06bf8a0f57601f60da8ab1b082</t>
  </si>
  <si>
    <t>https://bellingcat-archive.nyc3.cdn.digitaloceanspaces.com/Ukraine_Witness_Datasheet/Worksheet/youtube_dl_1497196542138196000/index.html</t>
  </si>
  <si>
    <t>Neil Hauer - Another video from Grozny, Chechnya sent to me by local source today. Thousands of additional Chechen government forces being deployed to Ukraine as part of Russia's occupation force.</t>
  </si>
  <si>
    <t>2022-02-25T14:07:26+00:00</t>
  </si>
  <si>
    <t>https://twitter.com/radiosvoboda/status/1497161995434536969?s=20&amp;t=hk63ejZ3jrJtYElaEjexNQ</t>
  </si>
  <si>
    <t>Destroyed Russian Grad MLRS also seen in UW0586</t>
  </si>
  <si>
    <t>UW0598</t>
  </si>
  <si>
    <t>https://bellingcat-archive.nyc3.cdn.digitaloceanspaces.com/Ukraine_Witness_Datasheet/Worksheet/youtube_dl_1497161995434536969.mp4</t>
  </si>
  <si>
    <t>2022-02-25T14:54:12+00:00</t>
  </si>
  <si>
    <t>https://bellingcat-archive.nyc3.cdn.digitaloceanspaces.com/Ukraine_Witness_Datasheet/Worksheet/youtube_dl__radiosvoboda_status_14971619954345369692022-02-25T14:53:59.710092.png</t>
  </si>
  <si>
    <t>6d67ed0f2838d36d1233b555cdec1aba714901c34ec3f340ad7203945cb1dd86</t>
  </si>
  <si>
    <t>https://bellingcat-archive.nyc3.cdn.digitaloceanspaces.com/Ukraine_Witness_Datasheet/Worksheet/youtube_dl_1497161995434536969/index.html</t>
  </si>
  <si>
    <t>Радіо Свобода - Околиці Харкова: спалені російські «Гради». Є загиблий російський військовий, передає кореспондент Радіо Свобода</t>
  </si>
  <si>
    <t>2022-02-25T11:50:10+00:00</t>
  </si>
  <si>
    <t>https://twitter.com/RALee85/status/1497200521337208838</t>
  </si>
  <si>
    <t>Heavy Fighting in Obolon District</t>
  </si>
  <si>
    <t>UW0599</t>
  </si>
  <si>
    <t>https://bellingcat-archive.nyc3.cdn.digitaloceanspaces.com/Ukraine_Witness_Datasheet/Worksheet/youtube_dl_1497200521337208838.mp4</t>
  </si>
  <si>
    <t>2022-02-25T14:54:29+00:00</t>
  </si>
  <si>
    <t>https://bellingcat-archive.nyc3.cdn.digitaloceanspaces.com/Ukraine_Witness_Datasheet/Worksheet/youtube_dl__RALee85_status_14972005213372088382022-02-25T14:54:17.268841.png</t>
  </si>
  <si>
    <t>45ada8decc0953581ac8b9be953230f91d65ad000d50cf2cec805165eb5348f6</t>
  </si>
  <si>
    <t>https://bellingcat-archive.nyc3.cdn.digitaloceanspaces.com/Ukraine_Witness_Datasheet/Worksheet/youtube_dl_1497200521337208838/index.html</t>
  </si>
  <si>
    <t>Rob Lee - More fighting in the Obolon district of Kyiv.</t>
  </si>
  <si>
    <t>2022-02-25T14:23:15+00:00</t>
  </si>
  <si>
    <t>https://twitter.com/RALee85/status/1497203581849583632</t>
  </si>
  <si>
    <t>Destroyed Ukrainian military vehicle in Bucha</t>
  </si>
  <si>
    <t>UW0600</t>
  </si>
  <si>
    <t>https://bellingcat-archive.nyc3.cdn.digitaloceanspaces.com/Ukraine_Witness_Datasheet/Worksheet/twitter__RALee85_status_1497203581849583632.html</t>
  </si>
  <si>
    <t>2022-02-25T14:54:45+00:00</t>
  </si>
  <si>
    <t>https://bellingcat-archive.nyc3.cdn.digitaloceanspaces.com/Ukraine_Witness_Datasheet/Worksheet/twitter__RALee85_status_14972035818495836322022-02-25T14:54:36.187300.png</t>
  </si>
  <si>
    <t>1b11d5e5f5712d18e7d31cc31c8f6b325aedeb5e4b22cfa31859c8dd772dbd85</t>
  </si>
  <si>
    <t>https://twitter.com/666_mancer/status/1497190914325987329</t>
  </si>
  <si>
    <t>Missile in ground</t>
  </si>
  <si>
    <t>https://twitter.com/vnprkhzhk/status/1497196218472148993</t>
  </si>
  <si>
    <t>9M55</t>
  </si>
  <si>
    <t>UW0601</t>
  </si>
  <si>
    <t>https://bellingcat-archive.nyc3.cdn.digitaloceanspaces.com/Ukraine_Witness_Datasheet/Worksheet/youtube_dl_1497190914325987329.mp4</t>
  </si>
  <si>
    <t>2022-02-25T14:55:01+00:00</t>
  </si>
  <si>
    <t>https://bellingcat-archive.nyc3.cdn.digitaloceanspaces.com/Ukraine_Witness_Datasheet/Worksheet/youtube_dl__666_mancer_status_14971909143259873292022-02-25T14:54:49.282650.png</t>
  </si>
  <si>
    <t>68858ed09b805681a063175249775a8ef421ed001d418e71261f8005f533166a</t>
  </si>
  <si>
    <t>https://bellingcat-archive.nyc3.cdn.digitaloceanspaces.com/Ukraine_Witness_Datasheet/Worksheet/youtube_dl_1497190914325987329/index.html</t>
  </si>
  <si>
    <t>Necro Mancer - #Ахтырка, последствия удара российскими РСЗО по городу (вроде, не "Грады", а "Ураганы") - есть погибшие и тяжелораненые</t>
  </si>
  <si>
    <t>2022-02-25T13:45:05+00:00</t>
  </si>
  <si>
    <t>https://twitter.com/futureisnottmr/status/1497216415757000705</t>
  </si>
  <si>
    <t>Civilian casualties at kindergarten</t>
  </si>
  <si>
    <t>https://twitter.com/kromark/status/1497200925995409412</t>
  </si>
  <si>
    <t>UW0602</t>
  </si>
  <si>
    <t>https://bellingcat-archive.nyc3.cdn.digitaloceanspaces.com/Ukraine_Witness_Datasheet/Worksheet/twitter__futureisnottmr_status_1497216415757000705.html</t>
  </si>
  <si>
    <t>2022-02-25T14:55:14+00:00</t>
  </si>
  <si>
    <t>https://bellingcat-archive.nyc3.cdn.digitaloceanspaces.com/Ukraine_Witness_Datasheet/Worksheet/twitter__futureisnottmr_status_14972164157570007052022-02-25T14:55:04.366606.png</t>
  </si>
  <si>
    <t>f864a4eb45ab25495486abf053f12ea54a1f387a502139a3510701008b07c2ac</t>
  </si>
  <si>
    <t>https://twitter.com/MarQs__/status/1497208397963350016</t>
  </si>
  <si>
    <t>Russian troops near Kherson</t>
  </si>
  <si>
    <t>UW0603</t>
  </si>
  <si>
    <t>https://bellingcat-archive.nyc3.cdn.digitaloceanspaces.com/Ukraine_Witness_Datasheet/Worksheet/youtube_dl_1497208397963350016.mp4</t>
  </si>
  <si>
    <t>2022-02-25T14:55:32+00:00</t>
  </si>
  <si>
    <t>https://bellingcat-archive.nyc3.cdn.digitaloceanspaces.com/Ukraine_Witness_Datasheet/Worksheet/youtube_dl__MarQs___status_14972083979633500162022-02-25T14:55:19.890173.png</t>
  </si>
  <si>
    <t>5735df2dbfdd2e495828db52aed57ce151de2751ac8fcb2542c79a779d63d8ec</t>
  </si>
  <si>
    <t>https://bellingcat-archive.nyc3.cdn.digitaloceanspaces.com/Ukraine_Witness_Datasheet/Worksheet/youtube_dl_1497208397963350016/index.html</t>
  </si>
  <si>
    <t>marqs - Russian troops near #Kherson</t>
  </si>
  <si>
    <t>2022-02-25T14:54:33+00:00</t>
  </si>
  <si>
    <t>https://t.me/vorposte/13799</t>
  </si>
  <si>
    <t>Kyiv Hydroelectric station, bridge destroyed</t>
  </si>
  <si>
    <t>UW0604</t>
  </si>
  <si>
    <t>https://bellingcat-archive.nyc3.cdn.digitaloceanspaces.com/Ukraine_Witness_Datasheet/Worksheet/telegram_f0f656e041.mp4</t>
  </si>
  <si>
    <t>2022-02-25T14:55:51+00:00</t>
  </si>
  <si>
    <t>https://bellingcat-archive.nyc3.cdn.digitaloceanspaces.com/Ukraine_Witness_Datasheet/Worksheet/telegram__vorposte_137992022-02-25T14:55:37.893143.png</t>
  </si>
  <si>
    <t>35cd22158e174d330760c27affedf6718c3afa07b825806f3ebff08b3b3a39d1</t>
  </si>
  <si>
    <t>https://bellingcat-archive.nyc3.cdn.digitaloceanspaces.com/Ukraine_Witness_Datasheet/Worksheet/telegram_f0f656e041/index.html</t>
  </si>
  <si>
    <t>2022-02-25T14:16:34+00:00</t>
  </si>
  <si>
    <t>R S</t>
  </si>
  <si>
    <t>https://twitter.com/KSergatskova/status/1497218877297680384</t>
  </si>
  <si>
    <t>Security Service of Ukraine Office on fire following alleged strike.</t>
  </si>
  <si>
    <t xml:space="preserve">Chernihiv </t>
  </si>
  <si>
    <t>UW0605</t>
  </si>
  <si>
    <t>https://bellingcat-archive.nyc3.cdn.digitaloceanspaces.com/Ukraine_Witness_Datasheet/Worksheet/youtube_dl_1497218877297680384.mp4</t>
  </si>
  <si>
    <t>2022-02-25T14:56:07+00:00</t>
  </si>
  <si>
    <t>https://bellingcat-archive.nyc3.cdn.digitaloceanspaces.com/Ukraine_Witness_Datasheet/Worksheet/youtube_dl__KSergatskova_status_14972188772976803842022-02-25T14:55:56.118548.png</t>
  </si>
  <si>
    <t>044802cb82f3fe4cb03d0c4c7079471b086ea59b4fdb2228706a61b0500a7312</t>
  </si>
  <si>
    <t>https://bellingcat-archive.nyc3.cdn.digitaloceanspaces.com/Ukraine_Witness_Datasheet/Worksheet/youtube_dl_1497218877297680384/index.html</t>
  </si>
  <si>
    <t>katerina sergatskova - Chernihiv security department is on fire: two shells from the Russian army hit it. it's a two-hour drive from Kyiv.  Video: @zaborona_media</t>
  </si>
  <si>
    <t>2022-02-25T15:36:11+00:00</t>
  </si>
  <si>
    <t>50.485576</t>
  </si>
  <si>
    <t>30.4728</t>
  </si>
  <si>
    <t>https://twitter.com/A_Yuzhakov/status/1497197120566165506</t>
  </si>
  <si>
    <t>CIV0026</t>
  </si>
  <si>
    <t>Graphic. Dead bodies alongside a 4x4 Caption reads "A jeep with civilians was mistaken for a car with saboteurs. All were shot dead."</t>
  </si>
  <si>
    <t>UW0606</t>
  </si>
  <si>
    <t>https://bellingcat-archive.nyc3.cdn.digitaloceanspaces.com/Ukraine_Witness_Datasheet/Worksheet/youtube_dl_1497197120566165506.mp4</t>
  </si>
  <si>
    <t>2022-02-25T14:56:24+00:00</t>
  </si>
  <si>
    <t>https://bellingcat-archive.nyc3.cdn.digitaloceanspaces.com/Ukraine_Witness_Datasheet/Worksheet/youtube_dl__A_Yuzhakov_status_14971971205661655062022-02-25T14:56:12.819001.png</t>
  </si>
  <si>
    <t>3724302b2c56c8769c48ede8a0ad2715c2054988fe34d25129cceb142541b2d0</t>
  </si>
  <si>
    <t>https://bellingcat-archive.nyc3.cdn.digitaloceanspaces.com/Ukraine_Witness_Datasheet/Worksheet/youtube_dl_1497197120566165506/index.html</t>
  </si>
  <si>
    <t>Артем - Новое зверство укронацистов в Киеве. На Крилловской улице джип с мирными жителями приняли за машину с диверсантами. В упор расстреляны все.</t>
  </si>
  <si>
    <t>2022-02-25T14:09:44+00:00</t>
  </si>
  <si>
    <t>https://twitter.com/MarQs__/status/1497218488200355840</t>
  </si>
  <si>
    <t>UW0607</t>
  </si>
  <si>
    <t>https://bellingcat-archive.nyc3.cdn.digitaloceanspaces.com/Ukraine_Witness_Datasheet/Worksheet/youtube_dl_1497218488200355840.mp4</t>
  </si>
  <si>
    <t>2022-02-25T14:58:16+00:00</t>
  </si>
  <si>
    <t>https://bellingcat-archive.nyc3.cdn.digitaloceanspaces.com/Ukraine_Witness_Datasheet/Worksheet/youtube_dl__MarQs___status_14972184882003558402022-02-25T14:58:04.939020.png</t>
  </si>
  <si>
    <t>7bec866af67844c363d20fda24d6764d8f3e54c149d6e1687527511b22d77e5b</t>
  </si>
  <si>
    <t>https://bellingcat-archive.nyc3.cdn.digitaloceanspaces.com/Ukraine_Witness_Datasheet/Worksheet/youtube_dl_1497218488200355840/index.html</t>
  </si>
  <si>
    <t>marqs - Aftermath of Russian strikes in Starobilsk, #Luhansk region</t>
  </si>
  <si>
    <t>2022-02-25T15:34:39+00:00</t>
  </si>
  <si>
    <t>https://twitter.com/KyivIndependent/status/1497082148460843036?s=20&amp;t=7X8nsZXT_9wyUVYNeKAvmA</t>
  </si>
  <si>
    <t>UW0608</t>
  </si>
  <si>
    <t>https://bellingcat-archive.nyc3.cdn.digitaloceanspaces.com/Ukraine_Witness_Datasheet/Worksheet/twitter__KyivIndependent_status_1497082148460843036.html</t>
  </si>
  <si>
    <t>2022-02-25T15:01:31+00:00</t>
  </si>
  <si>
    <t>https://bellingcat-archive.nyc3.cdn.digitaloceanspaces.com/Ukraine_Witness_Datasheet/Worksheet/twitter__KyivIndependent_status_14970821484608430362022-02-25T15:01:22.038387.png</t>
  </si>
  <si>
    <t>ad0b191b933bdc225686ca6f5105f5998967e2328051f6f680992d83901c18bd</t>
  </si>
  <si>
    <t>https://twitter.com/Kronidos/status/1497184427708981263</t>
  </si>
  <si>
    <t>https://twitter.com/gfusfus/status/1497217860380155905</t>
  </si>
  <si>
    <t>UW0609</t>
  </si>
  <si>
    <t>https://bellingcat-archive.nyc3.cdn.digitaloceanspaces.com/Ukraine_Witness_Datasheet/Worksheet/youtube_dl_1497184427708981263.mp4</t>
  </si>
  <si>
    <t>2022-02-25T15:05:06+00:00</t>
  </si>
  <si>
    <t>https://bellingcat-archive.nyc3.cdn.digitaloceanspaces.com/Ukraine_Witness_Datasheet/Worksheet/youtube_dl__Kronidos_status_14971844277089812632022-02-25T15:04:50.039615.png</t>
  </si>
  <si>
    <t>864226764ebd937a387b0e3558cf6946051dba516015b3b8d529d55a97945577</t>
  </si>
  <si>
    <t>https://bellingcat-archive.nyc3.cdn.digitaloceanspaces.com/Ukraine_Witness_Datasheet/Worksheet/youtube_dl_1497184427708981263/index.html</t>
  </si>
  <si>
    <t>Juliusz Konrad Wołk - Belarus, "Right now in Bragin (Gomel region) near the border with Ukraine a column of military equipment was seen" Source :</t>
  </si>
  <si>
    <t>2022-02-25T13:19:18+00:00</t>
  </si>
  <si>
    <t>https://twitter.com/FrancescaEbel/status/1497202001154740225?s=20&amp;t=d4GjkYoB75_9-eWvX5sCrg</t>
  </si>
  <si>
    <t>Destroyed bridge near Kyiv</t>
  </si>
  <si>
    <t>https://twitter.com/briceleborgne/status/1497218877939400709?s=21</t>
  </si>
  <si>
    <t>UW0610</t>
  </si>
  <si>
    <t>https://bellingcat-archive.nyc3.cdn.digitaloceanspaces.com/Ukraine_Witness_Datasheet/Worksheet/youtube_dl_1497202001154740225.mp4</t>
  </si>
  <si>
    <t>2022-02-25T15:09:12+00:00</t>
  </si>
  <si>
    <t>https://bellingcat-archive.nyc3.cdn.digitaloceanspaces.com/Ukraine_Witness_Datasheet/Worksheet/youtube_dl__FrancescaEbel_status_14972020011547402252022-02-25T15:08:52.459329.png</t>
  </si>
  <si>
    <t>ee2c35acd21aa196284ea18583c6c8bb3c8993c78077a6084db5de0f28bc866e</t>
  </si>
  <si>
    <t>https://bellingcat-archive.nyc3.cdn.digitaloceanspaces.com/Ukraine_Witness_Datasheet/Worksheet/youtube_dl_1497202001154740225/index.html</t>
  </si>
  <si>
    <t>Francesca Ebel - I’m in the north of #Kyiv where Russia is continuing to bomb the neighborhoods. This is the bridge that Ukraine blew up today to prevent the advance of Russian tanks. You can see ppl fleeing the city on foot scrambling over the ruins; I watched as a man dragged over his bicycle.</t>
  </si>
  <si>
    <t>2022-02-25T14:29:08+00:00</t>
  </si>
  <si>
    <t>https://twitter.com/Snews_india/status/1497058004235350018</t>
  </si>
  <si>
    <t>UW0611</t>
  </si>
  <si>
    <t>https://bellingcat-archive.nyc3.cdn.digitaloceanspaces.com/Ukraine_Witness_Datasheet/Worksheet/youtube_dl_1497058004235350018.mp4</t>
  </si>
  <si>
    <t>2022-02-25T15:18:10+00:00</t>
  </si>
  <si>
    <t>https://bellingcat-archive.nyc3.cdn.digitaloceanspaces.com/Ukraine_Witness_Datasheet/Worksheet/youtube_dl__Snews_india_status_14970580042353500182022-02-25T15:17:55.821784.png</t>
  </si>
  <si>
    <t>fe9b6c10ecb0cef0ca6765dcc0b7c1a32aad9f6080fbb4c6bdf5ee3db008cf74</t>
  </si>
  <si>
    <t>https://bellingcat-archive.nyc3.cdn.digitaloceanspaces.com/Ukraine_Witness_Datasheet/Worksheet/youtube_dl_1497058004235350018/index.html</t>
  </si>
  <si>
    <t>Snews india - Russian airstrike on a village in Sumy destroyed many houses. #UkraineRussiaConflict #Ukraine #UkraineRussia</t>
  </si>
  <si>
    <t>2022-02-25T04:56:56+00:00</t>
  </si>
  <si>
    <t>https://twitter.com/IntelCrab/status/1497224482829660162</t>
  </si>
  <si>
    <t>Destruction of civilian infrastructure in the city of Starobil's'k</t>
  </si>
  <si>
    <t>UW0612</t>
  </si>
  <si>
    <t>https://bellingcat-archive.nyc3.cdn.digitaloceanspaces.com/Ukraine_Witness_Datasheet/Worksheet/youtube_dl_1497224482829660162.mp4</t>
  </si>
  <si>
    <t>2022-02-25T15:18:27+00:00</t>
  </si>
  <si>
    <t>https://bellingcat-archive.nyc3.cdn.digitaloceanspaces.com/Ukraine_Witness_Datasheet/Worksheet/youtube_dl__IntelCrab_status_14972244828296601622022-02-25T15:18:15.006507.png</t>
  </si>
  <si>
    <t>https://bellingcat-archive.nyc3.cdn.digitaloceanspaces.com/Ukraine_Witness_Datasheet/Worksheet/youtube_dl_1497224482829660162/index.html</t>
  </si>
  <si>
    <t>The Intel Crab - Absolute destruction in the city of Starobil's'k. Heavy civilian casualties.</t>
  </si>
  <si>
    <t>2022-02-25T15:58:28+00:00</t>
  </si>
  <si>
    <t>https://twitter.com/mommentonews/status/1497174032894074883</t>
  </si>
  <si>
    <t>Shelling, Kyiv</t>
  </si>
  <si>
    <t>UW0613</t>
  </si>
  <si>
    <t>https://bellingcat-archive.nyc3.cdn.digitaloceanspaces.com/Ukraine_Witness_Datasheet/Worksheet/youtube_dl_1497174032894074883.mp4</t>
  </si>
  <si>
    <t>2022-02-25T15:44:20+00:00</t>
  </si>
  <si>
    <t>https://bellingcat-archive.nyc3.cdn.digitaloceanspaces.com/Ukraine_Witness_Datasheet/Worksheet/youtube_dl__mommentonews_status_14971740328940748832022-02-25T15:44:04.433894.png</t>
  </si>
  <si>
    <t>67dd889e8a0b9b9f9daf78b33b12c9de2428e8004104154862727d6299f45bb6</t>
  </si>
  <si>
    <t>https://bellingcat-archive.nyc3.cdn.digitaloceanspaces.com/Ukraine_Witness_Datasheet/Worksheet/youtube_dl_1497174032894074883/index.html</t>
  </si>
  <si>
    <t>MOMMENTOnews - #Russia Continues Air Strike and Bombings in #Ukraine 's Capital city #Kyiv. #RussiaUkraineConflict  #russianinvasion</t>
  </si>
  <si>
    <t>2022-02-25T12:38:00+00:00</t>
  </si>
  <si>
    <t>https://twitter.com/MarQs__/status/1497229423036313605</t>
  </si>
  <si>
    <t>UW0615</t>
  </si>
  <si>
    <t>https://bellingcat-archive.nyc3.cdn.digitaloceanspaces.com/Ukraine_Witness_Datasheet/Worksheet/youtube_dl_1497229423036313605.mp4</t>
  </si>
  <si>
    <t>2022-02-25T15:44:42+00:00</t>
  </si>
  <si>
    <t>https://bellingcat-archive.nyc3.cdn.digitaloceanspaces.com/Ukraine_Witness_Datasheet/Worksheet/youtube_dl__MarQs___status_14972294230363136052022-02-25T15:44:28.075295.png</t>
  </si>
  <si>
    <t>642b4814f8a83ffff9d0e6990d1ffa052aacb75b0792c17403871cbd75889148</t>
  </si>
  <si>
    <t>https://bellingcat-archive.nyc3.cdn.digitaloceanspaces.com/Ukraine_Witness_Datasheet/Worksheet/youtube_dl_1497229423036313605/index.html</t>
  </si>
  <si>
    <t>marqs - More destroyed Ukrainian equipment in Oleshky, #Kherson</t>
  </si>
  <si>
    <t>2022-02-25T16:18:06+00:00</t>
  </si>
  <si>
    <t>https://twitter.com/trbrtc/status/1496947553421647878?s=20&amp;t=HDnQnqqLPcYoyNDJM5p4_A</t>
  </si>
  <si>
    <t>Satellite imagery showing crater from a alleged Russian missile attack at Mikolaiv air base</t>
  </si>
  <si>
    <t>Mykolaiv Oblast</t>
  </si>
  <si>
    <t>UW0616</t>
  </si>
  <si>
    <t>https://bellingcat-archive.nyc3.cdn.digitaloceanspaces.com/Ukraine_Witness_Datasheet/Worksheet/twitter__trbrtc_status_1496947553421647878.html</t>
  </si>
  <si>
    <t>2022-02-25T15:44:58+00:00</t>
  </si>
  <si>
    <t>https://bellingcat-archive.nyc3.cdn.digitaloceanspaces.com/Ukraine_Witness_Datasheet/Worksheet/twitter__trbrtc_status_14969475534216478782022-02-25T15:44:49.341570.png</t>
  </si>
  <si>
    <t>b225340327bf338e16aacead8852d4b3feef4ed12395fab4bf24ffb9b9195f7a</t>
  </si>
  <si>
    <t>https://twitter.com/UAWeapons/status/1497217758051717123</t>
  </si>
  <si>
    <t xml:space="preserve">Killed alleged saboteur  </t>
  </si>
  <si>
    <t>UW0617</t>
  </si>
  <si>
    <t>https://bellingcat-archive.nyc3.cdn.digitaloceanspaces.com/Ukraine_Witness_Datasheet/Worksheet/twitter__UAWeapons_status_1497217758051717123.html</t>
  </si>
  <si>
    <t>2022-02-25T15:45:15+00:00</t>
  </si>
  <si>
    <t>https://bellingcat-archive.nyc3.cdn.digitaloceanspaces.com/Ukraine_Witness_Datasheet/Worksheet/twitter__UAWeapons_status_14972177580517171232022-02-25T15:45:05.979283.png</t>
  </si>
  <si>
    <t>13fb6039806cd48c6db1e5272404f84a3617871637caa218c5f2e730ee98c893</t>
  </si>
  <si>
    <t>https://twitter.com/poppoppopkt/status/1497228226439131136</t>
  </si>
  <si>
    <t>UW0618</t>
  </si>
  <si>
    <t>https://bellingcat-archive.nyc3.cdn.digitaloceanspaces.com/Ukraine_Witness_Datasheet/Worksheet/youtube_dl_1497228226439131136.mp4</t>
  </si>
  <si>
    <t>2022-02-25T15:45:32+00:00</t>
  </si>
  <si>
    <t>https://bellingcat-archive.nyc3.cdn.digitaloceanspaces.com/Ukraine_Witness_Datasheet/Worksheet/youtube_dl__poppoppopkt_status_14972282264391311362022-02-25T15:45:21.121159.png</t>
  </si>
  <si>
    <t>5a2cfc950af9cfed1d4828e9bfeb5f31873d65fa4c68f40cb36c2f708eda1b3a</t>
  </si>
  <si>
    <t>https://bellingcat-archive.nyc3.cdn.digitaloceanspaces.com/Ukraine_Witness_Datasheet/Worksheet/youtube_dl_1497228226439131136/index.html</t>
  </si>
  <si>
    <t>Иван Щелепов - Российские Т-72Б3 УБХ и БМП-3 проходят через пгт. Приазовское в направлении Бердянска и Мариуполя.</t>
  </si>
  <si>
    <t>2022-02-25T16:13:20+00:00</t>
  </si>
  <si>
    <t>https://twitter.com/il_kanguru/status/1496999134162825217</t>
  </si>
  <si>
    <t>Satelliate Imagery of fire in aviatorske military base</t>
  </si>
  <si>
    <t>Dnipropetrovsk Oblast</t>
  </si>
  <si>
    <t>Aviators'ke</t>
  </si>
  <si>
    <t>UW0619</t>
  </si>
  <si>
    <t>https://bellingcat-archive.nyc3.cdn.digitaloceanspaces.com/Ukraine_Witness_Datasheet/Worksheet/twitter__il_kanguru_status_1496999134162825217.html</t>
  </si>
  <si>
    <t>2022-02-25T15:45:44+00:00</t>
  </si>
  <si>
    <t>https://bellingcat-archive.nyc3.cdn.digitaloceanspaces.com/Ukraine_Witness_Datasheet/Worksheet/twitter__il_kanguru_status_14969991341628252172022-02-25T15:45:35.502605.png</t>
  </si>
  <si>
    <t>6efd738809365deb7132a1af36ecaa159a515244e408ea010372dd8b51e7bd5c</t>
  </si>
  <si>
    <t>https://twitter.com/GirkinGirkin/status/1497233420027576324</t>
  </si>
  <si>
    <t>UW0620</t>
  </si>
  <si>
    <t>https://bellingcat-archive.nyc3.cdn.digitaloceanspaces.com/Ukraine_Witness_Datasheet/Worksheet/youtube_dl_1497233420027576324.mp4</t>
  </si>
  <si>
    <t>2022-02-25T15:46:04+00:00</t>
  </si>
  <si>
    <t>https://bellingcat-archive.nyc3.cdn.digitaloceanspaces.com/Ukraine_Witness_Datasheet/Worksheet/youtube_dl__GirkinGirkin_status_14972334200275763242022-02-25T15:45:51.835400.png</t>
  </si>
  <si>
    <t>bdb40f41143eee39937546987c535e30ba3d81db200068175238180f485e4081</t>
  </si>
  <si>
    <t>https://bellingcat-archive.nyc3.cdn.digitaloceanspaces.com/Ukraine_Witness_Datasheet/Worksheet/youtube_dl_1497233420027576324/index.html</t>
  </si>
  <si>
    <t>2022-02-25T16:33:59+00:00</t>
  </si>
  <si>
    <t>https://t.me/MariypolCalling/2975</t>
  </si>
  <si>
    <t>UW0621</t>
  </si>
  <si>
    <t>https://bellingcat-archive.nyc3.cdn.digitaloceanspaces.com/Ukraine_Witness_Datasheet/Worksheet/telegram_102239f27b.mp4</t>
  </si>
  <si>
    <t>2022-02-25T16:02:24+00:00</t>
  </si>
  <si>
    <t>https://bellingcat-archive.nyc3.cdn.digitaloceanspaces.com/Ukraine_Witness_Datasheet/Worksheet/telegram__MariypolCalling_29752022-02-25T16:02:10.444070.png</t>
  </si>
  <si>
    <t>cf6f1f8b1f3f102169871e45bc35a84e33529f5bf145eb6c7028ae43bcbaa412</t>
  </si>
  <si>
    <t>https://bellingcat-archive.nyc3.cdn.digitaloceanspaces.com/Ukraine_Witness_Datasheet/Worksheet/telegram_102239f27b/index.html</t>
  </si>
  <si>
    <t>2022-02-25T15:23:24+00:00</t>
  </si>
  <si>
    <t>https://twitter.com/MotolkoHelp/status/1497224742700400648</t>
  </si>
  <si>
    <t>Movement of heavy Russian weaponry in Kobryn, Belarus</t>
  </si>
  <si>
    <t>UW0624</t>
  </si>
  <si>
    <t>https://bellingcat-archive.nyc3.cdn.digitaloceanspaces.com/Ukraine_Witness_Datasheet/Worksheet/youtube_dl_1497224742700400648.mp4</t>
  </si>
  <si>
    <t>2022-02-25T16:30:14+00:00</t>
  </si>
  <si>
    <t>https://bellingcat-archive.nyc3.cdn.digitaloceanspaces.com/Ukraine_Witness_Datasheet/Worksheet/youtube_dl__MotolkoHelp_status_14972247427004006482022-02-25T16:29:57.352675.png</t>
  </si>
  <si>
    <t>b99a7e6c9d40bf0d8a29c7631d0e9b41d60c3a0851bb271cf1a865c96d29c2f9</t>
  </si>
  <si>
    <t>https://bellingcat-archive.nyc3.cdn.digitaloceanspaces.com/Ukraine_Witness_Datasheet/Worksheet/youtube_dl_1497224742700400648/index.html</t>
  </si>
  <si>
    <t>MotolkoHelp - A train with Russian military equipment was seen today (25.02) at 16:40 (Minsk time) near Kobryn (Brest region, Belarus), moving from Zhabinka towards Gomel. Dozens of units of military equipment can be seen on the platforms. 1/2</t>
  </si>
  <si>
    <t>2022-02-25T15:59:30+00:00</t>
  </si>
  <si>
    <t>24.02/2022</t>
  </si>
  <si>
    <t>https://twitter.com/il_kanguru/status/1496999094400737280</t>
  </si>
  <si>
    <t>Satellite imagery of a fire in Chuhuiv airbase</t>
  </si>
  <si>
    <t>UW0625</t>
  </si>
  <si>
    <t>https://bellingcat-archive.nyc3.cdn.digitaloceanspaces.com/Ukraine_Witness_Datasheet/Worksheet/twitter__il_kanguru_status_1496999094400737280.html</t>
  </si>
  <si>
    <t>2022-02-25T16:30:27+00:00</t>
  </si>
  <si>
    <t>https://bellingcat-archive.nyc3.cdn.digitaloceanspaces.com/Ukraine_Witness_Datasheet/Worksheet/twitter__il_kanguru_status_14969990944007372802022-02-25T16:30:17.784473.png</t>
  </si>
  <si>
    <t>0447e56df2d5ebe8fd542f640eee94cbe44c3ee7103013c3cc02e0cecd2d4448</t>
  </si>
  <si>
    <t>https://twitter.com/ua_industrial/status/1497231579524964352</t>
  </si>
  <si>
    <t>https://twitter.com/gfusfus/status/1497244458726866946</t>
  </si>
  <si>
    <t>UW0626</t>
  </si>
  <si>
    <t>https://bellingcat-archive.nyc3.cdn.digitaloceanspaces.com/Ukraine_Witness_Datasheet/Worksheet/youtube_dl_1497231579524964352.mp4</t>
  </si>
  <si>
    <t>2022-02-25T16:30:48+00:00</t>
  </si>
  <si>
    <t>https://bellingcat-archive.nyc3.cdn.digitaloceanspaces.com/Ukraine_Witness_Datasheet/Worksheet/youtube_dl__ua_industrial_status_14972315795249643522022-02-25T16:30:35.192253.png</t>
  </si>
  <si>
    <t>f8db71d5b1fa13f179ccf0d051e027888c215f863b953b61c1a5b4b037d842d7</t>
  </si>
  <si>
    <t>https://bellingcat-archive.nyc3.cdn.digitaloceanspaces.com/Ukraine_Witness_Datasheet/Worksheet/youtube_dl_1497231579524964352/index.html</t>
  </si>
  <si>
    <t>Промисловий Портал - Буча, окупанти розстріляли цивільні автівки.  Намагайтесь не виходити на подвір'я, тим паче не виїжджати на дороги.</t>
  </si>
  <si>
    <t>2022-02-25T16:26:40+00:00</t>
  </si>
  <si>
    <t>https://twitter.com/ragipsoylu/status/1497244475986485255</t>
  </si>
  <si>
    <t>Fighting at hospital</t>
  </si>
  <si>
    <t>UW0627</t>
  </si>
  <si>
    <t>Civilian Infrastructure Damage</t>
  </si>
  <si>
    <t>https://bellingcat-archive.nyc3.cdn.digitaloceanspaces.com/Ukraine_Witness_Datasheet/Worksheet/youtube_dl_1497244475986485255.mp4</t>
  </si>
  <si>
    <t>2022-02-25T16:31:05+00:00</t>
  </si>
  <si>
    <t>https://bellingcat-archive.nyc3.cdn.digitaloceanspaces.com/Ukraine_Witness_Datasheet/Worksheet/youtube_dl__ragipsoylu_status_14972444759864852552022-02-25T16:30:53.803793.png</t>
  </si>
  <si>
    <t>4622a6ec8a0582eebf6d040f2819b121cea8cd9858bc6565b779fdd42f86897c</t>
  </si>
  <si>
    <t>https://bellingcat-archive.nyc3.cdn.digitaloceanspaces.com/Ukraine_Witness_Datasheet/Worksheet/youtube_dl_1497244475986485255/index.html</t>
  </si>
  <si>
    <t>Ragıp Soylu - Viral on Ukrainian social media;   A brutal battle in Melitopol. The Russians reportedly shoot the hospital, the video shows a shell hitting the oncology department.   Not verified yet.</t>
  </si>
  <si>
    <t>2022-02-25T17:17:55+00:00</t>
  </si>
  <si>
    <t>https://twitter.com/il_kanguru/status/1496999053858689024</t>
  </si>
  <si>
    <t xml:space="preserve">Satellite Imagery of fires in kharkiv crossing </t>
  </si>
  <si>
    <t>UW0628</t>
  </si>
  <si>
    <t>https://bellingcat-archive.nyc3.cdn.digitaloceanspaces.com/Ukraine_Witness_Datasheet/Worksheet/twitter__il_kanguru_status_1496999053858689024.html</t>
  </si>
  <si>
    <t>2022-02-25T16:48:07+00:00</t>
  </si>
  <si>
    <t>https://bellingcat-archive.nyc3.cdn.digitaloceanspaces.com/Ukraine_Witness_Datasheet/Worksheet/twitter__il_kanguru_status_14969990538586890242022-02-25T16:47:52.945475.png</t>
  </si>
  <si>
    <t>a5010858daeb36e5a34de5c50e46b1e3f99e54f93fb28bae4795935211999074</t>
  </si>
  <si>
    <t>https://twitter.com/no_itsmyturn/status/1497246023055519747</t>
  </si>
  <si>
    <t>Helicopters landing</t>
  </si>
  <si>
    <t>Mykolaiv</t>
  </si>
  <si>
    <t>UW0629</t>
  </si>
  <si>
    <t>https://bellingcat-archive.nyc3.cdn.digitaloceanspaces.com/Ukraine_Witness_Datasheet/Worksheet/youtube_dl_1497246023055519747.mp4</t>
  </si>
  <si>
    <t>2022-02-25T16:48:27+00:00</t>
  </si>
  <si>
    <t>https://bellingcat-archive.nyc3.cdn.digitaloceanspaces.com/Ukraine_Witness_Datasheet/Worksheet/youtube_dl__no_itsmyturn_status_14972460230555197472022-02-25T16:48:14.937351.png</t>
  </si>
  <si>
    <t>d3a68e3dd23332dd9d10b28145c170566683090f31e7a78e88a8f50f83764263</t>
  </si>
  <si>
    <t>https://bellingcat-archive.nyc3.cdn.digitaloceanspaces.com/Ukraine_Witness_Datasheet/Worksheet/youtube_dl_1497246023055519747/index.html</t>
  </si>
  <si>
    <t>Aleph א #IStandWithUkraine 🇺🇦 - Fighting in Mykolaiv Ukrainian channels report that a Russian chopper wanted to land near the "Admiral Makarov National University of Shipbuilding" #Ukraine 🇺🇦</t>
  </si>
  <si>
    <t>2022-02-25T17:24:04+00:00</t>
  </si>
  <si>
    <t>Satellite Imagery of fire in Kharkiv Military base</t>
  </si>
  <si>
    <t>Bobrivka</t>
  </si>
  <si>
    <t>UW0630</t>
  </si>
  <si>
    <t>2022-02-25T16:48:39+00:00</t>
  </si>
  <si>
    <t>https://bellingcat-archive.nyc3.cdn.digitaloceanspaces.com/Ukraine_Witness_Datasheet/Worksheet/twitter__il_kanguru_status_14969990538586890242022-02-25T16:48:30.521484.png</t>
  </si>
  <si>
    <t>https://twitter.com/666_mancer/status/1497225554763857941</t>
  </si>
  <si>
    <t>Dead civilian and damaged military equipment</t>
  </si>
  <si>
    <t>UW0631</t>
  </si>
  <si>
    <t>https://bellingcat-archive.nyc3.cdn.digitaloceanspaces.com/Ukraine_Witness_Datasheet/Worksheet/youtube_dl_1497225554763857941.mp4</t>
  </si>
  <si>
    <t>2022-02-25T16:48:56+00:00</t>
  </si>
  <si>
    <t>https://bellingcat-archive.nyc3.cdn.digitaloceanspaces.com/Ukraine_Witness_Datasheet/Worksheet/youtube_dl__666_mancer_status_14972255547638579412022-02-25T16:48:44.192905.png</t>
  </si>
  <si>
    <t>db4b89cb3b96c3f7844b42099ea0044ab04cab9c4d1fd3d0316dc83aef1bcc6c</t>
  </si>
  <si>
    <t>https://bellingcat-archive.nyc3.cdn.digitaloceanspaces.com/Ukraine_Witness_Datasheet/Worksheet/youtube_dl_1497225554763857941/index.html</t>
  </si>
  <si>
    <t>Necro Mancer - #Херсон, окружная, разбитая колонна и погибшие гражданские</t>
  </si>
  <si>
    <t>2022-02-25T16:02:44+00:00</t>
  </si>
  <si>
    <t>Foeke</t>
  </si>
  <si>
    <t>https://twitter.com/JimmySecUK/status/1496754882002534400?t=7h6tgRHHOKOLY9EYhMdQvg&amp;s=19</t>
  </si>
  <si>
    <t>Apartment block hit by missile</t>
  </si>
  <si>
    <t>UW0632</t>
  </si>
  <si>
    <t>2022-02-25T16:49:13+00:00</t>
  </si>
  <si>
    <t>https://bellingcat-archive.nyc3.cdn.digitaloceanspaces.com/Ukraine_Witness_Datasheet/Worksheet/youtube_dl__JimmySecUK_status_14967548820025344002022-02-25T16:49:00.423509.png</t>
  </si>
  <si>
    <t>https://twitter.com/PDocumentarians/status/1496731018723835907?s=20&amp;t=BsO19JRy9tJkk8gDatQVUg</t>
  </si>
  <si>
    <t>UW0633</t>
  </si>
  <si>
    <t>https://bellingcat-archive.nyc3.cdn.digitaloceanspaces.com/Ukraine_Witness_Datasheet/Worksheet/youtube_dl_1496731018723835907.mp4</t>
  </si>
  <si>
    <t>2022-02-25T16:49:32+00:00</t>
  </si>
  <si>
    <t>https://bellingcat-archive.nyc3.cdn.digitaloceanspaces.com/Ukraine_Witness_Datasheet/Worksheet/youtube_dl__PDocumentarians_status_14967310187238359072022-02-25T16:49:19.764428.png</t>
  </si>
  <si>
    <t>7a05b92126f199cf2f16906f0f36669709ad6f41872f1b58701d441aecee2db9</t>
  </si>
  <si>
    <t>https://bellingcat-archive.nyc3.cdn.digitaloceanspaces.com/Ukraine_Witness_Datasheet/Worksheet/youtube_dl_1496731018723835907/index.html</t>
  </si>
  <si>
    <t>Justin Yau - An apartment complex in Is devastated by bombardment, south of Kharkiv. Untold number of casualties.</t>
  </si>
  <si>
    <t>2022-02-24T07:17:37+00:00</t>
  </si>
  <si>
    <t>https://twitter.com/AlexanderLouri4/status/1496761690561683456?s=20&amp;t=BsO19JRy9tJkk8gDatQVUg</t>
  </si>
  <si>
    <t>UW0634</t>
  </si>
  <si>
    <t>2022-02-25T16:49:48+00:00</t>
  </si>
  <si>
    <t>https://bellingcat-archive.nyc3.cdn.digitaloceanspaces.com/Ukraine_Witness_Datasheet/Worksheet/youtube_dl__AlexanderLouri4_status_14967616905616834562022-02-25T16:49:36.011631.png</t>
  </si>
  <si>
    <t>https://twitter.com/AlexanderLouri4/status/1496762766316687363?s=20&amp;t=BsO19JRy9tJkk8gDatQVUg</t>
  </si>
  <si>
    <t>UW0635</t>
  </si>
  <si>
    <t>https://bellingcat-archive.nyc3.cdn.digitaloceanspaces.com/Ukraine_Witness_Datasheet/Worksheet/youtube_dl_1496762766316687363.mp4</t>
  </si>
  <si>
    <t>2022-02-25T16:50:05+00:00</t>
  </si>
  <si>
    <t>https://bellingcat-archive.nyc3.cdn.digitaloceanspaces.com/Ukraine_Witness_Datasheet/Worksheet/youtube_dl__AlexanderLouri4_status_14967627663166873632022-02-25T16:49:53.400781.png</t>
  </si>
  <si>
    <t>14232a001ff2ce33a91ffd53ea000f57d618ae8e37be21116f47249f432f81e5</t>
  </si>
  <si>
    <t>https://bellingcat-archive.nyc3.cdn.digitaloceanspaces.com/Ukraine_Witness_Datasheet/Worksheet/youtube_dl_1496762766316687363/index.html</t>
  </si>
  <si>
    <t>2022-02-24T09:23:46+00:00</t>
  </si>
  <si>
    <t>https://twitter.com/AlexanderLouri4/status/1496765032167710723?s=20&amp;t=BsO19JRy9tJkk8gDatQVUg</t>
  </si>
  <si>
    <t>UW0636</t>
  </si>
  <si>
    <t>https://bellingcat-archive.nyc3.cdn.digitaloceanspaces.com/Ukraine_Witness_Datasheet/Worksheet/youtube_dl_1496765032167710723.mp4</t>
  </si>
  <si>
    <t>2022-02-25T16:50:21+00:00</t>
  </si>
  <si>
    <t>https://bellingcat-archive.nyc3.cdn.digitaloceanspaces.com/Ukraine_Witness_Datasheet/Worksheet/youtube_dl__AlexanderLouri4_status_14967650321677107232022-02-25T16:50:10.015279.png</t>
  </si>
  <si>
    <t>78c7dca3cac63abc29ecd1e7f8f638a8d394addb06bb20a9f8fa5a9d8a1d3545</t>
  </si>
  <si>
    <t>https://bellingcat-archive.nyc3.cdn.digitaloceanspaces.com/Ukraine_Witness_Datasheet/Worksheet/youtube_dl_1496765032167710723/index.html</t>
  </si>
  <si>
    <t>2022-02-24T09:32:46+00:00</t>
  </si>
  <si>
    <t>https://twitter.com/AlexanderLouri4/status/1496783483745755141?s=20&amp;t=teqfp5yPtAKLW8Ri7PMI5g</t>
  </si>
  <si>
    <t>UW0637</t>
  </si>
  <si>
    <t>https://bellingcat-archive.nyc3.cdn.digitaloceanspaces.com/Ukraine_Witness_Datasheet/Worksheet/twitter__AlexanderLouri4_status_1496783483745755141.html</t>
  </si>
  <si>
    <t>2022-02-25T16:50:39+00:00</t>
  </si>
  <si>
    <t>https://bellingcat-archive.nyc3.cdn.digitaloceanspaces.com/Ukraine_Witness_Datasheet/Worksheet/twitter__AlexanderLouri4_status_14967834837457551412022-02-25T16:50:29.619156.png</t>
  </si>
  <si>
    <t>5951f4ff3fe4014225a008a9c2d4af421e64b8c8f2679e8d7aac688d4206682f</t>
  </si>
  <si>
    <t>https://twitter.com/anadoluagency/status/1496768205314007040?s=20&amp;t=Au5uUu8TJjhHwjyynyG4ww</t>
  </si>
  <si>
    <t>UW0638</t>
  </si>
  <si>
    <t>https://bellingcat-archive.nyc3.cdn.digitaloceanspaces.com/Ukraine_Witness_Datasheet/Worksheet/youtube_dl_1496768205314007040.mp4</t>
  </si>
  <si>
    <t>2022-02-25T16:50:58+00:00</t>
  </si>
  <si>
    <t>https://bellingcat-archive.nyc3.cdn.digitaloceanspaces.com/Ukraine_Witness_Datasheet/Worksheet/youtube_dl__anadoluagency_status_14967682053140070402022-02-25T16:50:46.590273.png</t>
  </si>
  <si>
    <t>37729ed8a44cf14debd3bfe3f530ab80a4732405d954835d64f26d92ad55ec49</t>
  </si>
  <si>
    <t>https://bellingcat-archive.nyc3.cdn.digitaloceanspaces.com/Ukraine_Witness_Datasheet/Worksheet/youtube_dl_1496768205314007040/index.html</t>
  </si>
  <si>
    <t>ANADOLU AGENCY - Russian airstrike hitting residential Chuhuiv area in Ukraine created a large hole in the street, damaging surrounding buildings. One person was killed, 12 others injured in the attack. An injured woman was pulled out of the damaged building by firefighters</t>
  </si>
  <si>
    <t>2022-02-24T09:45:23+00:00</t>
  </si>
  <si>
    <t>https://twitter.com/AFP/status/1496778152387178508</t>
  </si>
  <si>
    <t>UW0639</t>
  </si>
  <si>
    <t>https://bellingcat-archive.nyc3.cdn.digitaloceanspaces.com/Ukraine_Witness_Datasheet/Worksheet/twitter__AFP_status_1496778152387178508.html</t>
  </si>
  <si>
    <t>2022-02-25T16:51:15+00:00</t>
  </si>
  <si>
    <t>https://bellingcat-archive.nyc3.cdn.digitaloceanspaces.com/Ukraine_Witness_Datasheet/Worksheet/twitter__AFP_status_14967781523871785082022-02-25T16:51:07.097415.png</t>
  </si>
  <si>
    <t>7f7c9b2f22c6f238a149599d5b456ee73d747cb81503f1c515886d56049ae9c4</t>
  </si>
  <si>
    <t>https://twitter.com/Michael1Sheldon/status/1496717647089651716?s=20&amp;t=O7dC2VF4_5Ad5-fyA9Oqcg</t>
  </si>
  <si>
    <t>UW0640</t>
  </si>
  <si>
    <t>2022-02-25T16:51:29+00:00</t>
  </si>
  <si>
    <t>https://bellingcat-archive.nyc3.cdn.digitaloceanspaces.com/Ukraine_Witness_Datasheet/Worksheet/twitter__Michael1Sheldon_status_14967176470896517162022-02-25T16:51:20.256481.png</t>
  </si>
  <si>
    <t>c4e007bd74daa910fd69de015a2e64ae0e6de660199aa577297c795ae547bf72</t>
  </si>
  <si>
    <t>https://twitter.com/666_mancer/status/1496868095842865154?s=20&amp;t=vjuzVkVF9AjHtNtCWTtq9Q</t>
  </si>
  <si>
    <t>UW0641</t>
  </si>
  <si>
    <t>https://bellingcat-archive.nyc3.cdn.digitaloceanspaces.com/Ukraine_Witness_Datasheet/Worksheet/youtube_dl_1496868095842865154.mp4</t>
  </si>
  <si>
    <t>2022-02-25T16:51:47+00:00</t>
  </si>
  <si>
    <t>https://bellingcat-archive.nyc3.cdn.digitaloceanspaces.com/Ukraine_Witness_Datasheet/Worksheet/youtube_dl__666_mancer_status_14968680958428651542022-02-25T16:51:34.874232.png</t>
  </si>
  <si>
    <t>1f67313e52dea78b47b4fcf0b09b7f26796954e7504271d427068d2aac821506</t>
  </si>
  <si>
    <t>https://bellingcat-archive.nyc3.cdn.digitaloceanspaces.com/Ukraine_Witness_Datasheet/Worksheet/youtube_dl_1496868095842865154/index.html</t>
  </si>
  <si>
    <t>Necro Mancer - #Чугуев, #RussiaInvadedUkraine</t>
  </si>
  <si>
    <t>2022-02-24T16:22:19+00:00</t>
  </si>
  <si>
    <t>https://twitter.com/IntelCrab/status/1497243193271857155</t>
  </si>
  <si>
    <t>Russian tanks moving through Melitopol</t>
  </si>
  <si>
    <t>UW0642</t>
  </si>
  <si>
    <t>https://bellingcat-archive.nyc3.cdn.digitaloceanspaces.com/Ukraine_Witness_Datasheet/Worksheet/youtube_dl_1497243193271857155.mp4</t>
  </si>
  <si>
    <t>2022-02-25T16:52:06+00:00</t>
  </si>
  <si>
    <t>https://bellingcat-archive.nyc3.cdn.digitaloceanspaces.com/Ukraine_Witness_Datasheet/Worksheet/youtube_dl__IntelCrab_status_14972431932718571552022-02-25T16:51:55.128671.png</t>
  </si>
  <si>
    <t>94b69114cb9f3b3ab6a7347c7a3b92024cdd60fc3c88092143d0fc0f1fc2ac91</t>
  </si>
  <si>
    <t>https://bellingcat-archive.nyc3.cdn.digitaloceanspaces.com/Ukraine_Witness_Datasheet/Worksheet/youtube_dl_1497243193271857155/index.html</t>
  </si>
  <si>
    <t>The Intel Crab - Russian forces in #Melitopol:</t>
  </si>
  <si>
    <t>2022-02-25T17:12:49+00:00</t>
  </si>
  <si>
    <t>https://twitter.com/RALee85/status/1496802928732086278</t>
  </si>
  <si>
    <t>Russian tanks moving for hydroelectric dam in Nova Khakhova</t>
  </si>
  <si>
    <t>Nova Khekhova</t>
  </si>
  <si>
    <t>UW0643</t>
  </si>
  <si>
    <t>https://bellingcat-archive.nyc3.cdn.digitaloceanspaces.com/Ukraine_Witness_Datasheet/Worksheet/youtube_dl_1496802928732086278.mp4</t>
  </si>
  <si>
    <t>2022-02-25T16:52:26+00:00</t>
  </si>
  <si>
    <t>https://bellingcat-archive.nyc3.cdn.digitaloceanspaces.com/Ukraine_Witness_Datasheet/Worksheet/youtube_dl__RALee85_status_14968029287320862782022-02-25T16:52:14.517544.png</t>
  </si>
  <si>
    <t>489705ab60d1d722904236dc3e25c5fbb4f51ca2f0b82dc4c748d25595ae563f</t>
  </si>
  <si>
    <t>https://bellingcat-archive.nyc3.cdn.digitaloceanspaces.com/Ukraine_Witness_Datasheet/Worksheet/youtube_dl_1496802928732086278/index.html</t>
  </si>
  <si>
    <t>Rob Lee - Another video from the same location showing Russian BTR-80, KamAZ truck with a ZU-23-2 cannon, and multiple Mi-8 helicopters.</t>
  </si>
  <si>
    <t>2022-02-24T12:03:22+00:00</t>
  </si>
  <si>
    <t>https://twitter.com/ragipsoylu/status/1496737243255480321?s=20&amp;t=teqfp5yPtAKLW8Ri7PMI5g</t>
  </si>
  <si>
    <t>CIV0002</t>
  </si>
  <si>
    <t>Civillian cas from artillery strike.</t>
  </si>
  <si>
    <t>Cherkassy oblast</t>
  </si>
  <si>
    <t>UW0644</t>
  </si>
  <si>
    <t>https://bellingcat-archive.nyc3.cdn.digitaloceanspaces.com/Ukraine_Witness_Datasheet/Worksheet/youtube_dl_1496737243255480321.mp4</t>
  </si>
  <si>
    <t>2022-02-25T16:52:43+00:00</t>
  </si>
  <si>
    <t>https://bellingcat-archive.nyc3.cdn.digitaloceanspaces.com/Ukraine_Witness_Datasheet/Worksheet/youtube_dl__ragipsoylu_status_14967372432554803212022-02-25T16:52:31.084605.png</t>
  </si>
  <si>
    <t>779c70d7ea61b85dcb2f1eb502cd8e8b6457a792f833b3f84bf43c0e70ee3d23</t>
  </si>
  <si>
    <t>https://bellingcat-archive.nyc3.cdn.digitaloceanspaces.com/Ukraine_Witness_Datasheet/Worksheet/youtube_dl_1496737243255480321/index.html</t>
  </si>
  <si>
    <t>Ragıp Soylu - Ukraine, reportedly city of Uman.</t>
  </si>
  <si>
    <t>2022-02-24T07:42:21+00:00</t>
  </si>
  <si>
    <t>https://twitter.com/realistqx1/status/1496757503195029508?s=20&amp;t=Au5uUu8TJjhHwjyynyG4ww</t>
  </si>
  <si>
    <t>UW0645</t>
  </si>
  <si>
    <t>https://bellingcat-archive.nyc3.cdn.digitaloceanspaces.com/Ukraine_Witness_Datasheet/Worksheet/youtube_dl_1496757503195029508.mp4</t>
  </si>
  <si>
    <t>2022-02-25T16:53:00+00:00</t>
  </si>
  <si>
    <t>https://bellingcat-archive.nyc3.cdn.digitaloceanspaces.com/Ukraine_Witness_Datasheet/Worksheet/youtube_dl__realistqx1_status_14967575031950295082022-02-25T16:52:47.871209.png</t>
  </si>
  <si>
    <t>3af900115c2d1093f24ea182eb1eaa262182e17a62bda305e876793f677fe2e8</t>
  </si>
  <si>
    <t>https://bellingcat-archive.nyc3.cdn.digitaloceanspaces.com/Ukraine_Witness_Datasheet/Worksheet/youtube_dl_1496757503195029508/index.html</t>
  </si>
  <si>
    <t>REALIST - The moment when civilians were shot in Ukraine.</t>
  </si>
  <si>
    <t>2022-02-24T09:02:51+00:00</t>
  </si>
  <si>
    <t>https://twitter.com/Liveuamap/status/1496739229040537603?s=20&amp;t=teqfp5yPtAKLW8Ri7PMI5g</t>
  </si>
  <si>
    <t>UW0646</t>
  </si>
  <si>
    <t>https://bellingcat-archive.nyc3.cdn.digitaloceanspaces.com/Ukraine_Witness_Datasheet/Worksheet/twitter__Liveuamap_status_1496739229040537603.html</t>
  </si>
  <si>
    <t>2022-02-25T16:53:14+00:00</t>
  </si>
  <si>
    <t>https://bellingcat-archive.nyc3.cdn.digitaloceanspaces.com/Ukraine_Witness_Datasheet/Worksheet/twitter__Liveuamap_status_14967392290405376032022-02-25T16:53:05.580969.png</t>
  </si>
  <si>
    <t>dd12df8e3ebb0b4e5d7a6ae4ce280bcac8947ceb79cf077f3f7de303e08a0d5f</t>
  </si>
  <si>
    <t>https://twitter.com/AFP/status/1496768532448788482</t>
  </si>
  <si>
    <t>UW0647</t>
  </si>
  <si>
    <t>https://bellingcat-archive.nyc3.cdn.digitaloceanspaces.com/Ukraine_Witness_Datasheet/Worksheet/youtube_dl_1496768532448788482.mp4</t>
  </si>
  <si>
    <t>2022-02-25T16:53:35+00:00</t>
  </si>
  <si>
    <t>https://bellingcat-archive.nyc3.cdn.digitaloceanspaces.com/Ukraine_Witness_Datasheet/Worksheet/youtube_dl__AFP_status_14967685324487884822022-02-25T16:53:20.246017.png</t>
  </si>
  <si>
    <t>cd52ac4eabc4aef28a0a0c3d77821f958465083438dac0ed79362f1bd6bb6c6e</t>
  </si>
  <si>
    <t>https://bellingcat-archive.nyc3.cdn.digitaloceanspaces.com/Ukraine_Witness_Datasheet/Worksheet/youtube_dl_1496768532448788482/index.html</t>
  </si>
  <si>
    <t>AFP News Agency - VIDEO: Ukraine residential buildings shelled.   Firefighters and residents on the scene of shelled buildings in Chuguev, Ukraine, as Russian President Vladimir Putin launches a military operation in Ukraine with explosions heard across the country</t>
  </si>
  <si>
    <t>2022-02-24T09:46:41+00:00</t>
  </si>
  <si>
    <t>Aiganysh</t>
  </si>
  <si>
    <t>50.47162231000</t>
  </si>
  <si>
    <t>30.52846341</t>
  </si>
  <si>
    <t>https://twitter.com/FannyFacsar/status/1496787968203231232?s=20&amp;t=Au5uUu8TJjhHwjyynyG4ww</t>
  </si>
  <si>
    <t>CIV0003</t>
  </si>
  <si>
    <t>Explosion in central Kyiv</t>
  </si>
  <si>
    <t>UW0648</t>
  </si>
  <si>
    <t>https://bellingcat-archive.nyc3.cdn.digitaloceanspaces.com/Ukraine_Witness_Datasheet/Worksheet/youtube_dl_1496787968203231232.mp4</t>
  </si>
  <si>
    <t>2022-02-25T16:53:52+00:00</t>
  </si>
  <si>
    <t>https://bellingcat-archive.nyc3.cdn.digitaloceanspaces.com/Ukraine_Witness_Datasheet/Worksheet/youtube_dl__FannyFacsar_status_14967879682032312322022-02-25T16:53:39.635871.png</t>
  </si>
  <si>
    <t>49ea0735263a151df9f0e20e1e4046542bc0434cd785d8d17ea133c3a4770e07</t>
  </si>
  <si>
    <t>https://bellingcat-archive.nyc3.cdn.digitaloceanspaces.com/Ukraine_Witness_Datasheet/Worksheet/youtube_dl_1496787968203231232/index.html</t>
  </si>
  <si>
    <t>Fanny Facsar - BREAKING: Another explosion and rising smoke in Kyiv. @dwnews  #Ukraine</t>
  </si>
  <si>
    <t>2022-02-24T11:03:55+00:00</t>
  </si>
  <si>
    <t>https://twitter.com/TreyYingst/status/1496793744590389249?s=20&amp;t=Au5uUu8TJjhHwjyynyG4ww</t>
  </si>
  <si>
    <t>UW0649</t>
  </si>
  <si>
    <t>https://bellingcat-archive.nyc3.cdn.digitaloceanspaces.com/Ukraine_Witness_Datasheet/Worksheet/twitter__TreyYingst_status_1496793744590389249.html</t>
  </si>
  <si>
    <t>2022-02-25T16:54:06+00:00</t>
  </si>
  <si>
    <t>https://bellingcat-archive.nyc3.cdn.digitaloceanspaces.com/Ukraine_Witness_Datasheet/Worksheet/twitter__TreyYingst_status_14967937445903892492022-02-25T16:53:56.478122.png</t>
  </si>
  <si>
    <t>105cc370bbfd7a1c3db7640cfb19f5285b6912db16dcc00f81e6bf4240092790</t>
  </si>
  <si>
    <t>https://twitter.com/AuroraIntel/status/1496791736504528897?s=20&amp;t=Au5uUu8TJjhHwjyynyG4ww</t>
  </si>
  <si>
    <t>UW0650</t>
  </si>
  <si>
    <t>https://bellingcat-archive.nyc3.cdn.digitaloceanspaces.com/Ukraine_Witness_Datasheet/Worksheet/twitter__AuroraIntel_status_1496791736504528897.html</t>
  </si>
  <si>
    <t>2022-02-25T16:54:17+00:00</t>
  </si>
  <si>
    <t>https://bellingcat-archive.nyc3.cdn.digitaloceanspaces.com/Ukraine_Witness_Datasheet/Worksheet/twitter__AuroraIntel_status_14967917365045288972022-02-25T16:54:08.998901.png</t>
  </si>
  <si>
    <t>f8aabfeb7ccd35a147065a46849243884096c7917df85413560e3d833f583e6b</t>
  </si>
  <si>
    <t>https://twitter.com/olgatokariuk/status/1496794328806612993?s=20&amp;t=Au5uUu8TJjhHwjyynyG4ww</t>
  </si>
  <si>
    <t>UW0651</t>
  </si>
  <si>
    <t>https://bellingcat-archive.nyc3.cdn.digitaloceanspaces.com/Ukraine_Witness_Datasheet/Worksheet/twitter__olgatokariuk_status_1496794328806612993.html</t>
  </si>
  <si>
    <t>2022-02-25T16:54:30+00:00</t>
  </si>
  <si>
    <t>https://bellingcat-archive.nyc3.cdn.digitaloceanspaces.com/Ukraine_Witness_Datasheet/Worksheet/twitter__olgatokariuk_status_14967943288066129932022-02-25T16:54:20.729653.png</t>
  </si>
  <si>
    <t>c79cdd8b923d9bece524b8b46e1f952d69a6f85bb4adae4e95ce94907bb8e75e</t>
  </si>
  <si>
    <t>https://twitter.com/NavyLookout/status/1497247647597486088</t>
  </si>
  <si>
    <t xml:space="preserve">Explosion on a merchant ship </t>
  </si>
  <si>
    <t>UW0653</t>
  </si>
  <si>
    <t>https://bellingcat-archive.nyc3.cdn.digitaloceanspaces.com/Ukraine_Witness_Datasheet/Worksheet/youtube_dl_1497247647597486088.mp4</t>
  </si>
  <si>
    <t>2022-02-25T16:56:51+00:00</t>
  </si>
  <si>
    <t>https://bellingcat-archive.nyc3.cdn.digitaloceanspaces.com/Ukraine_Witness_Datasheet/Worksheet/youtube_dl__NavyLookout_status_14972476475974860882022-02-25T16:56:39.029614.png</t>
  </si>
  <si>
    <t>a7c98a18268c0d8042c630b15563cac74baec4998690be728e1236ecb5434696</t>
  </si>
  <si>
    <t>https://bellingcat-archive.nyc3.cdn.digitaloceanspaces.com/Ukraine_Witness_Datasheet/Worksheet/youtube_dl_1497247647597486088/index.html</t>
  </si>
  <si>
    <t>Navy Lookout - 2 more merchant ships hit by Russian attacks in Black Sea.  Japanese bulk carrier MV Namura Queen hit by a rocket at anchor off Yuzhne.  Moldovan chemical tanker MV Millennial Spirit hit and set on fire 12 miles to the south  Video: suvaribeyinnotdefteri</t>
  </si>
  <si>
    <t>2022-02-25T17:30:31+00:00</t>
  </si>
  <si>
    <t>https://twitter.com/Tar_Milus/status/1497250659367886892</t>
  </si>
  <si>
    <t>Wounded russian soldier brought to hospital</t>
  </si>
  <si>
    <t>UW0654</t>
  </si>
  <si>
    <t>https://bellingcat-archive.nyc3.cdn.digitaloceanspaces.com/Ukraine_Witness_Datasheet/Worksheet/youtube_dl_1497250659367886892.mp4</t>
  </si>
  <si>
    <t>2022-02-25T16:57:16+00:00</t>
  </si>
  <si>
    <t>https://bellingcat-archive.nyc3.cdn.digitaloceanspaces.com/Ukraine_Witness_Datasheet/Worksheet/youtube_dl__Tar_Milus_status_14972506593678868922022-02-25T16:56:56.511716.png</t>
  </si>
  <si>
    <t>1c20554e31f651ee0904bde7beb1d86735db36044b4a06ccdeaf4a4820acdb41</t>
  </si>
  <si>
    <t>https://bellingcat-archive.nyc3.cdn.digitaloceanspaces.com/Ukraine_Witness_Datasheet/Worksheet/youtube_dl_1497250659367886892/index.html</t>
  </si>
  <si>
    <t>TarMilus - Nova Kahovka, yaralı Rus asker bölgedeki hastaneye getirilmiş.</t>
  </si>
  <si>
    <t>2022-02-25T17:42:29+00:00</t>
  </si>
  <si>
    <t>https://twitter.com/Tar_Milus/status/1497229565831389184</t>
  </si>
  <si>
    <t>damaged buildings and military equipment</t>
  </si>
  <si>
    <t>UW0655</t>
  </si>
  <si>
    <t>https://bellingcat-archive.nyc3.cdn.digitaloceanspaces.com/Ukraine_Witness_Datasheet/Worksheet/youtube_dl_1497229565831389184.mp4</t>
  </si>
  <si>
    <t>2022-02-25T17:15:13+00:00</t>
  </si>
  <si>
    <t>https://bellingcat-archive.nyc3.cdn.digitaloceanspaces.com/Ukraine_Witness_Datasheet/Worksheet/youtube_dl__Tar_Milus_status_14972295658313891842022-02-25T17:14:58.164005.png</t>
  </si>
  <si>
    <t>a906f0853b877e63441359c9126dc33d1653762d36b41bb5b6b7598d5b16a590</t>
  </si>
  <si>
    <t>https://bellingcat-archive.nyc3.cdn.digitaloceanspaces.com/Ukraine_Witness_Datasheet/Worksheet/youtube_dl_1497229565831389184/index.html</t>
  </si>
  <si>
    <t>TarMilus - Anladığım kadarıyla, dün teslim edilen Melitopol'da Ukrlar karşı taarruz gerçekleştirmişler. Birkaç foto daha gördüm.</t>
  </si>
  <si>
    <t>2022-02-25T16:18:40+00:00</t>
  </si>
  <si>
    <t xml:space="preserve">Eoghan </t>
  </si>
  <si>
    <t>https://twitter.com/IBN_MOHAMMAD/status/1496778855863963650?s=20&amp;t=Au5uUu8TJjhHwjyynyG4ww</t>
  </si>
  <si>
    <t>CIV0004</t>
  </si>
  <si>
    <t xml:space="preserve">Reports of four dead and 10 injured after strike, likely cluster munition, on hospital </t>
  </si>
  <si>
    <t>UW0656</t>
  </si>
  <si>
    <t>https://bellingcat-archive.nyc3.cdn.digitaloceanspaces.com/Ukraine_Witness_Datasheet/Worksheet/twitter__IBN_MOHAMMAD_status_1496778855863963650.html</t>
  </si>
  <si>
    <t>2022-02-25T17:15:27+00:00</t>
  </si>
  <si>
    <t>https://bellingcat-archive.nyc3.cdn.digitaloceanspaces.com/Ukraine_Witness_Datasheet/Worksheet/twitter__IBN_MOHAMMAD_status_14967788558639636502022-02-25T17:15:18.215444.png</t>
  </si>
  <si>
    <t>cc0dce097b328f49d4b390cf29a6d458f93a0b329fa71313e67657e52c88768d</t>
  </si>
  <si>
    <t>DELETED ROW</t>
  </si>
  <si>
    <t>UW0657</t>
  </si>
  <si>
    <t>https://bellingcat-archive.nyc3.cdn.digitaloceanspaces.com/Ukraine_Witness_Datasheet/Worksheet/youtube_dl_edit&amp;ltmpl=sheets.unknown_video</t>
  </si>
  <si>
    <t>2022-02-25T17:15:46+00:00</t>
  </si>
  <si>
    <t>https://bellingcat-archive.nyc3.cdn.digitaloceanspaces.com/Ukraine_Witness_Datasheet/Worksheet/youtube_dl__spreadsheets_d_1kQiRBd9Vp0NPwmp3Yj7XqT8nvCLlZYbF_oma9cfiGQk_edit2022-02-25T17:15:36.096149.png</t>
  </si>
  <si>
    <t>f45b75a7adeb5d58c748e2f941eedbcefc4d683a4271db68527e509ce40e30b8</t>
  </si>
  <si>
    <t>Could not generate thumbnails</t>
  </si>
  <si>
    <t>Google Sheets: Sign-in</t>
  </si>
  <si>
    <t>https://twitter.com/N_Waters89/status/1496856695896969222?s=20&amp;t=vjuzVkVF9AjHtNtCWTtq9Q</t>
  </si>
  <si>
    <t>UW0658</t>
  </si>
  <si>
    <t>https://web.archive.org/web/20220225171644/https://twitter.com/N_Waters89/status/1496856695896969222?s=20&amp;t=vjuzVkVF9AjHtNtCWTtq9Q</t>
  </si>
  <si>
    <t>2022-02-25T17:17:07+00:00</t>
  </si>
  <si>
    <t>https://bellingcat-archive.nyc3.cdn.digitaloceanspaces.com/Ukraine_Witness_Datasheet/Worksheet/wayback__N_Waters89_status_14968566958969692222022-02-25T17:16:58.173596.png</t>
  </si>
  <si>
    <t>Nick Waters on Twitter: "Full ID of munition here.   N.B: this indicates a cluster munition was used to strike an area immediately next to a hospital.  https://t.co/imshZBAHBg" / Twitter</t>
  </si>
  <si>
    <t>https://twitter.com/amnestypress/status/1496872501447700481</t>
  </si>
  <si>
    <t>UW0659</t>
  </si>
  <si>
    <t>https://web.archive.org/web/20220225171809/https://twitter.com/amnestypress/status/1496872501447700481</t>
  </si>
  <si>
    <t>2022-02-25T17:18:38+00:00</t>
  </si>
  <si>
    <t>https://bellingcat-archive.nyc3.cdn.digitaloceanspaces.com/Ukraine_Witness_Datasheet/Worksheet/wayback__amnestypress_status_14968725014477004812022-02-25T17:18:19.029018.png</t>
  </si>
  <si>
    <t>47.1170993</t>
  </si>
  <si>
    <t>37.6848314</t>
  </si>
  <si>
    <t>https://twitter.com/IntelCrab/status/1496840102651256832?s=20&amp;t=vjuzVkVF9AjHtNtCWTtq9Q</t>
  </si>
  <si>
    <t>CIV0008</t>
  </si>
  <si>
    <t xml:space="preserve">Civillian homes hit by artillery. </t>
  </si>
  <si>
    <t>UW0660</t>
  </si>
  <si>
    <t>https://bellingcat-archive.nyc3.cdn.digitaloceanspaces.com/Ukraine_Witness_Datasheet/Worksheet/twitter__IntelCrab_status_1496840102651256832.html</t>
  </si>
  <si>
    <t>2022-02-25T17:18:54+00:00</t>
  </si>
  <si>
    <t>https://bellingcat-archive.nyc3.cdn.digitaloceanspaces.com/Ukraine_Witness_Datasheet/Worksheet/twitter__IntelCrab_status_14968401026512568322022-02-25T17:18:45.370932.png</t>
  </si>
  <si>
    <t>1e4609c5fc3d6fe13a9ac4caf69b2d82db22d12bd752092c67e5705b2207afc3</t>
  </si>
  <si>
    <t>https://t.me/mariupolrada/8465</t>
  </si>
  <si>
    <t>UW0661</t>
  </si>
  <si>
    <t>https://bellingcat-archive.nyc3.cdn.digitaloceanspaces.com/Ukraine_Witness_Datasheet/Worksheet/telegram__mariupolrada_8465.html</t>
  </si>
  <si>
    <t>2022-02-25T20:13:38+00:00</t>
  </si>
  <si>
    <t>https://bellingcat-archive.nyc3.cdn.digitaloceanspaces.com/Ukraine_Witness_Datasheet/Worksheet/telegram__mariupolrada_84652022-02-25T20:13:28.694966.png</t>
  </si>
  <si>
    <t>84bb2a4b2e8a2e5736d5653852be330c49afcef037872266a8d49dfdead9c1e5</t>
  </si>
  <si>
    <t>https://twitter.com/MarQs__/status/1497256257937453066</t>
  </si>
  <si>
    <t>UW0662</t>
  </si>
  <si>
    <t>https://bellingcat-archive.nyc3.cdn.digitaloceanspaces.com/Ukraine_Witness_Datasheet/Worksheet/youtube_dl_1497256257937453066.mp4</t>
  </si>
  <si>
    <t>2022-02-25T17:21:13+00:00</t>
  </si>
  <si>
    <t>https://bellingcat-archive.nyc3.cdn.digitaloceanspaces.com/Ukraine_Witness_Datasheet/Worksheet/youtube_dl__MarQs___status_14972562579374530662022-02-25T17:21:01.145135.png</t>
  </si>
  <si>
    <t>5636962803386c0fa987bd2fad5f44f7f10a9b75f9a80dd8d66957d1321bdb20</t>
  </si>
  <si>
    <t>https://bellingcat-archive.nyc3.cdn.digitaloceanspaces.com/Ukraine_Witness_Datasheet/Worksheet/youtube_dl_1497256257937453066/index.html</t>
  </si>
  <si>
    <t>marqs - Fighting in Mykolaiv this evening</t>
  </si>
  <si>
    <t>2022-02-25T18:04:44+00:00</t>
  </si>
  <si>
    <t>BCAT in progress</t>
  </si>
  <si>
    <t>48.051489</t>
  </si>
  <si>
    <t>37.778075</t>
  </si>
  <si>
    <t>https://twitter.com/Caucasuswar/status/1496846910912610309?s=20&amp;t=vjuzVkVF9AjHtNtCWTtq9Q</t>
  </si>
  <si>
    <t>CIV0010</t>
  </si>
  <si>
    <t>Apparent Ukrainian artilliary fire on what appears to be an urban area</t>
  </si>
  <si>
    <t>UW0663</t>
  </si>
  <si>
    <t>https://bellingcat-archive.nyc3.cdn.digitaloceanspaces.com/Ukraine_Witness_Datasheet/Worksheet/youtube_dl_1496846910912610309.mp4</t>
  </si>
  <si>
    <t>2022-02-25T17:21:30+00:00</t>
  </si>
  <si>
    <t>https://bellingcat-archive.nyc3.cdn.digitaloceanspaces.com/Ukraine_Witness_Datasheet/Worksheet/youtube_dl__Caucasuswar_status_14968469109126103092022-02-25T17:21:19.243289.png</t>
  </si>
  <si>
    <t>3b6f10d941ade4820aa8776a1dc28b70b3ebec78c825a218703847a498adbf80</t>
  </si>
  <si>
    <t>https://bellingcat-archive.nyc3.cdn.digitaloceanspaces.com/Ukraine_Witness_Datasheet/Worksheet/youtube_dl_1496846910912610309/index.html</t>
  </si>
  <si>
    <t>CaucasusWarReport - Donetsk city which is under the control of Russian forces is being targeted by Ukrainian missiles.</t>
  </si>
  <si>
    <t>2022-02-24T14:58:08+00:00</t>
  </si>
  <si>
    <t>https://twitter.com/ELINTNews/status/1497251507850334208?s=20&amp;t=uRKLngXo7Rv8OlDChLoE9Q</t>
  </si>
  <si>
    <t>Large fuel depot on fire</t>
  </si>
  <si>
    <t>UW0664</t>
  </si>
  <si>
    <t>https://bellingcat-archive.nyc3.cdn.digitaloceanspaces.com/Ukraine_Witness_Datasheet/Worksheet/youtube_dl_1497251507850334208.mp4</t>
  </si>
  <si>
    <t>2022-02-25T17:21:46+00:00</t>
  </si>
  <si>
    <t>https://bellingcat-archive.nyc3.cdn.digitaloceanspaces.com/Ukraine_Witness_Datasheet/Worksheet/youtube_dl__ELINTNews_status_14972515078503342082022-02-25T17:21:34.948479.png</t>
  </si>
  <si>
    <t>8cfb3e4dcc00e216c57015315e27619d02b4aab353bf695503d784c0582581db</t>
  </si>
  <si>
    <t>https://bellingcat-archive.nyc3.cdn.digitaloceanspaces.com/Ukraine_Witness_Datasheet/Worksheet/youtube_dl_1497251507850334208/index.html</t>
  </si>
  <si>
    <t>ELINT News - Something major has been hit and is on fire in Kharkiv right now</t>
  </si>
  <si>
    <t>2022-02-25T17:45:51+00:00</t>
  </si>
  <si>
    <t>https://t.me/nexta_live/16704</t>
  </si>
  <si>
    <t>CIV0012</t>
  </si>
  <si>
    <t>Airplane missile strike on building.</t>
  </si>
  <si>
    <t>UW0665</t>
  </si>
  <si>
    <t>https://bellingcat-archive.nyc3.cdn.digitaloceanspaces.com/Ukraine_Witness_Datasheet/Worksheet/telegram_7ed4846e9c.mp4</t>
  </si>
  <si>
    <t>2022-02-25T17:22:04+00:00</t>
  </si>
  <si>
    <t>https://bellingcat-archive.nyc3.cdn.digitaloceanspaces.com/Ukraine_Witness_Datasheet/Worksheet/telegram__nexta_live_167042022-02-25T17:21:50.723613.png</t>
  </si>
  <si>
    <t>cb6f5fe962f8a858784b9dec5c45c64da316f90a0770c16f819c60395d8da9f6</t>
  </si>
  <si>
    <t>https://bellingcat-archive.nyc3.cdn.digitaloceanspaces.com/Ukraine_Witness_Datasheet/Worksheet/telegram_7ed4846e9c/index.html</t>
  </si>
  <si>
    <t>2022-02-24T14:30:23+00:00</t>
  </si>
  <si>
    <t>25/04/2022</t>
  </si>
  <si>
    <t>https://twitter.com/KyivIndependent/status/1497082148460843036?s=20&amp;t=OVvhaH-5fg2hPLYK8iF8Lw</t>
  </si>
  <si>
    <t>CIV0014</t>
  </si>
  <si>
    <t>Damage to residential area, 1 x civ fatality</t>
  </si>
  <si>
    <t>Starbolisk</t>
  </si>
  <si>
    <t>UW0666</t>
  </si>
  <si>
    <t>2022-02-25T17:22:19+00:00</t>
  </si>
  <si>
    <t>https://bellingcat-archive.nyc3.cdn.digitaloceanspaces.com/Ukraine_Witness_Datasheet/Worksheet/twitter__KyivIndependent_status_14970821484608430362022-02-25T17:22:09.798384.png</t>
  </si>
  <si>
    <t>8163d7ec1b46352932f27b47e961966128a3c8d37d3198c9cdc95f0020a74223</t>
  </si>
  <si>
    <t>https://t.me/nexta_live/17109</t>
  </si>
  <si>
    <t>UW0667</t>
  </si>
  <si>
    <t>https://bellingcat-archive.nyc3.cdn.digitaloceanspaces.com/Ukraine_Witness_Datasheet/Worksheet/telegram_ae4bb86ad3.mp4</t>
  </si>
  <si>
    <t>2022-02-25T17:22:35+00:00</t>
  </si>
  <si>
    <t>https://bellingcat-archive.nyc3.cdn.digitaloceanspaces.com/Ukraine_Witness_Datasheet/Worksheet/telegram__nexta_live_171092022-02-25T17:22:22.529526.png</t>
  </si>
  <si>
    <t>ac22d512b71788770da6e61510eb536042976bcf58e2fa426aae81ab1852c0d3</t>
  </si>
  <si>
    <t>https://bellingcat-archive.nyc3.cdn.digitaloceanspaces.com/Ukraine_Witness_Datasheet/Worksheet/telegram_ae4bb86ad3/index.html</t>
  </si>
  <si>
    <t>2022-02-25T08:17:55+00:00</t>
  </si>
  <si>
    <t>https://t.me/nexta_live/17104</t>
  </si>
  <si>
    <t>CIV0016</t>
  </si>
  <si>
    <t>Damage to apartment building</t>
  </si>
  <si>
    <t>UW0668</t>
  </si>
  <si>
    <t>https://bellingcat-archive.nyc3.cdn.digitaloceanspaces.com/Ukraine_Witness_Datasheet/Worksheet/telegram_b2d4d96cdb.mp4</t>
  </si>
  <si>
    <t>2022-02-25T17:32:10+00:00</t>
  </si>
  <si>
    <t>https://bellingcat-archive.nyc3.cdn.digitaloceanspaces.com/Ukraine_Witness_Datasheet/Worksheet/telegram__nexta_live_171042022-02-25T17:31:55.195030.png</t>
  </si>
  <si>
    <t>ba249206b305c4d7a4bc3ff729377962d37117bff81b498deb24aae65bff4c87</t>
  </si>
  <si>
    <t>https://bellingcat-archive.nyc3.cdn.digitaloceanspaces.com/Ukraine_Witness_Datasheet/Worksheet/telegram_b2d4d96cdb/index.html</t>
  </si>
  <si>
    <t>2022-02-25T08:02:52+00:00</t>
  </si>
  <si>
    <t>https://twitter.com/Shrik_E/status/1497253753476599814</t>
  </si>
  <si>
    <t>CIV0030</t>
  </si>
  <si>
    <t>At least one civilian killed; damage to residential building, possibly from artillery/missile strikes.</t>
  </si>
  <si>
    <t>UW0669</t>
  </si>
  <si>
    <t>https://bellingcat-archive.nyc3.cdn.digitaloceanspaces.com/Ukraine_Witness_Datasheet/Worksheet/youtube_dl_1497253753476599814.mp4</t>
  </si>
  <si>
    <t>2022-02-25T17:32:34+00:00</t>
  </si>
  <si>
    <t>https://bellingcat-archive.nyc3.cdn.digitaloceanspaces.com/Ukraine_Witness_Datasheet/Worksheet/youtube_dl__Shrik_E_status_14972537534765998142022-02-25T17:32:18.148279.png</t>
  </si>
  <si>
    <t>36ca4096a0cc5aa0189ed177a34c3890e73b61d74e369869e234c2f281892db3</t>
  </si>
  <si>
    <t>https://bellingcat-archive.nyc3.cdn.digitaloceanspaces.com/Ukraine_Witness_Datasheet/Worksheet/youtube_dl_1497253753476599814/index.html</t>
  </si>
  <si>
    <t>Shrike - Волноваха</t>
  </si>
  <si>
    <t>2022-02-25T17:54:47+00:00</t>
  </si>
  <si>
    <t>https://t.me/nexta_live/17149</t>
  </si>
  <si>
    <t>Weapon remnant lodged in a street</t>
  </si>
  <si>
    <t>UW0670</t>
  </si>
  <si>
    <t>https://bellingcat-archive.nyc3.cdn.digitaloceanspaces.com/Ukraine_Witness_Datasheet/Worksheet/telegram__nexta_live_17149.html</t>
  </si>
  <si>
    <t>2022-02-25T20:13:48+00:00</t>
  </si>
  <si>
    <t>https://bellingcat-archive.nyc3.cdn.digitaloceanspaces.com/Ukraine_Witness_Datasheet/Worksheet/telegram__nexta_live_171492022-02-25T20:13:38.516572.png</t>
  </si>
  <si>
    <t>a961d23a5fa78fffc7937472bd847070360fa4f030c6189ac0b63ce15317e3f7</t>
  </si>
  <si>
    <t>UW0671</t>
  </si>
  <si>
    <t>https://web.archive.org/web/20220225173522/https://t.me/vorposte/13720</t>
  </si>
  <si>
    <t>2022-02-25T17:37:04+00:00</t>
  </si>
  <si>
    <t>https://bellingcat-archive.nyc3.cdn.digitaloceanspaces.com/Ukraine_Witness_Datasheet/Worksheet/wayback__vorposte_137202022-02-25T17:36:53.562487.png</t>
  </si>
  <si>
    <t>Telegram: Contact @vorposte</t>
  </si>
  <si>
    <t>https://drive.google.com/file/d/1hd_NN8eMudjB8IIve-h4h2GHd3SLM9lg/view?usp=sharing</t>
  </si>
  <si>
    <t>CIV0020</t>
  </si>
  <si>
    <t>Civillian woman &amp; 1 x Russian soldier shot by Russian soldiers</t>
  </si>
  <si>
    <t>UW0672</t>
  </si>
  <si>
    <t>https://bellingcat-archive.nyc3.cdn.digitaloceanspaces.com/Ukraine_Witness_Datasheet/Worksheet/youtube_dl_1hd_NN8eMudjB8IIve-h4h2GHd3SLM9lg.mp4</t>
  </si>
  <si>
    <t>2022-02-25T17:37:35+00:00</t>
  </si>
  <si>
    <t>https://bellingcat-archive.nyc3.cdn.digitaloceanspaces.com/Ukraine_Witness_Datasheet/Worksheet/youtube_dl__file_d_1hd_NN8eMudjB8IIve-h4h2GHd3SLM9lg_view2022-02-25T17:37:17.147499.png</t>
  </si>
  <si>
    <t>385c44f5d03c4db32403d5fe8f6471159b8b666741f23adbef1410571b788750</t>
  </si>
  <si>
    <t>https://bellingcat-archive.nyc3.cdn.digitaloceanspaces.com/Ukraine_Witness_Datasheet/Worksheet/youtube_dl_1hd_NN8eMudjB8IIve-h4h2GHd3SLM9lg/index.html</t>
  </si>
  <si>
    <t>Dead Civilians.mp4</t>
  </si>
  <si>
    <t>https://drive.google.com/file/d/1kgiqZGTtI_BoJvXf0w3LRJRZBalvcRri/view?usp=sharing</t>
  </si>
  <si>
    <t>UW0673</t>
  </si>
  <si>
    <t>https://bellingcat-archive.nyc3.cdn.digitaloceanspaces.com/Ukraine_Witness_Datasheet/Worksheet/youtube_dl_1kgiqZGTtI_BoJvXf0w3LRJRZBalvcRri.mp4</t>
  </si>
  <si>
    <t>2022-02-25T17:37:59+00:00</t>
  </si>
  <si>
    <t>https://bellingcat-archive.nyc3.cdn.digitaloceanspaces.com/Ukraine_Witness_Datasheet/Worksheet/youtube_dl__file_d_1kgiqZGTtI_BoJvXf0w3LRJRZBalvcRri_view2022-02-25T17:37:47.416844.png</t>
  </si>
  <si>
    <t>8bc7711526518c444d1784c945cccd2773b3d7b29f46a87392e1d0cabd6b52f8</t>
  </si>
  <si>
    <t>https://bellingcat-archive.nyc3.cdn.digitaloceanspaces.com/Ukraine_Witness_Datasheet/Worksheet/youtube_dl_1kgiqZGTtI_BoJvXf0w3LRJRZBalvcRri/index.html</t>
  </si>
  <si>
    <t>Dead Civilians 2.mp4</t>
  </si>
  <si>
    <t>https://drive.google.com/file/d/14Szn69LQ5RBPoo7D7weZojuB6RhaLcC9/view?usp=sharing</t>
  </si>
  <si>
    <t>UW0674</t>
  </si>
  <si>
    <t>https://bellingcat-archive.nyc3.cdn.digitaloceanspaces.com/Ukraine_Witness_Datasheet/Worksheet/youtube_dl_14Szn69LQ5RBPoo7D7weZojuB6RhaLcC9.mp4</t>
  </si>
  <si>
    <t>2022-02-25T17:38:22+00:00</t>
  </si>
  <si>
    <t>https://bellingcat-archive.nyc3.cdn.digitaloceanspaces.com/Ukraine_Witness_Datasheet/Worksheet/youtube_dl__file_d_14Szn69LQ5RBPoo7D7weZojuB6RhaLcC9_view2022-02-25T17:38:10.143350.png</t>
  </si>
  <si>
    <t>3c3d49ae3ee5a58899b3651d6691240b4f97a03d7d8d720b9992919f2ebc75e0</t>
  </si>
  <si>
    <t>https://bellingcat-archive.nyc3.cdn.digitaloceanspaces.com/Ukraine_Witness_Datasheet/Worksheet/youtube_dl_14Szn69LQ5RBPoo7D7weZojuB6RhaLcC9/index.html</t>
  </si>
  <si>
    <t>Dead Civilians 3.mp4</t>
  </si>
  <si>
    <t>https://drive.google.com/file/d/1-Ci0TkU7g1P2IcoIyfZGQ7bW3I3Mvpy6/view?usp=sharing</t>
  </si>
  <si>
    <t>UW0675</t>
  </si>
  <si>
    <t>https://bellingcat-archive.nyc3.cdn.digitaloceanspaces.com/Ukraine_Witness_Datasheet/Worksheet/youtube_dl_1-Ci0TkU7g1P2IcoIyfZGQ7bW3I3Mvpy6.mp4</t>
  </si>
  <si>
    <t>2022-02-25T17:38:56+00:00</t>
  </si>
  <si>
    <t>https://bellingcat-archive.nyc3.cdn.digitaloceanspaces.com/Ukraine_Witness_Datasheet/Worksheet/youtube_dl__file_d_1-Ci0TkU7g1P2IcoIyfZGQ7bW3I3Mvpy6_view2022-02-25T17:38:30.229187.png</t>
  </si>
  <si>
    <t>13ffda3e11157f9b439592eff14d351e58cda758cc80ff21888a6a933ac10b2e</t>
  </si>
  <si>
    <t>https://bellingcat-archive.nyc3.cdn.digitaloceanspaces.com/Ukraine_Witness_Datasheet/Worksheet/youtube_dl_1-Ci0TkU7g1P2IcoIyfZGQ7bW3I3Mvpy6/index.html</t>
  </si>
  <si>
    <t>Dead Civilians 4.mp4</t>
  </si>
  <si>
    <t>50.4479407</t>
  </si>
  <si>
    <t>30.4761999</t>
  </si>
  <si>
    <t>https://t.me/nexta_live/17178</t>
  </si>
  <si>
    <t>CIV0022</t>
  </si>
  <si>
    <t>Building on Victory Avenue hit by munitions</t>
  </si>
  <si>
    <t>UW0676</t>
  </si>
  <si>
    <t>https://bellingcat-archive.nyc3.cdn.digitaloceanspaces.com/Ukraine_Witness_Datasheet/Worksheet/telegram_8000c86923.mp4</t>
  </si>
  <si>
    <t>2022-02-25T17:39:22+00:00</t>
  </si>
  <si>
    <t>https://bellingcat-archive.nyc3.cdn.digitaloceanspaces.com/Ukraine_Witness_Datasheet/Worksheet/telegram__nexta_live_171782022-02-25T17:39:08.432931.png</t>
  </si>
  <si>
    <t>10b4a4516abd7ae8bc2b7db4bf541882f2fc4cbf0067947fc9a3c705c583ed83</t>
  </si>
  <si>
    <t>https://bellingcat-archive.nyc3.cdn.digitaloceanspaces.com/Ukraine_Witness_Datasheet/Worksheet/telegram_8000c86923/index.html</t>
  </si>
  <si>
    <t>2022-02-25T10:41:42+00:00</t>
  </si>
  <si>
    <t>https://twitter.com/3TrAmvL026aJRar/status/1497195337089490945?t=tQNd4lD7kqscdr9rDf2ybg&amp;s=19</t>
  </si>
  <si>
    <t>CIV0024</t>
  </si>
  <si>
    <t>Alledged kindergarten hit by missile/artillery.</t>
  </si>
  <si>
    <t>UW0677</t>
  </si>
  <si>
    <t>Civilian casualties</t>
  </si>
  <si>
    <t>https://bellingcat-archive.nyc3.cdn.digitaloceanspaces.com/Ukraine_Witness_Datasheet/Worksheet/youtube_dl_1497195337089490945.mp4</t>
  </si>
  <si>
    <t>2022-02-25T17:39:46+00:00</t>
  </si>
  <si>
    <t>https://bellingcat-archive.nyc3.cdn.digitaloceanspaces.com/Ukraine_Witness_Datasheet/Worksheet/youtube_dl__3TrAmvL026aJRar_status_14971953370894909452022-02-25T17:39:33.622961.png</t>
  </si>
  <si>
    <t>df8e5a60eed36fe8bcb1c6c41fee20cd5a95a5b6ac263f95a1bd57b8635942e2</t>
  </si>
  <si>
    <t>https://bellingcat-archive.nyc3.cdn.digitaloceanspaces.com/Ukraine_Witness_Datasheet/Worksheet/youtube_dl_1497195337089490945/index.html</t>
  </si>
  <si>
    <t>Олександр Мережко - Russian missile hit kindergarten</t>
  </si>
  <si>
    <t>2022-02-25T14:02:39+00:00</t>
  </si>
  <si>
    <t>https://twitter.com/MitchvdKlundert/status/1497201512547860483</t>
  </si>
  <si>
    <t>UW0678</t>
  </si>
  <si>
    <t>https://bellingcat-archive.nyc3.cdn.digitaloceanspaces.com/Ukraine_Witness_Datasheet/Worksheet/twitter__MitchvdKlundert_status_1497201512547860483.html</t>
  </si>
  <si>
    <t>2022-02-25T17:40:02+00:00</t>
  </si>
  <si>
    <t>https://bellingcat-archive.nyc3.cdn.digitaloceanspaces.com/Ukraine_Witness_Datasheet/Worksheet/twitter__MitchvdKlundert_status_14972015125478604832022-02-25T17:39:53.629991.png</t>
  </si>
  <si>
    <t>d7d2ce12e4a840a48a1da8147beb0495a33f3c4c495f6d4720a66be976a3ed15</t>
  </si>
  <si>
    <t>https://twitter.com/KyivIndependent/status/1497184726595125250</t>
  </si>
  <si>
    <t>UW0679</t>
  </si>
  <si>
    <t>https://web.archive.org/web/20220225174056/https://twitter.com/KyivIndependent/status/1497184726595125250</t>
  </si>
  <si>
    <t>2022-02-25T17:41:21+00:00</t>
  </si>
  <si>
    <t>https://bellingcat-archive.nyc3.cdn.digitaloceanspaces.com/Ukraine_Witness_Datasheet/Worksheet/wayback__KyivIndependent_status_14971847265951252502022-02-25T17:41:11.535544.png</t>
  </si>
  <si>
    <t>https://drive.google.com/file/d/15BxYoZN0vMZbnGJA4WipINhXZBC_UOLz/view?usp=sharing</t>
  </si>
  <si>
    <t>UW0680</t>
  </si>
  <si>
    <t>https://web.archive.org/web/20220225174204/https://drive.google.com/file/d/15BxYoZN0vMZbnGJA4WipINhXZBC_UOLz/view?usp=sharing</t>
  </si>
  <si>
    <t>2022-02-25T17:42:26+00:00</t>
  </si>
  <si>
    <t>https://bellingcat-archive.nyc3.cdn.digitaloceanspaces.com/Ukraine_Witness_Datasheet/Worksheet/wayback__file_d_15BxYoZN0vMZbnGJA4WipINhXZBC_UOLz_view2022-02-25T17:42:17.276926.png</t>
  </si>
  <si>
    <t>https://twitter.com/no_itsmyturn/status/1497184730395074562</t>
  </si>
  <si>
    <t>UW0681</t>
  </si>
  <si>
    <t>https://bellingcat-archive.nyc3.cdn.digitaloceanspaces.com/Ukraine_Witness_Datasheet/Worksheet/twitter__no_itsmyturn_status_1497184730395074562.html</t>
  </si>
  <si>
    <t>2022-02-25T17:42:40+00:00</t>
  </si>
  <si>
    <t>https://bellingcat-archive.nyc3.cdn.digitaloceanspaces.com/Ukraine_Witness_Datasheet/Worksheet/twitter__no_itsmyturn_status_14971847303950745622022-02-25T17:42:29.943564.png</t>
  </si>
  <si>
    <t>356d47287c73cf01e6a36090bf1da9806b795a37512b2cd8a240f8f4d9cd6f8e</t>
  </si>
  <si>
    <t>Three civilians killed while diriving in a vehicle on Krillovskaya Street</t>
  </si>
  <si>
    <t>UW0682</t>
  </si>
  <si>
    <t>2022-02-25T17:46:57+00:00</t>
  </si>
  <si>
    <t>https://bellingcat-archive.nyc3.cdn.digitaloceanspaces.com/Ukraine_Witness_Datasheet/Worksheet/youtube_dl__A_Yuzhakov_status_14971971205661655062022-02-25T17:46:39.766285.png</t>
  </si>
  <si>
    <t>Narine</t>
  </si>
  <si>
    <t>46.63901988</t>
  </si>
  <si>
    <t>32.61059724</t>
  </si>
  <si>
    <t>https://t.me/nexta_live/17239</t>
  </si>
  <si>
    <t>CIV0028</t>
  </si>
  <si>
    <t>Video of burned-out building, reported market.</t>
  </si>
  <si>
    <t>Kherson</t>
  </si>
  <si>
    <t>UW0683</t>
  </si>
  <si>
    <t>https://bellingcat-archive.nyc3.cdn.digitaloceanspaces.com/Ukraine_Witness_Datasheet/Worksheet/telegram_a362967325.mp4</t>
  </si>
  <si>
    <t>2022-02-25T17:47:18+00:00</t>
  </si>
  <si>
    <t>https://bellingcat-archive.nyc3.cdn.digitaloceanspaces.com/Ukraine_Witness_Datasheet/Worksheet/telegram__nexta_live_172392022-02-25T17:47:02.536018.png</t>
  </si>
  <si>
    <t>9e789570c06f8f1b8c8e2a927a20e1a88be44587cc613a1fa5ae67b955ff8cde</t>
  </si>
  <si>
    <t>https://bellingcat-archive.nyc3.cdn.digitaloceanspaces.com/Ukraine_Witness_Datasheet/Worksheet/telegram_a362967325/index.html</t>
  </si>
  <si>
    <t>2022-02-25T13:26:30+00:00</t>
  </si>
  <si>
    <t>https://twitter.com/Vasilij88559984/status/1497262949190221837</t>
  </si>
  <si>
    <t>UW0684</t>
  </si>
  <si>
    <t>https://bellingcat-archive.nyc3.cdn.digitaloceanspaces.com/Ukraine_Witness_Datasheet/Worksheet/twitter__Vasilij88559984_status_1497262949190221837.html</t>
  </si>
  <si>
    <t>2022-02-25T17:47:32+00:00</t>
  </si>
  <si>
    <t>https://bellingcat-archive.nyc3.cdn.digitaloceanspaces.com/Ukraine_Witness_Datasheet/Worksheet/twitter__Vasilij88559984_status_14972629491902218372022-02-25T17:47:23.099934.png</t>
  </si>
  <si>
    <t>c84e213196d1e5d6d8b2c12140e175b964c40c9442db40d3d335b0d3fc62b8e8</t>
  </si>
  <si>
    <t>https://twitter.com/Arslon_Xudosi/status/1497258865469100035</t>
  </si>
  <si>
    <t>UW0685</t>
  </si>
  <si>
    <t>https://bellingcat-archive.nyc3.cdn.digitaloceanspaces.com/Ukraine_Witness_Datasheet/Worksheet/twitter__Arslon_Xudosi_status_1497258865469100035.html</t>
  </si>
  <si>
    <t>2022-02-25T17:47:45+00:00</t>
  </si>
  <si>
    <t>https://bellingcat-archive.nyc3.cdn.digitaloceanspaces.com/Ukraine_Witness_Datasheet/Worksheet/twitter__Arslon_Xudosi_status_14972588654691000352022-02-25T17:47:36.146517.png</t>
  </si>
  <si>
    <t>4126c0b3737dd59a9c2c426e331cbb1c6d35423a9811e1eacd4b776837cb980e</t>
  </si>
  <si>
    <t>https://twitter.com/zcjbrooker/status/1497264226863357960</t>
  </si>
  <si>
    <t>Video of interceptors over Odessa</t>
  </si>
  <si>
    <t>UW0686</t>
  </si>
  <si>
    <t>https://bellingcat-archive.nyc3.cdn.digitaloceanspaces.com/Ukraine_Witness_Datasheet/Worksheet/youtube_dl_1497264226863357960.mp4</t>
  </si>
  <si>
    <t>2022-02-25T17:48:01+00:00</t>
  </si>
  <si>
    <t>https://bellingcat-archive.nyc3.cdn.digitaloceanspaces.com/Ukraine_Witness_Datasheet/Worksheet/youtube_dl__zcjbrooker_status_14972642268633579602022-02-25T17:47:50.681871.png</t>
  </si>
  <si>
    <t>b97a3be527a9370bf7889d3351b7a45837a98ad443da41eecd961c15d4fa77ef</t>
  </si>
  <si>
    <t>https://bellingcat-archive.nyc3.cdn.digitaloceanspaces.com/Ukraine_Witness_Datasheet/Worksheet/youtube_dl_1497264226863357960/index.html</t>
  </si>
  <si>
    <t>EAF - Another video of interceptors over #Odessa</t>
  </si>
  <si>
    <t>2022-02-25T18:36:24+00:00</t>
  </si>
  <si>
    <t>Hannah</t>
  </si>
  <si>
    <t>50.515083</t>
  </si>
  <si>
    <t>30.227848</t>
  </si>
  <si>
    <t>https://twitter.com/novostidnua/status/1497251987796242433</t>
  </si>
  <si>
    <t>CIV0034</t>
  </si>
  <si>
    <t xml:space="preserve">Residential building and civilian vehicles damaged by artillery </t>
  </si>
  <si>
    <t>Irpen</t>
  </si>
  <si>
    <t>UW0687</t>
  </si>
  <si>
    <t>https://bellingcat-archive.nyc3.cdn.digitaloceanspaces.com/Ukraine_Witness_Datasheet/Worksheet/twitter__novostidnua_status_1497251987796242433.html</t>
  </si>
  <si>
    <t>2022-02-25T17:48:16+00:00</t>
  </si>
  <si>
    <t>https://bellingcat-archive.nyc3.cdn.digitaloceanspaces.com/Ukraine_Witness_Datasheet/Worksheet/twitter__novostidnua_status_14972519877962424332022-02-25T17:48:07.783717.png</t>
  </si>
  <si>
    <t>df1e927f94ca353946265cfb159a4557dbeed82b39a992d91f3f40bf61f339fc</t>
  </si>
  <si>
    <t>https://twitter.com/poppoppopkt/status/1497205249362247694</t>
  </si>
  <si>
    <t>Residential building struck by aty. 1 x civ fatality.</t>
  </si>
  <si>
    <t>Volnovakha</t>
  </si>
  <si>
    <t>UW0688</t>
  </si>
  <si>
    <t>https://bellingcat-archive.nyc3.cdn.digitaloceanspaces.com/Ukraine_Witness_Datasheet/Worksheet/youtube_dl_1497205249362247694.mp4</t>
  </si>
  <si>
    <t>2022-02-25T17:48:32+00:00</t>
  </si>
  <si>
    <t>https://bellingcat-archive.nyc3.cdn.digitaloceanspaces.com/Ukraine_Witness_Datasheet/Worksheet/youtube_dl__poppoppopkt_status_14972052493622476942022-02-25T17:48:21.285539.png</t>
  </si>
  <si>
    <t>ea573d4abe248af2de165ef07644a74aa6d535de5ccbb30fed0f9460e64d6bbf</t>
  </si>
  <si>
    <t>https://bellingcat-archive.nyc3.cdn.digitaloceanspaces.com/Ukraine_Witness_Datasheet/Worksheet/youtube_dl_1497205249362247694/index.html</t>
  </si>
  <si>
    <t>Иван Щелепов - Волноваху вдарили градом</t>
  </si>
  <si>
    <t>2022-02-25T14:42:02+00:00</t>
  </si>
  <si>
    <t>UW0689</t>
  </si>
  <si>
    <t>2022-02-25T17:48:49+00:00</t>
  </si>
  <si>
    <t>https://bellingcat-archive.nyc3.cdn.digitaloceanspaces.com/Ukraine_Witness_Datasheet/Worksheet/youtube_dl__Shrik_E_status_14972537534765998142022-02-25T17:48:37.687297.png</t>
  </si>
  <si>
    <t>Eoghan</t>
  </si>
  <si>
    <t>46.840001</t>
  </si>
  <si>
    <t>35.371448</t>
  </si>
  <si>
    <t>https://twitter.com/nexta_tv/status/1497240135615791107</t>
  </si>
  <si>
    <t>CIV0032</t>
  </si>
  <si>
    <t>Hospital and adjacent building come under small arms fire</t>
  </si>
  <si>
    <t>Zaporizhzhia Oblast</t>
  </si>
  <si>
    <t>UW0690</t>
  </si>
  <si>
    <t>https://bellingcat-archive.nyc3.cdn.digitaloceanspaces.com/Ukraine_Witness_Datasheet/Worksheet/youtube_dl_1497240135615791107.mp4</t>
  </si>
  <si>
    <t>2022-02-25T17:49:06+00:00</t>
  </si>
  <si>
    <t>https://bellingcat-archive.nyc3.cdn.digitaloceanspaces.com/Ukraine_Witness_Datasheet/Worksheet/youtube_dl__nexta_tv_status_14972401356157911072022-02-25T17:48:54.325222.png</t>
  </si>
  <si>
    <t>32be8fc74a08eaec1c6a5a8d08e913ef6465af3dc170c34eecf78593f29651e9</t>
  </si>
  <si>
    <t>https://bellingcat-archive.nyc3.cdn.digitaloceanspaces.com/Ukraine_Witness_Datasheet/Worksheet/youtube_dl_1497240135615791107/index.html</t>
  </si>
  <si>
    <t>NEXTA - ❗️ In #Melitopol, the occupiers shot at the hospital  In the video, a shell hit the oncology department.</t>
  </si>
  <si>
    <t>2022-02-25T17:00:40+00:00</t>
  </si>
  <si>
    <t>UW0691</t>
  </si>
  <si>
    <t>UW0692</t>
  </si>
  <si>
    <t>https://twitter.com/vital_ovchar/status/1496808502802759683</t>
  </si>
  <si>
    <t>CIV0005</t>
  </si>
  <si>
    <t>Homes hit by artillery/missiles</t>
  </si>
  <si>
    <t>UW0694</t>
  </si>
  <si>
    <t>https://bellingcat-archive.nyc3.cdn.digitaloceanspaces.com/Ukraine_Witness_Datasheet/Worksheet/twitter__vital_ovchar_status_1496808502802759683.html</t>
  </si>
  <si>
    <t>2022-02-25T17:49:23+00:00</t>
  </si>
  <si>
    <t>https://bellingcat-archive.nyc3.cdn.digitaloceanspaces.com/Ukraine_Witness_Datasheet/Worksheet/twitter__vital_ovchar_status_14968085028027596832022-02-25T17:49:14.332049.png</t>
  </si>
  <si>
    <t>f8b1e132d1480363f152425b6ea848b836f0db94eb2a975b0e0d4df9f69e2454</t>
  </si>
  <si>
    <t>https://www.facebook.com/vladimir.veselkin/posts/4879589275493852?__cft__[0]=AZXA_3UfzprG0miGLoWQnskeHb73AKh7lPhzX_HGf-cLpIwl3cpOlBTWaB_4DUIIXOpSF7IsZJbPsT_r3dfPH1sFLM7n1Zg-XcAEtvPQ6bkNud09ukdcOLGFNGMy1-f_iFg&amp;__tn__=%2CO%2CP-R</t>
  </si>
  <si>
    <t>UW0695</t>
  </si>
  <si>
    <t>https://web.archive.org/web/20220225190106/https://www.facebook.com/login/?next=https%3A%2F%2Fwww.facebook.com%2Fvladimir.veselkin%2Fposts%2F4879589275493852%3F__cft__%255B0%255D%3DAZXA_3UfzprG0miGLoWQnskeHb73AKh7lPhzX_HGf-cLpIwl3cpOlBTWaB_4DUIIXOpSF7IsZJbPsT_r3dfPH1sFLM7n1Zg-XcAEtvPQ6bkNud09ukdcOLGFNGMy1-f_iFg%26__tn__%3D%252CO%252CP-R</t>
  </si>
  <si>
    <t>2022-02-25T19:01:29+00:00</t>
  </si>
  <si>
    <t>https://bellingcat-archive.nyc3.cdn.digitaloceanspaces.com/Ukraine_Witness_Datasheet/Worksheet/wayback__vladimir.veselkin_posts_48795892754938522022-02-25T19:01:18.076586.png</t>
  </si>
  <si>
    <t>Facebook</t>
  </si>
  <si>
    <t>https://twitter.com/GayanaYuksel/status/1496831609902968840</t>
  </si>
  <si>
    <t>CIV0007</t>
  </si>
  <si>
    <t>Child killed in explosion</t>
  </si>
  <si>
    <t>Novooleksiivka</t>
  </si>
  <si>
    <t>UW0696</t>
  </si>
  <si>
    <t>https://bellingcat-archive.nyc3.cdn.digitaloceanspaces.com/Ukraine_Witness_Datasheet/Worksheet/youtube_dl_1496831609902968840.mp4</t>
  </si>
  <si>
    <t>2022-02-25T19:01:54+00:00</t>
  </si>
  <si>
    <t>https://bellingcat-archive.nyc3.cdn.digitaloceanspaces.com/Ukraine_Witness_Datasheet/Worksheet/youtube_dl__GayanaYuksel_status_14968316099029688402022-02-25T19:01:35.053799.png</t>
  </si>
  <si>
    <t>9464fa5316d69e003f7a0d94349d3ac51ff6044eb6301aa529cf4570ac5f1a87</t>
  </si>
  <si>
    <t>https://bellingcat-archive.nyc3.cdn.digitaloceanspaces.com/Ukraine_Witness_Datasheet/Worksheet/youtube_dl_1496831609902968840/index.html</t>
  </si>
  <si>
    <t>Gayana Yüksel - Ukrayna Herson Geniçesk bölgesinde,  Semihatka köyünde Rusya’nın attığı bomba sonucunda 17 yaşındaki Kırım Tatar gencimiz vefat etti. Allah rahmet eylesin.</t>
  </si>
  <si>
    <t>2022-02-24T13:57:20+00:00</t>
  </si>
  <si>
    <t>https://t.me/Pravda_Gerashchenko/190</t>
  </si>
  <si>
    <t>https://bellingcat-archive.nyc3.cdn.digitaloceanspaces.com/Ukraine_Witness_Datasheet/Worksheet/telegram__Pravda_Gerashchenko_190.html</t>
  </si>
  <si>
    <t>2022-03-02T13:01:24.753422+00:00</t>
  </si>
  <si>
    <t>https://bellingcat-archive.nyc3.cdn.digitaloceanspaces.com/Ukraine_Witness_Datasheet/Worksheet/telegram__Pravda_Gerashchenko_1902022-03-02T13:01:14.420308.png</t>
  </si>
  <si>
    <t>1067695ba7355e3f91b276c608b93e8c0faee94c8b93661cb53d0372806c9068</t>
  </si>
  <si>
    <t>2022-02-24T07:05:46+00:00</t>
  </si>
  <si>
    <t>NICK</t>
  </si>
  <si>
    <t>https://t.me/mariupol/3007</t>
  </si>
  <si>
    <t>CIV0009</t>
  </si>
  <si>
    <t>Civilian killed in explosion</t>
  </si>
  <si>
    <t>Donets'ka oblast</t>
  </si>
  <si>
    <t>UW0730</t>
  </si>
  <si>
    <t>UW0697</t>
  </si>
  <si>
    <t>https://bellingcat-archive.nyc3.cdn.digitaloceanspaces.com/Ukraine_Witness_Datasheet/Worksheet/telegram_6022c7cb4f.mp4</t>
  </si>
  <si>
    <t>2022-02-25T19:02:14+00:00</t>
  </si>
  <si>
    <t>https://bellingcat-archive.nyc3.cdn.digitaloceanspaces.com/Ukraine_Witness_Datasheet/Worksheet/telegram__mariupol_30072022-02-25T19:01:59.535241.png</t>
  </si>
  <si>
    <t>55f79bcde391d524ec4c12d566e2dae25c708ab0af0a314874bb895963daf663</t>
  </si>
  <si>
    <t>https://bellingcat-archive.nyc3.cdn.digitaloceanspaces.com/Ukraine_Witness_Datasheet/Worksheet/telegram_6022c7cb4f/index.html</t>
  </si>
  <si>
    <t>2022-02-24T11:50:30+00:00</t>
  </si>
  <si>
    <t>50.3083105</t>
  </si>
  <si>
    <t>34.8807024</t>
  </si>
  <si>
    <t>https://t.me/nexta_live/16696</t>
  </si>
  <si>
    <t>CIV0011</t>
  </si>
  <si>
    <t>Homes damaged artillery/missiles</t>
  </si>
  <si>
    <t>UW0698</t>
  </si>
  <si>
    <t>https://bellingcat-archive.nyc3.cdn.digitaloceanspaces.com/Ukraine_Witness_Datasheet/Worksheet/telegram_9843bc455a.mp4</t>
  </si>
  <si>
    <t>2022-02-25T19:02:32+00:00</t>
  </si>
  <si>
    <t>https://bellingcat-archive.nyc3.cdn.digitaloceanspaces.com/Ukraine_Witness_Datasheet/Worksheet/telegram__nexta_live_166962022-02-25T19:02:19.525521.png</t>
  </si>
  <si>
    <t>71bf9289ffe3bff0dbe829fd96bb9b1d5974a66554cdbdf39fd8d65adfc24b0e</t>
  </si>
  <si>
    <t>https://bellingcat-archive.nyc3.cdn.digitaloceanspaces.com/Ukraine_Witness_Datasheet/Worksheet/telegram_9843bc455a/index.html</t>
  </si>
  <si>
    <t>2022-02-24T14:18:41+00:00</t>
  </si>
  <si>
    <t>48.055395</t>
  </si>
  <si>
    <t>37.7783</t>
  </si>
  <si>
    <t>https://twitter.com/City_Donetsk/status/1496877801689038859?s=20&amp;t=o76iN01FC_pqK6l4rX_fFQ</t>
  </si>
  <si>
    <t>CIV0013</t>
  </si>
  <si>
    <t>Hospital damaged in fighting</t>
  </si>
  <si>
    <t>UW0699</t>
  </si>
  <si>
    <t>https://bellingcat-archive.nyc3.cdn.digitaloceanspaces.com/Ukraine_Witness_Datasheet/Worksheet/twitter__City_Donetsk_status_1496877801689038859.html</t>
  </si>
  <si>
    <t>2022-02-25T19:02:48+00:00</t>
  </si>
  <si>
    <t>https://bellingcat-archive.nyc3.cdn.digitaloceanspaces.com/Ukraine_Witness_Datasheet/Worksheet/twitter__City_Donetsk_status_14968778016890388592022-02-25T19:02:36.001149.png</t>
  </si>
  <si>
    <t>8b53da00e913de72aff5b4228dfcfc205fdbe0bddafa45d3ff2700f65698217e</t>
  </si>
  <si>
    <t>50.405361</t>
  </si>
  <si>
    <t>30.645226</t>
  </si>
  <si>
    <t>https://twitter.com/ChristopherJM/status/1497048113504301090?s=20&amp;t=F0--qN8xA_f7DUIGDOmN4w</t>
  </si>
  <si>
    <t>CIV0015</t>
  </si>
  <si>
    <t>Apartment building on fire</t>
  </si>
  <si>
    <t>UW0700</t>
  </si>
  <si>
    <t>https://bellingcat-archive.nyc3.cdn.digitaloceanspaces.com/Ukraine_Witness_Datasheet/Worksheet/youtube_dl_1497048113504301090.mp4</t>
  </si>
  <si>
    <t>2022-02-25T19:03:06+00:00</t>
  </si>
  <si>
    <t>https://bellingcat-archive.nyc3.cdn.digitaloceanspaces.com/Ukraine_Witness_Datasheet/Worksheet/youtube_dl__ChristopherJM_status_14970481135043010902022-02-25T19:02:53.523182.png</t>
  </si>
  <si>
    <t>2df0391a923899fafa4cf6add3ed49389acd15408e4d2d810ff25534ca6d51bf</t>
  </si>
  <si>
    <t>https://bellingcat-archive.nyc3.cdn.digitaloceanspaces.com/Ukraine_Witness_Datasheet/Worksheet/youtube_dl_1497048113504301090/index.html</t>
  </si>
  <si>
    <t>Christopher Miller - Another video showing a building I’ve geolocated to Pozniaky district southeast of Kyiv. A high-rise apartment building in fire. Unclear whether this is damage from the incident in the previous video but location suggests it might be.</t>
  </si>
  <si>
    <t>2022-02-25T04:17:38+00:00</t>
  </si>
  <si>
    <t>https://twitter.com/HannaLiubakova/status/1497057602794049537?s=20&amp;t=OVvhaH-5fg2hPLYK8iF8Lw</t>
  </si>
  <si>
    <t>UW0701</t>
  </si>
  <si>
    <t>https://bellingcat-archive.nyc3.cdn.digitaloceanspaces.com/Ukraine_Witness_Datasheet/Worksheet/youtube_dl_1497057602794049537.mp4</t>
  </si>
  <si>
    <t>2022-02-25T19:03:24+00:00</t>
  </si>
  <si>
    <t>https://bellingcat-archive.nyc3.cdn.digitaloceanspaces.com/Ukraine_Witness_Datasheet/Worksheet/youtube_dl__HannaLiubakova_status_14970576027940495372022-02-25T19:03:12.730409.png</t>
  </si>
  <si>
    <t>d6dfa8796d6b4029da7028d275d70f1baf3800caa449d274b65015281ab9a1e1</t>
  </si>
  <si>
    <t>https://bellingcat-archive.nyc3.cdn.digitaloceanspaces.com/Ukraine_Witness_Datasheet/Worksheet/youtube_dl_1497057602794049537/index.html</t>
  </si>
  <si>
    <t>Hanna Liubakova - I will separate previous information for clarity. A block of apartments was hit in Kyiv, the capital. At least 3 people injured.  According to the Pentagon,Russia launched 160 missiles into #Ukraine. As we saw yesterday,residential areas were hit. Innocent people were attacked</t>
  </si>
  <si>
    <t>2022-02-25T04:55:21+00:00</t>
  </si>
  <si>
    <t>https://t.me/nexta_live/17090</t>
  </si>
  <si>
    <t>UW0702</t>
  </si>
  <si>
    <t>https://bellingcat-archive.nyc3.cdn.digitaloceanspaces.com/Ukraine_Witness_Datasheet/Worksheet/telegram__nexta_live_17090.html</t>
  </si>
  <si>
    <t>2022-02-25T20:14:00+00:00</t>
  </si>
  <si>
    <t>https://bellingcat-archive.nyc3.cdn.digitaloceanspaces.com/Ukraine_Witness_Datasheet/Worksheet/telegram__nexta_live_170902022-02-25T20:13:49.319009.png</t>
  </si>
  <si>
    <t>07cf2fe67de3fd6c9fcae3dd91dfc10bad228a0eda91502d4d1f69442ee2e7d1</t>
  </si>
  <si>
    <t>https://twitter.com/terrelljstarr/status/1497134872992833551?s=21</t>
  </si>
  <si>
    <t>UW0703</t>
  </si>
  <si>
    <t>https://bellingcat-archive.nyc3.cdn.digitaloceanspaces.com/Ukraine_Witness_Datasheet/Worksheet/youtube_dl_1497134872992833551.mp4</t>
  </si>
  <si>
    <t>2022-02-25T19:06:18+00:00</t>
  </si>
  <si>
    <t>https://bellingcat-archive.nyc3.cdn.digitaloceanspaces.com/Ukraine_Witness_Datasheet/Worksheet/youtube_dl__terrelljstarr_status_14971348729928335512022-02-25T19:05:54.599867.png</t>
  </si>
  <si>
    <t>60b0e57612fda40c34825cd01c6f210f1b1827db489d384adc829f54d7d82e08</t>
  </si>
  <si>
    <t>https://bellingcat-archive.nyc3.cdn.digitaloceanspaces.com/Ukraine_Witness_Datasheet/Worksheet/youtube_dl_1497134872992833551/index.html</t>
  </si>
  <si>
    <t>Terrell Jermaine Starr - Live on the scene from Southeast Kyiv. This residential building suffered massive damage. Trying to gather facts on what happened. This is 15 minutes from where I live.</t>
  </si>
  <si>
    <t>2022-02-25T10:02:23+00:00</t>
  </si>
  <si>
    <t>https://twitter.com/jimmysecuk/status/1497130333556334595?s=21</t>
  </si>
  <si>
    <t>UW0704</t>
  </si>
  <si>
    <t>https://bellingcat-archive.nyc3.cdn.digitaloceanspaces.com/Ukraine_Witness_Datasheet/Worksheet/youtube_dl_1497130333556334595.mp4</t>
  </si>
  <si>
    <t>2022-02-25T19:06:39+00:00</t>
  </si>
  <si>
    <t>https://bellingcat-archive.nyc3.cdn.digitaloceanspaces.com/Ukraine_Witness_Datasheet/Worksheet/youtube_dl__jimmysecuk_status_14971303335563345952022-02-25T19:06:26.903243.png</t>
  </si>
  <si>
    <t>62fd78d2fa5f35a45d6f95f0c498e9943bc3b145b743669d540d3b38b7458b34</t>
  </si>
  <si>
    <t>https://bellingcat-archive.nyc3.cdn.digitaloceanspaces.com/Ukraine_Witness_Datasheet/Worksheet/youtube_dl_1497130333556334595/index.html</t>
  </si>
  <si>
    <t>Jimmy - The 'precision weapons' employed by Russia in their assault against Ukraine continue to mysteriously hit Ukrainian civilians.   These apartments in Kyiv were targeted during the night.</t>
  </si>
  <si>
    <t>2022-02-25T09:44:21+00:00</t>
  </si>
  <si>
    <t>https://twitter.com/ItsBorys/status/1497182733071753230</t>
  </si>
  <si>
    <t>UW0705</t>
  </si>
  <si>
    <t>https://bellingcat-archive.nyc3.cdn.digitaloceanspaces.com/Ukraine_Witness_Datasheet/Worksheet/youtube_dl_1497182733071753230.mp4</t>
  </si>
  <si>
    <t>2022-02-25T19:06:59+00:00</t>
  </si>
  <si>
    <t>https://bellingcat-archive.nyc3.cdn.digitaloceanspaces.com/Ukraine_Witness_Datasheet/Worksheet/youtube_dl__ItsBorys_status_14971827330717532302022-02-25T19:06:46.238169.png</t>
  </si>
  <si>
    <t>6755bb5a11faf8f22b5d20c4376f5dcd730c50737bfddcc26abb4c1a21ab1fda</t>
  </si>
  <si>
    <t>https://bellingcat-archive.nyc3.cdn.digitaloceanspaces.com/Ukraine_Witness_Datasheet/Worksheet/youtube_dl_1497182733071753230/index.html</t>
  </si>
  <si>
    <t>Christian Borys - From a friend in Kyiv.  “I’m alive but not ok.  Today I woke up with news that my mom’s house was struck by a part of a rocket. Luckily she and my brother staid alive  I ran away from Kyiv, now trying to move further west   My mom and brother refused to leave Kyiv.”</t>
  </si>
  <si>
    <t>2022-02-25T13:12:34+00:00</t>
  </si>
  <si>
    <t>https://t.me/LastBP/4499</t>
  </si>
  <si>
    <t>CIV0017</t>
  </si>
  <si>
    <t>Military vehicle runs over civilian car</t>
  </si>
  <si>
    <t>UW0706</t>
  </si>
  <si>
    <t>https://bellingcat-archive.nyc3.cdn.digitaloceanspaces.com/Ukraine_Witness_Datasheet/Worksheet/telegram_f639bcb149.mp4</t>
  </si>
  <si>
    <t>2022-02-25T19:07:16+00:00</t>
  </si>
  <si>
    <t>https://bellingcat-archive.nyc3.cdn.digitaloceanspaces.com/Ukraine_Witness_Datasheet/Worksheet/telegram__LastBP_44992022-02-25T19:07:03.237201.png</t>
  </si>
  <si>
    <t>aa1c07c4f3c69309ecd6f77274f8bc65e72e239c66ff91fd82409d85203e4c63</t>
  </si>
  <si>
    <t>https://bellingcat-archive.nyc3.cdn.digitaloceanspaces.com/Ukraine_Witness_Datasheet/Worksheet/telegram_f639bcb149/index.html</t>
  </si>
  <si>
    <t>50.518545</t>
  </si>
  <si>
    <t>30.490492</t>
  </si>
  <si>
    <t>https://t.me/nexta_live/17107</t>
  </si>
  <si>
    <t>UW0707</t>
  </si>
  <si>
    <t>https://bellingcat-archive.nyc3.cdn.digitaloceanspaces.com/Ukraine_Witness_Datasheet/Worksheet/telegram_f9f24c71fe.mp4</t>
  </si>
  <si>
    <t>2022-02-25T19:07:39+00:00</t>
  </si>
  <si>
    <t>https://bellingcat-archive.nyc3.cdn.digitaloceanspaces.com/Ukraine_Witness_Datasheet/Worksheet/telegram__nexta_live_171072022-02-25T19:07:21.628745.png</t>
  </si>
  <si>
    <t>4061fd67fc9285d43b5355d7ee298bd76a23d48ee2dd6c702802cd52fc3c4d37</t>
  </si>
  <si>
    <t>https://bellingcat-archive.nyc3.cdn.digitaloceanspaces.com/Ukraine_Witness_Datasheet/Worksheet/telegram_f9f24c71fe/index.html</t>
  </si>
  <si>
    <t>2022-02-25T08:10:24+00:00</t>
  </si>
  <si>
    <t>https://t.me/nexta_live/17131</t>
  </si>
  <si>
    <t>UW0708</t>
  </si>
  <si>
    <t>https://bellingcat-archive.nyc3.cdn.digitaloceanspaces.com/Ukraine_Witness_Datasheet/Worksheet/telegram_6ce5e82fb0.mp4</t>
  </si>
  <si>
    <t>2022-02-25T19:07:55+00:00</t>
  </si>
  <si>
    <t>https://bellingcat-archive.nyc3.cdn.digitaloceanspaces.com/Ukraine_Witness_Datasheet/Worksheet/telegram__nexta_live_171312022-02-25T19:07:43.067438.png</t>
  </si>
  <si>
    <t>716a4ee72bf4bb7fafa8ca0550b5db8ae035c540c9909a27b610007866a48dae</t>
  </si>
  <si>
    <t>https://bellingcat-archive.nyc3.cdn.digitaloceanspaces.com/Ukraine_Witness_Datasheet/Worksheet/telegram_6ce5e82fb0/index.html</t>
  </si>
  <si>
    <t>2022-02-25T09:07:07+00:00</t>
  </si>
  <si>
    <t>https://t.me/nexta_live/17133</t>
  </si>
  <si>
    <t>UW0709</t>
  </si>
  <si>
    <t>https://bellingcat-archive.nyc3.cdn.digitaloceanspaces.com/Ukraine_Witness_Datasheet/Worksheet/telegram__nexta_live_17133.html</t>
  </si>
  <si>
    <t>2022-02-25T20:14:11+00:00</t>
  </si>
  <si>
    <t>https://bellingcat-archive.nyc3.cdn.digitaloceanspaces.com/Ukraine_Witness_Datasheet/Worksheet/telegram__nexta_live_171332022-02-25T20:14:00.700182.png</t>
  </si>
  <si>
    <t>42b336d2fb150fb856a3486343f21c5df44cbc0f3d562eca82d251e69ab9400e</t>
  </si>
  <si>
    <t>https://twitter.com/Balshone/status/1497178406617759745</t>
  </si>
  <si>
    <t>UW0710</t>
  </si>
  <si>
    <t>https://bellingcat-archive.nyc3.cdn.digitaloceanspaces.com/Ukraine_Witness_Datasheet/Worksheet/youtube_dl_1497178406617759745.mp4</t>
  </si>
  <si>
    <t>2022-02-25T19:10:13+00:00</t>
  </si>
  <si>
    <t>https://bellingcat-archive.nyc3.cdn.digitaloceanspaces.com/Ukraine_Witness_Datasheet/Worksheet/youtube_dl__Balshone_status_14971784066177597452022-02-25T19:10:01.840043.png</t>
  </si>
  <si>
    <t>c30490b3d9dbddc9dda74cc7cba25883e0b58defe476b12bbed4bb538c3a61ff</t>
  </si>
  <si>
    <t>https://bellingcat-archive.nyc3.cdn.digitaloceanspaces.com/Ukraine_Witness_Datasheet/Worksheet/youtube_dl_1497178406617759745/index.html</t>
  </si>
  <si>
    <t>Balša Božović - Za sve one koji ne žele da vide šta Putin radi u Ukrajini.   Ruski narod ne stoji iza ovoga. Ovo je Putinov lični rat.   Na obraz medjunarodnoj zajednici koja ovo nemo posmatra.  #Ukraine</t>
  </si>
  <si>
    <t>2022-02-25T12:55:23+00:00</t>
  </si>
  <si>
    <t>https://t.me/vorposte/13797</t>
  </si>
  <si>
    <t>UW0711</t>
  </si>
  <si>
    <t>https://bellingcat-archive.nyc3.cdn.digitaloceanspaces.com/Ukraine_Witness_Datasheet/Worksheet/telegram__vorposte_13797.html</t>
  </si>
  <si>
    <t>2022-02-25T20:14:20+00:00</t>
  </si>
  <si>
    <t>https://bellingcat-archive.nyc3.cdn.digitaloceanspaces.com/Ukraine_Witness_Datasheet/Worksheet/telegram__vorposte_137972022-02-25T20:14:11.951602.png</t>
  </si>
  <si>
    <t>6c8ad38c9fa9dc4f9be15cef80b809864d830c569aab8ab430543a8f2f86de5d</t>
  </si>
  <si>
    <t>49.99086467</t>
  </si>
  <si>
    <t>36.26782525</t>
  </si>
  <si>
    <t>https://t.me/vorposte/13723</t>
  </si>
  <si>
    <t>CIV0019</t>
  </si>
  <si>
    <t>Bomb remnant in civilian area</t>
  </si>
  <si>
    <t>UW0712</t>
  </si>
  <si>
    <t>https://bellingcat-archive.nyc3.cdn.digitaloceanspaces.com/Ukraine_Witness_Datasheet/Worksheet/telegram__vorposte_13723.html</t>
  </si>
  <si>
    <t>2022-02-25T20:14:34+00:00</t>
  </si>
  <si>
    <t>https://bellingcat-archive.nyc3.cdn.digitaloceanspaces.com/Ukraine_Witness_Datasheet/Worksheet/telegram__vorposte_137232022-02-25T20:14:21.108749.png</t>
  </si>
  <si>
    <t>ede09acd844f61406961a9e570a02f0bffbb42f1ce689c2f5b5bfdc6dcd46c56</t>
  </si>
  <si>
    <t>50.54633094</t>
  </si>
  <si>
    <t>30.20583369</t>
  </si>
  <si>
    <t>https://twitter.com/UAWeapons/status/1497176385420464133</t>
  </si>
  <si>
    <t>CIV0021</t>
  </si>
  <si>
    <t>Bomb remnant embedded in pavement in residential area</t>
  </si>
  <si>
    <t>UW0713</t>
  </si>
  <si>
    <t>https://bellingcat-archive.nyc3.cdn.digitaloceanspaces.com/Ukraine_Witness_Datasheet/Worksheet/youtube_dl_1497176385420464133.mp4</t>
  </si>
  <si>
    <t>2022-02-25T19:14:25+00:00</t>
  </si>
  <si>
    <t>https://bellingcat-archive.nyc3.cdn.digitaloceanspaces.com/Ukraine_Witness_Datasheet/Worksheet/youtube_dl__UAWeapons_status_14971763854204641332022-02-25T19:14:13.144578.png</t>
  </si>
  <si>
    <t>aecbf85dde7fbf277edf1bcbdb5fff3d7b5075d23faf71b921897af37aac9df6</t>
  </si>
  <si>
    <t>https://bellingcat-archive.nyc3.cdn.digitaloceanspaces.com/Ukraine_Witness_Datasheet/Worksheet/youtube_dl_1497176385420464133/index.html</t>
  </si>
  <si>
    <t>🇺🇦 Ukraine Weapons Tracker - #Ukraine: Remains of what appear to be a 220 mm 9M27K series cargo rocket (With submunitions dispensed), landing in a street- possibly in #Kyiv, but this is unconfirmed. This type of rocket is fired from the 9K57 Uragan &amp;amp; similar systems.   (Thank you @blueboy1969 for assistance)</t>
  </si>
  <si>
    <t>2022-02-25T12:47:21+00:00</t>
  </si>
  <si>
    <t>https://www.facebook.com/pantera.kira/posts/1957953117745193</t>
  </si>
  <si>
    <t>UW0714</t>
  </si>
  <si>
    <t>https://web.archive.org/web/20220225191503/https://www.facebook.com/login/?next=https%3A%2F%2Fwww.facebook.com%2Fpantera.kira%2Fposts%2F1957953117745193</t>
  </si>
  <si>
    <t>2022-02-25T19:15:55+00:00</t>
  </si>
  <si>
    <t>https://bellingcat-archive.nyc3.cdn.digitaloceanspaces.com/Ukraine_Witness_Datasheet/Worksheet/wayback__pantera.kira_posts_19579531177451932022-02-25T19:15:42.117795.png</t>
  </si>
  <si>
    <t>https://drive.google.com/file/d/17XDaloleq4WRnUwtD634az-UiLRbf_0n/view?usp=sharing</t>
  </si>
  <si>
    <t>UW0715</t>
  </si>
  <si>
    <t>https://web.archive.org/web/20220225191659/https://drive.google.com/file/d/17XDaloleq4WRnUwtD634az-UiLRbf_0n/view?usp=sharing</t>
  </si>
  <si>
    <t>2022-02-25T19:17:25+00:00</t>
  </si>
  <si>
    <t>https://bellingcat-archive.nyc3.cdn.digitaloceanspaces.com/Ukraine_Witness_Datasheet/Worksheet/wayback__file_d_17XDaloleq4WRnUwtD634az-UiLRbf_0n_view2022-02-25T19:17:12.961476.png</t>
  </si>
  <si>
    <t>https://twitter.com/3TrAmvL026aJRar/status/1497161918586499109</t>
  </si>
  <si>
    <t>UW0716</t>
  </si>
  <si>
    <t>https://bellingcat-archive.nyc3.cdn.digitaloceanspaces.com/Ukraine_Witness_Datasheet/Worksheet/youtube_dl_1497161918586499109.mp4</t>
  </si>
  <si>
    <t>2022-02-25T19:17:50+00:00</t>
  </si>
  <si>
    <t>https://bellingcat-archive.nyc3.cdn.digitaloceanspaces.com/Ukraine_Witness_Datasheet/Worksheet/youtube_dl__3TrAmvL026aJRar_status_14971619185864991092022-02-25T19:17:38.361234.png</t>
  </si>
  <si>
    <t>41c3a12a67f80fb2215ec03101ab3f11d0fc5c2701c6f6161f04efda9b355a7c</t>
  </si>
  <si>
    <t>https://bellingcat-archive.nyc3.cdn.digitaloceanspaces.com/Ukraine_Witness_Datasheet/Worksheet/youtube_dl_1497161918586499109/index.html</t>
  </si>
  <si>
    <t>Олександр Мережко - Bucha - small town next to Kyiv. Russians target civilian areas.</t>
  </si>
  <si>
    <t>2022-02-25T11:49:51+00:00</t>
  </si>
  <si>
    <t>50.047178</t>
  </si>
  <si>
    <t>36.354722</t>
  </si>
  <si>
    <t>https://t.me/Caucasian_bureau/31685</t>
  </si>
  <si>
    <t>CIV0023</t>
  </si>
  <si>
    <t>People in civilian vehicle come under fire on a road</t>
  </si>
  <si>
    <t>Starts: 50.047178 Ends: 50.052973        Starts: 36.354722 Ends: 36.359722</t>
  </si>
  <si>
    <t>UW0717</t>
  </si>
  <si>
    <t>https://bellingcat-archive.nyc3.cdn.digitaloceanspaces.com/Ukraine_Witness_Datasheet/Worksheet/telegram_d80fc48bc8.mp4</t>
  </si>
  <si>
    <t>2022-02-25T19:18:17+00:00</t>
  </si>
  <si>
    <t>https://bellingcat-archive.nyc3.cdn.digitaloceanspaces.com/Ukraine_Witness_Datasheet/Worksheet/telegram__Caucasian_bureau_316852022-02-25T19:17:56.975012.png</t>
  </si>
  <si>
    <t>4f4b5eb41d8b714e85061d531bbcdede030c762437c694f08bb087633a37a913</t>
  </si>
  <si>
    <t>https://bellingcat-archive.nyc3.cdn.digitaloceanspaces.com/Ukraine_Witness_Datasheet/Worksheet/telegram_d80fc48bc8/index.html</t>
  </si>
  <si>
    <t>2022-02-25T11:50:19+00:00</t>
  </si>
  <si>
    <t>https://t.me/nexta_live/17207</t>
  </si>
  <si>
    <t>CIV0025</t>
  </si>
  <si>
    <t>Orphanage struck by missiles/artillery</t>
  </si>
  <si>
    <t>UW0718</t>
  </si>
  <si>
    <t>https://bellingcat-archive.nyc3.cdn.digitaloceanspaces.com/Ukraine_Witness_Datasheet/Worksheet/telegram__nexta_live_17207.html</t>
  </si>
  <si>
    <t>2022-02-25T20:14:43+00:00</t>
  </si>
  <si>
    <t>https://bellingcat-archive.nyc3.cdn.digitaloceanspaces.com/Ukraine_Witness_Datasheet/Worksheet/telegram__nexta_live_172072022-02-25T20:14:34.892367.png</t>
  </si>
  <si>
    <t>d2341afd9a065dd73c2b9e54bed232d8bc74b12e3f1f959a00a7a61c927b2129</t>
  </si>
  <si>
    <t>https://twitter.com/DmytroKuleba/status/1497185289667817472</t>
  </si>
  <si>
    <t>UW0719</t>
  </si>
  <si>
    <t>https://web.archive.org/web/20220225192108/https://twitter.com/DmytroKuleba/status/1497185289667817472</t>
  </si>
  <si>
    <t>2022-02-25T19:21:28+00:00</t>
  </si>
  <si>
    <t>https://bellingcat-archive.nyc3.cdn.digitaloceanspaces.com/Ukraine_Witness_Datasheet/Worksheet/wayback__DmytroKuleba_status_14971852896678174722022-02-25T19:21:19.635175.png</t>
  </si>
  <si>
    <t>Dmytro Kuleba on Twitter: "Сьогоднішні атаки РФ на дитячий садок і дитячий будинок є воєнними злочинами та порушенням Римського статуту. Разом з Офісом Генерального прокурора збираємо ці та інші матеріали, які невідкладно передамо до Гааги. Відповідальність неминуча." / Twitter</t>
  </si>
  <si>
    <t>50.0438511</t>
  </si>
  <si>
    <t>36.35590634</t>
  </si>
  <si>
    <t>https://t.me/nexta_live/17220</t>
  </si>
  <si>
    <t>CIV0027</t>
  </si>
  <si>
    <t>Residential building showing signs of explosive damage</t>
  </si>
  <si>
    <t>UW0720</t>
  </si>
  <si>
    <t>https://bellingcat-archive.nyc3.cdn.digitaloceanspaces.com/Ukraine_Witness_Datasheet/Worksheet/telegram__nexta_live_17220.html</t>
  </si>
  <si>
    <t>2022-02-25T20:14:54+00:00</t>
  </si>
  <si>
    <t>https://bellingcat-archive.nyc3.cdn.digitaloceanspaces.com/Ukraine_Witness_Datasheet/Worksheet/telegram__nexta_live_172202022-02-25T20:14:44.369401.png</t>
  </si>
  <si>
    <t>89379e8351e799b515374fdb55fb2f9fc88892dc5ff6ffcccea759bfcf4254d8</t>
  </si>
  <si>
    <t>https://t.me/Pravda_Gerashchenko/338</t>
  </si>
  <si>
    <t>UW0721</t>
  </si>
  <si>
    <t>https://bellingcat-archive.nyc3.cdn.digitaloceanspaces.com/Ukraine_Witness_Datasheet/Worksheet/telegram__Pravda_Gerashchenko_338.html</t>
  </si>
  <si>
    <t>2022-02-25T20:15:12+00:00</t>
  </si>
  <si>
    <t>https://bellingcat-archive.nyc3.cdn.digitaloceanspaces.com/Ukraine_Witness_Datasheet/Worksheet/telegram__Pravda_Gerashchenko_3382022-02-25T20:14:55.446781.png</t>
  </si>
  <si>
    <t>922f51e829c8930519e0b3611a3bab2791d8692d13eb61010f44861011bce765</t>
  </si>
  <si>
    <t>46.609028</t>
  </si>
  <si>
    <t>32.845163</t>
  </si>
  <si>
    <t>https://t.me/nexta_live/17252</t>
  </si>
  <si>
    <t>CIV0029</t>
  </si>
  <si>
    <t>People in civilian vehicle come under fire on a highway</t>
  </si>
  <si>
    <t>UW0722</t>
  </si>
  <si>
    <t>https://bellingcat-archive.nyc3.cdn.digitaloceanspaces.com/Ukraine_Witness_Datasheet/Worksheet/telegram__nexta_live_17252.html</t>
  </si>
  <si>
    <t>2022-02-25T20:15:22+00:00</t>
  </si>
  <si>
    <t>https://bellingcat-archive.nyc3.cdn.digitaloceanspaces.com/Ukraine_Witness_Datasheet/Worksheet/telegram__nexta_live_172522022-02-25T20:15:13.352609.png</t>
  </si>
  <si>
    <t>dabc97b1399cf73ac257e5a090d072ae9c9a4902f98b1b1466f7498acaba1dcd</t>
  </si>
  <si>
    <t>50.016577</t>
  </si>
  <si>
    <t>36.278364</t>
  </si>
  <si>
    <t>https://t.me/nexta_live/17278</t>
  </si>
  <si>
    <t>CIV0031</t>
  </si>
  <si>
    <t>Artillery strike on civilian area</t>
  </si>
  <si>
    <t>UW0723</t>
  </si>
  <si>
    <t>https://bellingcat-archive.nyc3.cdn.digitaloceanspaces.com/Ukraine_Witness_Datasheet/Worksheet/telegram_c9fbbbd681.mp4</t>
  </si>
  <si>
    <t>2022-02-25T19:28:01+00:00</t>
  </si>
  <si>
    <t>https://bellingcat-archive.nyc3.cdn.digitaloceanspaces.com/Ukraine_Witness_Datasheet/Worksheet/telegram__nexta_live_172782022-02-25T19:27:49.036582.png</t>
  </si>
  <si>
    <t>c20bd74e4d641247357ffdf85ace4ef50059f6d2e7d5c6992c74d0b234141af6</t>
  </si>
  <si>
    <t>https://bellingcat-archive.nyc3.cdn.digitaloceanspaces.com/Ukraine_Witness_Datasheet/Worksheet/telegram_c9fbbbd681/index.html</t>
  </si>
  <si>
    <t>2022-02-25T14:58:49+00:00</t>
  </si>
  <si>
    <t>https://twitter.com/MarQs__/status/1497238121183944707</t>
  </si>
  <si>
    <t>CIV0033</t>
  </si>
  <si>
    <t>Civilian vehicles riddled with bullets on road; one injured civilian receiving aid</t>
  </si>
  <si>
    <t>UW0724</t>
  </si>
  <si>
    <t>https://bellingcat-archive.nyc3.cdn.digitaloceanspaces.com/Ukraine_Witness_Datasheet/Worksheet/youtube_dl_1497238121183944707.mp4</t>
  </si>
  <si>
    <t>2022-02-25T19:28:20+00:00</t>
  </si>
  <si>
    <t>https://bellingcat-archive.nyc3.cdn.digitaloceanspaces.com/Ukraine_Witness_Datasheet/Worksheet/youtube_dl__MarQs___status_14972381211839447072022-02-25T19:28:06.925317.png</t>
  </si>
  <si>
    <t>https://bellingcat-archive.nyc3.cdn.digitaloceanspaces.com/Ukraine_Witness_Datasheet/Worksheet/youtube_dl_1497238121183944707/index.html</t>
  </si>
  <si>
    <t>marqs - #Kyiv, Bucha: Reports say Russian troops roaming in the streets and woods, firing on civilians</t>
  </si>
  <si>
    <t>2022-02-25T16:52:40+00:00</t>
  </si>
  <si>
    <t>50.0152</t>
  </si>
  <si>
    <t>36.152353</t>
  </si>
  <si>
    <t>https://twitter.com/bbcrussian/status/1497264217317154816</t>
  </si>
  <si>
    <t>CIV0035</t>
  </si>
  <si>
    <t>Residential building damaged by rocket motor</t>
  </si>
  <si>
    <t>UW0725</t>
  </si>
  <si>
    <t>https://bellingcat-archive.nyc3.cdn.digitaloceanspaces.com/Ukraine_Witness_Datasheet/Worksheet/youtube_dl_1497264217317154816.mp4</t>
  </si>
  <si>
    <t>2022-02-25T19:28:41+00:00</t>
  </si>
  <si>
    <t>https://bellingcat-archive.nyc3.cdn.digitaloceanspaces.com/Ukraine_Witness_Datasheet/Worksheet/youtube_dl__bbcrussian_status_14972642173171548162022-02-25T19:28:29.378300.png</t>
  </si>
  <si>
    <t>43d1deb034ed2a879a24b2bf1265fd6f158a1fb58148154a7056a60503b237ec</t>
  </si>
  <si>
    <t>https://bellingcat-archive.nyc3.cdn.digitaloceanspaces.com/Ukraine_Witness_Datasheet/Worksheet/youtube_dl_1497264217317154816/index.html</t>
  </si>
  <si>
    <t>bbcrussian - Харьков, центр города, улица Труфанова. Видео прислали Русской службе Би-би-си местные жители.</t>
  </si>
  <si>
    <t>2022-02-25T18:36:21+00:00</t>
  </si>
  <si>
    <t>https://twitter.com/noclador/status/1497270853557493772</t>
  </si>
  <si>
    <t>Residential building damaged with smoke in the frame</t>
  </si>
  <si>
    <t>UW0726</t>
  </si>
  <si>
    <t>https://bellingcat-archive.nyc3.cdn.digitaloceanspaces.com/Ukraine_Witness_Datasheet/Worksheet/youtube_dl_1497270853557493772.mp4</t>
  </si>
  <si>
    <t>2022-02-25T19:28:57+00:00</t>
  </si>
  <si>
    <t>https://bellingcat-archive.nyc3.cdn.digitaloceanspaces.com/Ukraine_Witness_Datasheet/Worksheet/youtube_dl__noclador_status_14972708535574937722022-02-25T19:28:46.076433.png</t>
  </si>
  <si>
    <t>310ee31b81ae1185dd4cd661a04502193ef6f5eebf56ca4c7c4a61e7fcbc806d</t>
  </si>
  <si>
    <t>https://bellingcat-archive.nyc3.cdn.digitaloceanspaces.com/Ukraine_Witness_Datasheet/Worksheet/youtube_dl_1497270853557493772/index.html</t>
  </si>
  <si>
    <t>Thomas C. Theiner - There were our offices.</t>
  </si>
  <si>
    <t>2022-02-25T19:02:44+00:00</t>
  </si>
  <si>
    <t>https://twitter.com/MarQs__/status/1497257979883581442?s=20&amp;t=lNnb2igcjUkgbdwLoI6rzw</t>
  </si>
  <si>
    <t>CIV0037</t>
  </si>
  <si>
    <t>1 x woman killed by artillery fire</t>
  </si>
  <si>
    <t>UW0727</t>
  </si>
  <si>
    <t>https://bellingcat-archive.nyc3.cdn.digitaloceanspaces.com/Ukraine_Witness_Datasheet/Worksheet/youtube_dl_1497257979883581442.mp4</t>
  </si>
  <si>
    <t>2022-02-25T19:29:18+00:00</t>
  </si>
  <si>
    <t>https://bellingcat-archive.nyc3.cdn.digitaloceanspaces.com/Ukraine_Witness_Datasheet/Worksheet/youtube_dl__MarQs___status_14972579798835814422022-02-25T19:29:05.685330.png</t>
  </si>
  <si>
    <t>https://bellingcat-archive.nyc3.cdn.digitaloceanspaces.com/Ukraine_Witness_Datasheet/Worksheet/youtube_dl_1497257979883581442/index.html</t>
  </si>
  <si>
    <t>marqs - Aftermath of Russian shelling in Volnovakha, one woman was killed</t>
  </si>
  <si>
    <t>2022-02-25T18:11:34+00:00</t>
  </si>
  <si>
    <t>https://twitter.com/HananyaNaftali/status/1497272827489226754</t>
  </si>
  <si>
    <t>Armoured Vehicle Runs over a car</t>
  </si>
  <si>
    <t>UW0728</t>
  </si>
  <si>
    <t>https://bellingcat-archive.nyc3.cdn.digitaloceanspaces.com/Ukraine_Witness_Datasheet/Worksheet/youtube_dl_1497272827489226754.mp4</t>
  </si>
  <si>
    <t>2022-02-25T19:29:42+00:00</t>
  </si>
  <si>
    <t>https://bellingcat-archive.nyc3.cdn.digitaloceanspaces.com/Ukraine_Witness_Datasheet/Worksheet/youtube_dl__HananyaNaftali_status_14972728274892267542022-02-25T19:29:26.487565.png</t>
  </si>
  <si>
    <t>22009393fff15f6efb7c0d5d7c1afdb21040343cffc71b4141564d7ccab4b1e2</t>
  </si>
  <si>
    <t>https://bellingcat-archive.nyc3.cdn.digitaloceanspaces.com/Ukraine_Witness_Datasheet/Worksheet/youtube_dl_1497272827489226754/index.html</t>
  </si>
  <si>
    <t>Hananya Naftali - A Russian tank runs over a driving civilian car in Ukraine.  The Russian thugs have lost touch with humanity. #UkraineRussia</t>
  </si>
  <si>
    <t>2022-02-25T19:10:34+00:00</t>
  </si>
  <si>
    <t>https://twitter.com/Archer83Able/status/1497266803214532609</t>
  </si>
  <si>
    <t>CIV0036</t>
  </si>
  <si>
    <t>Shelling of road</t>
  </si>
  <si>
    <t>https://twitter.com/AUT_INT/status/1497269433638793226</t>
  </si>
  <si>
    <t>Kharkiv oblast</t>
  </si>
  <si>
    <t>UW0729</t>
  </si>
  <si>
    <t>https://bellingcat-archive.nyc3.cdn.digitaloceanspaces.com/Ukraine_Witness_Datasheet/Worksheet/youtube_dl_1497266803214532609.mp4</t>
  </si>
  <si>
    <t>2022-02-25T19:38:20+00:00</t>
  </si>
  <si>
    <t>https://bellingcat-archive.nyc3.cdn.digitaloceanspaces.com/Ukraine_Witness_Datasheet/Worksheet/youtube_dl__Archer83Able_status_14972668032145326092022-02-25T19:38:02.776499.png</t>
  </si>
  <si>
    <t>6120c88dfd8911883751a07dabccd98934fcdd78487871ed0a82ef76e2c2da22</t>
  </si>
  <si>
    <t>https://bellingcat-archive.nyc3.cdn.digitaloceanspaces.com/Ukraine_Witness_Datasheet/Worksheet/youtube_dl_1497266803214532609/index.html</t>
  </si>
  <si>
    <t>Status-6 - MLRS barrage in Oleksiyivka neighborhood of Kharkiv at 16:40 local today.</t>
  </si>
  <si>
    <t>2022-02-25T18:46:38+00:00</t>
  </si>
  <si>
    <t>https://t.me/mariupol/3081</t>
  </si>
  <si>
    <t>Damage at site where Civilian was  killed in explosion</t>
  </si>
  <si>
    <t>https://bellingcat-archive.nyc3.cdn.digitaloceanspaces.com/Ukraine_Witness_Datasheet/Worksheet/telegram_a032e796ac.mp4</t>
  </si>
  <si>
    <t>2022-02-25T19:38:56+00:00</t>
  </si>
  <si>
    <t>https://bellingcat-archive.nyc3.cdn.digitaloceanspaces.com/Ukraine_Witness_Datasheet/Worksheet/telegram__mariupol_30812022-02-25T19:38:40.031876.png</t>
  </si>
  <si>
    <t>6ebaecc6a4fe0c7246e008bda8e959774d6acfd9b61fbe4b9af977659a66f04a</t>
  </si>
  <si>
    <t>https://bellingcat-archive.nyc3.cdn.digitaloceanspaces.com/Ukraine_Witness_Datasheet/Worksheet/telegram_a032e796ac/index.html</t>
  </si>
  <si>
    <t>2022-02-25T11:40:46+00:00</t>
  </si>
  <si>
    <t>https://twitter.com/ChetVic/status/1497149480134717451</t>
  </si>
  <si>
    <t xml:space="preserve">Russian Rocket Embedded in the Street </t>
  </si>
  <si>
    <t>Khrkiv Oblast</t>
  </si>
  <si>
    <t>Khakiv</t>
  </si>
  <si>
    <t>UW0731</t>
  </si>
  <si>
    <t>https://bellingcat-archive.nyc3.cdn.digitaloceanspaces.com/Ukraine_Witness_Datasheet/Worksheet/twitter__ChetVic_status_1497149480134717451.html</t>
  </si>
  <si>
    <t>2022-02-25T19:39:13+00:00</t>
  </si>
  <si>
    <t>https://bellingcat-archive.nyc3.cdn.digitaloceanspaces.com/Ukraine_Witness_Datasheet/Worksheet/twitter__ChetVic_status_14971494801347174512022-02-25T19:39:00.053424.png</t>
  </si>
  <si>
    <t>ac197267e97cf9e77283f63b91e0f350c8b0429361bc247edbeefa01821f1daf</t>
  </si>
  <si>
    <t>https://twitter.com/COUPSURE/status/1497282879339986946</t>
  </si>
  <si>
    <t>Large amount of helicopters</t>
  </si>
  <si>
    <t>https://twitter.com/CourtenaySargon/status/1497288100879421443</t>
  </si>
  <si>
    <t>Zvenyatskoe</t>
  </si>
  <si>
    <t>UW0732</t>
  </si>
  <si>
    <t>https://bellingcat-archive.nyc3.cdn.digitaloceanspaces.com/Ukraine_Witness_Datasheet/Worksheet/twitter__COUPSURE_status_1497282879339986946.html</t>
  </si>
  <si>
    <t>2022-02-25T19:39:29+00:00</t>
  </si>
  <si>
    <t>https://bellingcat-archive.nyc3.cdn.digitaloceanspaces.com/Ukraine_Witness_Datasheet/Worksheet/twitter__COUPSURE_status_14972828793399869462022-02-25T19:39:18.831456.png</t>
  </si>
  <si>
    <t>21d9126cf642ad1602e22fbeedfb1044edb4f19a26c8d90024b523725a1de1fc</t>
  </si>
  <si>
    <t>https://twitter.com/RomanVMoroz/status/1497243456871227397/photo/3</t>
  </si>
  <si>
    <t>Tank and another vehicle destroyed</t>
  </si>
  <si>
    <t>T -63 and fuel tank</t>
  </si>
  <si>
    <t>UW0733</t>
  </si>
  <si>
    <t>https://bellingcat-archive.nyc3.cdn.digitaloceanspaces.com/Ukraine_Witness_Datasheet/Worksheet/twitter__RomanVMoroz_status_1497243456871227397_photo_3.html</t>
  </si>
  <si>
    <t>2022-02-25T19:39:44+00:00</t>
  </si>
  <si>
    <t>https://bellingcat-archive.nyc3.cdn.digitaloceanspaces.com/Ukraine_Witness_Datasheet/Worksheet/twitter__RomanVMoroz_status_1497243456871227397_photo_32022-02-25T19:39:35.432525.png</t>
  </si>
  <si>
    <t>f52ecfa9d173ec98bfe89e6f4109fe5d43618ad05ded2c9a4bd30d9b939ff90e</t>
  </si>
  <si>
    <t>https://twitter.com/andreymuz/status/1497266735984037890</t>
  </si>
  <si>
    <t>vehicles destroyed and corpses</t>
  </si>
  <si>
    <t>Irpin</t>
  </si>
  <si>
    <t>UW0734</t>
  </si>
  <si>
    <t>https://bellingcat-archive.nyc3.cdn.digitaloceanspaces.com/Ukraine_Witness_Datasheet/Worksheet/youtube_dl_1497266735984037890.mp4</t>
  </si>
  <si>
    <t>2022-02-25T21:26:14+00:00</t>
  </si>
  <si>
    <t>https://bellingcat-archive.nyc3.cdn.digitaloceanspaces.com/Ukraine_Witness_Datasheet/Worksheet/youtube_dl__andreymuz_status_14972667359840378902022-02-25T21:25:54.889128.png</t>
  </si>
  <si>
    <t>828bfe0f385a0dd5a88f44946c5b905e933aedfeac68b7c16b48e57aa7d9ae31</t>
  </si>
  <si>
    <t>https://bellingcat-archive.nyc3.cdn.digitaloceanspaces.com/Ukraine_Witness_Datasheet/Worksheet/youtube_dl_1497266735984037890/index.html</t>
  </si>
  <si>
    <t>AndreyUA - +18!!! RUSSIANS NEAR IRPIN</t>
  </si>
  <si>
    <t>2022-02-25T18:46:22+00:00</t>
  </si>
  <si>
    <t>https://t.me/faceofwar/15865</t>
  </si>
  <si>
    <t>Rosgvardiya convoy with avtozaks</t>
  </si>
  <si>
    <t>UW0737</t>
  </si>
  <si>
    <t>https://bellingcat-archive.nyc3.cdn.digitaloceanspaces.com/Ukraine_Witness_Datasheet/Worksheet/telegram_2a070ae19b.mp4</t>
  </si>
  <si>
    <t>2022-02-25T21:26:35+00:00</t>
  </si>
  <si>
    <t>https://bellingcat-archive.nyc3.cdn.digitaloceanspaces.com/Ukraine_Witness_Datasheet/Worksheet/telegram__faceofwar_158652022-02-25T21:26:14.725569.png</t>
  </si>
  <si>
    <t>afafcae3c624d2a6eaf2a09cd164dbb4a8945f8803d8ccb747163e3c940c134b</t>
  </si>
  <si>
    <t>https://bellingcat-archive.nyc3.cdn.digitaloceanspaces.com/Ukraine_Witness_Datasheet/Worksheet/telegram_2a070ae19b/index.html</t>
  </si>
  <si>
    <t>2022-02-25T08:19:01+00:00</t>
  </si>
  <si>
    <t>https://twitter.com/AnatolGordienko/status/1497260854349283333</t>
  </si>
  <si>
    <t>Su type fighter plane on fire with debis around it</t>
  </si>
  <si>
    <t>UW0738</t>
  </si>
  <si>
    <t>Russian Military Losses</t>
  </si>
  <si>
    <t>https://bellingcat-archive.nyc3.cdn.digitaloceanspaces.com/Ukraine_Witness_Datasheet/Worksheet/twitter__AnatolGordienko_status_1497260854349283333.html</t>
  </si>
  <si>
    <t>2022-02-26T07:15:13+00:00</t>
  </si>
  <si>
    <t>https://bellingcat-archive.nyc3.cdn.digitaloceanspaces.com/Ukraine_Witness_Datasheet/Worksheet/twitter__AnatolGordienko_status_14972608543492833332022-02-26T07:14:52.276538.png</t>
  </si>
  <si>
    <t>9f501a6e4d372c24d216f43b110ae5f227f4ab35d81ea7109088465c03550f23</t>
  </si>
  <si>
    <t>https://twitter.com/ua_intelligence/status/1497206869986787330</t>
  </si>
  <si>
    <t>MILLENNIAL SPIRIT Chemical Tanker, IMO 7392610 on fire</t>
  </si>
  <si>
    <t>https://www.marinetraffic.com/en/ais/home/shipid:284968/zoom:10</t>
  </si>
  <si>
    <t xml:space="preserve">Odessa </t>
  </si>
  <si>
    <t>UW0739</t>
  </si>
  <si>
    <t>https://bellingcat-archive.nyc3.cdn.digitaloceanspaces.com/Ukraine_Witness_Datasheet/Worksheet/youtube_dl_1497206869986787330.mp4</t>
  </si>
  <si>
    <t>2022-02-26T07:15:52+00:00</t>
  </si>
  <si>
    <t>https://bellingcat-archive.nyc3.cdn.digitaloceanspaces.com/Ukraine_Witness_Datasheet/Worksheet/youtube_dl__ua_intelligence_status_14972068699867873302022-02-26T07:15:36.664376.png</t>
  </si>
  <si>
    <t>c937a99fab3ab6b8801b48c41e5c4e08552b40889cfe9254f0279ce9ec1234f0</t>
  </si>
  <si>
    <t>https://bellingcat-archive.nyc3.cdn.digitaloceanspaces.com/Ukraine_Witness_Datasheet/Worksheet/youtube_dl_1497206869986787330/index.html</t>
  </si>
  <si>
    <t>OSINT Academy - Civil bunkerer ship MILLENNIAL SPIRIT Chemical Tanker, IMO 7392610 was reportedly hit by Russian missile when standing in 12+ miles from Odessa port.  This is violation of international law</t>
  </si>
  <si>
    <t>2022-02-25T14:48:29+00:00</t>
  </si>
  <si>
    <t>https://twitter.com/UAWeapons/status/1497235213713395723?s=20&amp;t=yu7tuGrNgoDZkuWlYF4apw</t>
  </si>
  <si>
    <t>https://twitter.com/azyakancokkacan/status/1497319130931814403?s=20&amp;t=g4jIqyvuALeSk_Qc-kYXbw</t>
  </si>
  <si>
    <t>UW0740</t>
  </si>
  <si>
    <t>https://bellingcat-archive.nyc3.cdn.digitaloceanspaces.com/Ukraine_Witness_Datasheet/Worksheet/youtube_dl_1497235213713395723.mp4</t>
  </si>
  <si>
    <t>2022-02-26T07:17:09+00:00</t>
  </si>
  <si>
    <t>https://bellingcat-archive.nyc3.cdn.digitaloceanspaces.com/Ukraine_Witness_Datasheet/Worksheet/youtube_dl__UAWeapons_status_14972352137133957232022-02-26T07:16:43.245848.png</t>
  </si>
  <si>
    <t>b0dadcf10a3cd13c607abfca1318aa9ac6dc2dfbf35aec024cba17a67dd56502</t>
  </si>
  <si>
    <t>https://bellingcat-archive.nyc3.cdn.digitaloceanspaces.com/Ukraine_Witness_Datasheet/Worksheet/youtube_dl_1497235213713395723/index.html</t>
  </si>
  <si>
    <t>🇺🇦 Ukraine Weapons Tracker - #Ukraine: A recent video showing a Russian 2K22M1 Tunguska-M1, abandoned near #Kharkiv outskirts. Based on the absence of any serious damage, seems the vehicle was left due to issues with its engine.</t>
  </si>
  <si>
    <t>2022-02-25T16:41:06+00:00</t>
  </si>
  <si>
    <t>https://twitter.com/BreakingNews_n/status/1497307206374633472</t>
  </si>
  <si>
    <t>Explosion in the direction of airport</t>
  </si>
  <si>
    <t>UW0741</t>
  </si>
  <si>
    <t>https://bellingcat-archive.nyc3.cdn.digitaloceanspaces.com/Ukraine_Witness_Datasheet/Worksheet/youtube_dl_1497307206374633472.mp4</t>
  </si>
  <si>
    <t>2022-02-26T07:17:25+00:00</t>
  </si>
  <si>
    <t>https://bellingcat-archive.nyc3.cdn.digitaloceanspaces.com/Ukraine_Witness_Datasheet/Worksheet/youtube_dl__BreakingNews_n_status_14973072063746334722022-02-26T07:17:14.219517.png</t>
  </si>
  <si>
    <t>b457ca3ce8421e5636351912de42d377cb10222accd44c205c9470e50a4c44f8</t>
  </si>
  <si>
    <t>https://bellingcat-archive.nyc3.cdn.digitaloceanspaces.com/Ukraine_Witness_Datasheet/Worksheet/youtube_dl_1497307206374633472/index.html</t>
  </si>
  <si>
    <t>Breaking News Now - #BREAKING 🇺🇦⚡️🇷🇺 Airstrikes in Mykolaiv #Ukraine</t>
  </si>
  <si>
    <t>2022-02-25T21:27:11+00:00</t>
  </si>
  <si>
    <t>https://twitter.com/GirkinGirkin/status/1496838814324641792?s=20&amp;t=g4jIqyvuALeSk_Qc-kYXbw</t>
  </si>
  <si>
    <t>https://twitter.com/azyakancokkacan/status/1496862156708618249?s=20&amp;t=g4jIqyvuALeSk_Qc-kYXbw</t>
  </si>
  <si>
    <t>Boryspil's'kyi district, Kyiv Oblast, Ukraine</t>
  </si>
  <si>
    <t>UW0742</t>
  </si>
  <si>
    <t>2022-02-26T07:17:49+00:00</t>
  </si>
  <si>
    <t>https://bellingcat-archive.nyc3.cdn.digitaloceanspaces.com/Ukraine_Witness_Datasheet/Worksheet/youtube_dl__GirkinGirkin_status_14968388143246417922022-02-26T07:17:29.966078.png</t>
  </si>
  <si>
    <t>https://twitter.com/UAWeapons/status/1497235213713395723</t>
  </si>
  <si>
    <t>damaged russian military equipment</t>
  </si>
  <si>
    <t>https://twitter.com/azyakancokkacan/status/1497319130931814403</t>
  </si>
  <si>
    <t>UW0743</t>
  </si>
  <si>
    <t>2022-02-26T07:18:15+00:00</t>
  </si>
  <si>
    <t>https://bellingcat-archive.nyc3.cdn.digitaloceanspaces.com/Ukraine_Witness_Datasheet/Worksheet/youtube_dl__UAWeapons_status_14972352137133957232022-02-26T07:17:55.252885.png</t>
  </si>
  <si>
    <t>https://twitter.com/RALee85/status/1497344674092179459</t>
  </si>
  <si>
    <t>UW0744</t>
  </si>
  <si>
    <t>https://bellingcat-archive.nyc3.cdn.digitaloceanspaces.com/Ukraine_Witness_Datasheet/Worksheet/youtube_dl_1497344674092179459.mp4</t>
  </si>
  <si>
    <t>2022-02-26T07:18:35+00:00</t>
  </si>
  <si>
    <t>https://bellingcat-archive.nyc3.cdn.digitaloceanspaces.com/Ukraine_Witness_Datasheet/Worksheet/youtube_dl__RALee85_status_14973446740921794592022-02-26T07:18:20.205242.png</t>
  </si>
  <si>
    <t>81c847b955a2a59d04da4182c1448e83a86e244c27cda234d0a75002ab24bf57</t>
  </si>
  <si>
    <t>https://bellingcat-archive.nyc3.cdn.digitaloceanspaces.com/Ukraine_Witness_Datasheet/Worksheet/youtube_dl_1497344674092179459/index.html</t>
  </si>
  <si>
    <t>Rob Lee - Ukrainian forces have reportedly detained Russian saboteurs in the Troieschyna district of NE Kyiv.</t>
  </si>
  <si>
    <t>2022-02-25T23:56:04+00:00</t>
  </si>
  <si>
    <t>https://twitter.com/olex_scherba/status/1497116815830380545</t>
  </si>
  <si>
    <t>Wreckage of Russian Su-27 fighter jet</t>
  </si>
  <si>
    <t>UW0745</t>
  </si>
  <si>
    <t>https://bellingcat-archive.nyc3.cdn.digitaloceanspaces.com/Ukraine_Witness_Datasheet/Worksheet/twitter__olex_scherba_status_1497116815830380545.html</t>
  </si>
  <si>
    <t>2022-02-26T07:19:09+00:00</t>
  </si>
  <si>
    <t>https://bellingcat-archive.nyc3.cdn.digitaloceanspaces.com/Ukraine_Witness_Datasheet/Worksheet/twitter__olex_scherba_status_14971168158303805452022-02-26T07:18:47.207644.png</t>
  </si>
  <si>
    <t>41f4ed5423b27f97836dfa47a2a2130d6f64a31185c05de89a2084c89d2ad049</t>
  </si>
  <si>
    <t>https://twitter.com/IAPonomarenko/status/1497381890386497543</t>
  </si>
  <si>
    <t>UW0746</t>
  </si>
  <si>
    <t>https://bellingcat-archive.nyc3.cdn.digitaloceanspaces.com/Ukraine_Witness_Datasheet/Worksheet/youtube_dl_1497381890386497543.mp4</t>
  </si>
  <si>
    <t>2022-02-26T07:19:47+00:00</t>
  </si>
  <si>
    <t>https://bellingcat-archive.nyc3.cdn.digitaloceanspaces.com/Ukraine_Witness_Datasheet/Worksheet/youtube_dl__IAPonomarenko_status_14973818903864975432022-02-26T07:19:32.909677.png</t>
  </si>
  <si>
    <t>e04d1b9a960f7632590b864ef9ae4a2be05740d3543ae9e6c8485230b11c86d2</t>
  </si>
  <si>
    <t>https://bellingcat-archive.nyc3.cdn.digitaloceanspaces.com/Ukraine_Witness_Datasheet/Worksheet/youtube_dl_1497381890386497543/index.html</t>
  </si>
  <si>
    <t>Illia Ponomarenko - Extremely hard combat near the Kyiv Zoo now</t>
  </si>
  <si>
    <t>2022-02-26T02:23:57+00:00</t>
  </si>
  <si>
    <t>https://twitter.com/RALee85/status/1497382855248429065</t>
  </si>
  <si>
    <t>UW0747</t>
  </si>
  <si>
    <t>https://bellingcat-archive.nyc3.cdn.digitaloceanspaces.com/Ukraine_Witness_Datasheet/Worksheet/youtube_dl_1497382855248429065.mp4</t>
  </si>
  <si>
    <t>2022-02-26T07:20:05+00:00</t>
  </si>
  <si>
    <t>https://bellingcat-archive.nyc3.cdn.digitaloceanspaces.com/Ukraine_Witness_Datasheet/Worksheet/youtube_dl__RALee85_status_14973828552484290652022-02-26T07:19:52.818246.png</t>
  </si>
  <si>
    <t>49e67731112977e567618c8f2e368b84ea9d7733982334057ab2822c5a23bb94</t>
  </si>
  <si>
    <t>https://bellingcat-archive.nyc3.cdn.digitaloceanspaces.com/Ukraine_Witness_Datasheet/Worksheet/youtube_dl_1497382855248429065/index.html</t>
  </si>
  <si>
    <t>Rob Lee - Another video likely from the Shuliavka region of Kyiv.</t>
  </si>
  <si>
    <t>2022-02-26T02:27:47+00:00</t>
  </si>
  <si>
    <t>https://twitter.com/RALee85/status/1497384275561308168</t>
  </si>
  <si>
    <t>UW0748</t>
  </si>
  <si>
    <t>https://bellingcat-archive.nyc3.cdn.digitaloceanspaces.com/Ukraine_Witness_Datasheet/Worksheet/youtube_dl_1497384275561308168.mp4</t>
  </si>
  <si>
    <t>2022-02-26T07:20:31+00:00</t>
  </si>
  <si>
    <t>https://bellingcat-archive.nyc3.cdn.digitaloceanspaces.com/Ukraine_Witness_Datasheet/Worksheet/youtube_dl__RALee85_status_14973842755613081682022-02-26T07:20:13.089279.png</t>
  </si>
  <si>
    <t>e20de242ee65b0959410a1e9740b716d0a656bc5f795bfa51675ca6f06239594</t>
  </si>
  <si>
    <t>https://bellingcat-archive.nyc3.cdn.digitaloceanspaces.com/Ukraine_Witness_Datasheet/Worksheet/youtube_dl_1497384275561308168/index.html</t>
  </si>
  <si>
    <t>Rob Lee - Video of fighting reportedly near the Berestreiska metro station in western Kyiv.</t>
  </si>
  <si>
    <t>2022-02-26T02:33:26+00:00</t>
  </si>
  <si>
    <t>https://twitter.com/prm_ua/status/1497384918053236740</t>
  </si>
  <si>
    <t>UW0749</t>
  </si>
  <si>
    <t>https://bellingcat-archive.nyc3.cdn.digitaloceanspaces.com/Ukraine_Witness_Datasheet/Worksheet/youtube_dl_1497384918053236740.mp4</t>
  </si>
  <si>
    <t>2022-02-26T07:20:59+00:00</t>
  </si>
  <si>
    <t>https://bellingcat-archive.nyc3.cdn.digitaloceanspaces.com/Ukraine_Witness_Datasheet/Worksheet/youtube_dl__prm_ua_status_14973849180532367402022-02-26T07:20:36.594598.png</t>
  </si>
  <si>
    <t>73b648d551d7514e89b36cb16bf644de34e8214f2b296179c022f0cee1dabd34</t>
  </si>
  <si>
    <t>https://bellingcat-archive.nyc3.cdn.digitaloceanspaces.com/Ukraine_Witness_Datasheet/Worksheet/youtube_dl_1497384918053236740/index.html</t>
  </si>
  <si>
    <t>Телеканал "Прямий" - Проспект Перемоги у Києві🎥</t>
  </si>
  <si>
    <t>2022-02-26T02:35:59+00:00</t>
  </si>
  <si>
    <t>26/02/2022</t>
  </si>
  <si>
    <t>https://twitter.com/ELINTNews/status/1497458588213784576</t>
  </si>
  <si>
    <t>aftermath of missile hit on residential building</t>
  </si>
  <si>
    <t>UW0750</t>
  </si>
  <si>
    <t>https://bellingcat-archive.nyc3.cdn.digitaloceanspaces.com/Ukraine_Witness_Datasheet/Worksheet/twitter__ELINTNews_status_1497458588213784576.html</t>
  </si>
  <si>
    <t>2022-02-26T07:46:46+00:00</t>
  </si>
  <si>
    <t>https://bellingcat-archive.nyc3.cdn.digitaloceanspaces.com/Ukraine_Witness_Datasheet/Worksheet/twitter__ELINTNews_status_14974585882137845762022-02-26T07:46:29.456550.png</t>
  </si>
  <si>
    <t>6ad538d0e652ab1c43b3ab6c7269017a1da443ad8ab1a76a84ba7f200e549dd2</t>
  </si>
  <si>
    <t>https://twitter.com/GirkinGirkin/status/1497427184729923584</t>
  </si>
  <si>
    <t>Russians entering city center</t>
  </si>
  <si>
    <t>UW0751</t>
  </si>
  <si>
    <t>https://bellingcat-archive.nyc3.cdn.digitaloceanspaces.com/Ukraine_Witness_Datasheet/Worksheet/youtube_dl_1497427184729923584.mp4</t>
  </si>
  <si>
    <t>2022-02-26T07:47:10+00:00</t>
  </si>
  <si>
    <t>https://bellingcat-archive.nyc3.cdn.digitaloceanspaces.com/Ukraine_Witness_Datasheet/Worksheet/youtube_dl__GirkinGirkin_status_14974271847299235842022-02-26T07:46:53.894346.png</t>
  </si>
  <si>
    <t>12fd1f76de3a3761127f33b1397ae9ff42963da7faaef29ff00536c2bf86f7b1</t>
  </si>
  <si>
    <t>https://bellingcat-archive.nyc3.cdn.digitaloceanspaces.com/Ukraine_Witness_Datasheet/Worksheet/youtube_dl_1497427184729923584/index.html</t>
  </si>
  <si>
    <t>IgorGirkin - Мелитополь</t>
  </si>
  <si>
    <t>2022-02-26T05:23:56+00:00</t>
  </si>
  <si>
    <t>https://twitter.com/RALee85/status/1497379389041958913</t>
  </si>
  <si>
    <t xml:space="preserve"> Russian helicopter engaging BUK</t>
  </si>
  <si>
    <t>Yahotyns'kyi</t>
  </si>
  <si>
    <t>Bohdanivka</t>
  </si>
  <si>
    <t>UW0752</t>
  </si>
  <si>
    <t>Ukrainian Military Losses</t>
  </si>
  <si>
    <t>https://bellingcat-archive.nyc3.cdn.digitaloceanspaces.com/Ukraine_Witness_Datasheet/Worksheet/youtube_dl_1497379389041958913.mp4</t>
  </si>
  <si>
    <t>2022-02-26T09:55:18+00:00</t>
  </si>
  <si>
    <t>https://bellingcat-archive.nyc3.cdn.digitaloceanspaces.com/Ukraine_Witness_Datasheet/Worksheet/youtube_dl__RALee85_status_14973793890419589132022-02-26T09:54:59.760344.png</t>
  </si>
  <si>
    <t>5e24ef9f197740ccf7cb3a43348ae9f8c6adfcea0cd449f451b92620d5df23ec</t>
  </si>
  <si>
    <t>https://bellingcat-archive.nyc3.cdn.digitaloceanspaces.com/Ukraine_Witness_Datasheet/Worksheet/youtube_dl_1497379389041958913/index.html</t>
  </si>
  <si>
    <t>Rob Lee - A Russian Mi-24 attack helicopter destroyed the Ukrainian Buk-M1 9A310M1 TELAR earlier today with rockets.</t>
  </si>
  <si>
    <t>2022-02-26T02:14:00+00:00</t>
  </si>
  <si>
    <t>https://twitter.com/MarQs__/status/1497510588498395137</t>
  </si>
  <si>
    <t>Destroyed Military equipment</t>
  </si>
  <si>
    <t>UW0753</t>
  </si>
  <si>
    <t>https://bellingcat-archive.nyc3.cdn.digitaloceanspaces.com/Ukraine_Witness_Datasheet/Worksheet/youtube_dl_1497510588498395137.mp4</t>
  </si>
  <si>
    <t>2022-02-26T09:57:54+00:00</t>
  </si>
  <si>
    <t>https://bellingcat-archive.nyc3.cdn.digitaloceanspaces.com/Ukraine_Witness_Datasheet/Worksheet/youtube_dl__MarQs___status_14975105884983951372022-02-26T09:57:37.954773.png</t>
  </si>
  <si>
    <t>da354385f995a134d9e206a24907d23e622406271ca5ad8b8efd606b22d91189</t>
  </si>
  <si>
    <t>https://bellingcat-archive.nyc3.cdn.digitaloceanspaces.com/Ukraine_Witness_Datasheet/Worksheet/youtube_dl_1497510588498395137/index.html</t>
  </si>
  <si>
    <t>marqs - Destroyed Russian equipment in Oleshki, #Kherson</t>
  </si>
  <si>
    <t>2022-02-26T10:55:21+00:00</t>
  </si>
  <si>
    <t>https://twitter.com/RALee85/status/1497437744125128709?s=20&amp;t=LygYWDfjzSKMDUJ35qzwtA</t>
  </si>
  <si>
    <t xml:space="preserve">MLRS strikes in Kharkiv </t>
  </si>
  <si>
    <t>https://twitter.com/Michael1Sheldon/status/1497506836995612673?s=20&amp;t=LygYWDfjzSKMDUJ35qzwtA</t>
  </si>
  <si>
    <t>UW0754</t>
  </si>
  <si>
    <t>https://bellingcat-archive.nyc3.cdn.digitaloceanspaces.com/Ukraine_Witness_Datasheet/Worksheet/youtube_dl_1497437744125128709.mp4</t>
  </si>
  <si>
    <t>2022-02-26T10:03:54+00:00</t>
  </si>
  <si>
    <t>https://bellingcat-archive.nyc3.cdn.digitaloceanspaces.com/Ukraine_Witness_Datasheet/Worksheet/youtube_dl__RALee85_status_14974377441251287092022-02-26T10:03:36.397076.png</t>
  </si>
  <si>
    <t>9ebfd66619652ce32e6d0a03bd856fe301cc298380bc4aed565589624f3013b2</t>
  </si>
  <si>
    <t>https://bellingcat-archive.nyc3.cdn.digitaloceanspaces.com/Ukraine_Witness_Datasheet/Worksheet/youtube_dl_1497437744125128709/index.html</t>
  </si>
  <si>
    <t>Rob Lee - Reportedly video of MLRS strikes in Kharkiv from earlier today.</t>
  </si>
  <si>
    <t>2022-02-26T06:05:53+00:00</t>
  </si>
  <si>
    <t>https://twitter.com/CITeam_en/status/1497484254137225216</t>
  </si>
  <si>
    <t>A civilian building hit by Russian missile Kyiv</t>
  </si>
  <si>
    <t>UW0755</t>
  </si>
  <si>
    <t>https://bellingcat-archive.nyc3.cdn.digitaloceanspaces.com/Ukraine_Witness_Datasheet/Worksheet/youtube_dl_1497484254137225216.mp4</t>
  </si>
  <si>
    <t>2022-02-26T10:06:29+00:00</t>
  </si>
  <si>
    <t>https://bellingcat-archive.nyc3.cdn.digitaloceanspaces.com/Ukraine_Witness_Datasheet/Worksheet/youtube_dl__CITeam_en_status_14974842541372252162022-02-26T10:06:13.386837.png</t>
  </si>
  <si>
    <t>85660b7ec71a8f076613e294c1bf9b7b0c3ef03be94812a69cfc4d4a950146ae</t>
  </si>
  <si>
    <t>https://bellingcat-archive.nyc3.cdn.digitaloceanspaces.com/Ukraine_Witness_Datasheet/Worksheet/youtube_dl_1497484254137225216/index.html</t>
  </si>
  <si>
    <t>CIT (en) - The impact video shows the rocket munition coming from the northwest, probably intended to hit the Zhulyany airport to the south</t>
  </si>
  <si>
    <t>2022-02-26T09:10:42+00:00</t>
  </si>
  <si>
    <t>https://twitter.com/MarQs__/status/1497504221742125056</t>
  </si>
  <si>
    <t>Damaged Civilian buildings in Volnovakha</t>
  </si>
  <si>
    <t>UW0756</t>
  </si>
  <si>
    <t>https://bellingcat-archive.nyc3.cdn.digitaloceanspaces.com/Ukraine_Witness_Datasheet/Worksheet/youtube_dl_1497504221742125056.mp4</t>
  </si>
  <si>
    <t>2022-02-26T10:09:15+00:00</t>
  </si>
  <si>
    <t>https://bellingcat-archive.nyc3.cdn.digitaloceanspaces.com/Ukraine_Witness_Datasheet/Worksheet/youtube_dl__MarQs___status_14975042217421250562022-02-26T10:08:55.944143.png</t>
  </si>
  <si>
    <t>45b757f5698eda7a1525b5919a3f071790460bd475b9b0674eae408f759c09d3</t>
  </si>
  <si>
    <t>https://bellingcat-archive.nyc3.cdn.digitaloceanspaces.com/Ukraine_Witness_Datasheet/Worksheet/youtube_dl_1497504221742125056/index.html</t>
  </si>
  <si>
    <t>marqs - Damage to civilian infrastructure in Volnovakha after Russian attacks on the city</t>
  </si>
  <si>
    <t>2022-02-26T10:30:03+00:00</t>
  </si>
  <si>
    <t>https://twitter.com/RALee85/status/1497503135098675201</t>
  </si>
  <si>
    <t xml:space="preserve">Destroyed Russian military equipment </t>
  </si>
  <si>
    <t>UW0757</t>
  </si>
  <si>
    <t>https://bellingcat-archive.nyc3.cdn.digitaloceanspaces.com/Ukraine_Witness_Datasheet/Worksheet/youtube_dl_1497503135098675201.mp4</t>
  </si>
  <si>
    <t>2022-02-26T10:11:55+00:00</t>
  </si>
  <si>
    <t>https://bellingcat-archive.nyc3.cdn.digitaloceanspaces.com/Ukraine_Witness_Datasheet/Worksheet/youtube_dl__RALee85_status_14975031350986752012022-02-26T10:11:37.351897.png</t>
  </si>
  <si>
    <t>4aac3d15f57db7393aef7844f68ad5ac640f61de84d55cbbacca0fb439f21a11</t>
  </si>
  <si>
    <t>https://bellingcat-archive.nyc3.cdn.digitaloceanspaces.com/Ukraine_Witness_Datasheet/Worksheet/youtube_dl_1497503135098675201/index.html</t>
  </si>
  <si>
    <t>Rob Lee - Russian military engineer column that was destroyed and abandoned reportedly in Kherson, including TMM-3M2 bridges, fuel trucks, and excavators.</t>
  </si>
  <si>
    <t>2022-02-26T10:25:44+00:00</t>
  </si>
  <si>
    <t>BCR</t>
  </si>
  <si>
    <t>https://twitter.com/MarQs__/status/1497502573510766595</t>
  </si>
  <si>
    <t>Reportedly Russian troops in the Police station of Melitopol</t>
  </si>
  <si>
    <t>UW0758</t>
  </si>
  <si>
    <t>https://bellingcat-archive.nyc3.cdn.digitaloceanspaces.com/Ukraine_Witness_Datasheet/Worksheet/youtube_dl_1497502573510766595.mp4</t>
  </si>
  <si>
    <t>2022-02-26T10:13:30+00:00</t>
  </si>
  <si>
    <t>https://bellingcat-archive.nyc3.cdn.digitaloceanspaces.com/Ukraine_Witness_Datasheet/Worksheet/youtube_dl__MarQs___status_14975025735107665952022-02-26T10:13:08.059638.png</t>
  </si>
  <si>
    <t>57f44d21b6346fc997a50c4a04469432093fb7fe7f07f6dfc034f75a39534b06</t>
  </si>
  <si>
    <t>https://bellingcat-archive.nyc3.cdn.digitaloceanspaces.com/Ukraine_Witness_Datasheet/Worksheet/youtube_dl_1497502573510766595/index.html</t>
  </si>
  <si>
    <t>marqs - Reportedly Russian troops at the police station in Melitopol</t>
  </si>
  <si>
    <t>2022-02-26T10:23:30+00:00</t>
  </si>
  <si>
    <t>https://twitter.com/MarQs__/status/1497523845288402949</t>
  </si>
  <si>
    <t>Russian BMP-3 IFV and T-72B3 tank with a roof screen in Melitopol.</t>
  </si>
  <si>
    <t>UW0759</t>
  </si>
  <si>
    <t>https://bellingcat-archive.nyc3.cdn.digitaloceanspaces.com/Ukraine_Witness_Datasheet/Worksheet/youtube_dl_1497523845288402949.mp4</t>
  </si>
  <si>
    <t>2022-02-26T10:53:12+00:00</t>
  </si>
  <si>
    <t>https://bellingcat-archive.nyc3.cdn.digitaloceanspaces.com/Ukraine_Witness_Datasheet/Worksheet/youtube_dl__MarQs___status_14975238452884029492022-02-26T10:52:56.534993.png</t>
  </si>
  <si>
    <t>5580c4d90067eefe00dd7a8eff9c5c539a9ab2f4732d547c0f87db24c5d9e6fa</t>
  </si>
  <si>
    <t>https://bellingcat-archive.nyc3.cdn.digitaloceanspaces.com/Ukraine_Witness_Datasheet/Worksheet/youtube_dl_1497523845288402949/index.html</t>
  </si>
  <si>
    <t>marqs - Russian forces in Melitopol</t>
  </si>
  <si>
    <t>2022-02-26T11:48:02+00:00</t>
  </si>
  <si>
    <t>https://twitter.com/UAWeapons/status/1497232990728069134</t>
  </si>
  <si>
    <t>Ukrainian miliary equipment destroyed</t>
  </si>
  <si>
    <t>https://twitter.com/il_kanguru/status/1497273256876859398</t>
  </si>
  <si>
    <t>Poima</t>
  </si>
  <si>
    <t>UW0760</t>
  </si>
  <si>
    <t>https://bellingcat-archive.nyc3.cdn.digitaloceanspaces.com/Ukraine_Witness_Datasheet/Worksheet/youtube_dl_1497232990728069134.mp4</t>
  </si>
  <si>
    <t>2022-02-26T11:00:49+00:00</t>
  </si>
  <si>
    <t>https://bellingcat-archive.nyc3.cdn.digitaloceanspaces.com/Ukraine_Witness_Datasheet/Worksheet/youtube_dl__UAWeapons_status_14972329907280691342022-02-26T11:00:22.756238.png</t>
  </si>
  <si>
    <t>227cab46c2b4a95688b4572381f8e6aa61a8cc9b72d809538e389652a181028b</t>
  </si>
  <si>
    <t>https://bellingcat-archive.nyc3.cdn.digitaloceanspaces.com/Ukraine_Witness_Datasheet/Worksheet/youtube_dl_1497232990728069134/index.html</t>
  </si>
  <si>
    <t>🇺🇦 Ukraine Weapons Tracker - #Ukraine : A very large convoy of various Ukrainian army vehicles destroyed and abandoned 5 kilometers away from Oleshky, #Kherson. The convoy mostly consists of supply trucks, however few tanks, BRDM-2 and even 9K33 Osa SAM systems are also seen. [Part 1]</t>
  </si>
  <si>
    <t>2022-02-25T16:32:16+00:00</t>
  </si>
  <si>
    <t>https://twitter.com/UAWeapons/status/1497233053608988679</t>
  </si>
  <si>
    <t>UW0761</t>
  </si>
  <si>
    <t>https://bellingcat-archive.nyc3.cdn.digitaloceanspaces.com/Ukraine_Witness_Datasheet/Worksheet/youtube_dl_1497233053608988679.mp4</t>
  </si>
  <si>
    <t>2022-02-26T11:01:13+00:00</t>
  </si>
  <si>
    <t>https://bellingcat-archive.nyc3.cdn.digitaloceanspaces.com/Ukraine_Witness_Datasheet/Worksheet/youtube_dl__UAWeapons_status_14972330536089886792022-02-26T11:00:58.508212.png</t>
  </si>
  <si>
    <t>2b36d33e367a43a3c24560432e2585dcd7f58d882a38f8f991021552266c4717</t>
  </si>
  <si>
    <t>https://bellingcat-archive.nyc3.cdn.digitaloceanspaces.com/Ukraine_Witness_Datasheet/Worksheet/youtube_dl_1497233053608988679/index.html</t>
  </si>
  <si>
    <t>🇺🇦 Ukraine Weapons Tracker - [Part 2]</t>
  </si>
  <si>
    <t>2022-02-25T16:32:31+00:00</t>
  </si>
  <si>
    <t>https://twitter.com/GirkinGirkin/status/1497583185776971779</t>
  </si>
  <si>
    <t>Russian military equipment getting hit by a molotov</t>
  </si>
  <si>
    <t>UW0762</t>
  </si>
  <si>
    <t>https://bellingcat-archive.nyc3.cdn.digitaloceanspaces.com/Ukraine_Witness_Datasheet/Worksheet/twitter__JulianRoepcke_status_1497525066795421698.html</t>
  </si>
  <si>
    <t>2022-02-26T14:43:22+00:00</t>
  </si>
  <si>
    <t>https://bellingcat-archive.nyc3.cdn.digitaloceanspaces.com/Ukraine_Witness_Datasheet/Worksheet/twitter__JulianRoepcke_status_14975250667954216982022-02-26T14:43:08.826372.png</t>
  </si>
  <si>
    <t>c88f70d9128a2cd1d6c46322f16090033dd263e9ae937cee204c432da48363c8</t>
  </si>
  <si>
    <t>https://twitter.com/RALee85/status/1497437744125128709</t>
  </si>
  <si>
    <t>MLRS strikes in Kharkiv</t>
  </si>
  <si>
    <t>https://twitter.com/Michael1Sheldon/status/1497506836995612673</t>
  </si>
  <si>
    <t>UW0763</t>
  </si>
  <si>
    <t>2022-02-26T15:37:50+00:00</t>
  </si>
  <si>
    <t>https://bellingcat-archive.nyc3.cdn.digitaloceanspaces.com/Ukraine_Witness_Datasheet/Worksheet/youtube_dl__RALee85_status_14974377441251287092022-02-26T15:37:30.080084.png</t>
  </si>
  <si>
    <t>https://twitter.com/Michael1Sheldon/status/1497448045637783553</t>
  </si>
  <si>
    <t>Missile hit in residential area</t>
  </si>
  <si>
    <t>https://twitter.com/Michael1Sheldon/status/1497448736301142016</t>
  </si>
  <si>
    <t>UW0764</t>
  </si>
  <si>
    <t>https://bellingcat-archive.nyc3.cdn.digitaloceanspaces.com/Ukraine_Witness_Datasheet/Worksheet/youtube_dl_1497448045637783553.mp4</t>
  </si>
  <si>
    <t>2022-02-26T15:38:09+00:00</t>
  </si>
  <si>
    <t>https://bellingcat-archive.nyc3.cdn.digitaloceanspaces.com/Ukraine_Witness_Datasheet/Worksheet/youtube_dl__Michael1Sheldon_status_14974480456377835532022-02-26T15:37:56.123068.png</t>
  </si>
  <si>
    <t>4f8081208b748ee96e3e02dc7dd343b0a486a6a4664d91424287ef7374b93920</t>
  </si>
  <si>
    <t>https://bellingcat-archive.nyc3.cdn.digitaloceanspaces.com/Ukraine_Witness_Datasheet/Worksheet/youtube_dl_1497448045637783553/index.html</t>
  </si>
  <si>
    <t>Michael Sheldon - Another one in Kharkiv</t>
  </si>
  <si>
    <t>2022-02-26T06:46:49+00:00</t>
  </si>
  <si>
    <t>https://twitter.com/Michael1Sheldon/status/1497381257092681729</t>
  </si>
  <si>
    <t>https://twitter.com/Michael1Sheldon/status/1497449148412481541</t>
  </si>
  <si>
    <t>UW0765</t>
  </si>
  <si>
    <t>https://bellingcat-archive.nyc3.cdn.digitaloceanspaces.com/Ukraine_Witness_Datasheet/Worksheet/youtube_dl_1497381257092681729.mp4</t>
  </si>
  <si>
    <t>2022-02-26T15:39:39+00:00</t>
  </si>
  <si>
    <t>https://bellingcat-archive.nyc3.cdn.digitaloceanspaces.com/Ukraine_Witness_Datasheet/Worksheet/youtube_dl__Michael1Sheldon_status_14973812570926817292022-02-26T15:39:22.080651.png</t>
  </si>
  <si>
    <t>241d091445834c091977cf6148d3d54316e77833ea8a6fccc9e29191d575c449</t>
  </si>
  <si>
    <t>https://bellingcat-archive.nyc3.cdn.digitaloceanspaces.com/Ukraine_Witness_Datasheet/Worksheet/youtube_dl_1497381257092681729/index.html</t>
  </si>
  <si>
    <t>Michael Sheldon - Another one, allegedly in Kharkiv.</t>
  </si>
  <si>
    <t>2022-02-26T02:21:26+00:00</t>
  </si>
  <si>
    <t>https://twitter.com/MarQs__/status/1497594417456238592</t>
  </si>
  <si>
    <t>Aftermath of shelling</t>
  </si>
  <si>
    <t>Borodyanka</t>
  </si>
  <si>
    <t>UW0766</t>
  </si>
  <si>
    <t>https://bellingcat-archive.nyc3.cdn.digitaloceanspaces.com/Ukraine_Witness_Datasheet/Worksheet/youtube_dl_1497594417456238592.mp4</t>
  </si>
  <si>
    <t>2022-02-26T15:55:51+00:00</t>
  </si>
  <si>
    <t>https://bellingcat-archive.nyc3.cdn.digitaloceanspaces.com/Ukraine_Witness_Datasheet/Worksheet/youtube_dl__MarQs___status_14975944174562385922022-02-26T15:55:30.156691.png</t>
  </si>
  <si>
    <t>7d697da93893d636b6463cee1b2c1f2aca4aa4fd0d37c1e399155ddfea493544</t>
  </si>
  <si>
    <t>https://bellingcat-archive.nyc3.cdn.digitaloceanspaces.com/Ukraine_Witness_Datasheet/Worksheet/youtube_dl_1497594417456238592/index.html</t>
  </si>
  <si>
    <t>marqs - Damage in Borodyanka after Russian shelling</t>
  </si>
  <si>
    <t>2022-02-26T16:28:27+00:00</t>
  </si>
  <si>
    <t>https://twitter.com/il_kanguru/status/1497589392226983941</t>
  </si>
  <si>
    <t>Fires seen on satellite imagery</t>
  </si>
  <si>
    <t>UW0767</t>
  </si>
  <si>
    <t>Satellite imagery</t>
  </si>
  <si>
    <t>https://bellingcat-archive.nyc3.cdn.digitaloceanspaces.com/Ukraine_Witness_Datasheet/Worksheet/twitter__il_kanguru_status_1497589392226983941.html</t>
  </si>
  <si>
    <t>2022-02-26T16:09:39+00:00</t>
  </si>
  <si>
    <t>https://bellingcat-archive.nyc3.cdn.digitaloceanspaces.com/Ukraine_Witness_Datasheet/Worksheet/twitter__il_kanguru_status_14975893922269839412022-02-26T16:09:26.801111.png</t>
  </si>
  <si>
    <t>29857bccf3b76a2248dc8d338f6ea2b2ab2e4178cd95641895d95a9b96f6dc6b</t>
  </si>
  <si>
    <t>GUY</t>
  </si>
  <si>
    <t>https://twitter.com/olehbatkovych/status/1497587909393887236</t>
  </si>
  <si>
    <t>Civilian attempts to block a Russian convoy</t>
  </si>
  <si>
    <t>https://twitter.com/gfusfus/status/1497600769754906628</t>
  </si>
  <si>
    <t>Chernihivs'ka oblast</t>
  </si>
  <si>
    <t>Bakhmach</t>
  </si>
  <si>
    <t>UW0768</t>
  </si>
  <si>
    <t>https://bellingcat-archive.nyc3.cdn.digitaloceanspaces.com/Ukraine_Witness_Datasheet/Worksheet/youtube_dl_1497587909393887236.mp4</t>
  </si>
  <si>
    <t>2022-02-26T23:27:36+00:00</t>
  </si>
  <si>
    <t>https://bellingcat-archive.nyc3.cdn.digitaloceanspaces.com/Ukraine_Witness_Datasheet/Worksheet/youtube_dl__olehbatkovych_status_14975879093938872362022-02-26T23:27:15.085117.png</t>
  </si>
  <si>
    <t>01795ddad7138fb9e5dec5a014076420be0f09e1045ff22ecaa11301413ccca3</t>
  </si>
  <si>
    <t>https://bellingcat-archive.nyc3.cdn.digitaloceanspaces.com/Ukraine_Witness_Datasheet/Worksheet/youtube_dl_1497587909393887236/index.html</t>
  </si>
  <si>
    <t>Oleh Novikov 🇺🇦 - Колонна російської техніки у Бахмачі, Чернігівської області. Люди голіруч намагаються зупинити її рух</t>
  </si>
  <si>
    <t>2022-02-26T16:02:36+00:00</t>
  </si>
  <si>
    <t>https://twitter.com/JulianRoepcke/status/1497552887144235008?s=20&amp;t=gBxLN0rSBB3zJFX9VD5CIg</t>
  </si>
  <si>
    <t>Fighter raising flag at the entrance of an abandoned Ukrainian army base</t>
  </si>
  <si>
    <t>https://twitter.com/IvanDeinekoUA/status/1497576057121083395?s=20&amp;t=gBxLN0rSBB3zJFX9VD5CIg</t>
  </si>
  <si>
    <t>UW0770</t>
  </si>
  <si>
    <t>https://bellingcat-archive.nyc3.cdn.digitaloceanspaces.com/Ukraine_Witness_Datasheet/Worksheet/youtube_dl_1497552887144235008.mp4</t>
  </si>
  <si>
    <t>2022-02-26T23:27:59+00:00</t>
  </si>
  <si>
    <t>https://bellingcat-archive.nyc3.cdn.digitaloceanspaces.com/Ukraine_Witness_Datasheet/Worksheet/youtube_dl__JulianRoepcke_status_14975528871442350082022-02-26T23:27:46.044003.png</t>
  </si>
  <si>
    <t>9db57b2a8154ed3b2ec95d67bb365dc9d1105f9b9b41b9284b3c66650c9ef9a2</t>
  </si>
  <si>
    <t>https://bellingcat-archive.nyc3.cdn.digitaloceanspaces.com/Ukraine_Witness_Datasheet/Worksheet/youtube_dl_1497552887144235008/index.html</t>
  </si>
  <si>
    <t>Julian Röpcke🇺🇦 - Chechen fighter / Putin regime soldier hoists his flag at the entrance of an abandoned Ukrainian army base. Sure, someone from Ukraine can geolocate the footage.</t>
  </si>
  <si>
    <t>2022-02-26T13:43:26+00:00</t>
  </si>
  <si>
    <t>https://twitter.com/berojag59060636/status/1497584916443578373?s=20&amp;t=c1jxoMqf-NADto0mWdnocg</t>
  </si>
  <si>
    <t>Lots of damaged vehicles</t>
  </si>
  <si>
    <t>https://twitter.com/sterion75/status/1497611067803017222</t>
  </si>
  <si>
    <t>Kyivs'ka oblast</t>
  </si>
  <si>
    <t>UW0771</t>
  </si>
  <si>
    <t>https://bellingcat-archive.nyc3.cdn.digitaloceanspaces.com/Ukraine_Witness_Datasheet/Worksheet/youtube_dl_1497584916443578373.mp4</t>
  </si>
  <si>
    <t>2022-02-26T23:28:39+00:00</t>
  </si>
  <si>
    <t>https://bellingcat-archive.nyc3.cdn.digitaloceanspaces.com/Ukraine_Witness_Datasheet/Worksheet/youtube_dl__berojag59060636_status_14975849164435783732022-02-26T23:28:24.041014.png</t>
  </si>
  <si>
    <t>c072afdbfe72d68c21ea57dcc733cc6898edbcc6b09b8b7b9b5b079f5dbf44d4</t>
  </si>
  <si>
    <t>https://bellingcat-archive.nyc3.cdn.digitaloceanspaces.com/Ukraine_Witness_Datasheet/Worksheet/youtube_dl_1497584916443578373/index.html</t>
  </si>
  <si>
    <t>Ukraine live - #Ukraine 18+ Fight with the Russian occupier on the outskirts of Ivankov.  #Russia #UkraineRussia #Ivankov</t>
  </si>
  <si>
    <t>2022-02-26T15:50:42+00:00</t>
  </si>
  <si>
    <t>https://twitter.com/YWNReporter/status/1497617235199893512</t>
  </si>
  <si>
    <t>Distant explosion in residential area</t>
  </si>
  <si>
    <t>https://twitter.com/gfusfus/status/1497642852159041538</t>
  </si>
  <si>
    <t>Mykolaivs'ka oblast</t>
  </si>
  <si>
    <t>UW0772</t>
  </si>
  <si>
    <t>https://bellingcat-archive.nyc3.cdn.digitaloceanspaces.com/Ukraine_Witness_Datasheet/Worksheet/youtube_dl_1497617235199893512.mp4</t>
  </si>
  <si>
    <t>2022-02-26T23:28:55+00:00</t>
  </si>
  <si>
    <t>https://bellingcat-archive.nyc3.cdn.digitaloceanspaces.com/Ukraine_Witness_Datasheet/Worksheet/youtube_dl__YWNReporter_status_14976172351998935122022-02-26T23:28:44.024629.png</t>
  </si>
  <si>
    <t>d8cf645ea3c3031db3c69c493c01df0f0375e19a159a1a9f001427c9f0001656</t>
  </si>
  <si>
    <t>https://bellingcat-archive.nyc3.cdn.digitaloceanspaces.com/Ukraine_Witness_Datasheet/Worksheet/youtube_dl_1497617235199893512/index.html</t>
  </si>
  <si>
    <t>Moshe Schwartz - Heavy fighting reported in Nikolaev region of Ukraine.</t>
  </si>
  <si>
    <t>2022-02-26T17:59:07+00:00</t>
  </si>
  <si>
    <t>https://twitter.com/ELINTNews/status/1497637312229822466</t>
  </si>
  <si>
    <t>https://twitter.com/EAguy12/status/1497639603708346379</t>
  </si>
  <si>
    <t>UW0773</t>
  </si>
  <si>
    <t>https://bellingcat-archive.nyc3.cdn.digitaloceanspaces.com/Ukraine_Witness_Datasheet/Worksheet/youtube_dl_1497637312229822466.mp4</t>
  </si>
  <si>
    <t>2022-02-26T23:29:11+00:00</t>
  </si>
  <si>
    <t>https://bellingcat-archive.nyc3.cdn.digitaloceanspaces.com/Ukraine_Witness_Datasheet/Worksheet/youtube_dl__ELINTNews_status_14976373122298224662022-02-26T23:29:00.122949.png</t>
  </si>
  <si>
    <t>e13718a10ff8e254a863130632874e5d73a5a6576e9adf10757ae7389dc42c2e</t>
  </si>
  <si>
    <t>https://bellingcat-archive.nyc3.cdn.digitaloceanspaces.com/Ukraine_Witness_Datasheet/Worksheet/youtube_dl_1497637312229822466/index.html</t>
  </si>
  <si>
    <t>ELINT News - Heavy gun battle ongoing near Kyiv according to local reports</t>
  </si>
  <si>
    <t>2022-02-26T19:18:54+00:00</t>
  </si>
  <si>
    <t>https://twitter.com/YWNReporter/status/1497638657829879810</t>
  </si>
  <si>
    <t>UW0774</t>
  </si>
  <si>
    <t>https://bellingcat-archive.nyc3.cdn.digitaloceanspaces.com/Ukraine_Witness_Datasheet/Worksheet/youtube_dl_1497638657829879810.mp4</t>
  </si>
  <si>
    <t>2022-02-26T23:29:32+00:00</t>
  </si>
  <si>
    <t>https://bellingcat-archive.nyc3.cdn.digitaloceanspaces.com/Ukraine_Witness_Datasheet/Worksheet/youtube_dl__YWNReporter_status_14976386578298798102022-02-26T23:29:19.002165.png</t>
  </si>
  <si>
    <t>217e24e0fb7f4db79e0502a6b935cc979703ac29ebd936bd930ca762675b001a</t>
  </si>
  <si>
    <t>https://bellingcat-archive.nyc3.cdn.digitaloceanspaces.com/Ukraine_Witness_Datasheet/Worksheet/youtube_dl_1497638657829879810/index.html</t>
  </si>
  <si>
    <t>Moshe Schwartz - Video uploaded today shows heavy fighting on the streets of Kyiv, Ukraine.   📍I've geolocated this video to 50.501629,30.493485</t>
  </si>
  <si>
    <t>2022-02-26T19:24:15+00:00</t>
  </si>
  <si>
    <t>https://twitter.com/666_mancer/status/1497638132988223490</t>
  </si>
  <si>
    <t>https://twitter.com/5urpher/status/1497642085226323968</t>
  </si>
  <si>
    <t>UW0775</t>
  </si>
  <si>
    <t>https://bellingcat-archive.nyc3.cdn.digitaloceanspaces.com/Ukraine_Witness_Datasheet/Worksheet/youtube_dl_1497638132988223490.mp4</t>
  </si>
  <si>
    <t>2022-02-26T23:30:05+00:00</t>
  </si>
  <si>
    <t>https://bellingcat-archive.nyc3.cdn.digitaloceanspaces.com/Ukraine_Witness_Datasheet/Worksheet/youtube_dl__666_mancer_status_14976381329882234902022-02-26T23:29:49.328797.png</t>
  </si>
  <si>
    <t>8ce08415a46d3691b6ab3365fec364c34b09288562deb6d2093d91c2aa0a8fca</t>
  </si>
  <si>
    <t>https://bellingcat-archive.nyc3.cdn.digitaloceanspaces.com/Ukraine_Witness_Datasheet/Worksheet/youtube_dl_1497638132988223490/index.html</t>
  </si>
  <si>
    <t>Necro Mancer - #Токмак, российские ТОСы. Если на одну их них кто-то коктейль Молотова кинет, весь район разнесёт нахрен. Или я ошибаюсь? #RussiaInvadedUkraine</t>
  </si>
  <si>
    <t>2022-02-26T19:22:10+00:00</t>
  </si>
  <si>
    <t>https://twitter.com/MarQs__/status/1497557369336877059</t>
  </si>
  <si>
    <t>UW0776</t>
  </si>
  <si>
    <t>https://bellingcat-archive.nyc3.cdn.digitaloceanspaces.com/Ukraine_Witness_Datasheet/Worksheet/youtube_dl_1497557369336877059.mp4</t>
  </si>
  <si>
    <t>2022-02-26T23:30:34+00:00</t>
  </si>
  <si>
    <t>https://bellingcat-archive.nyc3.cdn.digitaloceanspaces.com/Ukraine_Witness_Datasheet/Worksheet/youtube_dl__MarQs___status_14975573693368770592022-02-26T23:30:17.423428.png</t>
  </si>
  <si>
    <t>48c4baae605576ffefaf529e9190135371e9cfd76ee678966627dd848d8347f7</t>
  </si>
  <si>
    <t>https://bellingcat-archive.nyc3.cdn.digitaloceanspaces.com/Ukraine_Witness_Datasheet/Worksheet/youtube_dl_1497557369336877059/index.html</t>
  </si>
  <si>
    <t>marqs - Russian tanks in Tokmak, Zaporozhye region. First one got hit on the side and is burning.</t>
  </si>
  <si>
    <t>2022-02-26T14:01:14+00:00</t>
  </si>
  <si>
    <t>https://twitter.com/MarQs__/status/1497552237081489412</t>
  </si>
  <si>
    <t>UW0777</t>
  </si>
  <si>
    <t>https://bellingcat-archive.nyc3.cdn.digitaloceanspaces.com/Ukraine_Witness_Datasheet/Worksheet/youtube_dl_1497552237081489412.mp4</t>
  </si>
  <si>
    <t>2022-02-26T23:30:56+00:00</t>
  </si>
  <si>
    <t>https://bellingcat-archive.nyc3.cdn.digitaloceanspaces.com/Ukraine_Witness_Datasheet/Worksheet/youtube_dl__MarQs___status_14975522370814894122022-02-26T23:30:41.907918.png</t>
  </si>
  <si>
    <t>7d0e99fa22f7cb916e664770240bb0db1d7b0b14452bf8d9e7a3b5a5ab85f8ec</t>
  </si>
  <si>
    <t>https://bellingcat-archive.nyc3.cdn.digitaloceanspaces.com/Ukraine_Witness_Datasheet/Worksheet/youtube_dl_1497552237081489412/index.html</t>
  </si>
  <si>
    <t>marqs - "V" marked Russian equipment on a train in Brest, #Belarus. A lot of equipment was spotted in this region over the last days. New front for #Ukraine or a threat to #NATO?</t>
  </si>
  <si>
    <t>2022-02-26T13:40:51+00:00</t>
  </si>
  <si>
    <t>https://twitter.com/K_Loukerenko/status/1497328742867349507</t>
  </si>
  <si>
    <t>Russian troops stealing food from Rynok Zrazkovyy</t>
  </si>
  <si>
    <t>Zaporiz'ka oblast</t>
  </si>
  <si>
    <t>Melitopol'</t>
  </si>
  <si>
    <t xml:space="preserve">Ablle to indetify the location by matching the store with </t>
  </si>
  <si>
    <t>UW0779</t>
  </si>
  <si>
    <t>https://bellingcat-archive.nyc3.cdn.digitaloceanspaces.com/Ukraine_Witness_Datasheet/Worksheet/youtube_dl_1497622951667109900.mp4</t>
  </si>
  <si>
    <t>2022-02-26T23:31:33+00:00</t>
  </si>
  <si>
    <t>https://bellingcat-archive.nyc3.cdn.digitaloceanspaces.com/Ukraine_Witness_Datasheet/Worksheet/youtube_dl__ty64tgg8jkya75_status_14976229516671099002022-02-26T23:31:20.363304.png</t>
  </si>
  <si>
    <t>32f6b148e69c852cb81cd46d196242d5c13d3684bb53c0de1de01f4ebdac3713</t>
  </si>
  <si>
    <t>https://bellingcat-archive.nyc3.cdn.digitaloceanspaces.com/Ukraine_Witness_Datasheet/Worksheet/youtube_dl_1497622951667109900/index.html</t>
  </si>
  <si>
    <t>Mr. Covid - Мелитополь. Ранок. Пидорасы оголодали и ограбили магазин. Хуйло же не расчитывало, что они протянут больше одного дня. Армия ЧМО.</t>
  </si>
  <si>
    <t>2022-02-26T18:21:50+00:00</t>
  </si>
  <si>
    <t>https://twitter.com/poppoppopkt/status/1497088601896542210</t>
  </si>
  <si>
    <t xml:space="preserve">Russian Military Convoy Moving Through Heroiv Ukrainy St </t>
  </si>
  <si>
    <t>UW0780</t>
  </si>
  <si>
    <t>https://bellingcat-archive.nyc3.cdn.digitaloceanspaces.com/Ukraine_Witness_Datasheet/Worksheet/youtube_dl_1497088601896542210.mp4</t>
  </si>
  <si>
    <t>2022-02-26T23:31:51+00:00</t>
  </si>
  <si>
    <t>https://bellingcat-archive.nyc3.cdn.digitaloceanspaces.com/Ukraine_Witness_Datasheet/Worksheet/youtube_dl__poppoppopkt_status_14970886018965422102022-02-26T23:31:39.461236.png</t>
  </si>
  <si>
    <t>5cf63d829d3141c0a32bf5e28b9a95ae96b8ac2a52f5663b550a1ff8b3f32473</t>
  </si>
  <si>
    <t>https://bellingcat-archive.nyc3.cdn.digitaloceanspaces.com/Ukraine_Witness_Datasheet/Worksheet/youtube_dl_1497088601896542210/index.html</t>
  </si>
  <si>
    <t>Иван Щелепов - #Мелитополь Колонна техники оккупанта и ненависть к врагу прохожего</t>
  </si>
  <si>
    <t>2022-02-25T06:58:31+00:00</t>
  </si>
  <si>
    <t>Chris G</t>
  </si>
  <si>
    <t>https://twitter.com/Caucasuswar/status/1497672421263958022</t>
  </si>
  <si>
    <t>Alleged destruction of Ukrainian convoy by Russian forces</t>
  </si>
  <si>
    <t>Outskirts of Mykolaiv city</t>
  </si>
  <si>
    <t>UW0781</t>
  </si>
  <si>
    <t>https://bellingcat-archive.nyc3.cdn.digitaloceanspaces.com/Ukraine_Witness_Datasheet/Worksheet/youtube_dl_1497672421263958022.mp4</t>
  </si>
  <si>
    <t>2022-02-26T23:32:34+00:00</t>
  </si>
  <si>
    <t>https://bellingcat-archive.nyc3.cdn.digitaloceanspaces.com/Ukraine_Witness_Datasheet/Worksheet/youtube_dl__Caucasuswar_status_14976724212639580222022-02-26T23:32:22.491576.png</t>
  </si>
  <si>
    <t>3082c8a3afae8ed296feed19750b1279938384079b7dd6996a81b54678f57dcf</t>
  </si>
  <si>
    <t>https://bellingcat-archive.nyc3.cdn.digitaloceanspaces.com/Ukraine_Witness_Datasheet/Worksheet/youtube_dl_1497672421263958022/index.html</t>
  </si>
  <si>
    <t>CaucasusWarReport - Ukrainian convoy was completely destroyed in the outskirts of Mykolaiv city , Ukraine by Russian forces.</t>
  </si>
  <si>
    <t>2022-02-26T21:38:25+00:00</t>
  </si>
  <si>
    <t>https://twitter.com/vodenergetik/status/1497560505690505219</t>
  </si>
  <si>
    <t>Russian Troop patrolling down the street</t>
  </si>
  <si>
    <t>UW0782</t>
  </si>
  <si>
    <t>https://bellingcat-archive.nyc3.cdn.digitaloceanspaces.com/Ukraine_Witness_Datasheet/Worksheet/youtube_dl_1497560505690505219.mp4</t>
  </si>
  <si>
    <t>2022-02-26T23:32:53+00:00</t>
  </si>
  <si>
    <t>https://bellingcat-archive.nyc3.cdn.digitaloceanspaces.com/Ukraine_Witness_Datasheet/Worksheet/youtube_dl__vodenergetik_status_14975605056905052192022-02-26T23:32:40.302289.png</t>
  </si>
  <si>
    <t>8aedcceaf9bcf0524421db7a7d8ba25116d8c53a6500dabb616081ac82e5775c</t>
  </si>
  <si>
    <t>https://bellingcat-archive.nyc3.cdn.digitaloceanspaces.com/Ukraine_Witness_Datasheet/Worksheet/youtube_dl_1497560505690505219/index.html</t>
  </si>
  <si>
    <t>Алёнка - Мелитополь. Кросевое.</t>
  </si>
  <si>
    <t>2022-02-26T14:13:42+00:00</t>
  </si>
  <si>
    <t>https://twitter.com/HannaLiubakova/status/1497682664404525056</t>
  </si>
  <si>
    <t>Russian equipment movement in Belarus</t>
  </si>
  <si>
    <t>https://twitter.com/gfusfus/status/1497688862872809487</t>
  </si>
  <si>
    <t>UW0783</t>
  </si>
  <si>
    <t>https://bellingcat-archive.nyc3.cdn.digitaloceanspaces.com/Ukraine_Witness_Datasheet/Worksheet/youtube_dl_1497682664404525056.mp4</t>
  </si>
  <si>
    <t>2022-02-26T23:33:12+00:00</t>
  </si>
  <si>
    <t>https://bellingcat-archive.nyc3.cdn.digitaloceanspaces.com/Ukraine_Witness_Datasheet/Worksheet/youtube_dl__HannaLiubakova_status_14976826644045250562022-02-26T23:32:58.438003.png</t>
  </si>
  <si>
    <t>89974bd69c63e773ffbf3980e20ad5c246980e1d890da015df0f33606801c70f</t>
  </si>
  <si>
    <t>https://bellingcat-archive.nyc3.cdn.digitaloceanspaces.com/Ukraine_Witness_Datasheet/Worksheet/youtube_dl_1497682664404525056/index.html</t>
  </si>
  <si>
    <t>Hanna Liubakova - #Belarus Right now, in Brahin in the Homiel region, large numbers of Russian military vehicles is moving towards the border with Ukraine</t>
  </si>
  <si>
    <t>2022-02-26T22:19:07+00:00</t>
  </si>
  <si>
    <t>https://twitter.com/GirkinGirkin/status/1497415617674104832</t>
  </si>
  <si>
    <t>Russian tanks and BNPs on Bohdana Khmelnytskoho Ave</t>
  </si>
  <si>
    <t>UW0784</t>
  </si>
  <si>
    <t>https://bellingcat-archive.nyc3.cdn.digitaloceanspaces.com/Ukraine_Witness_Datasheet/Worksheet/youtube_dl_1497415617674104832.mp4</t>
  </si>
  <si>
    <t>2022-02-26T23:33:28+00:00</t>
  </si>
  <si>
    <t>https://bellingcat-archive.nyc3.cdn.digitaloceanspaces.com/Ukraine_Witness_Datasheet/Worksheet/youtube_dl__GirkinGirkin_status_14974156176741048322022-02-26T23:33:17.007994.png</t>
  </si>
  <si>
    <t>1d7840722d89b874853fb180b22858afc5d78c13aaa23d76a7d7c426bba69b29</t>
  </si>
  <si>
    <t>https://bellingcat-archive.nyc3.cdn.digitaloceanspaces.com/Ukraine_Witness_Datasheet/Worksheet/youtube_dl_1497415617674104832/index.html</t>
  </si>
  <si>
    <t>2022-02-26T04:37:58+00:00</t>
  </si>
  <si>
    <t>https://twitter.com/ELINTNews/status/1497713932718546944?s=20&amp;t=cbiZoRg9smqoltIag-W-NQ</t>
  </si>
  <si>
    <t>Vasylkiv's oil depot on fire after Russian missile strike</t>
  </si>
  <si>
    <t>https://twitter.com/muyixiao/status/1497826701564432385</t>
  </si>
  <si>
    <t>Vasylkiv</t>
  </si>
  <si>
    <t>Initial coordinates provided by BCR changed after NY Times verification of oil terminal location</t>
  </si>
  <si>
    <t>UW0785</t>
  </si>
  <si>
    <t>https://bellingcat-archive.nyc3.cdn.digitaloceanspaces.com/Ukraine_Witness_Datasheet/Worksheet/youtube_dl_1497713932718546944.mp4</t>
  </si>
  <si>
    <t>2022-02-26T23:39:26+00:00</t>
  </si>
  <si>
    <t>https://bellingcat-archive.nyc3.cdn.digitaloceanspaces.com/Ukraine_Witness_Datasheet/Worksheet/youtube_dl__ELINTNews_status_14977139327185469442022-02-26T23:39:08.603824.png</t>
  </si>
  <si>
    <t>bf3b8d06a2a29847a72918ff80badf5d330254244a3fc0c15feb65115348cc8f</t>
  </si>
  <si>
    <t>https://bellingcat-archive.nyc3.cdn.digitaloceanspaces.com/Ukraine_Witness_Datasheet/Worksheet/youtube_dl_1497713932718546944/index.html</t>
  </si>
  <si>
    <t>ELINT News - #UPDATE: Oil infrastructure near Vasilkov south of Kyiv is burning</t>
  </si>
  <si>
    <t>2022-02-27T00:23:22+00:00</t>
  </si>
  <si>
    <t>Sofia</t>
  </si>
  <si>
    <t>27/02/2022</t>
  </si>
  <si>
    <t>https://twitter.com/yarotrof/status/1497498221966348288?t=zq21041-d84P-kDnSthqng&amp;s=19</t>
  </si>
  <si>
    <t>Russian and Ukrainian jets over Vasylkiv</t>
  </si>
  <si>
    <t>UW0786</t>
  </si>
  <si>
    <t>https://bellingcat-archive.nyc3.cdn.digitaloceanspaces.com/Ukraine_Witness_Datasheet/Worksheet/youtube_dl_1497498221966348288.mp4</t>
  </si>
  <si>
    <t>2022-02-27T01:22:44+00:00</t>
  </si>
  <si>
    <t>https://bellingcat-archive.nyc3.cdn.digitaloceanspaces.com/Ukraine_Witness_Datasheet/Worksheet/youtube_dl__yarotrof_status_14974982219663482882022-02-27T01:22:19.601155.png</t>
  </si>
  <si>
    <t>fe5fcb87c676c9c860d939afc86baa15f68ae1a34fb15c8519bbed2db4279b18</t>
  </si>
  <si>
    <t>https://bellingcat-archive.nyc3.cdn.digitaloceanspaces.com/Ukraine_Witness_Datasheet/Worksheet/youtube_dl_1497498221966348288/index.html</t>
  </si>
  <si>
    <t>Yaroslav Trofimov - Looks like a dogfight between Russian and Ukrainian jets over Vasylkiv. The Ukrainian jet flew low over the town a few minutes later. Vasylkiv remains under Ukrainian control after a failed Russian airborne landing, and the Ukrainian Air Force is still in the skies.</t>
  </si>
  <si>
    <t>2022-02-26T10:06:12+00:00</t>
  </si>
  <si>
    <t>https://twitter.com/Den_2042/status/1497691846557982721</t>
  </si>
  <si>
    <t>https://bellingcat-archive.nyc3.cdn.digitaloceanspaces.com/Ukraine_Witness_Datasheet/Worksheet/youtube_dl_1497691846557982721.mp4</t>
  </si>
  <si>
    <t>2022-02-27T01:23:04+00:00</t>
  </si>
  <si>
    <t>https://bellingcat-archive.nyc3.cdn.digitaloceanspaces.com/Ukraine_Witness_Datasheet/Worksheet/youtube_dl__Den_2042_status_14976918465579827212022-02-27T01:22:48.925080.png</t>
  </si>
  <si>
    <t>98a64e6d52b8b0130683cebd770f6342430252397e03768a6fecadfda8d78a07</t>
  </si>
  <si>
    <t>https://bellingcat-archive.nyc3.cdn.digitaloceanspaces.com/Ukraine_Witness_Datasheet/Worksheet/youtube_dl_1497691846557982721/index.html</t>
  </si>
  <si>
    <t>Denis Kazakiewicz - A large column is moving in #Belarus towards Ukraine. right now.  Location трасса р-35 беларусь</t>
  </si>
  <si>
    <t>2022-02-26T22:55:36+00:00</t>
  </si>
  <si>
    <t>https://twitter.com/ebashneft/status/1497643100373766144</t>
  </si>
  <si>
    <t>UW0787</t>
  </si>
  <si>
    <t>https://bellingcat-archive.nyc3.cdn.digitaloceanspaces.com/Ukraine_Witness_Datasheet/Worksheet/youtube_dl_1497643100373766144.mp4</t>
  </si>
  <si>
    <t>2022-02-27T01:23:20+00:00</t>
  </si>
  <si>
    <t>https://bellingcat-archive.nyc3.cdn.digitaloceanspaces.com/Ukraine_Witness_Datasheet/Worksheet/youtube_dl__ebashneft_status_14976431003737661442022-02-27T01:23:09.065822.png</t>
  </si>
  <si>
    <t>616bff324bea90a7582f37b6673cc6d97c592c91bc2b105ca51bcb4e62a9b267</t>
  </si>
  <si>
    <t>https://bellingcat-archive.nyc3.cdn.digitaloceanspaces.com/Ukraine_Witness_Datasheet/Worksheet/youtube_dl_1497643100373766144/index.html</t>
  </si>
  <si>
    <t>сало х86 - не знаю чи було, але ось :)</t>
  </si>
  <si>
    <t>2022-02-26T19:41:54+00:00</t>
  </si>
  <si>
    <t>https://twitter.com/hwag_ucmc/status/1497728930425491459</t>
  </si>
  <si>
    <t>Fire at oil depot in the village of Kryachky</t>
  </si>
  <si>
    <t>Kryachky</t>
  </si>
  <si>
    <t>UW0788</t>
  </si>
  <si>
    <t>https://bellingcat-archive.nyc3.cdn.digitaloceanspaces.com/Ukraine_Witness_Datasheet/Worksheet/youtube_dl_1497728930425491459.mp4</t>
  </si>
  <si>
    <t>2022-02-27T01:23:36+00:00</t>
  </si>
  <si>
    <t>https://bellingcat-archive.nyc3.cdn.digitaloceanspaces.com/Ukraine_Witness_Datasheet/Worksheet/youtube_dl__hwag_ucmc_status_14977289304254914592022-02-27T01:23:24.699559.png</t>
  </si>
  <si>
    <t>fa458b347783ba194dc7d554ef828cb4cb573d28b50499d1998aa8269a9df94a</t>
  </si>
  <si>
    <t>https://bellingcat-archive.nyc3.cdn.digitaloceanspaces.com/Ukraine_Witness_Datasheet/Worksheet/youtube_dl_1497728930425491459/index.html</t>
  </si>
  <si>
    <t>Hybrid Warfare Analytical Group/UCMC - Fire at Vasylkiv oil base</t>
  </si>
  <si>
    <t>2022-02-27T01:22:58+00:00</t>
  </si>
  <si>
    <t>https://twitter.com/yarotrof/status/1497498221966348288</t>
  </si>
  <si>
    <t>Fight between Russian and Ukrainian jets over Vasylkiv</t>
  </si>
  <si>
    <t>UW0789</t>
  </si>
  <si>
    <t>2022-02-27T02:50:02+00:00</t>
  </si>
  <si>
    <t>https://bellingcat-archive.nyc3.cdn.digitaloceanspaces.com/Ukraine_Witness_Datasheet/Worksheet/youtube_dl__yarotrof_status_14974982219663482882022-02-27T02:49:43.145794.png</t>
  </si>
  <si>
    <t>https://twitter.com/RALee85/status/1497766988881481732</t>
  </si>
  <si>
    <t>Destroyed ukrainian humvee in Tokmak</t>
  </si>
  <si>
    <t>Tokmak</t>
  </si>
  <si>
    <t>https://www.google.com/maps/@47.2547373,35.7007626,3a,75y,245.22h,91.49t/data=!3m8!1e1!3m6!1sAF1QipNd4cCZJnaDA1Ep4Onj4epXzy1q-kDepm_1JuE1!2e10!3e11!6shttps:%2F%2Flh5.googleusercontent.com%2Fp%2FAF1QipNd4cCZJnaDA1Ep4Onj4epXzy1q-kDepm_1JuE1%3Dw203-h100-k-no-pi-0-ya111.44105-ro-0-fo100!7i8192!8i4096</t>
  </si>
  <si>
    <t>UW0790</t>
  </si>
  <si>
    <t>https://bellingcat-archive.nyc3.cdn.digitaloceanspaces.com/Ukraine_Witness_Datasheet/Worksheet/youtube_dl_1497766988881481732.mp4</t>
  </si>
  <si>
    <t>2022-02-27T03:10:39+00:00</t>
  </si>
  <si>
    <t>https://bellingcat-archive.nyc3.cdn.digitaloceanspaces.com/Ukraine_Witness_Datasheet/Worksheet/youtube_dl__RALee85_status_14977669888814817322022-02-27T03:10:16.829136.png</t>
  </si>
  <si>
    <t>fccc0dfc6dd24f7275f8db8fc7a682eae81fd1deab001a4168be003813302065</t>
  </si>
  <si>
    <t>https://bellingcat-archive.nyc3.cdn.digitaloceanspaces.com/Ukraine_Witness_Datasheet/Worksheet/youtube_dl_1497766988881481732/index.html</t>
  </si>
  <si>
    <t>Rob Lee - A destroyed Ukrainian Humvee in Tokmak.</t>
  </si>
  <si>
    <t>2022-02-27T03:54:11+00:00</t>
  </si>
  <si>
    <t>https://twitter.com/L_ThinkTank/status/1497624995610173444</t>
  </si>
  <si>
    <t>TOS-1 in Tokmak</t>
  </si>
  <si>
    <t>UW0791</t>
  </si>
  <si>
    <t>https://bellingcat-archive.nyc3.cdn.digitaloceanspaces.com/Ukraine_Witness_Datasheet/Worksheet/youtube_dl_1497624995610173444.mp4</t>
  </si>
  <si>
    <t>2022-02-27T03:41:28+00:00</t>
  </si>
  <si>
    <t>https://bellingcat-archive.nyc3.cdn.digitaloceanspaces.com/Ukraine_Witness_Datasheet/Worksheet/youtube_dl__L_ThinkTank_status_14976249956101734442022-02-27T03:41:02.996098.png</t>
  </si>
  <si>
    <t>47df06e05b7019190c190aadc29a5e772804bb3135490b370a123c56c888a7af</t>
  </si>
  <si>
    <t>https://bellingcat-archive.nyc3.cdn.digitaloceanspaces.com/Ukraine_Witness_Datasheet/Worksheet/youtube_dl_1497624995610173444/index.html</t>
  </si>
  <si>
    <t>(Little) Think Tank - [ 🇷🇺 RUSSE | 🇺🇦 UKRAINE ]  🔸 Présence de MLRS TOS-1 russe dans les rues de Tokmak.  47,26278° N, 35,70991° E</t>
  </si>
  <si>
    <t>2022-02-26T18:29:58+00:00</t>
  </si>
  <si>
    <t>https://twitter.com/RALee85/status/1497773944723681280</t>
  </si>
  <si>
    <t>Russian military equipement on the move</t>
  </si>
  <si>
    <t>https://twitter.com/CourtenaySargon/status/1497779671194288131</t>
  </si>
  <si>
    <t>Pryazovs'ke</t>
  </si>
  <si>
    <t>UW0792</t>
  </si>
  <si>
    <t>https://bellingcat-archive.nyc3.cdn.digitaloceanspaces.com/Ukraine_Witness_Datasheet/Worksheet/youtube_dl_1497773944723681280.mp4</t>
  </si>
  <si>
    <t>2022-02-27T03:44:18+00:00</t>
  </si>
  <si>
    <t>https://bellingcat-archive.nyc3.cdn.digitaloceanspaces.com/Ukraine_Witness_Datasheet/Worksheet/youtube_dl__RALee85_status_14977739447236812802022-02-27T03:43:49.622121.png</t>
  </si>
  <si>
    <t>d1c4babb541c2dbf313eadf1d4bc896a6d968d1544e6b79cf4907668c752ed27</t>
  </si>
  <si>
    <t>https://bellingcat-archive.nyc3.cdn.digitaloceanspaces.com/Ukraine_Witness_Datasheet/Worksheet/youtube_dl_1497773944723681280/index.html</t>
  </si>
  <si>
    <t>Rob Lee - Russian column moving from Berdyansk to Mariupol earlier today with two 2S3 152mm howitzer batteries, 1V13 battery command posts, MT-LB, Strela-10 air defense systems, etc.</t>
  </si>
  <si>
    <t>2022-02-27T04:21:50+00:00</t>
  </si>
  <si>
    <t>https://twitter.com/RALee85/status/1497776713589219328</t>
  </si>
  <si>
    <t>bmp-3, tigr, and kamaz on the move</t>
  </si>
  <si>
    <t>Chernihivka</t>
  </si>
  <si>
    <t>UW0793</t>
  </si>
  <si>
    <t>filmed from home</t>
  </si>
  <si>
    <t>https://bellingcat-archive.nyc3.cdn.digitaloceanspaces.com/Ukraine_Witness_Datasheet/Worksheet/youtube_dl_1497776713589219328.mp4</t>
  </si>
  <si>
    <t>2022-02-27T03:45:46+00:00</t>
  </si>
  <si>
    <t>https://bellingcat-archive.nyc3.cdn.digitaloceanspaces.com/Ukraine_Witness_Datasheet/Worksheet/youtube_dl__RALee85_status_14977767135892193282022-02-27T03:45:30.270048.png</t>
  </si>
  <si>
    <t>8ede1640c2423a9217254ecfd5896e02d824cec98c8353f767773734e50ddd70</t>
  </si>
  <si>
    <t>https://bellingcat-archive.nyc3.cdn.digitaloceanspaces.com/Ukraine_Witness_Datasheet/Worksheet/youtube_dl_1497776713589219328/index.html</t>
  </si>
  <si>
    <t>Rob Lee - Russian BMP-3, Tigr, and KamAZ trucks reportedly reached Chernihivka in Zaporizhzhia Oblast today.</t>
  </si>
  <si>
    <t>2022-02-27T04:32:50+00:00</t>
  </si>
  <si>
    <t>https://twitter.com/RALee85/status/1497809352979361798</t>
  </si>
  <si>
    <t>russian military convoy entering city</t>
  </si>
  <si>
    <t>UW0794</t>
  </si>
  <si>
    <t>https://bellingcat-archive.nyc3.cdn.digitaloceanspaces.com/Ukraine_Witness_Datasheet/Worksheet/youtube_dl_1497809352979361798.mp4</t>
  </si>
  <si>
    <t>2022-02-27T06:02:25+00:00</t>
  </si>
  <si>
    <t>https://bellingcat-archive.nyc3.cdn.digitaloceanspaces.com/Ukraine_Witness_Datasheet/Worksheet/youtube_dl__RALee85_status_14978093529793617982022-02-27T06:02:06.932315.png</t>
  </si>
  <si>
    <t>a168f7a186b44ced598fcc7ef20ee9851c839bae5ee173fe42548988f0111641</t>
  </si>
  <si>
    <t>https://bellingcat-archive.nyc3.cdn.digitaloceanspaces.com/Ukraine_Witness_Datasheet/Worksheet/youtube_dl_1497809352979361798/index.html</t>
  </si>
  <si>
    <t>Rob Lee - Video of a Russian military patrol reportedly in Kharkiv coming under fire from a building.</t>
  </si>
  <si>
    <t>2022-02-27T06:42:32+00:00</t>
  </si>
  <si>
    <t>https://twitter.com/RALee85/status/1497815578282631170</t>
  </si>
  <si>
    <t>UW0795</t>
  </si>
  <si>
    <t>https://bellingcat-archive.nyc3.cdn.digitaloceanspaces.com/Ukraine_Witness_Datasheet/Worksheet/youtube_dl_1497815578282631170.mp4</t>
  </si>
  <si>
    <t>2022-02-27T06:44:36+00:00</t>
  </si>
  <si>
    <t>https://bellingcat-archive.nyc3.cdn.digitaloceanspaces.com/Ukraine_Witness_Datasheet/Worksheet/youtube_dl__RALee85_status_14978155782826311702022-02-27T06:44:13.852149.png</t>
  </si>
  <si>
    <t>1a717d7d8f0996fadc0cd5d81ba5406c0a52700c9123e4e93393ddc24e524671</t>
  </si>
  <si>
    <t>https://bellingcat-archive.nyc3.cdn.digitaloceanspaces.com/Ukraine_Witness_Datasheet/Worksheet/youtube_dl_1497815578282631170/index.html</t>
  </si>
  <si>
    <t>Rob Lee - That same column of Russian Tigr-M and KamAZ vehicles in Kharkiv.</t>
  </si>
  <si>
    <t>2022-02-27T07:07:16+00:00</t>
  </si>
  <si>
    <t>https://twitter.com/RALee85/status/1497821718907392001</t>
  </si>
  <si>
    <t>Ukranian militaey vehicle on fire</t>
  </si>
  <si>
    <t>https://twitter.com/CourtenaySargon/status/1497820654447603712</t>
  </si>
  <si>
    <t>UW0796</t>
  </si>
  <si>
    <t>https://bellingcat-archive.nyc3.cdn.digitaloceanspaces.com/Ukraine_Witness_Datasheet/Worksheet/youtube_dl_1497821718907392001.mp4</t>
  </si>
  <si>
    <t>2022-02-27T06:34:02+00:00</t>
  </si>
  <si>
    <t>https://bellingcat-archive.nyc3.cdn.digitaloceanspaces.com/Ukraine_Witness_Datasheet/Worksheet/youtube_dl__RALee85_status_14978217189073920012022-02-27T06:33:46.891854.png</t>
  </si>
  <si>
    <t>fdd3f754264417729ec68bb14fd51675e95257a066d4272cd62e1c7e306e9559</t>
  </si>
  <si>
    <t>https://bellingcat-archive.nyc3.cdn.digitaloceanspaces.com/Ukraine_Witness_Datasheet/Worksheet/youtube_dl_1497821718907392001/index.html</t>
  </si>
  <si>
    <t>Rob Lee - What looks like a Ukrainian Zil-130 truck on fire in Kharkiv.</t>
  </si>
  <si>
    <t>2022-02-27T07:31:40+00:00</t>
  </si>
  <si>
    <t>https://twitter.com/GirkinGirkin/status/1497817497499840513</t>
  </si>
  <si>
    <t xml:space="preserve">russian military convoy </t>
  </si>
  <si>
    <t>https://twitter.com/ohsendit/status/1497823236041621509</t>
  </si>
  <si>
    <t>Ol'khovatka</t>
  </si>
  <si>
    <t>UW0797</t>
  </si>
  <si>
    <t>https://bellingcat-archive.nyc3.cdn.digitaloceanspaces.com/Ukraine_Witness_Datasheet/Worksheet/youtube_dl_1497817497499840513.mp4</t>
  </si>
  <si>
    <t>2022-02-27T06:53:07+00:00</t>
  </si>
  <si>
    <t>https://bellingcat-archive.nyc3.cdn.digitaloceanspaces.com/Ukraine_Witness_Datasheet/Worksheet/youtube_dl__GirkinGirkin_status_14978174974998405132022-02-27T06:52:46.166625.png</t>
  </si>
  <si>
    <t>74de116de91508f96eba8431adf1af64db04c6e79fc38fe1311f0db4e937eefb</t>
  </si>
  <si>
    <t>https://bellingcat-archive.nyc3.cdn.digitaloceanspaces.com/Ukraine_Witness_Datasheet/Worksheet/youtube_dl_1497817497499840513/index.html</t>
  </si>
  <si>
    <t>2022-02-27T07:14:54+00:00</t>
  </si>
  <si>
    <t>https://twitter.com/RALee85/status/1497825277141041157/photo/1</t>
  </si>
  <si>
    <t>russian tigr-m with flat tires</t>
  </si>
  <si>
    <t>https://twitter.com/khalfaguliyev/status/1497827301400236032</t>
  </si>
  <si>
    <t>UW0798</t>
  </si>
  <si>
    <t>https://bellingcat-archive.nyc3.cdn.digitaloceanspaces.com/Ukraine_Witness_Datasheet/Worksheet/twitter__RALee85_status_1497825277141041157_photo_1.html</t>
  </si>
  <si>
    <t>2022-02-27T06:57:54+00:00</t>
  </si>
  <si>
    <t>https://bellingcat-archive.nyc3.cdn.digitaloceanspaces.com/Ukraine_Witness_Datasheet/Worksheet/twitter__RALee85_status_1497825277141041157_photo_12022-02-27T06:57:40.304058.png</t>
  </si>
  <si>
    <t>521bf09f8357ceca48a65c0f3a4a61e9e8b52f20a939d025ab94d8c76d717e54</t>
  </si>
  <si>
    <t>https://twitter.com/no_itsmyturn/status/1497825692418990080</t>
  </si>
  <si>
    <t>Damage to residential building</t>
  </si>
  <si>
    <t>UW0799</t>
  </si>
  <si>
    <t>https://bellingcat-archive.nyc3.cdn.digitaloceanspaces.com/Ukraine_Witness_Datasheet/Worksheet/twitter__no_itsmyturn_status_1497825692418990080.html</t>
  </si>
  <si>
    <t>2022-02-27T07:16:07+00:00</t>
  </si>
  <si>
    <t>https://bellingcat-archive.nyc3.cdn.digitaloceanspaces.com/Ukraine_Witness_Datasheet/Worksheet/twitter__no_itsmyturn_status_14978256924189900802022-02-27T07:15:50.957095.png</t>
  </si>
  <si>
    <t>41ae3be3c7c398ff2149a39637f2e423a1fa19757626826a4ac43a0d4a28ca36</t>
  </si>
  <si>
    <t>https://twitter.com/RALee85/status/1497830368803753984</t>
  </si>
  <si>
    <t>Russia special forces entering city</t>
  </si>
  <si>
    <t>https://twitter.com/Michael1Sheldon/status/1497833190739918849</t>
  </si>
  <si>
    <t>UW0800</t>
  </si>
  <si>
    <t>https://bellingcat-archive.nyc3.cdn.digitaloceanspaces.com/Ukraine_Witness_Datasheet/Worksheet/youtube_dl_1497830368803753984.mp4</t>
  </si>
  <si>
    <t>2022-02-27T07:38:58+00:00</t>
  </si>
  <si>
    <t>https://bellingcat-archive.nyc3.cdn.digitaloceanspaces.com/Ukraine_Witness_Datasheet/Worksheet/youtube_dl__RALee85_status_14978303688037539842022-02-27T07:38:39.327824.png</t>
  </si>
  <si>
    <t>7bf2f38f8eaf5647da33612f5174f6e72a2edc9419ea778e82bfa801c505d10f</t>
  </si>
  <si>
    <t>https://bellingcat-archive.nyc3.cdn.digitaloceanspaces.com/Ukraine_Witness_Datasheet/Worksheet/youtube_dl_1497830368803753984/index.html</t>
  </si>
  <si>
    <t>Rob Lee - Russian razvedchiki and Spetsnaz in Kharkiv. I don’t think they’ll be able to take the city just with light forces.</t>
  </si>
  <si>
    <t>2022-02-27T08:06:02+00:00</t>
  </si>
  <si>
    <t>DAVE B</t>
  </si>
  <si>
    <t>https://twitter.com/COUPSURE/status/1497851052112154627</t>
  </si>
  <si>
    <t>Aftermath of clash with Russian forces</t>
  </si>
  <si>
    <t>UW0801</t>
  </si>
  <si>
    <t>https://bellingcat-archive.nyc3.cdn.digitaloceanspaces.com/Ukraine_Witness_Datasheet/Worksheet/youtube_dl_1497851052112154627.mp4</t>
  </si>
  <si>
    <t>2022-02-27T13:08:41+00:00</t>
  </si>
  <si>
    <t>https://bellingcat-archive.nyc3.cdn.digitaloceanspaces.com/Ukraine_Witness_Datasheet/Worksheet/youtube_dl__COUPSURE_status_14978510521121546272022-02-27T13:08:29.476465.png</t>
  </si>
  <si>
    <t>f2420abea0bdac112ecc8a4565a4270e972a8afa17c28edb9a4229ce6ec92009</t>
  </si>
  <si>
    <t>https://bellingcat-archive.nyc3.cdn.digitaloceanspaces.com/Ukraine_Witness_Datasheet/Worksheet/youtube_dl_1497851052112154627/index.html</t>
  </si>
  <si>
    <t>C O U P S U R E - Kharkiv</t>
  </si>
  <si>
    <t>2022-02-27T09:28:14+00:00</t>
  </si>
  <si>
    <t>https://twitter.com/Osinttechnical/status/1497843560581902338?s=20&amp;t=lr-XNblU1MDWllbOcKjYVQ</t>
  </si>
  <si>
    <t xml:space="preserve">Clashes in Karkhiv </t>
  </si>
  <si>
    <t>UW0802</t>
  </si>
  <si>
    <t>https://bellingcat-archive.nyc3.cdn.digitaloceanspaces.com/Ukraine_Witness_Datasheet/Worksheet/youtube_dl_1497843560581902338.mp4</t>
  </si>
  <si>
    <t>2022-02-27T13:09:15+00:00</t>
  </si>
  <si>
    <t>https://bellingcat-archive.nyc3.cdn.digitaloceanspaces.com/Ukraine_Witness_Datasheet/Worksheet/youtube_dl__Osinttechnical_status_14978435605819023382022-02-27T13:08:57.374858.png</t>
  </si>
  <si>
    <t>af9232a6ddd6b52240f2039b80d697666966a40b197bb3981bd535c9f2fe4391</t>
  </si>
  <si>
    <t>https://bellingcat-archive.nyc3.cdn.digitaloceanspaces.com/Ukraine_Witness_Datasheet/Worksheet/youtube_dl_1497843560581902338/index.html</t>
  </si>
  <si>
    <t>OSINTtechnical - Fighting in Kharkiv</t>
  </si>
  <si>
    <t>2022-02-27T08:58:28+00:00</t>
  </si>
  <si>
    <t>https://twitter.com/RALee85/status/1497840077665452036?s=20&amp;t=fZYoEw17anAOyItgWooFVA</t>
  </si>
  <si>
    <t>Large plume of smoke rising from a bridge in Bucha</t>
  </si>
  <si>
    <t>UW0803</t>
  </si>
  <si>
    <t>https://bellingcat-archive.nyc3.cdn.digitaloceanspaces.com/Ukraine_Witness_Datasheet/Worksheet/twitter__RALee85_status_1497840077665452036.html</t>
  </si>
  <si>
    <t>2022-02-27T13:09:26+00:00</t>
  </si>
  <si>
    <t>https://bellingcat-archive.nyc3.cdn.digitaloceanspaces.com/Ukraine_Witness_Datasheet/Worksheet/twitter__RALee85_status_14978400776654520362022-02-27T13:09:17.362497.png</t>
  </si>
  <si>
    <t>fc16e53a6323a71685ba82837623083046b18497c4e9af8132756e6ceeda1cbf</t>
  </si>
  <si>
    <t>WZ</t>
  </si>
  <si>
    <t>https://twitter.com/wammezz/status/1497705916732522500?s=20&amp;t=g4_sjmmynM13CiGY1aD8Pw</t>
  </si>
  <si>
    <t>Burning oil depot in center of town</t>
  </si>
  <si>
    <t>https://twitter.com/wammezz/status/1497705916732522500?s=20&amp;t=7Yvy-aqv6lh12URQto3LdQ</t>
  </si>
  <si>
    <t>Luhanks Oblast</t>
  </si>
  <si>
    <t>Rovenky</t>
  </si>
  <si>
    <t>NOT VERIFIED through other means</t>
  </si>
  <si>
    <t>UW0804</t>
  </si>
  <si>
    <t>https://bellingcat-archive.nyc3.cdn.digitaloceanspaces.com/Ukraine_Witness_Datasheet/Worksheet/youtube_dl_1497693187825098755.mp4</t>
  </si>
  <si>
    <t>2022-02-27T13:09:41+00:00</t>
  </si>
  <si>
    <t>https://bellingcat-archive.nyc3.cdn.digitaloceanspaces.com/Ukraine_Witness_Datasheet/Worksheet/youtube_dl__wammezz_status_14977059167325225002022-02-27T13:09:29.648780.png</t>
  </si>
  <si>
    <t>48a766966e4a98c19e94264a0756a6c89ef33f8e54bcd32118633128bd57f4aa</t>
  </si>
  <si>
    <t>https://bellingcat-archive.nyc3.cdn.digitaloceanspaces.com/Ukraine_Witness_Datasheet/Worksheet/youtube_dl_1497693187825098755/index.html</t>
  </si>
  <si>
    <t>Wim Zwijnenburg - Massive fire broke out at a oil storage facility near Luhansk after being targeted. Allegedly 200 tons of diesel went up in flames</t>
  </si>
  <si>
    <t>2022-02-26T23:00:56+00:00</t>
  </si>
  <si>
    <t>https://twitter.com/markito0171/status/1497862696758304770</t>
  </si>
  <si>
    <t>Russian military casualties</t>
  </si>
  <si>
    <t>UW0805</t>
  </si>
  <si>
    <t>https://bellingcat-archive.nyc3.cdn.digitaloceanspaces.com/Ukraine_Witness_Datasheet/Worksheet/youtube_dl_1497862696758304770.mp4</t>
  </si>
  <si>
    <t>2022-02-27T13:09:55+00:00</t>
  </si>
  <si>
    <t>https://bellingcat-archive.nyc3.cdn.digitaloceanspaces.com/Ukraine_Witness_Datasheet/Worksheet/youtube_dl__markito0171_status_14978626967583047702022-02-27T13:09:44.270184.png</t>
  </si>
  <si>
    <t>40adde090fe62115799d03b578c3194b8c84dd8a648111dd9d845df172b24df8</t>
  </si>
  <si>
    <t>https://bellingcat-archive.nyc3.cdn.digitaloceanspaces.com/Ukraine_Witness_Datasheet/Worksheet/youtube_dl_1497862696758304770/index.html</t>
  </si>
  <si>
    <t>C4H10FO2P - Killed #Russia'n soldiers in NW outskirts of #Kyiv /Irpin "Giraffe" shopping mall</t>
  </si>
  <si>
    <t>2022-02-27T10:14:30+00:00</t>
  </si>
  <si>
    <t xml:space="preserve">ваят </t>
  </si>
  <si>
    <t>https://twitter.com/ASLuhn/status/1497858546129584131</t>
  </si>
  <si>
    <t>Kharkiv playground hit by rocket</t>
  </si>
  <si>
    <t>UW0806</t>
  </si>
  <si>
    <t>https://bellingcat-archive.nyc3.cdn.digitaloceanspaces.com/Ukraine_Witness_Datasheet/Worksheet/twitter__ASLuhn_status_1497858546129584131.html</t>
  </si>
  <si>
    <t>2022-02-27T13:10:06+00:00</t>
  </si>
  <si>
    <t>https://bellingcat-archive.nyc3.cdn.digitaloceanspaces.com/Ukraine_Witness_Datasheet/Worksheet/twitter__ASLuhn_status_14978585461295841312022-02-27T13:09:57.325222.png</t>
  </si>
  <si>
    <t>7e9f3b470338b2351e1cceb7e8b1395bb72af4bf4ff8927d0104526394fbf0c0</t>
  </si>
  <si>
    <t>https://twitter.com/markito0171/status/1497865530660700160</t>
  </si>
  <si>
    <t>UW0807</t>
  </si>
  <si>
    <t>https://bellingcat-archive.nyc3.cdn.digitaloceanspaces.com/Ukraine_Witness_Datasheet/Worksheet/youtube_dl_1497865530660700160.mp4</t>
  </si>
  <si>
    <t>2022-02-27T13:10:21+00:00</t>
  </si>
  <si>
    <t>https://bellingcat-archive.nyc3.cdn.digitaloceanspaces.com/Ukraine_Witness_Datasheet/Worksheet/youtube_dl__markito0171_status_14978655306607001602022-02-27T13:10:09.617320.png</t>
  </si>
  <si>
    <t>601d96aa33e54aa52394d9e8c3e4803932ca08eb984bd06c817fbaf433c1970f</t>
  </si>
  <si>
    <t>https://bellingcat-archive.nyc3.cdn.digitaloceanspaces.com/Ukraine_Witness_Datasheet/Worksheet/youtube_dl_1497865530660700160/index.html</t>
  </si>
  <si>
    <t>C4H10FO2P - #Kyiv northern outskirts in Irpin heavy #Russia'n losses #Ukraine</t>
  </si>
  <si>
    <t>2022-02-27T10:25:46+00:00</t>
  </si>
  <si>
    <t>https://twitter.com/markito0171/status/1497865957053812738</t>
  </si>
  <si>
    <t>UW0808</t>
  </si>
  <si>
    <t>https://bellingcat-archive.nyc3.cdn.digitaloceanspaces.com/Ukraine_Witness_Datasheet/Worksheet/youtube_dl_1497865957053812738.mp4</t>
  </si>
  <si>
    <t>2022-02-27T13:10:35+00:00</t>
  </si>
  <si>
    <t>https://bellingcat-archive.nyc3.cdn.digitaloceanspaces.com/Ukraine_Witness_Datasheet/Worksheet/youtube_dl__markito0171_status_14978659570538127382022-02-27T13:10:24.053644.png</t>
  </si>
  <si>
    <t>a1714f9d72ef4e4938af4155f61692edd1825c4e353085674b35a6fa16fbc97a</t>
  </si>
  <si>
    <t>https://bellingcat-archive.nyc3.cdn.digitaloceanspaces.com/Ukraine_Witness_Datasheet/Worksheet/youtube_dl_1497865957053812738/index.html</t>
  </si>
  <si>
    <t>C4H10FO2P - https://t.co/RuSgZ0TWMJ</t>
  </si>
  <si>
    <t>2022-02-27T10:27:27+00:00</t>
  </si>
  <si>
    <t>https://twitter.com/Michael1Sheldon/status/1497764072019922945</t>
  </si>
  <si>
    <t>Fire in the outskirts of Kharkiv</t>
  </si>
  <si>
    <t>https://twitter.com/Michael1Sheldon/status/1497765840346697731</t>
  </si>
  <si>
    <t>UW0809</t>
  </si>
  <si>
    <t>https://bellingcat-archive.nyc3.cdn.digitaloceanspaces.com/Ukraine_Witness_Datasheet/Worksheet/youtube_dl_1497764072019922945.mp4</t>
  </si>
  <si>
    <t>2022-02-27T13:10:49+00:00</t>
  </si>
  <si>
    <t>https://bellingcat-archive.nyc3.cdn.digitaloceanspaces.com/Ukraine_Witness_Datasheet/Worksheet/youtube_dl__Michael1Sheldon_status_14977640720199229452022-02-27T13:10:37.940858.png</t>
  </si>
  <si>
    <t>3117cbc92bd2af0ecd58da1d7e88fed6952480c06dd463ff2d82818cc448f969</t>
  </si>
  <si>
    <t>https://bellingcat-archive.nyc3.cdn.digitaloceanspaces.com/Ukraine_Witness_Datasheet/Worksheet/youtube_dl_1497764072019922945/index.html</t>
  </si>
  <si>
    <t>Michael Sheldon - Another video of the same area, showing the affected area from a closer angle. Uploaded Feb 26.</t>
  </si>
  <si>
    <t>2022-02-27T03:42:36+00:00</t>
  </si>
  <si>
    <t>https://twitter.com/Michael1Sheldon/status/1497711570956206088</t>
  </si>
  <si>
    <t>UW0810</t>
  </si>
  <si>
    <t>https://bellingcat-archive.nyc3.cdn.digitaloceanspaces.com/Ukraine_Witness_Datasheet/Worksheet/youtube_dl_1497711570956206088.mp4</t>
  </si>
  <si>
    <t>2022-02-27T13:11:04+00:00</t>
  </si>
  <si>
    <t>https://bellingcat-archive.nyc3.cdn.digitaloceanspaces.com/Ukraine_Witness_Datasheet/Worksheet/youtube_dl__Michael1Sheldon_status_14977115709562060882022-02-27T13:10:52.915036.png</t>
  </si>
  <si>
    <t>ef52f0d598d6855abc19ce69163ccbf99a29337922c1d27e13a045456686f09f</t>
  </si>
  <si>
    <t>https://bellingcat-archive.nyc3.cdn.digitaloceanspaces.com/Ukraine_Witness_Datasheet/Worksheet/youtube_dl_1497711570956206088/index.html</t>
  </si>
  <si>
    <t>Michael Sheldon - Undated footage of fires on the outskirts of Kharkiv.</t>
  </si>
  <si>
    <t>2022-02-27T00:13:59+00:00</t>
  </si>
  <si>
    <t>https://twitter.com/Michael1Sheldon/status/1497787772144345089</t>
  </si>
  <si>
    <t xml:space="preserve">Civilian house hit </t>
  </si>
  <si>
    <t>https://twitter.com/Michael1Sheldon/status/1497788427307204609</t>
  </si>
  <si>
    <t>UW0811</t>
  </si>
  <si>
    <t>https://bellingcat-archive.nyc3.cdn.digitaloceanspaces.com/Ukraine_Witness_Datasheet/Worksheet/youtube_dl_1497787772144345089.mp4</t>
  </si>
  <si>
    <t>2022-02-27T13:11:20+00:00</t>
  </si>
  <si>
    <t>https://bellingcat-archive.nyc3.cdn.digitaloceanspaces.com/Ukraine_Witness_Datasheet/Worksheet/youtube_dl__Michael1Sheldon_status_14977877721443450892022-02-27T13:11:07.931239.png</t>
  </si>
  <si>
    <t>c73a49b20caaf5a01f1883913608ab5491be75027f50059b749eaa6c70fbe630</t>
  </si>
  <si>
    <t>https://bellingcat-archive.nyc3.cdn.digitaloceanspaces.com/Ukraine_Witness_Datasheet/Worksheet/youtube_dl_1497787772144345089/index.html</t>
  </si>
  <si>
    <t>Michael Sheldon - More footage from this scene showing a civilian house burning.</t>
  </si>
  <si>
    <t>2022-02-27T05:16:47+00:00</t>
  </si>
  <si>
    <t>https://twitter.com/nexta_tv/status/1497709487104397318?s=20&amp;t=g4_sjmmynM13CiGY1aD8Pw</t>
  </si>
  <si>
    <t>Fuel depot hit at military airport</t>
  </si>
  <si>
    <t>Vasilkyv</t>
  </si>
  <si>
    <t>UW0812</t>
  </si>
  <si>
    <t>https://bellingcat-archive.nyc3.cdn.digitaloceanspaces.com/Ukraine_Witness_Datasheet/Worksheet/youtube_dl_1497709487104397318.mp4</t>
  </si>
  <si>
    <t>2022-02-27T13:11:32+00:00</t>
  </si>
  <si>
    <t>https://bellingcat-archive.nyc3.cdn.digitaloceanspaces.com/Ukraine_Witness_Datasheet/Worksheet/youtube_dl__nexta_tv_status_14977094871043973182022-02-27T13:11:22.024819.png</t>
  </si>
  <si>
    <t>9c626064aece62cf3285ea8743f395e2410bb64f8c0fe100ce3dc440163a3939</t>
  </si>
  <si>
    <t>https://bellingcat-archive.nyc3.cdn.digitaloceanspaces.com/Ukraine_Witness_Datasheet/Worksheet/youtube_dl_1497709487104397318/index.html</t>
  </si>
  <si>
    <t>NEXTA - ❗️ A massive explosion in #Kyiv  It is reported that an oil depot near #Vasylkiv is on fire as a result of the strike. If this is true, a large-scale technogenic and environmental catastrophe is possible.</t>
  </si>
  <si>
    <t>2022-02-27T00:05:42+00:00</t>
  </si>
  <si>
    <t>https://twitter.com/200_zoka/status/1497870407214456832</t>
  </si>
  <si>
    <t>Kup'yans'k</t>
  </si>
  <si>
    <t>UW0813</t>
  </si>
  <si>
    <t>https://bellingcat-archive.nyc3.cdn.digitaloceanspaces.com/Ukraine_Witness_Datasheet/Worksheet/youtube_dl_1497870407214456832.mp4</t>
  </si>
  <si>
    <t>2022-02-27T13:11:51+00:00</t>
  </si>
  <si>
    <t>https://bellingcat-archive.nyc3.cdn.digitaloceanspaces.com/Ukraine_Witness_Datasheet/Worksheet/youtube_dl__200_zoka_status_14978704072144568322022-02-27T13:11:37.217157.png</t>
  </si>
  <si>
    <t>d759e89543bed8fa7f12f9fd3dc457aab09de5d23c38cb1832dc70feb3e5a85e</t>
  </si>
  <si>
    <t>https://bellingcat-archive.nyc3.cdn.digitaloceanspaces.com/Ukraine_Witness_Datasheet/Worksheet/youtube_dl_1497870407214456832/index.html</t>
  </si>
  <si>
    <t>ZOKA - City Kupyansk surrendered to Russians As can be seen in the video from Kupyansk, a column of Russian troops is accompanied by the Kharkiv police, which did not resist.</t>
  </si>
  <si>
    <t>2022-02-27T10:45:08+00:00</t>
  </si>
  <si>
    <t>https://twitter.com/alona_she/status/1497858945981071360</t>
  </si>
  <si>
    <t>Damaged Civilian infrastructure in Sumy</t>
  </si>
  <si>
    <t>UW0814</t>
  </si>
  <si>
    <t>https://bellingcat-archive.nyc3.cdn.digitaloceanspaces.com/Ukraine_Witness_Datasheet/Worksheet/youtube_dl_1497858945981071360.mp4</t>
  </si>
  <si>
    <t>2022-02-27T13:12:05+00:00</t>
  </si>
  <si>
    <t>https://bellingcat-archive.nyc3.cdn.digitaloceanspaces.com/Ukraine_Witness_Datasheet/Worksheet/youtube_dl__alona_she_status_14978589459810713602022-02-27T13:11:53.890057.png</t>
  </si>
  <si>
    <t>9d3b8776995f4c72062b444d95cfcb742177e0acd9d68986c4f4fd69ae5d43a3</t>
  </si>
  <si>
    <t>https://bellingcat-archive.nyc3.cdn.digitaloceanspaces.com/Ukraine_Witness_Datasheet/Worksheet/youtube_dl_1497858945981071360/index.html</t>
  </si>
  <si>
    <t>Alona Shestopalova - Update: one of Sumy's districts this morning. There are also a lot of fires in the city after yesterday's bombardment. My family is okay so far.</t>
  </si>
  <si>
    <t>2022-02-27T09:59:36+00:00</t>
  </si>
  <si>
    <t>https://twitter.com/shaunwalker7/status/1497868180492017664</t>
  </si>
  <si>
    <t>CIV0067</t>
  </si>
  <si>
    <t>damaged military equipment in Mykolaiv</t>
  </si>
  <si>
    <t>Mykolaiv oblast</t>
  </si>
  <si>
    <t>UW0815</t>
  </si>
  <si>
    <t>https://bellingcat-archive.nyc3.cdn.digitaloceanspaces.com/Ukraine_Witness_Datasheet/Worksheet/youtube_dl_1497868180492017664.mp4</t>
  </si>
  <si>
    <t>2022-02-27T13:12:19+00:00</t>
  </si>
  <si>
    <t>https://bellingcat-archive.nyc3.cdn.digitaloceanspaces.com/Ukraine_Witness_Datasheet/Worksheet/youtube_dl__shaunwalker7_status_14978681804920176642022-02-27T13:12:07.993135.png</t>
  </si>
  <si>
    <t>25ce173f5d9986edf954acf2695ce95d861d57eeec07126124260d117770e8a1</t>
  </si>
  <si>
    <t>https://bellingcat-archive.nyc3.cdn.digitaloceanspaces.com/Ukraine_Witness_Datasheet/Worksheet/youtube_dl_1497868180492017664/index.html</t>
  </si>
  <si>
    <t>Shaun Walker - Video reportedly from Mykolaiv, in southern ukraine between Kherson and Odessa</t>
  </si>
  <si>
    <t>2022-02-27T10:36:17+00:00</t>
  </si>
  <si>
    <t>https://twitter.com/TemnyVyriy/status/1497865284048326656</t>
  </si>
  <si>
    <t>Russian fuel trucks driving though town center</t>
  </si>
  <si>
    <t>UW0816</t>
  </si>
  <si>
    <t>https://bellingcat-archive.nyc3.cdn.digitaloceanspaces.com/Ukraine_Witness_Datasheet/Worksheet/youtube_dl_1497865284048326656.mp4</t>
  </si>
  <si>
    <t>2022-02-27T13:12:33+00:00</t>
  </si>
  <si>
    <t>https://bellingcat-archive.nyc3.cdn.digitaloceanspaces.com/Ukraine_Witness_Datasheet/Worksheet/youtube_dl__TemnyVyriy_status_14978652840483266562022-02-27T13:12:22.464029.png</t>
  </si>
  <si>
    <t>6d11f7feb09d85293db9bc32d896f7e45d9bb91ac7af9c2862f8833db3e772d3</t>
  </si>
  <si>
    <t>https://bellingcat-archive.nyc3.cdn.digitaloceanspaces.com/Ukraine_Witness_Datasheet/Worksheet/youtube_dl_1497865284048326656/index.html</t>
  </si>
  <si>
    <t>Темний Вирій - Куп'янськ! Терміново їбаште москальські бензовози. Вони їдуть беззахисні.</t>
  </si>
  <si>
    <t>2022-02-27T10:24:47+00:00</t>
  </si>
  <si>
    <t>https://twitter.com/Nat_anest/status/1497839452013666306</t>
  </si>
  <si>
    <t xml:space="preserve">Russian military shooting at infrastructure </t>
  </si>
  <si>
    <t>UW0817</t>
  </si>
  <si>
    <t>https://bellingcat-archive.nyc3.cdn.digitaloceanspaces.com/Ukraine_Witness_Datasheet/Worksheet/youtube_dl_1497839452013666306.mp4</t>
  </si>
  <si>
    <t>2022-02-27T13:12:47+00:00</t>
  </si>
  <si>
    <t>https://bellingcat-archive.nyc3.cdn.digitaloceanspaces.com/Ukraine_Witness_Datasheet/Worksheet/youtube_dl__Nat_anest_status_14978394520136663062022-02-27T13:12:35.875068.png</t>
  </si>
  <si>
    <t>a3280d7ee4cec566b2a5cd475bbbd91a8042354a1b9114c0c24a87047bff3ce5</t>
  </si>
  <si>
    <t>https://bellingcat-archive.nyc3.cdn.digitaloceanspaces.com/Ukraine_Witness_Datasheet/Worksheet/youtube_dl_1497839452013666306/index.html</t>
  </si>
  <si>
    <t>do not resuscitate - Це Буча , район Новуса   Руські настільки перелякані  що почали воювати с пам'ятником .  Хто знає Бучу, там БТР стоїть, але ж він пам'ятник.  Дебіли блять</t>
  </si>
  <si>
    <t>2022-02-27T08:42:08+00:00</t>
  </si>
  <si>
    <t>https://twitter.com/RALee85/status/1497847575965224960</t>
  </si>
  <si>
    <t>UW0818</t>
  </si>
  <si>
    <t>https://bellingcat-archive.nyc3.cdn.digitaloceanspaces.com/Ukraine_Witness_Datasheet/Worksheet/youtube_dl_1497847575965224960.mp4</t>
  </si>
  <si>
    <t>2022-02-27T13:13:17+00:00</t>
  </si>
  <si>
    <t>https://bellingcat-archive.nyc3.cdn.digitaloceanspaces.com/Ukraine_Witness_Datasheet/Worksheet/youtube_dl__RALee85_status_14978475759652249602022-02-27T13:13:02.516422.png</t>
  </si>
  <si>
    <t>11bfcbb881f4d4bfad0502b9d11e8e238be5bd251ebd8a8b187df4cf6b94f610</t>
  </si>
  <si>
    <t>https://bellingcat-archive.nyc3.cdn.digitaloceanspaces.com/Ukraine_Witness_Datasheet/Worksheet/youtube_dl_1497847575965224960/index.html</t>
  </si>
  <si>
    <t>Rob Lee - Another video of the damage caused by Russian strikes in Mykolaiv.</t>
  </si>
  <si>
    <t>2022-02-27T09:14:25+00:00</t>
  </si>
  <si>
    <t>https://twitter.com/4_Ukraine_/status/1497877696939970564</t>
  </si>
  <si>
    <t>Explosion near Kyiv</t>
  </si>
  <si>
    <t>UW0819</t>
  </si>
  <si>
    <t>https://bellingcat-archive.nyc3.cdn.digitaloceanspaces.com/Ukraine_Witness_Datasheet/Worksheet/youtube_dl_1497877696939970564.mp4</t>
  </si>
  <si>
    <t>2022-02-27T13:13:31+00:00</t>
  </si>
  <si>
    <t>https://bellingcat-archive.nyc3.cdn.digitaloceanspaces.com/Ukraine_Witness_Datasheet/Worksheet/youtube_dl__4_Ukraine__status_14978776969399705642022-02-27T13:13:19.719635.png</t>
  </si>
  <si>
    <t>78b34f44547aa178793060736f1003fed29ada3798e5e44653f32dff20289871</t>
  </si>
  <si>
    <t>https://bellingcat-archive.nyc3.cdn.digitaloceanspaces.com/Ukraine_Witness_Datasheet/Worksheet/youtube_dl_1497877696939970564/index.html</t>
  </si>
  <si>
    <t>War in Ukraine - Massive explosion near Kiev in #Ukraine  #StopRussia #UkraineRussia #UkraineWar #UkraineInvasion #UkraineUnderAttack #PutinIsaWarCriminal</t>
  </si>
  <si>
    <t>2022-02-27T11:14:06+00:00</t>
  </si>
  <si>
    <t>https://twitter.com/girkingirkin/status/1497879296546799617?s=21</t>
  </si>
  <si>
    <t>Abandoned russian equipment</t>
  </si>
  <si>
    <t>Posad-Pokrovs'ke</t>
  </si>
  <si>
    <t>UW0820</t>
  </si>
  <si>
    <t>https://bellingcat-archive.nyc3.cdn.digitaloceanspaces.com/Ukraine_Witness_Datasheet/Worksheet/youtube_dl_1497879296546799617.mp4</t>
  </si>
  <si>
    <t>2022-02-27T13:13:44+00:00</t>
  </si>
  <si>
    <t>https://bellingcat-archive.nyc3.cdn.digitaloceanspaces.com/Ukraine_Witness_Datasheet/Worksheet/youtube_dl__girkingirkin_status_14978792965467996172022-02-27T13:13:33.282178.png</t>
  </si>
  <si>
    <t>7accd690be15da465cf84d06662c3eb342a861b1adac16ca2142bb067bae3a04</t>
  </si>
  <si>
    <t>https://bellingcat-archive.nyc3.cdn.digitaloceanspaces.com/Ukraine_Witness_Datasheet/Worksheet/youtube_dl_1497879296546799617/index.html</t>
  </si>
  <si>
    <t>IgorGirkin - Покинутий дорогою на Миколаїв.   Відео знято у селі Посад Покровське на межі Миколаївщини та Херсонщини.  Чоловіки, жителі села взяли в полон російського солдата 20-ти років. Він повідомив, що був змушений всю ніч просидіти в танку на трасі, а решта пішла, бо підбили командира.</t>
  </si>
  <si>
    <t>2022-02-27T11:20:28+00:00</t>
  </si>
  <si>
    <t>https://twitter.com/Ivanivanovi9/status/1497824101116878848?s=20&amp;t=oKMFtSjrWvorHLr6FiJOAQ</t>
  </si>
  <si>
    <t>Abandoned / destroyed russian equipment</t>
  </si>
  <si>
    <t>UW0821</t>
  </si>
  <si>
    <t>https://bellingcat-archive.nyc3.cdn.digitaloceanspaces.com/Ukraine_Witness_Datasheet/Worksheet/youtube_dl_1497824101116878848.mp4</t>
  </si>
  <si>
    <t>2022-02-27T13:13:59+00:00</t>
  </si>
  <si>
    <t>https://bellingcat-archive.nyc3.cdn.digitaloceanspaces.com/Ukraine_Witness_Datasheet/Worksheet/youtube_dl__Ivanivanovi9_status_14978241011168788482022-02-27T13:13:47.079294.png</t>
  </si>
  <si>
    <t>7d65a3198819e98428865609c1265c992001854691130983d12c627b283743d8</t>
  </si>
  <si>
    <t>https://bellingcat-archive.nyc3.cdn.digitaloceanspaces.com/Ukraine_Witness_Datasheet/Worksheet/youtube_dl_1497824101116878848/index.html</t>
  </si>
  <si>
    <t>Ніколи не здавайтеся 🇺🇦 - https://t.co/agnb9lI3vy</t>
  </si>
  <si>
    <t>2022-02-27T07:41:08+00:00</t>
  </si>
  <si>
    <t>Footage inside apartment showing explosion damage</t>
  </si>
  <si>
    <t>UW0822</t>
  </si>
  <si>
    <t>2022-02-27T13:14:14+00:00</t>
  </si>
  <si>
    <t>https://bellingcat-archive.nyc3.cdn.digitaloceanspaces.com/Ukraine_Witness_Datasheet/Worksheet/youtube_dl__bbcrussian_status_14972642173171548162022-02-27T13:14:01.914816.png</t>
  </si>
  <si>
    <t>Dashcam footage showing MLRS barrage at intersection</t>
  </si>
  <si>
    <t>Oleksiyivka</t>
  </si>
  <si>
    <t>Kharviv</t>
  </si>
  <si>
    <t>UW0823</t>
  </si>
  <si>
    <t>2022-02-27T13:14:27+00:00</t>
  </si>
  <si>
    <t>https://bellingcat-archive.nyc3.cdn.digitaloceanspaces.com/Ukraine_Witness_Datasheet/Worksheet/youtube_dl__Archer83Able_status_14972668032145326092022-02-27T13:14:16.311961.png</t>
  </si>
  <si>
    <t>https://twitter.com/Shrik_E/status/1497275830094942209?s=20&amp;t=BhgLyIwl7YttliBZTDA7LQ</t>
  </si>
  <si>
    <t>CIV0038</t>
  </si>
  <si>
    <t>One person killed in apparent artillery strike</t>
  </si>
  <si>
    <t>Buhas</t>
  </si>
  <si>
    <t>UW0824</t>
  </si>
  <si>
    <t>https://bellingcat-archive.nyc3.cdn.digitaloceanspaces.com/Ukraine_Witness_Datasheet/Worksheet/youtube_dl_1497275830094942209.mp4</t>
  </si>
  <si>
    <t>2022-02-27T13:15:01+00:00</t>
  </si>
  <si>
    <t>https://bellingcat-archive.nyc3.cdn.digitaloceanspaces.com/Ukraine_Witness_Datasheet/Worksheet/youtube_dl__Shrik_E_status_14972758300949422092022-02-27T13:14:45.634240.png</t>
  </si>
  <si>
    <t>f079dfe8c7807872d7cd01c1ce755ee4097e433161402eaacf8cdf62a052fea7</t>
  </si>
  <si>
    <t>https://bellingcat-archive.nyc3.cdn.digitaloceanspaces.com/Ukraine_Witness_Datasheet/Worksheet/youtube_dl_1497275830094942209/index.html</t>
  </si>
  <si>
    <t>Shrike - Бугас, под Волноваха.</t>
  </si>
  <si>
    <t>2022-02-25T19:22:30+00:00</t>
  </si>
  <si>
    <t>https://t.me/nexta_live/17441</t>
  </si>
  <si>
    <t>CIV0039</t>
  </si>
  <si>
    <t>Civilian dead inside bullet-ridden vehicle</t>
  </si>
  <si>
    <t>UW0825</t>
  </si>
  <si>
    <t>https://bellingcat-archive.nyc3.cdn.digitaloceanspaces.com/Ukraine_Witness_Datasheet/Worksheet/telegram_985fdf2aa0.mp4</t>
  </si>
  <si>
    <t>2022-02-27T13:15:26+00:00</t>
  </si>
  <si>
    <t>https://bellingcat-archive.nyc3.cdn.digitaloceanspaces.com/Ukraine_Witness_Datasheet/Worksheet/telegram__nexta_live_174412022-02-27T13:15:01.889254.png</t>
  </si>
  <si>
    <t>89eb77be50728772bee210102bb661a2586658f1a253e12f1462e7be965393e0</t>
  </si>
  <si>
    <t>https://bellingcat-archive.nyc3.cdn.digitaloceanspaces.com/Ukraine_Witness_Datasheet/Worksheet/telegram_985fdf2aa0/index.html</t>
  </si>
  <si>
    <t>2022-02-25T23:08:03+00:00</t>
  </si>
  <si>
    <t>https://t.me/hueviykharkov/46384</t>
  </si>
  <si>
    <t>CIV0040</t>
  </si>
  <si>
    <t>Blast damage to zoo facilities (Feldman Ecopark)</t>
  </si>
  <si>
    <t>UW0826</t>
  </si>
  <si>
    <t>https://bellingcat-archive.nyc3.cdn.digitaloceanspaces.com/Ukraine_Witness_Datasheet/Worksheet/telegram_96103dc370.mp4</t>
  </si>
  <si>
    <t>2022-02-27T13:15:45+00:00</t>
  </si>
  <si>
    <t>https://bellingcat-archive.nyc3.cdn.digitaloceanspaces.com/Ukraine_Witness_Datasheet/Worksheet/telegram__hueviykharkov_463842022-02-27T13:15:26.967639.png</t>
  </si>
  <si>
    <t>af78e68782b0e1d8671821927ddf6e22b7713ed44981a7df4fc7a32c7df0ae2b</t>
  </si>
  <si>
    <t>https://bellingcat-archive.nyc3.cdn.digitaloceanspaces.com/Ukraine_Witness_Datasheet/Worksheet/telegram_96103dc370/index.html</t>
  </si>
  <si>
    <t>2022-02-25T23:48:38+00:00</t>
  </si>
  <si>
    <t>https://twitter.com/GirkinGirkin/status/1497882691135410176?s=20&amp;t=oKMFtSjrWvorHLr6FiJOAQ</t>
  </si>
  <si>
    <t xml:space="preserve">Destroyed Russian military equipment in Sumy </t>
  </si>
  <si>
    <t>UW0827</t>
  </si>
  <si>
    <t>https://bellingcat-archive.nyc3.cdn.digitaloceanspaces.com/Ukraine_Witness_Datasheet/Worksheet/youtube_dl_1497882691135410176.mp4</t>
  </si>
  <si>
    <t>2022-02-27T13:16:10+00:00</t>
  </si>
  <si>
    <t>https://bellingcat-archive.nyc3.cdn.digitaloceanspaces.com/Ukraine_Witness_Datasheet/Worksheet/youtube_dl__GirkinGirkin_status_14978826911354101762022-02-27T13:15:58.662347.png</t>
  </si>
  <si>
    <t>910209531bb95e21c35cb06e650ef01a7bd7b2f3be02dc0aa98b08b9ef5df38a</t>
  </si>
  <si>
    <t>https://bellingcat-archive.nyc3.cdn.digitaloceanspaces.com/Ukraine_Witness_Datasheet/Worksheet/youtube_dl_1497882691135410176/index.html</t>
  </si>
  <si>
    <t>IgorGirkin - Сумы, битая техника вс рф</t>
  </si>
  <si>
    <t>2022-02-27T11:33:57+00:00</t>
  </si>
  <si>
    <t>https://twitter.com/nexta_tv/status/1497459977350492171?t=uhQX4I33v87Edfo-hKJZBA&amp;s=19</t>
  </si>
  <si>
    <t>CIV0041</t>
  </si>
  <si>
    <t>Civilian building hit by missile</t>
  </si>
  <si>
    <t>UW0828</t>
  </si>
  <si>
    <t>https://bellingcat-archive.nyc3.cdn.digitaloceanspaces.com/Ukraine_Witness_Datasheet/Worksheet/twitter__nexta_tv_status_1497459977350492171.html</t>
  </si>
  <si>
    <t>2022-02-27T13:16:21+00:00</t>
  </si>
  <si>
    <t>https://bellingcat-archive.nyc3.cdn.digitaloceanspaces.com/Ukraine_Witness_Datasheet/Worksheet/twitter__nexta_tv_status_14974599773504921712022-02-27T13:16:12.508286.png</t>
  </si>
  <si>
    <t>28f7646f7a65e9772757c982b0cb082771c30574af26d26ae456f054d82aedcc</t>
  </si>
  <si>
    <t>26/02/2023</t>
  </si>
  <si>
    <t>https://twitter.com/brenna__smith/status/1497464178528903171</t>
  </si>
  <si>
    <t>UW0829</t>
  </si>
  <si>
    <t>wayback: Internet Archive failed: {'duration_sec': 5.131, 'message': 'The server cannot find the requested resource https://twitter.com/brenna__smith/status/1497464178528903171 (HTTP status=404).', 'job_id': 'spn2-df00e48b0dbd1c14099aea98679c0c53ba853e1e-11ff3cde', 'status': 'error', 'status_ext': 'error:not-found', 'resources': []}</t>
  </si>
  <si>
    <t>2022-02-27T13:17:19+00:00</t>
  </si>
  <si>
    <t>26/02/2024</t>
  </si>
  <si>
    <t>https://twitter.com/BNONews/status/1497479518684073984</t>
  </si>
  <si>
    <t>UW0830</t>
  </si>
  <si>
    <t>https://bellingcat-archive.nyc3.cdn.digitaloceanspaces.com/Ukraine_Witness_Datasheet/Worksheet/youtube_dl_1497479518684073984.mp4</t>
  </si>
  <si>
    <t>2022-02-27T13:17:36+00:00</t>
  </si>
  <si>
    <t>https://bellingcat-archive.nyc3.cdn.digitaloceanspaces.com/Ukraine_Witness_Datasheet/Worksheet/youtube_dl__BNONews_status_14974795186840739842022-02-27T13:17:22.496869.png</t>
  </si>
  <si>
    <t>d98ab151c835650acf660112a064d45c23bf99cdefe8dc4151520aab56b374bb</t>
  </si>
  <si>
    <t>https://bellingcat-archive.nyc3.cdn.digitaloceanspaces.com/Ukraine_Witness_Datasheet/Worksheet/youtube_dl_1497479518684073984/index.html</t>
  </si>
  <si>
    <t>BNO News - WATCH: Another video shows the moment a high-rise building in Kyiv is hit by a missile</t>
  </si>
  <si>
    <t>2022-02-26T08:51:53+00:00</t>
  </si>
  <si>
    <t>26/02/2025</t>
  </si>
  <si>
    <t>https://t.me/Pravda_Gerashchenko/392</t>
  </si>
  <si>
    <t>UW0831</t>
  </si>
  <si>
    <t>https://bellingcat-archive.nyc3.cdn.digitaloceanspaces.com/Ukraine_Witness_Datasheet/Worksheet/telegram__Pravda_Gerashchenko_392.html</t>
  </si>
  <si>
    <t>2022-02-27T13:17:53+00:00</t>
  </si>
  <si>
    <t>https://bellingcat-archive.nyc3.cdn.digitaloceanspaces.com/Ukraine_Witness_Datasheet/Worksheet/telegram__Pravda_Gerashchenko_3922022-02-27T13:17:36.786972.png</t>
  </si>
  <si>
    <t>7cd656bba61c20d0989525bc3e21f77b67518112169288cab034d2a668cda6aa</t>
  </si>
  <si>
    <t>26/02/2027</t>
  </si>
  <si>
    <t>https://t.me/nexta_live/17610</t>
  </si>
  <si>
    <t>UW0833</t>
  </si>
  <si>
    <t>https://bellingcat-archive.nyc3.cdn.digitaloceanspaces.com/Ukraine_Witness_Datasheet/Worksheet/telegram_ccfb9ab5f8.mp4</t>
  </si>
  <si>
    <t>2022-02-27T13:18:35+00:00</t>
  </si>
  <si>
    <t>https://bellingcat-archive.nyc3.cdn.digitaloceanspaces.com/Ukraine_Witness_Datasheet/Worksheet/telegram__nexta_live_176102022-02-27T13:17:53.666513.png</t>
  </si>
  <si>
    <t>77e7d8a707721f2445de64fbec17347ecca06c3bb251529ca7a38b494a8d731b</t>
  </si>
  <si>
    <t>https://bellingcat-archive.nyc3.cdn.digitaloceanspaces.com/Ukraine_Witness_Datasheet/Worksheet/telegram_ccfb9ab5f8/index.html</t>
  </si>
  <si>
    <t>2022-02-26T07:27:31+00:00</t>
  </si>
  <si>
    <t>26/02/2028</t>
  </si>
  <si>
    <t>https://t.me/Pravda_Gerashchenko/404</t>
  </si>
  <si>
    <t>UW0834</t>
  </si>
  <si>
    <t>https://bellingcat-archive.nyc3.cdn.digitaloceanspaces.com/Ukraine_Witness_Datasheet/Worksheet/telegram__Pravda_Gerashchenko_404.html</t>
  </si>
  <si>
    <t>2022-02-27T13:18:43+00:00</t>
  </si>
  <si>
    <t>https://bellingcat-archive.nyc3.cdn.digitaloceanspaces.com/Ukraine_Witness_Datasheet/Worksheet/telegram__Pravda_Gerashchenko_4042022-02-27T13:18:35.423042.png</t>
  </si>
  <si>
    <t>e4609680e65ef6c6562dcb5f9111b3b7c7c0d14569c1df3b7add3b061d6287f0</t>
  </si>
  <si>
    <t>26/02/2029</t>
  </si>
  <si>
    <t>https://twitter.com/christogrozev/status/1497459660357574660</t>
  </si>
  <si>
    <t>UW0835</t>
  </si>
  <si>
    <t>https://bellingcat-archive.nyc3.cdn.digitaloceanspaces.com/Ukraine_Witness_Datasheet/Worksheet/youtube_dl_1497459660357574660.mp4</t>
  </si>
  <si>
    <t>2022-02-27T13:18:56+00:00</t>
  </si>
  <si>
    <t>https://bellingcat-archive.nyc3.cdn.digitaloceanspaces.com/Ukraine_Witness_Datasheet/Worksheet/youtube_dl__christogrozev_status_14974596603575746602022-02-27T13:18:45.171769.png</t>
  </si>
  <si>
    <t>4becd0e01565c33010ad53e3af8fca67193d3d6be57c1e921fbb9ed8d87fc6c7</t>
  </si>
  <si>
    <t>https://bellingcat-archive.nyc3.cdn.digitaloceanspaces.com/Ukraine_Witness_Datasheet/Worksheet/youtube_dl_1497459660357574660/index.html</t>
  </si>
  <si>
    <t>Christo Grozev - A missile struck a highrise residential building not far from Zhuliani airport in Kyiv</t>
  </si>
  <si>
    <t>2022-02-26T07:32:59+00:00</t>
  </si>
  <si>
    <t>26/02/2030</t>
  </si>
  <si>
    <t>https://t.me/hueviykharkov/46417</t>
  </si>
  <si>
    <t>UW0836</t>
  </si>
  <si>
    <t>https://bellingcat-archive.nyc3.cdn.digitaloceanspaces.com/Ukraine_Witness_Datasheet/Worksheet/telegram_105e99f3c7.mp4</t>
  </si>
  <si>
    <t>2022-02-27T13:19:21+00:00</t>
  </si>
  <si>
    <t>https://bellingcat-archive.nyc3.cdn.digitaloceanspaces.com/Ukraine_Witness_Datasheet/Worksheet/telegram__hueviykharkov_464172022-02-27T13:18:56.801861.png</t>
  </si>
  <si>
    <t>46a85289b14a95af35edffeb0ab5861d2a55a953b8c1c3aa898585e3c0ab02cb</t>
  </si>
  <si>
    <t>https://bellingcat-archive.nyc3.cdn.digitaloceanspaces.com/Ukraine_Witness_Datasheet/Worksheet/telegram_105e99f3c7/index.html</t>
  </si>
  <si>
    <t>2022-02-26T07:10:22+00:00</t>
  </si>
  <si>
    <t>https://twitter.com/XyKyiv/status/1497856583040000000?s=20&amp;t=pgyMuu7fv3KIdhg1WGlDHQ</t>
  </si>
  <si>
    <t>Ukrainian forces fire an RPG at a Russian tank</t>
  </si>
  <si>
    <t>UW0837</t>
  </si>
  <si>
    <t>https://bellingcat-archive.nyc3.cdn.digitaloceanspaces.com/Ukraine_Witness_Datasheet/Worksheet/youtube_dl_1497856583040000000.mp4</t>
  </si>
  <si>
    <t>2022-02-27T13:19:35+00:00</t>
  </si>
  <si>
    <t>https://bellingcat-archive.nyc3.cdn.digitaloceanspaces.com/Ukraine_Witness_Datasheet/Worksheet/youtube_dl__XyKyiv_status_14978565830400000002022-02-27T13:19:24.402344.png</t>
  </si>
  <si>
    <t>81c8760cc893ab4286a93ad7463a67c795b5267652a57bebd167c927c051ed86</t>
  </si>
  <si>
    <t>https://bellingcat-archive.nyc3.cdn.digitaloceanspaces.com/Ukraine_Witness_Datasheet/Worksheet/youtube_dl_1497856583040000000/index.html</t>
  </si>
  <si>
    <t>Хyёвий Київ - Суми сьогодні зранку. Мінус танк русні.</t>
  </si>
  <si>
    <t>2022-02-27T09:50:12+00:00</t>
  </si>
  <si>
    <t>https://t.me/nexta_live/17711</t>
  </si>
  <si>
    <t>CIV0042</t>
  </si>
  <si>
    <t>Apartment building on fire; three reported injured</t>
  </si>
  <si>
    <t>Chernihiv</t>
  </si>
  <si>
    <t>UW0838</t>
  </si>
  <si>
    <t>https://bellingcat-archive.nyc3.cdn.digitaloceanspaces.com/Ukraine_Witness_Datasheet/Worksheet/telegram_b21194059f.mp4</t>
  </si>
  <si>
    <t>2022-02-27T13:19:59+00:00</t>
  </si>
  <si>
    <t>https://bellingcat-archive.nyc3.cdn.digitaloceanspaces.com/Ukraine_Witness_Datasheet/Worksheet/telegram__nexta_live_177112022-02-27T13:19:35.854846.png</t>
  </si>
  <si>
    <t>a44d39111ec893e3d8c49e882b54b006d7cab935f23a620815796cd27db0679e</t>
  </si>
  <si>
    <t>https://bellingcat-archive.nyc3.cdn.digitaloceanspaces.com/Ukraine_Witness_Datasheet/Worksheet/telegram_b21194059f/index.html</t>
  </si>
  <si>
    <t>2022-02-26T11:43:52+00:00</t>
  </si>
  <si>
    <t>https://t.me/nexta_live/17717</t>
  </si>
  <si>
    <t>UW0839</t>
  </si>
  <si>
    <t>https://bellingcat-archive.nyc3.cdn.digitaloceanspaces.com/Ukraine_Witness_Datasheet/Worksheet/telegram_b8b5542694.mp4</t>
  </si>
  <si>
    <t>2022-02-27T13:20:21+00:00</t>
  </si>
  <si>
    <t>https://bellingcat-archive.nyc3.cdn.digitaloceanspaces.com/Ukraine_Witness_Datasheet/Worksheet/telegram__nexta_live_177172022-02-27T13:20:00.207089.png</t>
  </si>
  <si>
    <t>d4080e3ef2aab1cfdc1d031f4116bdb2fcbf3904e71569bf4be2745a58991e90</t>
  </si>
  <si>
    <t>https://bellingcat-archive.nyc3.cdn.digitaloceanspaces.com/Ukraine_Witness_Datasheet/Worksheet/telegram_b8b5542694/index.html</t>
  </si>
  <si>
    <t>2022-02-26T12:03:26+00:00</t>
  </si>
  <si>
    <t>https://twitter.com/MarQs__/status/1497574553677176834?s=20&amp;t=NFKCIYp_n2iFy6Kbc5Du_w</t>
  </si>
  <si>
    <t>CIV0043</t>
  </si>
  <si>
    <t>Civilians killed in alledged MLRS strike, in Sartana, next to Mariupol</t>
  </si>
  <si>
    <t>Sartana</t>
  </si>
  <si>
    <t xml:space="preserve">Radianska St. Same location as entries 830 and 835 </t>
  </si>
  <si>
    <t>UW0840</t>
  </si>
  <si>
    <t>Civilian Casualty</t>
  </si>
  <si>
    <t>https://bellingcat-archive.nyc3.cdn.digitaloceanspaces.com/Ukraine_Witness_Datasheet/Worksheet/youtube_dl_1497574553677176834.mp4</t>
  </si>
  <si>
    <t>2022-02-27T13:20:36+00:00</t>
  </si>
  <si>
    <t>https://bellingcat-archive.nyc3.cdn.digitaloceanspaces.com/Ukraine_Witness_Datasheet/Worksheet/youtube_dl__MarQs___status_14975745536771768342022-02-27T13:20:25.054514.png</t>
  </si>
  <si>
    <t>727893376c2d942f993bd0cf0333bdd279f1f2cd8be45e051b6481db11b0ff6c</t>
  </si>
  <si>
    <t>https://bellingcat-archive.nyc3.cdn.digitaloceanspaces.com/Ukraine_Witness_Datasheet/Worksheet/youtube_dl_1497574553677176834/index.html</t>
  </si>
  <si>
    <t>marqs - [Graphic] Aftermath of MLRS attack on Sartana, close to #Mariupol</t>
  </si>
  <si>
    <t>2022-02-26T15:09:31+00:00</t>
  </si>
  <si>
    <t>Giancarlo F.</t>
  </si>
  <si>
    <t>47.180628</t>
  </si>
  <si>
    <t>37.698088</t>
  </si>
  <si>
    <t>https://t.me/mariupol/3178</t>
  </si>
  <si>
    <t>Civilians killed in alledged MLRS strike</t>
  </si>
  <si>
    <t>UW0841</t>
  </si>
  <si>
    <t>https://bellingcat-archive.nyc3.cdn.digitaloceanspaces.com/Ukraine_Witness_Datasheet/Worksheet/telegram_e618902fbe.mp4</t>
  </si>
  <si>
    <t>2022-02-27T13:22:18+00:00</t>
  </si>
  <si>
    <t>https://bellingcat-archive.nyc3.cdn.digitaloceanspaces.com/Ukraine_Witness_Datasheet/Worksheet/telegram__mariupol_31782022-02-27T13:20:36.868734.png</t>
  </si>
  <si>
    <t>a393e5244f4480440bc48ff7ee3bebde82ebe034b58d36d689c3305a7f38e478</t>
  </si>
  <si>
    <t>https://bellingcat-archive.nyc3.cdn.digitaloceanspaces.com/Ukraine_Witness_Datasheet/Worksheet/telegram_e618902fbe/index.html</t>
  </si>
  <si>
    <t>2022-02-26T18:57:50+00:00</t>
  </si>
  <si>
    <t>46.74256</t>
  </si>
  <si>
    <t>32.7168</t>
  </si>
  <si>
    <t>https://twitter.com/KyivPost/status/1497592742788149252?t=mwi9wsh90zAOPil7bpTZQQ&amp;s=19</t>
  </si>
  <si>
    <t>CIV0045</t>
  </si>
  <si>
    <t>Marked civilian ambulance attacked; 2 fatalities, 1 injury</t>
  </si>
  <si>
    <t>UW0842</t>
  </si>
  <si>
    <t>https://bellingcat-archive.nyc3.cdn.digitaloceanspaces.com/Ukraine_Witness_Datasheet/Worksheet/youtube_dl_1497592742788149252.mp4</t>
  </si>
  <si>
    <t>2022-02-27T13:22:32+00:00</t>
  </si>
  <si>
    <t>https://bellingcat-archive.nyc3.cdn.digitaloceanspaces.com/Ukraine_Witness_Datasheet/Worksheet/youtube_dl__KyivPost_status_14975927427881492522022-02-27T13:22:21.813506.png</t>
  </si>
  <si>
    <t>70e306905df7ca9a221345309b22f932bee4305b426b5050d96fb5705feb8da4</t>
  </si>
  <si>
    <t>https://bellingcat-archive.nyc3.cdn.digitaloceanspaces.com/Ukraine_Witness_Datasheet/Worksheet/youtube_dl_1497592742788149252/index.html</t>
  </si>
  <si>
    <t>KyivPost - Russian forces carried out a terrorist act near Kherson when they fired at an ambulance transporting seriously wounded people. The ambulance burned down, the driver died, and a paramedic was injured.</t>
  </si>
  <si>
    <t>2022-02-26T16:21:48+00:00</t>
  </si>
  <si>
    <t>https://twitter.com/666_mancer/status/1497600148188319750?t=htrlB1wMAhxVlBfjT8CoEw&amp;s=19</t>
  </si>
  <si>
    <t>UW0843</t>
  </si>
  <si>
    <t>https://bellingcat-archive.nyc3.cdn.digitaloceanspaces.com/Ukraine_Witness_Datasheet/Worksheet/youtube_dl_1497600148188319750.mp4</t>
  </si>
  <si>
    <t>2022-02-27T13:22:50+00:00</t>
  </si>
  <si>
    <t>https://bellingcat-archive.nyc3.cdn.digitaloceanspaces.com/Ukraine_Witness_Datasheet/Worksheet/youtube_dl__666_mancer_status_14976001481883197502022-02-27T13:22:38.649320.png</t>
  </si>
  <si>
    <t>0425352c38060d580ef6788f6b99c5331276d64b3882075005204c70ead983f1</t>
  </si>
  <si>
    <t>https://bellingcat-archive.nyc3.cdn.digitaloceanspaces.com/Ukraine_Witness_Datasheet/Worksheet/youtube_dl_1497600148188319750/index.html</t>
  </si>
  <si>
    <t>Necro Mancer - #Херсон'ская обл., россияне обстреляли скорую помощь, которая везла раненого, водитель погиб, фельдшер ранен #warcrimes #браццкийнарот #RussiaInvadesUkraine</t>
  </si>
  <si>
    <t>2022-02-26T16:51:14+00:00</t>
  </si>
  <si>
    <t>https://twitter.com/KyivIndependent/status/1497632990213648391</t>
  </si>
  <si>
    <t>UW0844</t>
  </si>
  <si>
    <t>https://web.archive.org/web/20220227132335/https://twitter.com/KyivIndependent/status/1497632990213648391</t>
  </si>
  <si>
    <t>2022-02-27T13:23:52+00:00</t>
  </si>
  <si>
    <t>https://bellingcat-archive.nyc3.cdn.digitaloceanspaces.com/Ukraine_Witness_Datasheet/Worksheet/wayback__KyivIndependent_status_14976329902136483912022-02-27T13:23:42.529700.png</t>
  </si>
  <si>
    <t>The Kyiv Independent on Twitter: "⚡️Russian soldiers fire at an ambulance, kill 2, injure 1 near Kherson. Russian forces shelled the medical vehicle, blowing it up. A driver and a patient were burned alive, Segodnya news site reported. The patient was injured due to Russian shelling earlier that day." / Twitter</t>
  </si>
  <si>
    <t>https://twitter.com/Ukrainianfree66/status/1497691796847177728</t>
  </si>
  <si>
    <t>CIV0046</t>
  </si>
  <si>
    <t>Civilians killed in missile/artillery strike</t>
  </si>
  <si>
    <t>UW0845</t>
  </si>
  <si>
    <t>https://bellingcat-archive.nyc3.cdn.digitaloceanspaces.com/Ukraine_Witness_Datasheet/Worksheet/twitter__Ukrainianfree66_status_1497691796847177728.html</t>
  </si>
  <si>
    <t>2022-02-27T13:24:09+00:00</t>
  </si>
  <si>
    <t>https://bellingcat-archive.nyc3.cdn.digitaloceanspaces.com/Ukraine_Witness_Datasheet/Worksheet/twitter__Ukrainianfree66_status_14976917968471777282022-02-27T13:23:56.888092.png</t>
  </si>
  <si>
    <t>41e7e9df0d30823c7334f23481fe07f1d6cfabf6dbcf5a6e56a05027fa5f5a07</t>
  </si>
  <si>
    <t>https://twitter.com/BNONews/status/1497689775247089666</t>
  </si>
  <si>
    <t>CIV0047</t>
  </si>
  <si>
    <t>Report of 10 Greek civilians killed in Russian strike</t>
  </si>
  <si>
    <t>UW0846</t>
  </si>
  <si>
    <t>https://web.archive.org/web/20220227132454/https://twitter.com/BNONews/status/1497689775247089666</t>
  </si>
  <si>
    <t>2022-02-27T13:25:10+00:00</t>
  </si>
  <si>
    <t>https://bellingcat-archive.nyc3.cdn.digitaloceanspaces.com/Ukraine_Witness_Datasheet/Worksheet/wayback__BNONews_status_14976897752470896662022-02-27T13:25:00.366591.png</t>
  </si>
  <si>
    <t>BNO News on Twitter: "BREAKING: 10 Greek civilians killed in Russian airstrikes near Ukrainian city of Mariupol, prime minister says" / Twitter</t>
  </si>
  <si>
    <t>https://twitter.com/YWNReporter/status/1497900987448766467</t>
  </si>
  <si>
    <t>Russian equipement in town center</t>
  </si>
  <si>
    <t>UW0847</t>
  </si>
  <si>
    <t>https://bellingcat-archive.nyc3.cdn.digitaloceanspaces.com/Ukraine_Witness_Datasheet/Worksheet/youtube_dl_1497900987448766467.mp4</t>
  </si>
  <si>
    <t>2022-02-27T13:25:28+00:00</t>
  </si>
  <si>
    <t>https://bellingcat-archive.nyc3.cdn.digitaloceanspaces.com/Ukraine_Witness_Datasheet/Worksheet/youtube_dl__YWNReporter_status_14979009874487664672022-02-27T13:25:12.317407.png</t>
  </si>
  <si>
    <t>368803b0fafef45284213560736450f1995bb7a39dd0cff1c73ef189a74fa6f5</t>
  </si>
  <si>
    <t>https://bellingcat-archive.nyc3.cdn.digitaloceanspaces.com/Ukraine_Witness_Datasheet/Worksheet/youtube_dl_1497900987448766467/index.html</t>
  </si>
  <si>
    <t>Moshe Schwartz - Russian forces have reportedly taken control of Kup'yans'k, which is the 3rd largest city in the Kharkiv region of Ukraine and is a major railway junction.</t>
  </si>
  <si>
    <t>2022-02-27T12:46:39+00:00</t>
  </si>
  <si>
    <t>50.6591185</t>
  </si>
  <si>
    <t>29.96631476</t>
  </si>
  <si>
    <t>https://twitter.com/michaelh992/status/1497561328092864515?t=-dPHO_fnyf-lbS0U_mNDzg</t>
  </si>
  <si>
    <t>CIV0048</t>
  </si>
  <si>
    <t>Report of Russian artillery strike killing 3 civilians</t>
  </si>
  <si>
    <t>UW0848</t>
  </si>
  <si>
    <t>https://web.archive.org/web/20220227132613/https://twitter.com/michaelh992/status/1497561328092864515?t=-dPHO_fnyf-lbS0U_mNDzg</t>
  </si>
  <si>
    <t>2022-02-27T13:26:30+00:00</t>
  </si>
  <si>
    <t>https://bellingcat-archive.nyc3.cdn.digitaloceanspaces.com/Ukraine_Witness_Datasheet/Worksheet/wayback__michaelh992_status_14975613280928645152022-02-27T13:26:20.164646.png</t>
  </si>
  <si>
    <t>https://twitter.com/24UkraineNews/status/1497556546334699526?s=20&amp;t=LWRuPZQx2D6yjJCx8E4jUw</t>
  </si>
  <si>
    <t>UW0849</t>
  </si>
  <si>
    <t>https://web.archive.org/web/20220227132717/https://twitter.com/24UkraineNews/status/1497556546334699526?s=20&amp;t=LWRuPZQx2D6yjJCx8E4jUw</t>
  </si>
  <si>
    <t>2022-02-27T13:27:31+00:00</t>
  </si>
  <si>
    <t>https://bellingcat-archive.nyc3.cdn.digitaloceanspaces.com/Ukraine_Witness_Datasheet/Worksheet/wayback__24UkraineNews_status_14975565463346995262022-02-27T13:27:21.542555.png</t>
  </si>
  <si>
    <t>https://twitter.com/TRTRussian/status/1497565167793618944?s=20&amp;t=LWRuPZQx2D6yjJCx8E4jUw</t>
  </si>
  <si>
    <t>UW0850</t>
  </si>
  <si>
    <t>https://bellingcat-archive.nyc3.cdn.digitaloceanspaces.com/Ukraine_Witness_Datasheet/Worksheet/youtube_dl_1497565167793618944.mp4</t>
  </si>
  <si>
    <t>2022-02-27T13:27:50+00:00</t>
  </si>
  <si>
    <t>https://bellingcat-archive.nyc3.cdn.digitaloceanspaces.com/Ukraine_Witness_Datasheet/Worksheet/youtube_dl__TRTRussian_status_14975651677936189442022-02-27T13:27:37.342445.png</t>
  </si>
  <si>
    <t>da9393a9558fdc0c9b56221c771bc46c273f929b0c284186199e6d832bbdf19a</t>
  </si>
  <si>
    <t>https://bellingcat-archive.nyc3.cdn.digitaloceanspaces.com/Ukraine_Witness_Datasheet/Worksheet/youtube_dl_1497565167793618944/index.html</t>
  </si>
  <si>
    <t>TRT на русском - #Киевская область: в 13.40 в пгт #Бородянка Бучанского района в результате попадания снаряда в жилой дом погибло 3 человека. Возможно под завалами находится еще 3 человека, сообщает ГСЧС.</t>
  </si>
  <si>
    <t>2022-02-26T14:32:14+00:00</t>
  </si>
  <si>
    <t>https://twitter.com/hiko_cat_/status/1497559906467078144?s=20&amp;t=LWRuPZQx2D6yjJCx8E4jUw</t>
  </si>
  <si>
    <t>UW0851</t>
  </si>
  <si>
    <t>https://bellingcat-archive.nyc3.cdn.digitaloceanspaces.com/Ukraine_Witness_Datasheet/Worksheet/twitter__hiko_cat__status_1497559906467078144.html</t>
  </si>
  <si>
    <t>2022-02-27T13:28:02+00:00</t>
  </si>
  <si>
    <t>https://bellingcat-archive.nyc3.cdn.digitaloceanspaces.com/Ukraine_Witness_Datasheet/Worksheet/twitter__hiko_cat__status_14975599064670781442022-02-27T13:27:52.233960.png</t>
  </si>
  <si>
    <t>4c982c7252acc8716d838716b763b2ea1ff35129cb3fc25c23635ded010a7589</t>
  </si>
  <si>
    <t>https://t.me/nexta_live/17843</t>
  </si>
  <si>
    <t>CIV0049</t>
  </si>
  <si>
    <t>Residential building on fire</t>
  </si>
  <si>
    <t>UW0852</t>
  </si>
  <si>
    <t>https://bellingcat-archive.nyc3.cdn.digitaloceanspaces.com/Ukraine_Witness_Datasheet/Worksheet/telegram_881652ddb9.mp4</t>
  </si>
  <si>
    <t>2022-02-27T13:28:38+00:00</t>
  </si>
  <si>
    <t>https://bellingcat-archive.nyc3.cdn.digitaloceanspaces.com/Ukraine_Witness_Datasheet/Worksheet/telegram__nexta_live_178432022-02-27T13:28:02.491382.png</t>
  </si>
  <si>
    <t>2eb3bb44e2246fd59a8b92f13bffcf5b0d30974727aaeff4634f5ea5c4b8be25</t>
  </si>
  <si>
    <t>https://bellingcat-archive.nyc3.cdn.digitaloceanspaces.com/Ukraine_Witness_Datasheet/Worksheet/telegram_881652ddb9/index.html</t>
  </si>
  <si>
    <t>2022-02-26T16:55:14+00:00</t>
  </si>
  <si>
    <t>26/02/2026</t>
  </si>
  <si>
    <t>https://t.me/nexta_live/17861</t>
  </si>
  <si>
    <t>CIV0050</t>
  </si>
  <si>
    <t>Residential area on fire</t>
  </si>
  <si>
    <t>UW0853</t>
  </si>
  <si>
    <t>https://bellingcat-archive.nyc3.cdn.digitaloceanspaces.com/Ukraine_Witness_Datasheet/Worksheet/telegram_6780dae7dc.mp4</t>
  </si>
  <si>
    <t>2022-02-27T13:29:12+00:00</t>
  </si>
  <si>
    <t>https://bellingcat-archive.nyc3.cdn.digitaloceanspaces.com/Ukraine_Witness_Datasheet/Worksheet/telegram__nexta_live_178612022-02-27T13:28:38.519006.png</t>
  </si>
  <si>
    <t>57ac8df8c6886b95ad149239effda7428f5b4fc606cef2bc6d07ae39bf3b9c51</t>
  </si>
  <si>
    <t>https://bellingcat-archive.nyc3.cdn.digitaloceanspaces.com/Ukraine_Witness_Datasheet/Worksheet/telegram_6780dae7dc/index.html</t>
  </si>
  <si>
    <t>2022-02-26T17:48:46+00:00</t>
  </si>
  <si>
    <t>https://t.me/mariupol/3176</t>
  </si>
  <si>
    <t>CIV0051</t>
  </si>
  <si>
    <t>Forceful seizure of civilian vehicle; civilian vehicle comes under fire</t>
  </si>
  <si>
    <t>UW0854</t>
  </si>
  <si>
    <t>https://bellingcat-archive.nyc3.cdn.digitaloceanspaces.com/Ukraine_Witness_Datasheet/Worksheet/telegram_f2115ab0f2.mp4</t>
  </si>
  <si>
    <t>2022-02-27T13:29:40+00:00</t>
  </si>
  <si>
    <t>https://bellingcat-archive.nyc3.cdn.digitaloceanspaces.com/Ukraine_Witness_Datasheet/Worksheet/telegram__mariupol_31762022-02-27T13:29:12.575667.png</t>
  </si>
  <si>
    <t>8538953bf2bf240bde579d97d4092201837d8ee563c874e3564336eb4bde85a2</t>
  </si>
  <si>
    <t>https://bellingcat-archive.nyc3.cdn.digitaloceanspaces.com/Ukraine_Witness_Datasheet/Worksheet/telegram_f2115ab0f2/index.html</t>
  </si>
  <si>
    <t>2022-02-26T18:43:13+00:00</t>
  </si>
  <si>
    <t>https://t.me/vorposte/14138</t>
  </si>
  <si>
    <t>CIV0052</t>
  </si>
  <si>
    <t>Minivan under fire, possibly civilian</t>
  </si>
  <si>
    <t>Kyriv</t>
  </si>
  <si>
    <t>UW0855</t>
  </si>
  <si>
    <t>https://bellingcat-archive.nyc3.cdn.digitaloceanspaces.com/Ukraine_Witness_Datasheet/Worksheet/telegram_15d260f7c0.mp4</t>
  </si>
  <si>
    <t>2022-02-27T13:30:28+00:00</t>
  </si>
  <si>
    <t>https://bellingcat-archive.nyc3.cdn.digitaloceanspaces.com/Ukraine_Witness_Datasheet/Worksheet/telegram__vorposte_141382022-02-27T13:29:40.793263.png</t>
  </si>
  <si>
    <t>5aa2728ab3bca72616d0577ca713d8d480006f641fd1a131b0dfcdb061ab1caa</t>
  </si>
  <si>
    <t>https://bellingcat-archive.nyc3.cdn.digitaloceanspaces.com/Ukraine_Witness_Datasheet/Worksheet/telegram_15d260f7c0/index.html</t>
  </si>
  <si>
    <t>2022-02-26T20:11:08+00:00</t>
  </si>
  <si>
    <t>50.451214</t>
  </si>
  <si>
    <t>30.481072</t>
  </si>
  <si>
    <t>https://twitter.com/YFloropoulos/status/1497691751858982912</t>
  </si>
  <si>
    <t>CIV0053</t>
  </si>
  <si>
    <t>Claim that children's hospital was hit by artillery</t>
  </si>
  <si>
    <t>Okhmadyt</t>
  </si>
  <si>
    <t>UW0856</t>
  </si>
  <si>
    <t>https://web.archive.org/web/20220227133113/https://twitter.com/YFloropoulos/status/1497691751858982912</t>
  </si>
  <si>
    <t>2022-02-27T13:31:30+00:00</t>
  </si>
  <si>
    <t>https://bellingcat-archive.nyc3.cdn.digitaloceanspaces.com/Ukraine_Witness_Datasheet/Worksheet/wayback__YFloropoulos_status_14976917518589829122022-02-27T13:31:21.335162.png</t>
  </si>
  <si>
    <t>Yiannis Floropoulos on Twitter: "#Okhmadyt children’s cancer hospital was just hit by Russian Artillery this past hour. The hospital was just updated last year!  Air &amp; helicopter attacks are happening tonight w/ war crimes on civilian targets. #Breakingnews #UkraineUnderAttack  #PutinIsaWarCriminal" / Twitter</t>
  </si>
  <si>
    <t>https://twitter.com/rezarvhimi/status/1497679376795815946</t>
  </si>
  <si>
    <t>UW0857</t>
  </si>
  <si>
    <t>https://bellingcat-archive.nyc3.cdn.digitaloceanspaces.com/Ukraine_Witness_Datasheet/Worksheet/twitter__rezarvhimi_status_1497679376795815946.html</t>
  </si>
  <si>
    <t>2022-02-27T13:31:45+00:00</t>
  </si>
  <si>
    <t>https://bellingcat-archive.nyc3.cdn.digitaloceanspaces.com/Ukraine_Witness_Datasheet/Worksheet/twitter__rezarvhimi_status_14976793767958159462022-02-27T13:31:32.327028.png</t>
  </si>
  <si>
    <t>097bdd17e0d59ca99f935dbe042ff36ac4a83e5cb560fefcd26121ee64f43013</t>
  </si>
  <si>
    <t>26/02/2031</t>
  </si>
  <si>
    <t>https://twitter.com/olex_scherba/status/1497666436596043776?s=20&amp;t=zERuHRAVwjV35XmB3oa2Ag</t>
  </si>
  <si>
    <t>UW0858</t>
  </si>
  <si>
    <t>https://bellingcat-archive.nyc3.cdn.digitaloceanspaces.com/Ukraine_Witness_Datasheet/Worksheet/twitter__olex_scherba_status_1497666436596043776.html</t>
  </si>
  <si>
    <t>2022-02-27T13:31:56+00:00</t>
  </si>
  <si>
    <t>https://bellingcat-archive.nyc3.cdn.digitaloceanspaces.com/Ukraine_Witness_Datasheet/Worksheet/twitter__olex_scherba_status_14976664365960437762022-02-27T13:31:46.800978.png</t>
  </si>
  <si>
    <t>49b12e2496a9dd3a96affc849efecebcde0b3f5f75fa4eee5e211e0e0b5a824c</t>
  </si>
  <si>
    <t>50.026301</t>
  </si>
  <si>
    <t>36.364475</t>
  </si>
  <si>
    <t>https://t.me/nexta_live/17950</t>
  </si>
  <si>
    <t>CIV0054</t>
  </si>
  <si>
    <t>Claim that civilian building was damaged by explosion</t>
  </si>
  <si>
    <t>UW0859</t>
  </si>
  <si>
    <t>https://bellingcat-archive.nyc3.cdn.digitaloceanspaces.com/Ukraine_Witness_Datasheet/Worksheet/telegram__nexta_live_17950.html</t>
  </si>
  <si>
    <t>2022-02-27T13:32:04+00:00</t>
  </si>
  <si>
    <t>https://bellingcat-archive.nyc3.cdn.digitaloceanspaces.com/Ukraine_Witness_Datasheet/Worksheet/telegram__nexta_live_179502022-02-27T13:31:56.714338.png</t>
  </si>
  <si>
    <t>4982939b9a1c174778d202982ed1a367a86098ba0e4dbe07badd09362019055e</t>
  </si>
  <si>
    <t>https://t.me/nexta_live/17951</t>
  </si>
  <si>
    <t>UW0860</t>
  </si>
  <si>
    <t>https://bellingcat-archive.nyc3.cdn.digitaloceanspaces.com/Ukraine_Witness_Datasheet/Worksheet/telegram__nexta_live_17951.html</t>
  </si>
  <si>
    <t>2022-02-27T13:32:14+00:00</t>
  </si>
  <si>
    <t>https://bellingcat-archive.nyc3.cdn.digitaloceanspaces.com/Ukraine_Witness_Datasheet/Worksheet/telegram__nexta_live_179512022-02-27T13:32:04.978989.png</t>
  </si>
  <si>
    <t>65472640442eba07560ce34dc8440a80b228ceca833727c588c2743a79bbaa23</t>
  </si>
  <si>
    <t>49.591001</t>
  </si>
  <si>
    <t>36.992622</t>
  </si>
  <si>
    <t>https://twitter.com/KyivIndependent/status/1497616576580780034?t=z-5NBKXokXf9vNgquGhaDQ&amp;s=19</t>
  </si>
  <si>
    <t>CIV0055</t>
  </si>
  <si>
    <t>Bus came under fire from Russians, multiple civilian fatalities</t>
  </si>
  <si>
    <t>----</t>
  </si>
  <si>
    <t>UW0861</t>
  </si>
  <si>
    <t>https://web.archive.org/web/20220227133259/https://twitter.com/KyivIndependent/status/1497616576580780034?t=z-5NBKXokXf9vNgquGhaDQ&amp;s=19</t>
  </si>
  <si>
    <t>2022-02-27T13:33:16+00:00</t>
  </si>
  <si>
    <t>https://bellingcat-archive.nyc3.cdn.digitaloceanspaces.com/Ukraine_Witness_Datasheet/Worksheet/wayback__KyivIndependent_status_14976165765807800342022-02-27T13:33:06.914596.png</t>
  </si>
  <si>
    <t>The Kyiv Independent on Twitter: "⚡️Russian forces fire at a bus, kill 5 and injure 6 in Kharkiv Oblast. All of the victims were residents of Toretsk, a city near the front line in Donetsk Oblast, according to Pavlo Kyrylenko, the head of the Donetsk Regional Administration." / Twitter</t>
  </si>
  <si>
    <t>https://twitter.com/lb_ua/status/1497628943666581504?t=ye6hFO6O8hUdN34jBfyq0g&amp;s=19</t>
  </si>
  <si>
    <t>CIV0056</t>
  </si>
  <si>
    <t>Family in car shot on Olena Teliga Street in Kyiv, allegedly by Russian forces</t>
  </si>
  <si>
    <t>UW0862</t>
  </si>
  <si>
    <t>https://bellingcat-archive.nyc3.cdn.digitaloceanspaces.com/Ukraine_Witness_Datasheet/Worksheet/twitter__lb_ua_status_1497628943666581504.html</t>
  </si>
  <si>
    <t>2022-02-27T13:33:33+00:00</t>
  </si>
  <si>
    <t>https://bellingcat-archive.nyc3.cdn.digitaloceanspaces.com/Ukraine_Witness_Datasheet/Worksheet/twitter__lb_ua_status_14976289436665815042022-02-27T13:33:18.266102.png</t>
  </si>
  <si>
    <t>f8e71bb44572d39499f5e197fd52890069ec93dddad767cc0c8f5dbcd8226bcb</t>
  </si>
  <si>
    <t>https://twitter.com/HromadskeUA/status/1497911021503188996</t>
  </si>
  <si>
    <t>CIV0057</t>
  </si>
  <si>
    <t>Russian artillery in residential area.</t>
  </si>
  <si>
    <t>UW0863</t>
  </si>
  <si>
    <t>wayback: Internet Archive failed: {'duration_sec': 4.62, 'message': 'The server cannot find the requested resource https://twitter.com/SputnikATO/status/1497834319569633283 (HTTP status=404).', 'job_id': 'spn2-d3fd1b4edf6d886a46689df5b81f5bc34fa80828-ca2318ff', 'status': 'error', 'status_ext': 'error:not-found', 'resources': []}</t>
  </si>
  <si>
    <t>2022-02-27T13:34:57+00:00</t>
  </si>
  <si>
    <t>https://twitter.com/666_mancer/status/1497914392209330176?s=20&amp;t=RDwybIvIB_BpUMtiuTYHeg</t>
  </si>
  <si>
    <t>Large destruction of civilian infrastructure and military equipment.</t>
  </si>
  <si>
    <t>UW0864</t>
  </si>
  <si>
    <t xml:space="preserve">Russian military loss/Civilian infrastructure damage </t>
  </si>
  <si>
    <t>https://bellingcat-archive.nyc3.cdn.digitaloceanspaces.com/Ukraine_Witness_Datasheet/Worksheet/youtube_dl_1497914392209330176.mp4</t>
  </si>
  <si>
    <t>2022-02-27T13:35:33+00:00</t>
  </si>
  <si>
    <t>https://bellingcat-archive.nyc3.cdn.digitaloceanspaces.com/Ukraine_Witness_Datasheet/Worksheet/youtube_dl__666_mancer_status_14979143922093301762022-02-27T13:35:20.588228.png</t>
  </si>
  <si>
    <t>75a9f1c439df622dfc0b583a9a1c95fe4f9a80540f8176565c961e4cb9bc7b16</t>
  </si>
  <si>
    <t>Necro Mancer - #Буча, ул. Вокзальная, куча разбитой российской техники, местный дедушка на нервах #RussiaInvidedUkraine</t>
  </si>
  <si>
    <t>2022-02-27T13:39:55+00:00</t>
  </si>
  <si>
    <t>https://twitter.com/KyivIndependent/status/1497838605154361349</t>
  </si>
  <si>
    <t>CIV0058</t>
  </si>
  <si>
    <t>2 x Dansih journalists shot.</t>
  </si>
  <si>
    <t>UW0865</t>
  </si>
  <si>
    <t>https://web.archive.org/web/20220227143221/https://twitter.com/KyivIndependent/status/1497838605154361349</t>
  </si>
  <si>
    <t>2022-02-27T14:32:38+00:00</t>
  </si>
  <si>
    <t>https://bellingcat-archive.nyc3.cdn.digitaloceanspaces.com/Ukraine_Witness_Datasheet/Worksheet/wayback__KyivIndependent_status_14978386051543613492022-02-27T14:32:28.459611.png</t>
  </si>
  <si>
    <t>The Kyiv Independent on Twitter: "⚡️Two Danish journalists shot in Okhtyrka. The Daily Beast reported that Stefan Weichert and Emil Mikkelsen were injured by gunfire in the Sumy Oblast town, but are now safe and receiving treatment in hospital." / Twitter</t>
  </si>
  <si>
    <r>
      <rPr>
        <color rgb="FF1155CC"/>
        <sz val="11.0"/>
        <u/>
      </rPr>
      <t>https://twitter.com/RALee85/status/1497853526881546241</t>
    </r>
    <r>
      <rPr>
        <color rgb="FF0563C1"/>
        <sz val="11.0"/>
      </rPr>
      <t>1</t>
    </r>
  </si>
  <si>
    <t>CIV0059</t>
  </si>
  <si>
    <t>Allegedly Russian soldiers looting a supermarket</t>
  </si>
  <si>
    <t>UW0866</t>
  </si>
  <si>
    <t>wayback: Internet Archive failed: {'duration_sec': 3.311, 'message': 'Unknown error for chrome-error://chromewebdata/ (HTTP status=0).', 'job_id': 'spn2-aa0fc843eab80755570e64682acef6391e9dceef-49c54b4b', 'status': 'error', 'status_ext': 'error:unknown', 'resources': []}</t>
  </si>
  <si>
    <t>2022-03-09T14:50:34.438613+00:00</t>
  </si>
  <si>
    <t>47.251705</t>
  </si>
  <si>
    <t>34.332519</t>
  </si>
  <si>
    <t>https://twitter.com/ASLuhn/status/1497888600146395136?t=DyIy8aDVfecvTvRQ4D1Nbw&amp;s=19</t>
  </si>
  <si>
    <t>CIV0060</t>
  </si>
  <si>
    <t>Alledged Russian soldiers stealing a safe from a bank</t>
  </si>
  <si>
    <t>UW0867</t>
  </si>
  <si>
    <t>https://bellingcat-archive.nyc3.cdn.digitaloceanspaces.com/Ukraine_Witness_Datasheet/Worksheet/youtube_dl_1497888600146395136.mp4</t>
  </si>
  <si>
    <t>2022-02-27T14:33:57+00:00</t>
  </si>
  <si>
    <t>https://bellingcat-archive.nyc3.cdn.digitaloceanspaces.com/Ukraine_Witness_Datasheet/Worksheet/youtube_dl__ASLuhn_status_14978886001463951362022-02-27T14:33:43.097119.png</t>
  </si>
  <si>
    <t>ea764de887017b91141bc9d9f86fe97646810ad416dbf13d6dab4a9bdd85241f</t>
  </si>
  <si>
    <t>https://bellingcat-archive.nyc3.cdn.digitaloceanspaces.com/Ukraine_Witness_Datasheet/Worksheet/youtube_dl_1497888600146395136/index.html</t>
  </si>
  <si>
    <t>Alec Luhn - Russian soldiers stole a safe from a Ukrainian bank in Kherson region, according to the Ukrainian military</t>
  </si>
  <si>
    <t>2022-02-27T11:57:26+00:00</t>
  </si>
  <si>
    <t>https://www.facebook.com/photo?fbid=10113065180235957&amp;set=a.860390144177</t>
  </si>
  <si>
    <t>CIV0061</t>
  </si>
  <si>
    <t>Father and son reportedly killed by Russian troops</t>
  </si>
  <si>
    <t>Dityaki, Chernobyl zone</t>
  </si>
  <si>
    <t>UW0868</t>
  </si>
  <si>
    <t>https://web.archive.org/web/20220227143401/https://www.facebook.com/photo?fbid=10113065180235957&amp;set=a.860390144177</t>
  </si>
  <si>
    <t>2022-02-27T14:34:15+00:00</t>
  </si>
  <si>
    <t>https://bellingcat-archive.nyc3.cdn.digitaloceanspaces.com/Ukraine_Witness_Datasheet/Worksheet/wayback__photo2022-02-27T14:34:05.438035.png</t>
  </si>
  <si>
    <t>https://www.pravda.com.ua/rus/news/2022/02/26/7326302/</t>
  </si>
  <si>
    <t>CIV0062</t>
  </si>
  <si>
    <t xml:space="preserve">Citizen journalist Dilerbek Shakurov reportedly killed by Russian troops </t>
  </si>
  <si>
    <t>Zelyonovka, Kherson region</t>
  </si>
  <si>
    <t>UW0869</t>
  </si>
  <si>
    <t>https://web.archive.org/web/20220227143419/https://www.pravda.com.ua/rus/news/2022/02/26/7326302/</t>
  </si>
  <si>
    <t>2022-02-27T14:34:41+00:00</t>
  </si>
  <si>
    <t>https://bellingcat-archive.nyc3.cdn.digitaloceanspaces.com/Ukraine_Witness_Datasheet/Worksheet/wayback__rus_news_2022_02_26_7326302_2022-02-27T14:34:29.874890.png</t>
  </si>
  <si>
    <t>Â Õåðñîíå ðóññêèå ðàññòðåëÿëè æóðíàëèñòà, â Õàðüêîâå – ïîïàëè â ìíîãîýòàæêó | Óêðàèíñêàÿ ïðàâäà</t>
  </si>
  <si>
    <t>https://www.facebook.com/irina.venediktova.31/posts/5257883167557909</t>
  </si>
  <si>
    <t>UW0870</t>
  </si>
  <si>
    <t>https://web.archive.org/web/20220227143444/https://www.facebook.com/login/?next=https%3A%2F%2Fwww.facebook.com%2Firina.venediktova.31%2Fposts%2F5257883167557909</t>
  </si>
  <si>
    <t>2022-02-27T14:35:00+00:00</t>
  </si>
  <si>
    <t>https://bellingcat-archive.nyc3.cdn.digitaloceanspaces.com/Ukraine_Witness_Datasheet/Worksheet/wayback__irina.venediktova.31_posts_52578831675579092022-02-27T14:34:53.039270.png</t>
  </si>
  <si>
    <t>https://twitter.com/markito0171/status/1497910069396230146</t>
  </si>
  <si>
    <t>Heavy equipment used during fighting</t>
  </si>
  <si>
    <t>Ivankiv</t>
  </si>
  <si>
    <t>UW0871</t>
  </si>
  <si>
    <t xml:space="preserve">Fighting </t>
  </si>
  <si>
    <t>https://bellingcat-archive.nyc3.cdn.digitaloceanspaces.com/Ukraine_Witness_Datasheet/Worksheet/youtube_dl_1497910069396230146.mp4</t>
  </si>
  <si>
    <t>2022-02-27T14:35:14+00:00</t>
  </si>
  <si>
    <t>https://bellingcat-archive.nyc3.cdn.digitaloceanspaces.com/Ukraine_Witness_Datasheet/Worksheet/youtube_dl__markito0171_status_14979100693962301462022-02-27T14:35:03.709514.png</t>
  </si>
  <si>
    <t>961ed541e4506c22d72882c679079c78292f4e6f3ac5c35cc69cdffed7085d55</t>
  </si>
  <si>
    <t>https://bellingcat-archive.nyc3.cdn.digitaloceanspaces.com/Ukraine_Witness_Datasheet/Worksheet/youtube_dl_1497910069396230146/index.html</t>
  </si>
  <si>
    <t>C4H10FO2P - https://t.co/CipdueGumY</t>
  </si>
  <si>
    <t>2022-02-27T13:22:45+00:00</t>
  </si>
  <si>
    <t>https://twitter.com/RALee85/status/1497916791921811457</t>
  </si>
  <si>
    <t>Collection of helicopters in field</t>
  </si>
  <si>
    <t>https://twitter.com/john_marquee/status/1497917345905274881</t>
  </si>
  <si>
    <t>UW0872</t>
  </si>
  <si>
    <t>https://bellingcat-archive.nyc3.cdn.digitaloceanspaces.com/Ukraine_Witness_Datasheet/Worksheet/youtube_dl_1497916791921811457.mp4</t>
  </si>
  <si>
    <t>2022-02-27T14:35:28+00:00</t>
  </si>
  <si>
    <t>https://bellingcat-archive.nyc3.cdn.digitaloceanspaces.com/Ukraine_Witness_Datasheet/Worksheet/youtube_dl__RALee85_status_14979167919218114572022-02-27T14:35:17.439168.png</t>
  </si>
  <si>
    <t>b502f4bfbe65ffa5c61beb6894e783be287ff27d63c18e4947f44d668f884389</t>
  </si>
  <si>
    <t>https://bellingcat-archive.nyc3.cdn.digitaloceanspaces.com/Ukraine_Witness_Datasheet/Worksheet/youtube_dl_1497916791921811457/index.html</t>
  </si>
  <si>
    <t>Rob Lee - Mi-8 helicopters with the "V" marker in Mazyr, Belarus.</t>
  </si>
  <si>
    <t>2022-02-27T13:49:27+00:00</t>
  </si>
  <si>
    <t>https://twitter.com/YWNReporter/status/1497929150526631938</t>
  </si>
  <si>
    <t>BUK system spotted</t>
  </si>
  <si>
    <t>https://twitter.com/AUT_INT/status/1497930952596770816</t>
  </si>
  <si>
    <t>Berdyans'k</t>
  </si>
  <si>
    <t>UW0873</t>
  </si>
  <si>
    <t>https://bellingcat-archive.nyc3.cdn.digitaloceanspaces.com/Ukraine_Witness_Datasheet/Worksheet/twitter__YWNReporter_status_1497929150526631938.html</t>
  </si>
  <si>
    <t>2022-02-27T14:35:39+00:00</t>
  </si>
  <si>
    <t>https://bellingcat-archive.nyc3.cdn.digitaloceanspaces.com/Ukraine_Witness_Datasheet/Worksheet/twitter__YWNReporter_status_14979291505266319382022-02-27T14:35:30.567479.png</t>
  </si>
  <si>
    <t>bf4e4ab2c27859c3c3b08c5cafd3faf7547b93e316b266fb8b405a88c75890f8</t>
  </si>
  <si>
    <t>https://t.me/truexanewsua/25194</t>
  </si>
  <si>
    <t>CIV0063</t>
  </si>
  <si>
    <t>school on fire, no reported casualties</t>
  </si>
  <si>
    <t>Shevchenka St, 220 school #134</t>
  </si>
  <si>
    <t>UW0874</t>
  </si>
  <si>
    <t>https://bellingcat-archive.nyc3.cdn.digitaloceanspaces.com/Ukraine_Witness_Datasheet/Worksheet/telegram_b8ac9bd752.mp4</t>
  </si>
  <si>
    <t>2022-02-27T14:42:47+00:00</t>
  </si>
  <si>
    <t>https://bellingcat-archive.nyc3.cdn.digitaloceanspaces.com/Ukraine_Witness_Datasheet/Worksheet/telegram__truexanewsua_251942022-02-27T14:41:08.207752.png</t>
  </si>
  <si>
    <t>eef8d9aef5d51de62516b4ac15f49d07dc61b3dc415c62e5b6e9ddc2f129e82d</t>
  </si>
  <si>
    <t>https://bellingcat-archive.nyc3.cdn.digitaloceanspaces.com/Ukraine_Witness_Datasheet/Worksheet/telegram_b8ac9bd752/index.html</t>
  </si>
  <si>
    <t>2022-02-27T14:10:35+00:00</t>
  </si>
  <si>
    <t>https://twitter.com/nexta_tv/status/1497943838823960576</t>
  </si>
  <si>
    <t>https://bellingcat-archive.nyc3.cdn.digitaloceanspaces.com/Ukraine_Witness_Datasheet/Worksheet/youtube_dl_1497943838823960576.mp4</t>
  </si>
  <si>
    <t>2022-03-02T13:01:42.395169+00:00</t>
  </si>
  <si>
    <t>https://bellingcat-archive.nyc3.cdn.digitaloceanspaces.com/Ukraine_Witness_Datasheet/Worksheet/youtube_dl__nexta_tv_status_14979438388239605762022-03-02T13:01:30.147138.png</t>
  </si>
  <si>
    <t>a326929d67f5b660722e6de9fc24155b12575723357641e674c80dfd800524c4</t>
  </si>
  <si>
    <t>https://bellingcat-archive.nyc3.cdn.digitaloceanspaces.com/Ukraine_Witness_Datasheet/Worksheet/youtube_dl_1497943838823960576/index.html</t>
  </si>
  <si>
    <t>NEXTA - A school in #Kharkov is on fire</t>
  </si>
  <si>
    <t>2022-02-27T14:36:56+00:00</t>
  </si>
  <si>
    <t>https://twitter.com/COUPSURE/status/1497659200666845186?s=20&amp;t=RDwybIvIB_BpUMtiuTYHeg</t>
  </si>
  <si>
    <t>Su-25 hit by a missile near Kherson</t>
  </si>
  <si>
    <t>https://twitter.com/john_marquee/status/1497665329052356608?s=20&amp;t=RDwybIvIB_BpUMtiuTYHeg</t>
  </si>
  <si>
    <t>Suvorovs'kyi district</t>
  </si>
  <si>
    <t>UW0875</t>
  </si>
  <si>
    <t>https://bellingcat-archive.nyc3.cdn.digitaloceanspaces.com/Ukraine_Witness_Datasheet/Worksheet/youtube_dl_1497659200666845186.mp4</t>
  </si>
  <si>
    <t>2022-02-27T14:49:13.921189+00:00</t>
  </si>
  <si>
    <t>https://bellingcat-archive.nyc3.cdn.digitaloceanspaces.com/Ukraine_Witness_Datasheet/Worksheet/youtube_dl__COUPSURE_status_14976592006668451862022-02-27T14:48:58.705820.png</t>
  </si>
  <si>
    <t>d9989b5e3e2db26dbe093dc0436ea91c030d77a94b29620e575d80c3791317f9</t>
  </si>
  <si>
    <t>https://bellingcat-archive.nyc3.cdn.digitaloceanspaces.com/Ukraine_Witness_Datasheet/Worksheet/youtube_dl_1497659200666845186/index.html</t>
  </si>
  <si>
    <t>C O U P S U R E - Su-25 hit by a MANPAD in the Kherson region</t>
  </si>
  <si>
    <t>2022-02-26T20:45:53+00:00</t>
  </si>
  <si>
    <t>https://twitter.com/UAWeapons/status/1497898218805501954</t>
  </si>
  <si>
    <t>Still of footage showing destroyed vehicles</t>
  </si>
  <si>
    <t>https://twitter.com/MCantow/status/1497936745375092737</t>
  </si>
  <si>
    <t>UW0876</t>
  </si>
  <si>
    <t>https://bellingcat-archive.nyc3.cdn.digitaloceanspaces.com/Ukraine_Witness_Datasheet/Worksheet/twitter__UAWeapons_status_1497898218805501954.html</t>
  </si>
  <si>
    <t>2022-02-27T16:05:41.570124+00:00</t>
  </si>
  <si>
    <t>https://bellingcat-archive.nyc3.cdn.digitaloceanspaces.com/Ukraine_Witness_Datasheet/Worksheet/twitter__UAWeapons_status_14978982188055019542022-02-27T16:05:29.833554.png</t>
  </si>
  <si>
    <t>c6dc0c7a856cf2be5c9735acd6bdc8cdf3ed10c8a0bb0ac8cc8024e7bd90f6c5</t>
  </si>
  <si>
    <t>2022-02-27T11:35:39+00:00</t>
  </si>
  <si>
    <t>https://twitter.com/mikroporn/status/1497947154106576898</t>
  </si>
  <si>
    <t>Russian military equipment carries casulties</t>
  </si>
  <si>
    <t>https://twitter.com/gfusfus/status/1497965445650989056</t>
  </si>
  <si>
    <t>Zarichnyi District</t>
  </si>
  <si>
    <t>UW0877</t>
  </si>
  <si>
    <t>https://bellingcat-archive.nyc3.cdn.digitaloceanspaces.com/Ukraine_Witness_Datasheet/Worksheet/youtube_dl_1497947154106576898.mp4</t>
  </si>
  <si>
    <t>2022-02-27T17:31:04.496139+00:00</t>
  </si>
  <si>
    <t>https://bellingcat-archive.nyc3.cdn.digitaloceanspaces.com/Ukraine_Witness_Datasheet/Worksheet/youtube_dl__mikroporn_status_14979471541065768982022-02-27T17:30:47.479935.png</t>
  </si>
  <si>
    <t>41238c040ec6ab7a3e5adcdce1fd349b0ab6d654489721d0b91015fa9e048aa7</t>
  </si>
  <si>
    <t>https://bellingcat-archive.nyc3.cdn.digitaloceanspaces.com/Ukraine_Witness_Datasheet/Worksheet/youtube_dl_1497947154106576898/index.html</t>
  </si>
  <si>
    <t>чумацький возик, який зміг - сука кричу чайкою з дохлих русаків на бтрі, сумчани неймовірні  я з цими придурками хвилин на 30 розминувся походу</t>
  </si>
  <si>
    <t>2022-02-27T15:50:06+00:00</t>
  </si>
  <si>
    <t>Bp</t>
  </si>
  <si>
    <t>https://twitter.com/AuroraIntel/status/1497971672028221448?s=20&amp;t=kd9vISDa_P9slI-agKgvcw</t>
  </si>
  <si>
    <t>Explosion in a Ukrainian military storage site</t>
  </si>
  <si>
    <t>https://twitter.com/COUPSURE/status/1497980448827392004?s=20&amp;t=kd9vISDa_P9slI-agKgvcw</t>
  </si>
  <si>
    <t>Zhytomyr</t>
  </si>
  <si>
    <t>UW0878</t>
  </si>
  <si>
    <t>https://bellingcat-archive.nyc3.cdn.digitaloceanspaces.com/Ukraine_Witness_Datasheet/Worksheet/youtube_dl_1497971672028221448.mp4</t>
  </si>
  <si>
    <t>2022-02-27T17:31:18.378245+00:00</t>
  </si>
  <si>
    <t>https://bellingcat-archive.nyc3.cdn.digitaloceanspaces.com/Ukraine_Witness_Datasheet/Worksheet/youtube_dl__AuroraIntel_status_14979716720282214482022-02-27T17:31:07.576472.png</t>
  </si>
  <si>
    <t>ef0b0ef6a34fcc8952281fc4566d7df6e1c4e1f5ab55c333561abe0cf624d4b9</t>
  </si>
  <si>
    <t>https://bellingcat-archive.nyc3.cdn.digitaloceanspaces.com/Ukraine_Witness_Datasheet/Worksheet/youtube_dl_1497971672028221448/index.html</t>
  </si>
  <si>
    <t>Aurora Intel - Footage reportedly of the impact.</t>
  </si>
  <si>
    <t>2022-02-27T17:27:32+00:00</t>
  </si>
  <si>
    <t>https://twitter.com/YWNReporter/status/1497987472185249794</t>
  </si>
  <si>
    <t>Russian military convoy</t>
  </si>
  <si>
    <t>https://twitter.com/gfusfus/status/1497989547203842051</t>
  </si>
  <si>
    <t>Ivankivs'kyi district</t>
  </si>
  <si>
    <t>UW0879</t>
  </si>
  <si>
    <t>https://bellingcat-archive.nyc3.cdn.digitaloceanspaces.com/Ukraine_Witness_Datasheet/Worksheet/youtube_dl_1497987472185249794.mp4</t>
  </si>
  <si>
    <t>2022-02-27T17:58:45.399094+00:00</t>
  </si>
  <si>
    <t>https://bellingcat-archive.nyc3.cdn.digitaloceanspaces.com/Ukraine_Witness_Datasheet/Worksheet/youtube_dl__YWNReporter_status_14979874721852497942022-02-27T17:58:26.505233.png</t>
  </si>
  <si>
    <t>1424ed22d9dacdc84adbcbaa76905ee8f03ea01b0489510a457d78a5f94cb6e9</t>
  </si>
  <si>
    <t>https://bellingcat-archive.nyc3.cdn.digitaloceanspaces.com/Ukraine_Witness_Datasheet/Worksheet/youtube_dl_1497987472185249794/index.html</t>
  </si>
  <si>
    <t>Moshe Schwartz - Russian convoy of troops reportedly headed south from Pripyat to Kyiv, Ukraine.</t>
  </si>
  <si>
    <t>2022-02-27T17:30:19+00:00</t>
  </si>
  <si>
    <t>https://twitter.com/666_mancer/status/1497987407630774279?s=20&amp;t=kd9vISDa_P9slI-agKgvcw</t>
  </si>
  <si>
    <t>Russian troops in a police station in Berdyansk</t>
  </si>
  <si>
    <t>Berdyansk</t>
  </si>
  <si>
    <t>UW0880</t>
  </si>
  <si>
    <t>https://bellingcat-archive.nyc3.cdn.digitaloceanspaces.com/Ukraine_Witness_Datasheet/Worksheet/youtube_dl_1497987407630774279.mp4</t>
  </si>
  <si>
    <t>2022-02-27T17:59:03.365607+00:00</t>
  </si>
  <si>
    <t>https://bellingcat-archive.nyc3.cdn.digitaloceanspaces.com/Ukraine_Witness_Datasheet/Worksheet/youtube_dl__666_mancer_status_14979874076307742792022-02-27T17:58:49.909220.png</t>
  </si>
  <si>
    <t>ff36a7b4666dddd54dede1e22ae6ab55aa6d1e4bc293668fe6a17e12e7b581d3</t>
  </si>
  <si>
    <t>https://bellingcat-archive.nyc3.cdn.digitaloceanspaces.com/Ukraine_Witness_Datasheet/Worksheet/youtube_dl_1497987407630774279/index.html</t>
  </si>
  <si>
    <t>Necro Mancer - #Бердянск, вечер 27/02/22, часть 1</t>
  </si>
  <si>
    <t>2022-02-27T17:30:03+00:00</t>
  </si>
  <si>
    <t>https://twitter.com/aldin_ww/status/1497994069993308164?s=20&amp;t=-76tuOE3jxpCAfTt9eZ9Hw</t>
  </si>
  <si>
    <t>Russian troops a the entrance to Schastia</t>
  </si>
  <si>
    <t>Schastia</t>
  </si>
  <si>
    <t>UW0881</t>
  </si>
  <si>
    <t>https://bellingcat-archive.nyc3.cdn.digitaloceanspaces.com/Ukraine_Witness_Datasheet/Worksheet/youtube_dl_1497994069993308164.mp4</t>
  </si>
  <si>
    <t>2022-02-27T19:57:05.513589+00:00</t>
  </si>
  <si>
    <t>https://bellingcat-archive.nyc3.cdn.digitaloceanspaces.com/Ukraine_Witness_Datasheet/Worksheet/youtube_dl__aldin_ww_status_14979940699933081642022-02-27T19:56:45.506962.png</t>
  </si>
  <si>
    <t>6477f55dc7800126b292c359df2d0ff4df53e0982e3252e3659cb42453c967e1</t>
  </si>
  <si>
    <t>https://bellingcat-archive.nyc3.cdn.digitaloceanspaces.com/Ukraine_Witness_Datasheet/Worksheet/youtube_dl_1497994069993308164/index.html</t>
  </si>
  <si>
    <t>Aldin 🇧🇦 - Entrance to Schastia under control of Russian Forces.</t>
  </si>
  <si>
    <t>2022-02-27T17:56:32+00:00</t>
  </si>
  <si>
    <t>https://twitter.com/Nelson_Serg/status/1497923113593585672?s=20&amp;t=-76tuOE3jxpCAfTt9eZ9Hw</t>
  </si>
  <si>
    <t>CIV0066</t>
  </si>
  <si>
    <t>Playground hit by a munition</t>
  </si>
  <si>
    <t>UW0882</t>
  </si>
  <si>
    <t>https://bellingcat-archive.nyc3.cdn.digitaloceanspaces.com/Ukraine_Witness_Datasheet/Worksheet/youtube_dl_1497923113593585672.mp4</t>
  </si>
  <si>
    <t>2022-02-28T07:26:35.609490+00:00</t>
  </si>
  <si>
    <t>https://bellingcat-archive.nyc3.cdn.digitaloceanspaces.com/Ukraine_Witness_Datasheet/Worksheet/youtube_dl__Nelson_Serg_status_14979231135935856722022-02-28T07:26:03.286944.png</t>
  </si>
  <si>
    <t>e393b48b86d3a678ed57226e9ed8954d99b91d65746fa5db21161355a2fef1f8</t>
  </si>
  <si>
    <t>https://bellingcat-archive.nyc3.cdn.digitaloceanspaces.com/Ukraine_Witness_Datasheet/Worksheet/youtube_dl_1497923113593585672/index.html</t>
  </si>
  <si>
    <t>Nelson 🇺🇦 - Чернігів. Центр міста. Біля дитячої стоматології.</t>
  </si>
  <si>
    <t>2022-02-27T13:14:35+00:00</t>
  </si>
  <si>
    <t>https://twitter.com/Nelson_Serg/status/1497971946235088899?s=20&amp;t=2sRW6Q81aIWwMe9Pv_Ig_Q</t>
  </si>
  <si>
    <t>Youth center destroyed</t>
  </si>
  <si>
    <t>UW0883</t>
  </si>
  <si>
    <t>https://bellingcat-archive.nyc3.cdn.digitaloceanspaces.com/Ukraine_Witness_Datasheet/Worksheet/youtube_dl_1497971946235088899.mp4</t>
  </si>
  <si>
    <t>2022-02-28T07:27:21.311550+00:00</t>
  </si>
  <si>
    <t>https://bellingcat-archive.nyc3.cdn.digitaloceanspaces.com/Ukraine_Witness_Datasheet/Worksheet/youtube_dl__Nelson_Serg_status_14979719462350888992022-02-28T07:26:57.225479.png</t>
  </si>
  <si>
    <t>15b938749da95ad26cf269c2df9b24bd7da16a08300cf97304695a9e6ffe0355</t>
  </si>
  <si>
    <t>https://bellingcat-archive.nyc3.cdn.digitaloceanspaces.com/Ukraine_Witness_Datasheet/Worksheet/youtube_dl_1497971946235088899/index.html</t>
  </si>
  <si>
    <t>Nelson 🇺🇦 - Чернігів. Красна площа. Кінотеатра Щорса вже нема.</t>
  </si>
  <si>
    <t>2022-02-27T16:28:37+00:00</t>
  </si>
  <si>
    <t>https://twitter.com/kameniar_ua/status/1498013219671220226?s=20&amp;t=LIBC2x2erGojF8W3HDhJrQ</t>
  </si>
  <si>
    <t>CIV0064</t>
  </si>
  <si>
    <t>Family in car killed, allegedly by Russian forces</t>
  </si>
  <si>
    <t>Nova Kakhova</t>
  </si>
  <si>
    <t>UW0884</t>
  </si>
  <si>
    <t>https://bellingcat-archive.nyc3.cdn.digitaloceanspaces.com/Ukraine_Witness_Datasheet/Worksheet/twitter__kameniar_ua_status_1498013219671220226.html</t>
  </si>
  <si>
    <t>2022-02-28T07:28:05.387564+00:00</t>
  </si>
  <si>
    <t>https://bellingcat-archive.nyc3.cdn.digitaloceanspaces.com/Ukraine_Witness_Datasheet/Worksheet/twitter__kameniar_ua_status_14980132196712202262022-02-28T07:27:27.586093.png</t>
  </si>
  <si>
    <t>b19392f20ec004b8f361d8e0037bec6680a78fbc4b6aab168657d65561d9061f</t>
  </si>
  <si>
    <t>2022-02-27T19:12:37+00:00</t>
  </si>
  <si>
    <t>https://twitter.com/ckoettl/status/1498019431804510216</t>
  </si>
  <si>
    <t>https://twitter.com/il_kanguru/status/1498036288397713417</t>
  </si>
  <si>
    <t>Prybirsk</t>
  </si>
  <si>
    <t>UW0885</t>
  </si>
  <si>
    <t>https://bellingcat-archive.nyc3.cdn.digitaloceanspaces.com/Ukraine_Witness_Datasheet/Worksheet/twitter__ckoettl_status_1498019431804510216.html</t>
  </si>
  <si>
    <t>2022-02-28T07:28:49.432116+00:00</t>
  </si>
  <si>
    <t>https://bellingcat-archive.nyc3.cdn.digitaloceanspaces.com/Ukraine_Witness_Datasheet/Worksheet/twitter__ckoettl_status_14980194318045102162022-02-28T07:28:18.082450.png</t>
  </si>
  <si>
    <t>cbdf39b54bce70a668afcef2f3ac8c8cc815b39821f543313a5fc024bed29505</t>
  </si>
  <si>
    <t>2022-02-27T19:37:19+00:00</t>
  </si>
  <si>
    <t>Giancarlo F</t>
  </si>
  <si>
    <t>https://twitter.com/Nelson_Serg/status/1497971946235088899?s=20&amp;t=ubdRC07mJZQTFLvJGWoGhA</t>
  </si>
  <si>
    <t>CIV0065</t>
  </si>
  <si>
    <t xml:space="preserve">Shchorsa Cinema in urban area destroyed with what may be ballistic missile </t>
  </si>
  <si>
    <t>UW0886</t>
  </si>
  <si>
    <t>2022-02-28T07:29:37.622868+00:00</t>
  </si>
  <si>
    <t>https://bellingcat-archive.nyc3.cdn.digitaloceanspaces.com/Ukraine_Witness_Datasheet/Worksheet/youtube_dl__Nelson_Serg_status_14979719462350888992022-02-28T07:28:54.844477.png</t>
  </si>
  <si>
    <t>https://twitter.com/Caucasuswar/status/1498038593373224961?s=20&amp;t=fTfwDiJ4keMEiKNOXunZ4w</t>
  </si>
  <si>
    <r>
      <rPr>
        <sz val="11.0"/>
      </rPr>
      <t xml:space="preserve">Large explosion of what appears to be an ammunition depot. Verification indicates the footage is from around February 24 </t>
    </r>
    <r>
      <rPr>
        <color rgb="FF1155CC"/>
        <sz val="11.0"/>
        <u/>
      </rPr>
      <t>https://twitter.com/trbrtc/status/1498068721658732554?s=20&amp;t=W7vcDNpwHnyL0oEH9Y2_qQ</t>
    </r>
  </si>
  <si>
    <t>https://twitter.com/john_marquee/status/1498041255699247104</t>
  </si>
  <si>
    <t>Cherkas'ka oblast</t>
  </si>
  <si>
    <t>UW0887</t>
  </si>
  <si>
    <t>https://bellingcat-archive.nyc3.cdn.digitaloceanspaces.com/Ukraine_Witness_Datasheet/Worksheet/youtube_dl_1498038593373224961.mp4</t>
  </si>
  <si>
    <t>2022-02-28T07:30:01.867713+00:00</t>
  </si>
  <si>
    <t>https://bellingcat-archive.nyc3.cdn.digitaloceanspaces.com/Ukraine_Witness_Datasheet/Worksheet/youtube_dl__Caucasuswar_status_14980385933732249612022-02-28T07:29:47.548549.png</t>
  </si>
  <si>
    <t>5f729eda469547f85dc401a8b9684d086640ce38e7c38c77cfc0379bcceab73f</t>
  </si>
  <si>
    <t>https://bellingcat-archive.nyc3.cdn.digitaloceanspaces.com/Ukraine_Witness_Datasheet/Worksheet/youtube_dl_1498038593373224961/index.html</t>
  </si>
  <si>
    <t>CaucasusWarReport - Something massive just exploded in Cherkasy Oblast, Ukraine.</t>
  </si>
  <si>
    <t>2022-02-27T20:53:27+00:00</t>
  </si>
  <si>
    <t>https://twitter.com/MotolkoHelp/status/1497924972102230016?s=20&amp;t=LXfwFTwvKtWB_6hiADVMfg</t>
  </si>
  <si>
    <t>convoy of at least 13 tankers of the Russian Armed Forces was seen near the village Kabanauka</t>
  </si>
  <si>
    <t>https://twitter.com/kargolow/status/1497927756822290436?s=20&amp;t=LXfwFTwvKtWB_6hiADVMfg</t>
  </si>
  <si>
    <t>Belaurs</t>
  </si>
  <si>
    <t xml:space="preserve">Kabanovka </t>
  </si>
  <si>
    <t>Red roof can be seen on the right side of the highway in footage and on the satellite imagery</t>
  </si>
  <si>
    <t>UW0888</t>
  </si>
  <si>
    <t>https://bellingcat-archive.nyc3.cdn.digitaloceanspaces.com/Ukraine_Witness_Datasheet/Worksheet/youtube_dl_1497924972102230016.mp4</t>
  </si>
  <si>
    <t>2022-02-28T07:31:15.780390+00:00</t>
  </si>
  <si>
    <t>https://bellingcat-archive.nyc3.cdn.digitaloceanspaces.com/Ukraine_Witness_Datasheet/Worksheet/youtube_dl__MotolkoHelp_status_14979249721022300162022-02-28T07:30:55.769104.png</t>
  </si>
  <si>
    <t>3b9c03a15ffbf80d61d930e479f2f4b5953ebf2c34f0fb40a1c70c2205d4b70a</t>
  </si>
  <si>
    <t>https://bellingcat-archive.nyc3.cdn.digitaloceanspaces.com/Ukraine_Witness_Datasheet/Worksheet/youtube_dl_1497924972102230016/index.html</t>
  </si>
  <si>
    <t>MotolkoHelp - A convoy of at least 13 KamAZ tankers of the Russian Armed Forces was seen near the village Kabanauka (Zhlobin district, Gomel region, Belarus). It’s reported that they are going towards Gomel.</t>
  </si>
  <si>
    <t>2022-02-27T13:21:58+00:00</t>
  </si>
  <si>
    <t>https://twitter.com/khalfaguliyev/status/1497866293051109376</t>
  </si>
  <si>
    <t>Alleged drone strike on military column</t>
  </si>
  <si>
    <t>Kherson oblast</t>
  </si>
  <si>
    <t>UW0889</t>
  </si>
  <si>
    <t>https://bellingcat-archive.nyc3.cdn.digitaloceanspaces.com/Ukraine_Witness_Datasheet/Worksheet/twitter__khalfaguliyev_status_1497866293051109376.html</t>
  </si>
  <si>
    <t>2022-02-28T07:31:37.981764+00:00</t>
  </si>
  <si>
    <t>https://bellingcat-archive.nyc3.cdn.digitaloceanspaces.com/Ukraine_Witness_Datasheet/Worksheet/twitter__khalfaguliyev_status_14978662930511093762022-02-28T07:31:22.781724.png</t>
  </si>
  <si>
    <t>e21974c098e4b64e9beed13120853a64d88517f4c0f19da40379e6dd02a50746</t>
  </si>
  <si>
    <t>2022-02-27T09:28:47+00:00</t>
  </si>
  <si>
    <t>28/02/2022</t>
  </si>
  <si>
    <t>https://twitter.com/MarQs__/status/1498097535142940674</t>
  </si>
  <si>
    <t>Footage with sounds of what claimes to be jets</t>
  </si>
  <si>
    <t>https://twitter.com/john_marquee/status/1498130277138264064</t>
  </si>
  <si>
    <t>Zlobin</t>
  </si>
  <si>
    <t>UW0890</t>
  </si>
  <si>
    <t>https://bellingcat-archive.nyc3.cdn.digitaloceanspaces.com/Ukraine_Witness_Datasheet/Worksheet/youtube_dl_1498097535142940674.mp4</t>
  </si>
  <si>
    <t>2022-02-28T07:31:54.648981+00:00</t>
  </si>
  <si>
    <t>https://bellingcat-archive.nyc3.cdn.digitaloceanspaces.com/Ukraine_Witness_Datasheet/Worksheet/youtube_dl__MarQs___status_14980975351429406742022-02-28T07:31:43.302882.png</t>
  </si>
  <si>
    <t>466cbd41475583df51255ac4a1c13e8579e89025fc76446156dc61b246a8abd9</t>
  </si>
  <si>
    <t>https://bellingcat-archive.nyc3.cdn.digitaloceanspaces.com/Ukraine_Witness_Datasheet/Worksheet/youtube_dl_1498097535142940674/index.html</t>
  </si>
  <si>
    <t>marqs - Fighter jets taking off from #Belarus couple of minutes ago</t>
  </si>
  <si>
    <t>2022-02-28T00:47:40+00:00</t>
  </si>
  <si>
    <t>https://twitter.com/Nelson_Serg/status/1497923113593585672</t>
  </si>
  <si>
    <t xml:space="preserve">Pediatric hospital destroyed by what is claimed may be ballistic missile </t>
  </si>
  <si>
    <t>UW0891</t>
  </si>
  <si>
    <t>2022-02-28T10:44:20.546183+00:00</t>
  </si>
  <si>
    <t>https://bellingcat-archive.nyc3.cdn.digitaloceanspaces.com/Ukraine_Witness_Datasheet/Worksheet/youtube_dl__Nelson_Serg_status_14979231135935856722022-02-28T10:44:08.269434.png</t>
  </si>
  <si>
    <t>https://twitter.com/yashar_huseyn/status/1497844415150366725</t>
  </si>
  <si>
    <t>Damage to residential buildings after shelling</t>
  </si>
  <si>
    <t>UW0892</t>
  </si>
  <si>
    <t>https://bellingcat-archive.nyc3.cdn.digitaloceanspaces.com/Ukraine_Witness_Datasheet/Worksheet/youtube_dl_1497844415150366725.mp4</t>
  </si>
  <si>
    <t>2022-02-28T10:44:39.580390+00:00</t>
  </si>
  <si>
    <t>https://bellingcat-archive.nyc3.cdn.digitaloceanspaces.com/Ukraine_Witness_Datasheet/Worksheet/youtube_dl__yashar_huseyn_status_14978444151503667252022-02-28T10:44:22.791291.png</t>
  </si>
  <si>
    <t>ad0e687fa81e4ab439161d3030681519ddb63e8ce1f9b3e05b7059d9cd428008</t>
  </si>
  <si>
    <t>https://bellingcat-archive.nyc3.cdn.digitaloceanspaces.com/Ukraine_Witness_Datasheet/Worksheet/youtube_dl_1497844415150366725/index.html</t>
  </si>
  <si>
    <t>Yashar Huseyn 🇺🇦 - #Nikolaev after shelling. #Николаев #Україна #Ukraine #RussiaUkraine</t>
  </si>
  <si>
    <t>2022-02-27T08:01:51+00:00</t>
  </si>
  <si>
    <t>https://t.me/uniannet/32894</t>
  </si>
  <si>
    <t>UW0893</t>
  </si>
  <si>
    <t>https://bellingcat-archive.nyc3.cdn.digitaloceanspaces.com/Ukraine_Witness_Datasheet/Worksheet/telegram_c8a1ed572f.mp4</t>
  </si>
  <si>
    <t>2022-02-28T10:46:38.483101+00:00</t>
  </si>
  <si>
    <t>https://bellingcat-archive.nyc3.cdn.digitaloceanspaces.com/Ukraine_Witness_Datasheet/Worksheet/telegram__uniannet_328942022-02-28T10:44:40.474577.png</t>
  </si>
  <si>
    <t>6467c2f9801cdf54e165ae7d2a15cfae2a747d0db87a5797f2fb02fd298fa731</t>
  </si>
  <si>
    <t>https://bellingcat-archive.nyc3.cdn.digitaloceanspaces.com/Ukraine_Witness_Datasheet/Worksheet/telegram_c8a1ed572f/index.html</t>
  </si>
  <si>
    <t>2022-02-27T07:52:16+00:00</t>
  </si>
  <si>
    <t>https://twitter.com/TsurkanKate/status/1497995833035440133</t>
  </si>
  <si>
    <t>CIV0068</t>
  </si>
  <si>
    <t>Damage to residential houses (one-storey) after shelling</t>
  </si>
  <si>
    <t>UW0894</t>
  </si>
  <si>
    <t>https://bellingcat-archive.nyc3.cdn.digitaloceanspaces.com/Ukraine_Witness_Datasheet/Worksheet/youtube_dl_1497995833035440133.mp4</t>
  </si>
  <si>
    <t>2022-02-28T10:47:03.078458+00:00</t>
  </si>
  <si>
    <t>https://bellingcat-archive.nyc3.cdn.digitaloceanspaces.com/Ukraine_Witness_Datasheet/Worksheet/youtube_dl__TsurkanKate_status_14979958330354401332022-02-28T10:46:40.579318.png</t>
  </si>
  <si>
    <t>7e133b5d432590c1b468c9a07a3b0edd54bb8bf6a04725e1514cd1516b2ea6a0</t>
  </si>
  <si>
    <t>https://bellingcat-archive.nyc3.cdn.digitaloceanspaces.com/Ukraine_Witness_Datasheet/Worksheet/youtube_dl_1497995833035440133/index.html</t>
  </si>
  <si>
    <t>Kate Tsurkan 🇺🇦 - Mykolaiv this morning. Homes destroyed. Anyone who tells you Russia only strikes “NATO tied military targets” is an accomplice to Russian war crimes.</t>
  </si>
  <si>
    <t>2022-02-27T18:03:32+00:00</t>
  </si>
  <si>
    <t>https://t.me/milinfolive/77289</t>
  </si>
  <si>
    <t>CIV0069</t>
  </si>
  <si>
    <t>Missile strike on Zhytomir International Airport, no reported casualties</t>
  </si>
  <si>
    <t>Zhitomir</t>
  </si>
  <si>
    <t>UW0895</t>
  </si>
  <si>
    <t>https://bellingcat-archive.nyc3.cdn.digitaloceanspaces.com/Ukraine_Witness_Datasheet/Worksheet/telegram_5b479542ef.mp4</t>
  </si>
  <si>
    <t>2022-02-28T10:47:30.815517+00:00</t>
  </si>
  <si>
    <t>https://bellingcat-archive.nyc3.cdn.digitaloceanspaces.com/Ukraine_Witness_Datasheet/Worksheet/telegram__milinfolive_772892022-02-28T10:47:04.005744.png</t>
  </si>
  <si>
    <t>1906a9065d8d6bb359b92d8de954a4eb8008b23fe3e66fc45ac87dc45178ccf5</t>
  </si>
  <si>
    <t>https://bellingcat-archive.nyc3.cdn.digitaloceanspaces.com/Ukraine_Witness_Datasheet/Worksheet/telegram_5b479542ef/index.html</t>
  </si>
  <si>
    <t>2022-02-27T17:09:09+00:00</t>
  </si>
  <si>
    <t>https://m.facebook.com/anton.gerashchenko.7/posts/4872907572796051?_rdr</t>
  </si>
  <si>
    <t>UW0896</t>
  </si>
  <si>
    <t>https://web.archive.org/web/20220228105611/https://m.facebook.com/login.php?next=https%3A%2F%2Fm.facebook.com%2Fanton.gerashchenko.7%2Fposts%2F4872907572796051&amp;refsrc=deprecated&amp;_rdr</t>
  </si>
  <si>
    <t>2022-02-28T10:56:29.931984+00:00</t>
  </si>
  <si>
    <t>https://bellingcat-archive.nyc3.cdn.digitaloceanspaces.com/Ukraine_Witness_Datasheet/Worksheet/wayback__anton.gerashchenko.7_posts_48729075727960512022-02-28T10:56:21.475764.png</t>
  </si>
  <si>
    <t>You’re Temporarily Blocked</t>
  </si>
  <si>
    <t>https://t.me/Pravda_Gerashchenko/510</t>
  </si>
  <si>
    <t>CIV0070</t>
  </si>
  <si>
    <t>Boy killed as a result of Russian attacks on city</t>
  </si>
  <si>
    <t>UW0897</t>
  </si>
  <si>
    <t>wayback: Internet Archive failed: {'resources': ['https://t.me/Pravda_Gerashchenko/510', 'https://fonts.googleapis.com/css?family=Roboto:400,700', 'https://telegram.org/css/bootstrap.min.css?3', 'https://telegram.org/css/telegram.css?215', 'https://fonts.gstatic.com/s/roboto/v29/KFOmCnqEu92Fr1Mu5mxKOzY.woff2', 'https://fonts.gstatic.com/s/roboto/v29/KFOmCnqEu92Fr1Mu4mxK.woff2', 'https://fonts.gstatic.com/s/roboto/v29/KFOlCnqEu92Fr1MmWUlfABc4EsA.woff2', 'https://fonts.gstatic.com/s/roboto/v29/KFOlCnqEu92Fr1MmWUlfBBc4.woff2', 'https://telegram.org/img/tgme/Arrow_1x.png', 'https://telegram.org/js/telegram-widget.js?15', 'https://telegram.org/img/tgme/embed_icon.png?1', 'https://t.me/Pravda_Gerashchenko/510?embed=1'], 'job_id': 'spn2-55c77dba6715868db94de36b131fe6bb2c6af458-9dfbb8c7', 'status': 'pending'}</t>
  </si>
  <si>
    <t>2022-02-28T10:58:36.199439+00:00</t>
  </si>
  <si>
    <t>https://www.facebook.com/dima.boiko.5623/posts/358797962775799</t>
  </si>
  <si>
    <t>CIV0071</t>
  </si>
  <si>
    <t>Damage to a village church</t>
  </si>
  <si>
    <t>Lysychansk</t>
  </si>
  <si>
    <t>UW0898</t>
  </si>
  <si>
    <t>https://web.archive.org/web/20220228105846/https://www.facebook.com/dima.boiko.5623/posts/358797962775799</t>
  </si>
  <si>
    <t>2022-02-28T10:59:00.766060+00:00</t>
  </si>
  <si>
    <t>https://bellingcat-archive.nyc3.cdn.digitaloceanspaces.com/Ukraine_Witness_Datasheet/Worksheet/wayback__dima.boiko.5623_posts_3587979627757992022-02-28T10:58:52.302405.png</t>
  </si>
  <si>
    <t>bp</t>
  </si>
  <si>
    <t>https://twitter.com/nexta_tv/status/1498206119700934657?s=20&amp;t=tg5yXa-QWlXeur8wRukjyg</t>
  </si>
  <si>
    <t>Destroyed Russian equipment and casualties seen</t>
  </si>
  <si>
    <r>
      <rPr>
        <color rgb="FF1155CC"/>
        <sz val="11.0"/>
        <u/>
      </rPr>
      <t>Same area</t>
    </r>
    <r>
      <rPr>
        <color rgb="FF000000"/>
        <sz val="11.0"/>
        <u/>
      </rPr>
      <t xml:space="preserve"> (UW0864)</t>
    </r>
  </si>
  <si>
    <t>UW0899</t>
  </si>
  <si>
    <t>https://bellingcat-archive.nyc3.cdn.digitaloceanspaces.com/Ukraine_Witness_Datasheet/Worksheet/youtube_dl_1498206119700934657.mp4</t>
  </si>
  <si>
    <t>2022-02-28T10:59:20.070582+00:00</t>
  </si>
  <si>
    <t>https://bellingcat-archive.nyc3.cdn.digitaloceanspaces.com/Ukraine_Witness_Datasheet/Worksheet/youtube_dl__nexta_tv_status_14982061197009346572022-02-28T10:59:03.963986.png</t>
  </si>
  <si>
    <t>fbd9fc7be111f5186bb178735ad38c30fe7b941fa08395f23cc178c975516abd</t>
  </si>
  <si>
    <t>https://bellingcat-archive.nyc3.cdn.digitaloceanspaces.com/Ukraine_Witness_Datasheet/Worksheet/youtube_dl_1498206119700934657/index.html</t>
  </si>
  <si>
    <t>NEXTA - Burning military equipment in #Irpin, #Kyiv region</t>
  </si>
  <si>
    <t>2022-02-28T07:59:08+00:00</t>
  </si>
  <si>
    <t>https://twitter.com/GirkinGirkin/status/1498145577665810434</t>
  </si>
  <si>
    <t>Verkhni Rohachik</t>
  </si>
  <si>
    <t>UW0900</t>
  </si>
  <si>
    <t>https://bellingcat-archive.nyc3.cdn.digitaloceanspaces.com/Ukraine_Witness_Datasheet/Worksheet/youtube_dl_1498145577665810434.mp4</t>
  </si>
  <si>
    <t>2022-02-28T10:59:50.391727+00:00</t>
  </si>
  <si>
    <t>https://bellingcat-archive.nyc3.cdn.digitaloceanspaces.com/Ukraine_Witness_Datasheet/Worksheet/youtube_dl__GirkinGirkin_status_14981455776658104342022-02-28T10:59:26.824010.png</t>
  </si>
  <si>
    <t>e896613cd7550d4426fba9ed1a0d408f9a4e011dbcf1e699f12d988e6e183b53</t>
  </si>
  <si>
    <t>https://bellingcat-archive.nyc3.cdn.digitaloceanspaces.com/Ukraine_Witness_Datasheet/Worksheet/youtube_dl_1498145577665810434/index.html</t>
  </si>
  <si>
    <t>2022-02-28T03:58:34+00:00</t>
  </si>
  <si>
    <t>https://twitter.com/MarQs__/status/1498049982162771969?s=20&amp;t=0cTZyzc0_xXKyrV5M2wfSg</t>
  </si>
  <si>
    <t>Footage of missile launch from Mazyr, Belarus</t>
  </si>
  <si>
    <t>https://twitter.com/AKMcKeever/status/1498079365732708360?s=20&amp;t=0cTZyzc0_xXKyrV5M2wfSg</t>
  </si>
  <si>
    <t>UW0901</t>
  </si>
  <si>
    <t>https://bellingcat-archive.nyc3.cdn.digitaloceanspaces.com/Ukraine_Witness_Datasheet/Worksheet/youtube_dl_1498049982162771969.mp4</t>
  </si>
  <si>
    <t>2022-02-28T11:00:09.738231+00:00</t>
  </si>
  <si>
    <t>https://bellingcat-archive.nyc3.cdn.digitaloceanspaces.com/Ukraine_Witness_Datasheet/Worksheet/youtube_dl__MarQs___status_14980499821627719692022-02-28T10:59:53.138559.png</t>
  </si>
  <si>
    <t>bbbb12067c5e4372749c53e848a2ac5e4cb4990c8773f4540df23c0f94075618</t>
  </si>
  <si>
    <t>https://bellingcat-archive.nyc3.cdn.digitaloceanspaces.com/Ukraine_Witness_Datasheet/Worksheet/youtube_dl_1498049982162771969/index.html</t>
  </si>
  <si>
    <t>marqs - More missile launches from #Belarus tonight</t>
  </si>
  <si>
    <t>2022-02-27T21:38:42+00:00</t>
  </si>
  <si>
    <t>ваят</t>
  </si>
  <si>
    <t>https://twitter.com/YWNReporter/status/1498218384504283139</t>
  </si>
  <si>
    <t>AIrstrike(s) in Kharkiv; Russian Su-34's were reported in the area earlier on</t>
  </si>
  <si>
    <r>
      <rPr>
        <sz val="11.0"/>
      </rPr>
      <t xml:space="preserve">Possibly same strike seen from different part of town: </t>
    </r>
    <r>
      <rPr>
        <color rgb="FF1155CC"/>
        <sz val="11.0"/>
        <u/>
      </rPr>
      <t>https://twitter.com/Den_2042/status/1498225710699368452</t>
    </r>
  </si>
  <si>
    <t>UW0902</t>
  </si>
  <si>
    <t>https://bellingcat-archive.nyc3.cdn.digitaloceanspaces.com/Ukraine_Witness_Datasheet/Worksheet/youtube_dl_1498218384504283139.mp4</t>
  </si>
  <si>
    <t>2022-02-28T11:00:25.990496+00:00</t>
  </si>
  <si>
    <t>https://bellingcat-archive.nyc3.cdn.digitaloceanspaces.com/Ukraine_Witness_Datasheet/Worksheet/youtube_dl__YWNReporter_status_14982183845042831392022-02-28T11:00:13.202511.png</t>
  </si>
  <si>
    <t>93a0bfc18a9118067b3404205ee46ae953ff135a38fd0d2f06d9cd7aa340276a</t>
  </si>
  <si>
    <t>https://bellingcat-archive.nyc3.cdn.digitaloceanspaces.com/Ukraine_Witness_Datasheet/Worksheet/youtube_dl_1498218384504283139/index.html</t>
  </si>
  <si>
    <t>Moshe Schwartz - #BREAKING: Airstrikes now reported in Kharkiv, Ukraine after Russian Su-34's were reported in the area.</t>
  </si>
  <si>
    <t>2022-02-28T08:47:53+00:00</t>
  </si>
  <si>
    <t>https://twitter.com/no_itsmyturn/status/1498189875023126531?s=21</t>
  </si>
  <si>
    <t xml:space="preserve">Damaged civilian infrastructure </t>
  </si>
  <si>
    <t>UW0903</t>
  </si>
  <si>
    <t>https://bellingcat-archive.nyc3.cdn.digitaloceanspaces.com/Ukraine_Witness_Datasheet/Worksheet/youtube_dl_1498189875023126531.mp4</t>
  </si>
  <si>
    <t>2022-02-28T11:00:45.969224+00:00</t>
  </si>
  <si>
    <t>https://bellingcat-archive.nyc3.cdn.digitaloceanspaces.com/Ukraine_Witness_Datasheet/Worksheet/youtube_dl__no_itsmyturn_status_14981898750231265312022-02-28T11:00:29.589445.png</t>
  </si>
  <si>
    <t>c6eef8b6fafbd0f84d8cd2316b41639e9752ea8693068340ced38be3b3715ae7</t>
  </si>
  <si>
    <t>https://bellingcat-archive.nyc3.cdn.digitaloceanspaces.com/Ukraine_Witness_Datasheet/Worksheet/youtube_dl_1498189875023126531/index.html</t>
  </si>
  <si>
    <t>Aleph א #IStandWithUkraine 🇺🇦 - Aftermath of Russian strikes,  Izyum,  Kharkiv oblast,  #Ukraine 🇺🇦</t>
  </si>
  <si>
    <t>2022-02-28T06:54:35+00:00</t>
  </si>
  <si>
    <t>https://t.me/nexta_live/18419</t>
  </si>
  <si>
    <t>CIV0072</t>
  </si>
  <si>
    <t xml:space="preserve">Dead civilian, widespread damage to residential area </t>
  </si>
  <si>
    <t>Ipren</t>
  </si>
  <si>
    <t>UW0904</t>
  </si>
  <si>
    <t>https://bellingcat-archive.nyc3.cdn.digitaloceanspaces.com/Ukraine_Witness_Datasheet/Worksheet/telegram_93740634ad.mp4</t>
  </si>
  <si>
    <t>2022-02-28T11:01:45.683656+00:00</t>
  </si>
  <si>
    <t>https://bellingcat-archive.nyc3.cdn.digitaloceanspaces.com/Ukraine_Witness_Datasheet/Worksheet/telegram__nexta_live_184192022-02-28T11:00:46.657093.png</t>
  </si>
  <si>
    <t>e93f514fcc821fb72052f03a26cffde3c4a8a25c8cc98f82c7a3155b4a78b96f</t>
  </si>
  <si>
    <t>https://bellingcat-archive.nyc3.cdn.digitaloceanspaces.com/Ukraine_Witness_Datasheet/Worksheet/telegram_93740634ad/index.html</t>
  </si>
  <si>
    <t>2022-02-28T07:50:11+00:00</t>
  </si>
  <si>
    <t>49.625565</t>
  </si>
  <si>
    <t>36.640372</t>
  </si>
  <si>
    <t>https://t.me/nexta_live/18420</t>
  </si>
  <si>
    <t>CIV0073</t>
  </si>
  <si>
    <t>Residential building damaged by explosion (crater visible?)</t>
  </si>
  <si>
    <t>Blagodatnoye</t>
  </si>
  <si>
    <t>UW0905</t>
  </si>
  <si>
    <t>https://bellingcat-archive.nyc3.cdn.digitaloceanspaces.com/Ukraine_Witness_Datasheet/Worksheet/telegram_c2adfed16b.mp4</t>
  </si>
  <si>
    <t>2022-02-28T11:02:38.672173+00:00</t>
  </si>
  <si>
    <t>https://bellingcat-archive.nyc3.cdn.digitaloceanspaces.com/Ukraine_Witness_Datasheet/Worksheet/telegram__nexta_live_184202022-02-28T11:01:46.486897.png</t>
  </si>
  <si>
    <t>c72189b7dbab0e50abbadc24475091acfcce99634df0248e9abf87ff2fecafa4</t>
  </si>
  <si>
    <t>https://bellingcat-archive.nyc3.cdn.digitaloceanspaces.com/Ukraine_Witness_Datasheet/Worksheet/telegram_c2adfed16b/index.html</t>
  </si>
  <si>
    <t>2022-02-28T07:55:22+00:00</t>
  </si>
  <si>
    <t>https://twitter.com/markito0171/status/1498231111964672003</t>
  </si>
  <si>
    <t>UW0906</t>
  </si>
  <si>
    <t>https://bellingcat-archive.nyc3.cdn.digitaloceanspaces.com/Ukraine_Witness_Datasheet/Worksheet/youtube_dl_1498231111964672003.mp4</t>
  </si>
  <si>
    <t>2022-02-28T11:03:12.466476+00:00</t>
  </si>
  <si>
    <t>https://bellingcat-archive.nyc3.cdn.digitaloceanspaces.com/Ukraine_Witness_Datasheet/Worksheet/youtube_dl__markito0171_status_14982311119646720032022-02-28T11:02:48.366242.png</t>
  </si>
  <si>
    <t>93fa4cd9e2374ceb8d1940866bdbd4830c74304bea29762dabf875bc38204414</t>
  </si>
  <si>
    <t>https://bellingcat-archive.nyc3.cdn.digitaloceanspaces.com/Ukraine_Witness_Datasheet/Worksheet/youtube_dl_1498231111964672003/index.html</t>
  </si>
  <si>
    <t>C4H10FO2P - #Ukraine Another video from destroyed #Russia'n convoy in NW #Kyiv outskirts</t>
  </si>
  <si>
    <t>2022-02-28T09:38:27+00:00</t>
  </si>
  <si>
    <t>https://twitter.com/Nelson_Serg/status/1497971946235088899</t>
  </si>
  <si>
    <t>Aftermath of missile in city center</t>
  </si>
  <si>
    <t>UW0907</t>
  </si>
  <si>
    <t>2022-02-28T11:03:30.507325+00:00</t>
  </si>
  <si>
    <t>https://bellingcat-archive.nyc3.cdn.digitaloceanspaces.com/Ukraine_Witness_Datasheet/Worksheet/youtube_dl__Nelson_Serg_status_14979719462350888992022-02-28T11:03:14.570499.png</t>
  </si>
  <si>
    <t>https://twitter.com/nexta_tv/status/1497976393162018827</t>
  </si>
  <si>
    <t>CCTV footage showing large explosion</t>
  </si>
  <si>
    <t>Zhytomyr Oblast</t>
  </si>
  <si>
    <t>UW0908</t>
  </si>
  <si>
    <t>https://bellingcat-archive.nyc3.cdn.digitaloceanspaces.com/Ukraine_Witness_Datasheet/Worksheet/youtube_dl_1497976393162018827.mp4</t>
  </si>
  <si>
    <t>2022-02-28T11:03:52.668846+00:00</t>
  </si>
  <si>
    <t>https://bellingcat-archive.nyc3.cdn.digitaloceanspaces.com/Ukraine_Witness_Datasheet/Worksheet/youtube_dl__nexta_tv_status_14979763931620188272022-02-28T11:03:34.372281.png</t>
  </si>
  <si>
    <t>d19a5fbecca45105d7f4588ce16ab23c7c986caad0a4d936a3bb78850740800b</t>
  </si>
  <si>
    <t>https://bellingcat-archive.nyc3.cdn.digitaloceanspaces.com/Ukraine_Witness_Datasheet/Worksheet/youtube_dl_1497976393162018827/index.html</t>
  </si>
  <si>
    <t>NEXTA - ❗️Video of explosion in #Zhytomyr caught on cameras</t>
  </si>
  <si>
    <t>2022-02-27T16:46:17+00:00</t>
  </si>
  <si>
    <t>28/02.2022</t>
  </si>
  <si>
    <t>https://twitter.com/Osinttechnical/status/1498234139551715329?s=20&amp;t=hPeTGdT6yh4vweQVyZdGVA</t>
  </si>
  <si>
    <t>CIV0077</t>
  </si>
  <si>
    <t>MLRS strike in central Kharkiv</t>
  </si>
  <si>
    <t>https://twitter.com/ToasterIntel/status/1498234630352216065?s=20&amp;t=hPeTGdT6yh4vweQVyZdGVA</t>
  </si>
  <si>
    <t>UW0909</t>
  </si>
  <si>
    <t>https://bellingcat-archive.nyc3.cdn.digitaloceanspaces.com/Ukraine_Witness_Datasheet/Worksheet/youtube_dl_1498234139551715329.mp4</t>
  </si>
  <si>
    <t>2022-02-28T11:04:18.980879+00:00</t>
  </si>
  <si>
    <t>https://bellingcat-archive.nyc3.cdn.digitaloceanspaces.com/Ukraine_Witness_Datasheet/Worksheet/youtube_dl__Osinttechnical_status_14982341395517153292022-02-28T11:03:57.847643.png</t>
  </si>
  <si>
    <t>89ffa87cee47393755a4ca17daeb4a7922a229d77415b55aa49857c6d8ef400b</t>
  </si>
  <si>
    <t>https://bellingcat-archive.nyc3.cdn.digitaloceanspaces.com/Ukraine_Witness_Datasheet/Worksheet/youtube_dl_1498234139551715329/index.html</t>
  </si>
  <si>
    <t>OSINTtechnical - Kharkiv, MLRS impacts</t>
  </si>
  <si>
    <t>2022-02-28T09:50:29+00:00</t>
  </si>
  <si>
    <t>49.178917</t>
  </si>
  <si>
    <t>37.286916</t>
  </si>
  <si>
    <t>https://t.me/nexta_live/18417</t>
  </si>
  <si>
    <t>CIV0074</t>
  </si>
  <si>
    <t>Damage to residential building (unclear if from strike or street fighting)</t>
  </si>
  <si>
    <t>Izyum</t>
  </si>
  <si>
    <t>UW0910</t>
  </si>
  <si>
    <t>https://bellingcat-archive.nyc3.cdn.digitaloceanspaces.com/Ukraine_Witness_Datasheet/Worksheet/telegram_2378eb9765.mp4</t>
  </si>
  <si>
    <t>2022-02-28T11:04:52.246844+00:00</t>
  </si>
  <si>
    <t>https://bellingcat-archive.nyc3.cdn.digitaloceanspaces.com/Ukraine_Witness_Datasheet/Worksheet/telegram__nexta_live_184172022-02-28T11:04:19.740749.png</t>
  </si>
  <si>
    <t>0ba203465af5aac18445b175224e3e62587ce340353a5254c580daf8afb1b76a</t>
  </si>
  <si>
    <t>https://bellingcat-archive.nyc3.cdn.digitaloceanspaces.com/Ukraine_Witness_Datasheet/Worksheet/telegram_2378eb9765/index.html</t>
  </si>
  <si>
    <t>2022-02-28T07:38:32+00:00</t>
  </si>
  <si>
    <t>https://twitter.com/kemal_115/status/1497886223238635522</t>
  </si>
  <si>
    <t>Abandoned russian military equipment</t>
  </si>
  <si>
    <t>https://twitter.com/bobmoretti/status/1498112674646740992</t>
  </si>
  <si>
    <t>Trostyanets</t>
  </si>
  <si>
    <t>UW0911</t>
  </si>
  <si>
    <t>https://bellingcat-archive.nyc3.cdn.digitaloceanspaces.com/Ukraine_Witness_Datasheet/Worksheet/youtube_dl_1497886223238635522.mp4</t>
  </si>
  <si>
    <t>2022-02-28T11:05:18.035510+00:00</t>
  </si>
  <si>
    <t>https://bellingcat-archive.nyc3.cdn.digitaloceanspaces.com/Ukraine_Witness_Datasheet/Worksheet/youtube_dl__kemal_115_status_14978862232386355222022-02-28T11:04:58.802812.png</t>
  </si>
  <si>
    <t>b3cb3ddf24283fa6a24304b3f6860b85140e4ed593878ed717029e84f25615e6</t>
  </si>
  <si>
    <t>https://bellingcat-archive.nyc3.cdn.digitaloceanspaces.com/Ukraine_Witness_Datasheet/Worksheet/youtube_dl_1497886223238635522/index.html</t>
  </si>
  <si>
    <t>Kemal - 27-02:  Two Russian military T-80U MBTs abandoned and seized by Ukrainian forces. Notice the jumper cables on the ground, one of the two vehicles probably had a breakdown.</t>
  </si>
  <si>
    <t>2022-02-27T10:47:59+00:00</t>
  </si>
  <si>
    <t>https://twitter.com/Michael1Sheldon/status/1498046850766671881</t>
  </si>
  <si>
    <t xml:space="preserve">Damage to residential building </t>
  </si>
  <si>
    <t>https://twitter.com/Michael1Sheldon/status/1498152348165754882</t>
  </si>
  <si>
    <t>UW0912</t>
  </si>
  <si>
    <t>https://bellingcat-archive.nyc3.cdn.digitaloceanspaces.com/Ukraine_Witness_Datasheet/Worksheet/youtube_dl_1498046850766671881.mp4</t>
  </si>
  <si>
    <t>2022-02-28T11:05:35.025160+00:00</t>
  </si>
  <si>
    <t>https://bellingcat-archive.nyc3.cdn.digitaloceanspaces.com/Ukraine_Witness_Datasheet/Worksheet/youtube_dl__Michael1Sheldon_status_14980468507666718812022-02-28T11:05:20.926063.png</t>
  </si>
  <si>
    <t>9c869d7c6d796b3b49badbcda08d44534523172a9acf783e3d3b373d9729b1d0</t>
  </si>
  <si>
    <t>https://bellingcat-archive.nyc3.cdn.digitaloceanspaces.com/Ukraine_Witness_Datasheet/Worksheet/youtube_dl_1498046850766671881/index.html</t>
  </si>
  <si>
    <t>Michael Sheldon - Footage from the Saltovka neighborhood (bottom-left corner of above satellite image) shows the results of heavy shelling.</t>
  </si>
  <si>
    <t>2022-02-27T21:26:16+00:00</t>
  </si>
  <si>
    <t>https://twitter.com/michaelh992/status/1498222205901185029</t>
  </si>
  <si>
    <t>Russian military in city center</t>
  </si>
  <si>
    <t>UW0913</t>
  </si>
  <si>
    <t>https://bellingcat-archive.nyc3.cdn.digitaloceanspaces.com/Ukraine_Witness_Datasheet/Worksheet/youtube_dl_1498222205901185029.mp4</t>
  </si>
  <si>
    <t>2022-02-28T11:05:49.108430+00:00</t>
  </si>
  <si>
    <t>https://bellingcat-archive.nyc3.cdn.digitaloceanspaces.com/Ukraine_Witness_Datasheet/Worksheet/youtube_dl__michaelh992_status_14982222059011850292022-02-28T11:05:37.675461.png</t>
  </si>
  <si>
    <t>c78f77c1deca37bf22502742c3232fbe854ea6d5a7a4a510310245804b6138f1</t>
  </si>
  <si>
    <t>https://bellingcat-archive.nyc3.cdn.digitaloceanspaces.com/Ukraine_Witness_Datasheet/Worksheet/youtube_dl_1498222205901185029/index.html</t>
  </si>
  <si>
    <t>Michael A. Horowitz - People in Berdyansk sing the Ukrainian national anthem in front of Russian forces standing guard at the city council #Ukraine</t>
  </si>
  <si>
    <t>2022-02-28T09:03:04+00:00</t>
  </si>
  <si>
    <t>https://twitter.com/momchil_ivanov1/status/1498238338859425792?</t>
  </si>
  <si>
    <t>UW0914</t>
  </si>
  <si>
    <t>https://bellingcat-archive.nyc3.cdn.digitaloceanspaces.com/Ukraine_Witness_Datasheet/Worksheet/youtube_dl_1498238338859425792.mp4</t>
  </si>
  <si>
    <t>2022-02-28T11:06:05.748349+00:00</t>
  </si>
  <si>
    <t>https://bellingcat-archive.nyc3.cdn.digitaloceanspaces.com/Ukraine_Witness_Datasheet/Worksheet/youtube_dl__momchil_ivanov1_status_14982383388594257922022-02-28T11:05:52.476805.png</t>
  </si>
  <si>
    <t>924e5ae2eca4d4836c0687556606b209cedf445925ef1e5cf8990da46b9aab9d</t>
  </si>
  <si>
    <t>https://bellingcat-archive.nyc3.cdn.digitaloceanspaces.com/Ukraine_Witness_Datasheet/Worksheet/youtube_dl_1498238338859425792/index.html</t>
  </si>
  <si>
    <t>Momchil Ilker Ivanov - 🇺🇦🇷🇺 Harkiv şehir merkezine Rus bombardımanı devam ediyor.</t>
  </si>
  <si>
    <t>2022-02-28T10:07:10+00:00</t>
  </si>
  <si>
    <t>https://twitter.com/Conflicts/status/1498236561816756224</t>
  </si>
  <si>
    <t>https://bellingcat-archive.nyc3.cdn.digitaloceanspaces.com/Ukraine_Witness_Datasheet/Worksheet/youtube_dl_1498236561816756224.mp4</t>
  </si>
  <si>
    <t>2022-03-02T13:01:57.270561+00:00</t>
  </si>
  <si>
    <t>https://bellingcat-archive.nyc3.cdn.digitaloceanspaces.com/Ukraine_Witness_Datasheet/Worksheet/youtube_dl__Conflicts_status_14982365618167562242022-03-02T13:01:46.279702.png</t>
  </si>
  <si>
    <t>f537a8ca1a9193fe54d3d7da8d2dcc19f127c46550fcddb5377c8e3c1a159024</t>
  </si>
  <si>
    <t>https://bellingcat-archive.nyc3.cdn.digitaloceanspaces.com/Ukraine_Witness_Datasheet/Worksheet/youtube_dl_1498236561816756224/index.html</t>
  </si>
  <si>
    <t>Conflict News - VIDEO: Additional footage of the same event, filmed from a different angle. Appears to show a multiple rocket barrage targeting a civilian area. - @YWNReporter</t>
  </si>
  <si>
    <t>2022-02-28T10:00:06+00:00</t>
  </si>
  <si>
    <t>https://twitter.com/RALee85/status/1498246411774799874?s=20&amp;t=JugGu0SpE6DHyG0fQZDwwQ</t>
  </si>
  <si>
    <t>Footage of explosion in Kharkiv</t>
  </si>
  <si>
    <t>https://twitter.com/ToasterIntel/status/1498247126593114112?s=20&amp;t=JugGu0SpE6DHyG0fQZDwwQ</t>
  </si>
  <si>
    <t>UW0915</t>
  </si>
  <si>
    <t>https://bellingcat-archive.nyc3.cdn.digitaloceanspaces.com/Ukraine_Witness_Datasheet/Worksheet/youtube_dl_1498246411774799874.mp4</t>
  </si>
  <si>
    <t>2022-02-28T11:06:21.546780+00:00</t>
  </si>
  <si>
    <t>https://bellingcat-archive.nyc3.cdn.digitaloceanspaces.com/Ukraine_Witness_Datasheet/Worksheet/youtube_dl__RALee85_status_14982464117747998742022-02-28T11:06:08.193372.png</t>
  </si>
  <si>
    <t>b21de62ac30e202a0ca5068e5808bc3f5fee670028250bc2e6e74de0435e120d</t>
  </si>
  <si>
    <t>https://bellingcat-archive.nyc3.cdn.digitaloceanspaces.com/Ukraine_Witness_Datasheet/Worksheet/youtube_dl_1498246411774799874/index.html</t>
  </si>
  <si>
    <t>Rob Lee - Video of an explosion in Kharkiv.</t>
  </si>
  <si>
    <t>2022-02-28T10:39:15+00:00</t>
  </si>
  <si>
    <t>https://twitter.com/nexta_tv/status/1497947456885170182</t>
  </si>
  <si>
    <t>Molotov thrown at Russian military vehicle</t>
  </si>
  <si>
    <t>UW0916</t>
  </si>
  <si>
    <t>https://bellingcat-archive.nyc3.cdn.digitaloceanspaces.com/Ukraine_Witness_Datasheet/Worksheet/youtube_dl_1497947456885170182.mp4</t>
  </si>
  <si>
    <t>2022-02-28T11:07:25.829372+00:00</t>
  </si>
  <si>
    <t>https://bellingcat-archive.nyc3.cdn.digitaloceanspaces.com/Ukraine_Witness_Datasheet/Worksheet/youtube_dl__nexta_tv_status_14979474568851701822022-02-28T11:07:11.873261.png</t>
  </si>
  <si>
    <t>ee011ee0d06f4723064e8ea9081caadb837d009df99cf8b21821afd1535784b9</t>
  </si>
  <si>
    <t>https://bellingcat-archive.nyc3.cdn.digitaloceanspaces.com/Ukraine_Witness_Datasheet/Worksheet/youtube_dl_1497947456885170182/index.html</t>
  </si>
  <si>
    <t>NEXTA - Hot welcome to the occupants from the residents of #Berdyansk</t>
  </si>
  <si>
    <t>2022-02-27T14:51:18+00:00</t>
  </si>
  <si>
    <t>https://twitter.com/RALee85/status/1498223091968839680</t>
  </si>
  <si>
    <t>UW0917</t>
  </si>
  <si>
    <t>https://bellingcat-archive.nyc3.cdn.digitaloceanspaces.com/Ukraine_Witness_Datasheet/Worksheet/youtube_dl_1498223091968839680.mp4</t>
  </si>
  <si>
    <t>2022-02-28T11:48:12.602703+00:00</t>
  </si>
  <si>
    <t>https://bellingcat-archive.nyc3.cdn.digitaloceanspaces.com/Ukraine_Witness_Datasheet/Worksheet/youtube_dl__RALee85_status_14982230919688396802022-02-28T11:47:59.321234.png</t>
  </si>
  <si>
    <t>c09f4f906a4fbe62023e6ceb0a03841ddf217e20e265fa45bac4006a5224619e</t>
  </si>
  <si>
    <t>https://bellingcat-archive.nyc3.cdn.digitaloceanspaces.com/Ukraine_Witness_Datasheet/Worksheet/youtube_dl_1498223091968839680/index.html</t>
  </si>
  <si>
    <t>Rob Lee - Reportedly video from Kharkiv. Possibly an air strike from one of the Su-34 bombers.</t>
  </si>
  <si>
    <t>2022-02-28T09:06:35+00:00</t>
  </si>
  <si>
    <t>https://twitter.com/no_itsmyturn/status/1498252747291992064?s=20&amp;t=4YeqDcyVEcMQANtSUDeR-A</t>
  </si>
  <si>
    <t>Shopping mall (listed on Google Maps) seen burning in footage</t>
  </si>
  <si>
    <t>UW0918</t>
  </si>
  <si>
    <t>https://bellingcat-archive.nyc3.cdn.digitaloceanspaces.com/Ukraine_Witness_Datasheet/Worksheet/youtube_dl_1498252747291992064.mp4</t>
  </si>
  <si>
    <t>2022-02-28T11:52:21.077880+00:00</t>
  </si>
  <si>
    <t>https://bellingcat-archive.nyc3.cdn.digitaloceanspaces.com/Ukraine_Witness_Datasheet/Worksheet/youtube_dl__no_itsmyturn_status_14982527472919920642022-02-28T11:52:05.408836.png</t>
  </si>
  <si>
    <t>c0c8cad390a6dcf071d53f7a318d06c88d44662ddd290d0ec06f80a14b666ae1</t>
  </si>
  <si>
    <t>https://bellingcat-archive.nyc3.cdn.digitaloceanspaces.com/Ukraine_Witness_Datasheet/Worksheet/youtube_dl_1498252747291992064/index.html</t>
  </si>
  <si>
    <t>Aleph א #IStandWithUkraine 🇺🇦 - Video taken from the DJI drone controlling unit [cellphone],  Shows the same scene,  "Epicenter K" shopping center was the targeted in Chernihiv, #Ukraine 🇺🇦</t>
  </si>
  <si>
    <t>2022-02-28T11:04:25+00:00</t>
  </si>
  <si>
    <t>?</t>
  </si>
  <si>
    <t>https://t.me/nexta_live/18441</t>
  </si>
  <si>
    <t>CIV0075</t>
  </si>
  <si>
    <t>MLRS rocket booster embedded in residential street</t>
  </si>
  <si>
    <t>Shop fixtures, Agromol and buildings visible</t>
  </si>
  <si>
    <t>9M55K</t>
  </si>
  <si>
    <t>UW0919</t>
  </si>
  <si>
    <t>https://bellingcat-archive.nyc3.cdn.digitaloceanspaces.com/Ukraine_Witness_Datasheet/Worksheet/telegram_a306f32284.mp4</t>
  </si>
  <si>
    <t>2022-02-28T11:52:51.829747+00:00</t>
  </si>
  <si>
    <t>https://bellingcat-archive.nyc3.cdn.digitaloceanspaces.com/Ukraine_Witness_Datasheet/Worksheet/telegram__nexta_live_184412022-02-28T11:52:21.778845.png</t>
  </si>
  <si>
    <t>2211aef8304c0353a06b8fe7773d542fa9874055f89315b7f5179c4b3c19fca9</t>
  </si>
  <si>
    <t>https://bellingcat-archive.nyc3.cdn.digitaloceanspaces.com/Ukraine_Witness_Datasheet/Worksheet/telegram_a306f32284/index.html</t>
  </si>
  <si>
    <t>2022-02-28T08:57:14+00:00</t>
  </si>
  <si>
    <t>Annique</t>
  </si>
  <si>
    <t>https://t.me/Pravda_Gerashchenko/883</t>
  </si>
  <si>
    <t>CIV0076</t>
  </si>
  <si>
    <t>Two dead civilians on the street, allegedly killed by shelling</t>
  </si>
  <si>
    <t>Saltovka Complex, Kharkiv</t>
  </si>
  <si>
    <t>UW0920</t>
  </si>
  <si>
    <t>https://bellingcat-archive.nyc3.cdn.digitaloceanspaces.com/Ukraine_Witness_Datasheet/Worksheet/telegram_d57cb6089f.mp4</t>
  </si>
  <si>
    <t>2022-02-28T11:53:29.047944+00:00</t>
  </si>
  <si>
    <t>https://bellingcat-archive.nyc3.cdn.digitaloceanspaces.com/Ukraine_Witness_Datasheet/Worksheet/telegram__Pravda_Gerashchenko_8832022-02-28T11:52:52.496041.png</t>
  </si>
  <si>
    <t>d68edf27774ac39d52b4b1587a745466c0a211b38abd799f56e13b47c1e5eef1</t>
  </si>
  <si>
    <t>https://bellingcat-archive.nyc3.cdn.digitaloceanspaces.com/Ukraine_Witness_Datasheet/Worksheet/telegram_d57cb6089f/index.html</t>
  </si>
  <si>
    <t>2022-02-28T07:39:25+00:00</t>
  </si>
  <si>
    <t>47.6125831</t>
  </si>
  <si>
    <t>37.4873847</t>
  </si>
  <si>
    <t>https://twitter.com/whicard5/status/1497932713612959751?s=20&amp;t=xONXT0up_fFJZ4Ur2NHXwA</t>
  </si>
  <si>
    <t>CIV0078</t>
  </si>
  <si>
    <t>ENT department of hospital hit by what appears to have been artillery.</t>
  </si>
  <si>
    <t>UW0921</t>
  </si>
  <si>
    <t>https://bellingcat-archive.nyc3.cdn.digitaloceanspaces.com/Ukraine_Witness_Datasheet/Worksheet/twitter__whicard5_status_1497932713612959751.html</t>
  </si>
  <si>
    <t>2022-02-28T11:53:42.034772+00:00</t>
  </si>
  <si>
    <t>https://bellingcat-archive.nyc3.cdn.digitaloceanspaces.com/Ukraine_Witness_Datasheet/Worksheet/twitter__whicard5_status_14979327136129597512022-02-28T11:53:31.307474.png</t>
  </si>
  <si>
    <t>a5ce338c1bddb3f658f3e7b9f994504fa27fbf59367b1e890346644ee05ea932</t>
  </si>
  <si>
    <t>2022-02-27T13:52:43+00:00</t>
  </si>
  <si>
    <t>https://twitter.com/momchil_ivanov1/status/1498238338859425792?s=20&amp;t=zKf3Nb7bCgUn-dgAFPWdRg</t>
  </si>
  <si>
    <t>UW0922</t>
  </si>
  <si>
    <t>2022-02-28T11:54:02.065422+00:00</t>
  </si>
  <si>
    <t>https://bellingcat-archive.nyc3.cdn.digitaloceanspaces.com/Ukraine_Witness_Datasheet/Worksheet/youtube_dl__momchil_ivanov1_status_14982383388594257922022-02-28T11:53:45.666995.png</t>
  </si>
  <si>
    <t>50.03194</t>
  </si>
  <si>
    <t>36.35776</t>
  </si>
  <si>
    <t>https://twitter.com/Osinttechnical/status/1498234139551715329?s=20&amp;t=xONXT0up_fFJZ4Ur2NHXwA</t>
  </si>
  <si>
    <t>CIV0079</t>
  </si>
  <si>
    <t>MLRS strike in center of civillian industrial area</t>
  </si>
  <si>
    <t>UW0923</t>
  </si>
  <si>
    <t>2022-02-28T11:54:18.125634+00:00</t>
  </si>
  <si>
    <t>https://bellingcat-archive.nyc3.cdn.digitaloceanspaces.com/Ukraine_Witness_Datasheet/Worksheet/youtube_dl__Osinttechnical_status_14982341395517153292022-02-28T11:54:04.901422.png</t>
  </si>
  <si>
    <t>47.612267</t>
  </si>
  <si>
    <t>37.487895</t>
  </si>
  <si>
    <t>https://t.me/nexta_live/18459</t>
  </si>
  <si>
    <t>CIV0080</t>
  </si>
  <si>
    <t>Widespread damage in what appears to be civilian area</t>
  </si>
  <si>
    <t>Akhtyrka</t>
  </si>
  <si>
    <t>UW0924</t>
  </si>
  <si>
    <t>https://bellingcat-archive.nyc3.cdn.digitaloceanspaces.com/Ukraine_Witness_Datasheet/Worksheet/telegram__nexta_live_18459.html</t>
  </si>
  <si>
    <t>2022-02-28T12:06:33.315221+00:00</t>
  </si>
  <si>
    <t>https://bellingcat-archive.nyc3.cdn.digitaloceanspaces.com/Ukraine_Witness_Datasheet/Worksheet/telegram__nexta_live_184592022-02-28T12:06:18.352057.png</t>
  </si>
  <si>
    <t>1eb986bd43cf6d17b52801d8b6de19a653374276fda1a755c4dc7a1fdf215476</t>
  </si>
  <si>
    <t>2022-02-28T10:02:14+00:00</t>
  </si>
  <si>
    <t>50.03499452</t>
  </si>
  <si>
    <t>36.24400872</t>
  </si>
  <si>
    <t>https://t.me/suspilnekharkiv/8209</t>
  </si>
  <si>
    <t>CIV0081</t>
  </si>
  <si>
    <t>Apartment building damaged</t>
  </si>
  <si>
    <t>Derevyanka</t>
  </si>
  <si>
    <t>UW0925</t>
  </si>
  <si>
    <t>https://bellingcat-archive.nyc3.cdn.digitaloceanspaces.com/Ukraine_Witness_Datasheet/Worksheet/telegram__suspilnekharkiv_8209.html</t>
  </si>
  <si>
    <t>2022-02-28T12:06:43.591178+00:00</t>
  </si>
  <si>
    <t>https://bellingcat-archive.nyc3.cdn.digitaloceanspaces.com/Ukraine_Witness_Datasheet/Worksheet/telegram__suspilnekharkiv_82092022-02-28T12:06:34.006156.png</t>
  </si>
  <si>
    <t>87c5a5776ae260edfa3e74617ef615333198d30e08f44b296ba2bd0f38df2be2</t>
  </si>
  <si>
    <t>2022-02-28T09:29:39+00:00</t>
  </si>
  <si>
    <t>https://twitter.com/zcjbrooker/status/1498265069766983684</t>
  </si>
  <si>
    <t>CIV0082</t>
  </si>
  <si>
    <t>bomb in front of a local store in Kharkiv</t>
  </si>
  <si>
    <t>UW0926</t>
  </si>
  <si>
    <t>https://bellingcat-archive.nyc3.cdn.digitaloceanspaces.com/Ukraine_Witness_Datasheet/Worksheet/twitter__zcjbrooker_status_1498265069766983684.html</t>
  </si>
  <si>
    <t>2022-02-28T12:06:54.445694+00:00</t>
  </si>
  <si>
    <t>https://bellingcat-archive.nyc3.cdn.digitaloceanspaces.com/Ukraine_Witness_Datasheet/Worksheet/twitter__zcjbrooker_status_14982650697669836842022-02-28T12:06:46.685213.png</t>
  </si>
  <si>
    <t>d2cc9c9f659657632b8d9ee136842f4e1385c900926638a32737a7a7a59c0d39</t>
  </si>
  <si>
    <t>2022-02-28T11:53:23+00:00</t>
  </si>
  <si>
    <t>https://twitter.com/RALee85/status/1498264476231114763</t>
  </si>
  <si>
    <t>CIV0083</t>
  </si>
  <si>
    <t>civilian casualty in Kharkiv</t>
  </si>
  <si>
    <t>UW0927</t>
  </si>
  <si>
    <t>wayback: Internet Archive failed: {'status': 'pending', 'resources': ['https://twitter.com/RALee85/status/1498264476231114763', 'https://pbs.twimg.com/profile_images/964497068424249345/Y6ce6atF_400x400.jpg', 'https://pbs.twimg.com/ext_tw_video_thumb/1498221691805356032/pu/img/N1BMFVZUkyU7lkq0?format=jpg&amp;name=900x900', 'https://pbs.twimg.com/ext_tw_video_thumb/1498220402748837890/pu/img/h9AjcpkszuMh5o6A?format=jpg&amp;name=small', 'https://pbs.twimg.com/ext_tw_video_thumb/1498246346754699269/pu/img/zMky_3cbo5qxOlEm?format=jpg&amp;name=large', 'https://pbs.twimg.com/ext_tw_video_thumb/1498259946332434433/pu/img/g_0VR6ENigKeXNGB?format=jpg&amp;name=900x900', 'https://pbs.twimg.com/media/FMrVwAJXwAEFltX?format=jpg&amp;name=large', 'https://pbs.twimg.com/media/FMrVwA4WYAAyrwG?format=jpg&amp;name=large', 'https://pbs.twimg.com/media/FMrVwAHWYAAFydx?format=jpg&amp;name=large', 'https://pbs.twimg.com/ext_tw_video_thumb/1498247247703719938/pu/img/szy9-f5neqiNrl7-?format=jpg&amp;name=900x900', 'https://abs-0.twimg.com/emoji/v2/svg/1f1fa-1f1e6.svg', 'https://pbs.twimg.com/media/FMrmdmcWUAsetVp?format=jpg&amp;name=large'], 'job_id': 'spn2-780b01a98af455627c52b1508dc1e2bdecb594a8-2a9981d6'}</t>
  </si>
  <si>
    <t>2022-02-28T12:09:14.046491+00:00</t>
  </si>
  <si>
    <t>Nasma</t>
  </si>
  <si>
    <t>50.01784</t>
  </si>
  <si>
    <t>36.212691</t>
  </si>
  <si>
    <t>https://t.me/voynareal/10903</t>
  </si>
  <si>
    <t>https://bellingcat-archive.nyc3.cdn.digitaloceanspaces.com/Ukraine_Witness_Datasheet/Worksheet/telegram_8677afb7d2.mp4</t>
  </si>
  <si>
    <t>2022-03-02T13:02:18.413332+00:00</t>
  </si>
  <si>
    <t>https://bellingcat-archive.nyc3.cdn.digitaloceanspaces.com/Ukraine_Witness_Datasheet/Worksheet/telegram__voynareal_109032022-03-02T13:01:58.299157.png</t>
  </si>
  <si>
    <t>65dad77271750dcd8c50a18215bd06d0a65ad9bb354bd3f5f508e30f13032177</t>
  </si>
  <si>
    <t>https://bellingcat-archive.nyc3.cdn.digitaloceanspaces.com/Ukraine_Witness_Datasheet/Worksheet/telegram_8677afb7d2/index.html</t>
  </si>
  <si>
    <t>2022-02-28T11:28:57+00:00</t>
  </si>
  <si>
    <t>https://twitter.com/zcjbrooker/status/1498263672950566918</t>
  </si>
  <si>
    <t>school bombed in Kharkiv</t>
  </si>
  <si>
    <t>UW0928</t>
  </si>
  <si>
    <t>https://bellingcat-archive.nyc3.cdn.digitaloceanspaces.com/Ukraine_Witness_Datasheet/Worksheet/twitter__zcjbrooker_status_1498263672950566918.html</t>
  </si>
  <si>
    <t>2022-02-28T12:09:26.356096+00:00</t>
  </si>
  <si>
    <t>https://bellingcat-archive.nyc3.cdn.digitaloceanspaces.com/Ukraine_Witness_Datasheet/Worksheet/twitter__zcjbrooker_status_14982636729505669182022-02-28T12:09:16.758470.png</t>
  </si>
  <si>
    <t>28b3a1f51eb0e16b2e7a39aa74ca09631908a3e33b4e6320105ecd5a9951566d</t>
  </si>
  <si>
    <t>2022-02-28T11:47:50+00:00</t>
  </si>
  <si>
    <t>https://twitter.com/no_itsmyturn/status/1498263195735277570</t>
  </si>
  <si>
    <t>Downed Russian Mi-35 in Sahy</t>
  </si>
  <si>
    <t>Sahy</t>
  </si>
  <si>
    <t>UW0930</t>
  </si>
  <si>
    <t>https://bellingcat-archive.nyc3.cdn.digitaloceanspaces.com/Ukraine_Witness_Datasheet/Worksheet/youtube_dl_1498263195735277570.mp4</t>
  </si>
  <si>
    <t>2022-02-28T12:10:36.164368+00:00</t>
  </si>
  <si>
    <t>https://bellingcat-archive.nyc3.cdn.digitaloceanspaces.com/Ukraine_Witness_Datasheet/Worksheet/youtube_dl__no_itsmyturn_status_14982631957352775702022-02-28T12:10:06.519013.png</t>
  </si>
  <si>
    <t>58f79a99c12d992035ded1c00b7760a09343eb3c39267e7632fddbce377b07a2</t>
  </si>
  <si>
    <t>https://bellingcat-archive.nyc3.cdn.digitaloceanspaces.com/Ukraine_Witness_Datasheet/Worksheet/youtube_dl_1498263195735277570/index.html</t>
  </si>
  <si>
    <t>Aleph א #IStandWithUkraine 🇺🇦 - A #RuAF 🇷🇺 Mi-35 was shot down in Sahy, Kherson Oblast Geolocation:  46.614153, 32.794291 #Ukraine 🇺🇦   Video H.T (@aldin_ww &amp;amp; @AceJaceu)</t>
  </si>
  <si>
    <t>2022-02-28T11:45:56+00:00</t>
  </si>
  <si>
    <t>https://twitter.com/RALee85/status/1498259982428610560?s=20&amp;t=j07osHvc_5LdnSsnGui-bA</t>
  </si>
  <si>
    <t>Rocket booster in a residential area of Kharkiv</t>
  </si>
  <si>
    <t>UW0931</t>
  </si>
  <si>
    <t>https://bellingcat-archive.nyc3.cdn.digitaloceanspaces.com/Ukraine_Witness_Datasheet/Worksheet/youtube_dl_1498259982428610560.mp4</t>
  </si>
  <si>
    <t>2022-02-28T12:10:57.406015+00:00</t>
  </si>
  <si>
    <t>https://bellingcat-archive.nyc3.cdn.digitaloceanspaces.com/Ukraine_Witness_Datasheet/Worksheet/youtube_dl__RALee85_status_14982599824286105602022-02-28T12:10:42.467545.png</t>
  </si>
  <si>
    <t>757438ec7a6a6407e564ad28379b9eb6f5a564c0a3b2f1dde1d09de10716baf2</t>
  </si>
  <si>
    <t>https://bellingcat-archive.nyc3.cdn.digitaloceanspaces.com/Ukraine_Witness_Datasheet/Worksheet/youtube_dl_1498259982428610560/index.html</t>
  </si>
  <si>
    <t>Rob Lee - Looks like another Smerch MLRS rocket booster section in Kharkiv.</t>
  </si>
  <si>
    <t>2022-02-28T11:33:10+00:00</t>
  </si>
  <si>
    <t>https://twitter.com/MelnykAndrij/status/1498261445213048837</t>
  </si>
  <si>
    <t>Heavy Russian shelling of residential buildings in Kharkiv</t>
  </si>
  <si>
    <t>UW0932</t>
  </si>
  <si>
    <t>https://bellingcat-archive.nyc3.cdn.digitaloceanspaces.com/Ukraine_Witness_Datasheet/Worksheet/youtube_dl_1498261445213048837.mp4</t>
  </si>
  <si>
    <t>2022-02-28T12:11:20.473644+00:00</t>
  </si>
  <si>
    <t>https://bellingcat-archive.nyc3.cdn.digitaloceanspaces.com/Ukraine_Witness_Datasheet/Worksheet/youtube_dl__MelnykAndrij_status_14982614452130488372022-02-28T12:11:04.886740.png</t>
  </si>
  <si>
    <t>e1d40e996dc2cd8b3c935a360649b36b16846ae5920dc295418ac11f5bd1e2bd</t>
  </si>
  <si>
    <t>https://bellingcat-archive.nyc3.cdn.digitaloceanspaces.com/Ukraine_Witness_Datasheet/Worksheet/youtube_dl_1498261445213048837/index.html</t>
  </si>
  <si>
    <t>Andrij Melnyk - ‼️The Russian shellings of residential areas of Kharkiv ongoing right now ‼️   ‼️Dear German Friends!  Please show REAL solidarity with the Ukrainians and   BOYCOT all the Russian GOODS‼️</t>
  </si>
  <si>
    <t>2022-02-28T11:38:59+00:00</t>
  </si>
  <si>
    <t>https://twitter.com/200_zoka/status/1498270618025873411</t>
  </si>
  <si>
    <t>Heavy Russian shelling in Kharkiv</t>
  </si>
  <si>
    <t>Coordinates of where the video was likely recorded from. Visible the tall white building with a long row of windows, and the "diamond city" building further along.</t>
  </si>
  <si>
    <t>UW0935</t>
  </si>
  <si>
    <t>https://bellingcat-archive.nyc3.cdn.digitaloceanspaces.com/Ukraine_Witness_Datasheet/Worksheet/youtube_dl_1498270618025873411.mp4</t>
  </si>
  <si>
    <t>2022-02-28T12:47:40.559205+00:00</t>
  </si>
  <si>
    <t>https://bellingcat-archive.nyc3.cdn.digitaloceanspaces.com/Ukraine_Witness_Datasheet/Worksheet/youtube_dl__200_zoka_status_14982706180258734112022-02-28T12:47:23.002124.png</t>
  </si>
  <si>
    <t>94992e7c9218ac53c870713811999029261969e8b7c7192d47065b339d360850</t>
  </si>
  <si>
    <t>https://bellingcat-archive.nyc3.cdn.digitaloceanspaces.com/Ukraine_Witness_Datasheet/Worksheet/youtube_dl_1498270618025873411/index.html</t>
  </si>
  <si>
    <t>ZOKA - Increasing artillery strikes on Kharkov</t>
  </si>
  <si>
    <t>2022-02-28T12:15:26+00:00</t>
  </si>
  <si>
    <t>https://twitter.com/zcjbrooker/status/1498272949908000769</t>
  </si>
  <si>
    <t>Bombed supermarket in Kharkiv</t>
  </si>
  <si>
    <t>UW0937</t>
  </si>
  <si>
    <t>https://bellingcat-archive.nyc3.cdn.digitaloceanspaces.com/Ukraine_Witness_Datasheet/Worksheet/youtube_dl_1498272949908000769.mp4</t>
  </si>
  <si>
    <t>2022-02-28T12:48:13.990706+00:00</t>
  </si>
  <si>
    <t>https://bellingcat-archive.nyc3.cdn.digitaloceanspaces.com/Ukraine_Witness_Datasheet/Worksheet/youtube_dl__zcjbrooker_status_14982729499080007692022-02-28T12:47:59.882288.png</t>
  </si>
  <si>
    <t>f47189ff9dfd0beafb00be507b38545a065aa803a526779e708966f5dd026015</t>
  </si>
  <si>
    <t>https://bellingcat-archive.nyc3.cdn.digitaloceanspaces.com/Ukraine_Witness_Datasheet/Worksheet/youtube_dl_1498272949908000769/index.html</t>
  </si>
  <si>
    <t>EAF - The #kharkiv supermarket struck this morning -</t>
  </si>
  <si>
    <t>2022-02-28T12:24:42+00:00</t>
  </si>
  <si>
    <t>https://twitter.com/RALee85/status/1498273469640888321</t>
  </si>
  <si>
    <t>Russian bombing of civilian infrastructure in Kharkiv</t>
  </si>
  <si>
    <t>UW0938</t>
  </si>
  <si>
    <t>https://bellingcat-archive.nyc3.cdn.digitaloceanspaces.com/Ukraine_Witness_Datasheet/Worksheet/youtube_dl_1498273469640888321.mp4</t>
  </si>
  <si>
    <t>2022-02-28T12:48:29.900049+00:00</t>
  </si>
  <si>
    <t>https://bellingcat-archive.nyc3.cdn.digitaloceanspaces.com/Ukraine_Witness_Datasheet/Worksheet/youtube_dl__RALee85_status_14982734696408883212022-02-28T12:48:17.467941.png</t>
  </si>
  <si>
    <t>465239494ae00eba86c8262e56b09ecb0dbe8de79ff6faa6440867f72ef1957a</t>
  </si>
  <si>
    <t>https://bellingcat-archive.nyc3.cdn.digitaloceanspaces.com/Ukraine_Witness_Datasheet/Worksheet/youtube_dl_1498273469640888321/index.html</t>
  </si>
  <si>
    <t>Rob Lee - Another video of MLRS strikes on Kharkiv.</t>
  </si>
  <si>
    <t>2022-02-28T12:26:46+00:00</t>
  </si>
  <si>
    <t>https://twitter.com/RALee85/status/1498244855759355905?s=20&amp;t=zKf3Nb7bCgUn-dgAFPWdRg</t>
  </si>
  <si>
    <t>CIV0084</t>
  </si>
  <si>
    <t xml:space="preserve">Damage from artillery fire in Kharkiv </t>
  </si>
  <si>
    <t>Horizont, Kharkiv</t>
  </si>
  <si>
    <t>UW0939</t>
  </si>
  <si>
    <t>https://bellingcat-archive.nyc3.cdn.digitaloceanspaces.com/Ukraine_Witness_Datasheet/Worksheet/twitter__RALee85_status_1498244855759355905.html</t>
  </si>
  <si>
    <t>2022-02-28T12:48:53.023158+00:00</t>
  </si>
  <si>
    <t>https://bellingcat-archive.nyc3.cdn.digitaloceanspaces.com/Ukraine_Witness_Datasheet/Worksheet/twitter__RALee85_status_14982448557593559052022-02-28T12:48:40.841984.png</t>
  </si>
  <si>
    <t>0e6a2380be402afda53436680446c7129749dd02514f956bb09bba6057f3a908</t>
  </si>
  <si>
    <t>2022-02-28T10:33:04+00:00</t>
  </si>
  <si>
    <t>49.554039</t>
  </si>
  <si>
    <t>36.26008</t>
  </si>
  <si>
    <t>https://twitter.com/karinanguyen_/status/1498248288205737990?s=20&amp;t=zKf3Nb7bCgUn-dgAFPWdRg</t>
  </si>
  <si>
    <t>Damage from artillery fire in Kharkiv</t>
  </si>
  <si>
    <t>UW0940</t>
  </si>
  <si>
    <t>https://bellingcat-archive.nyc3.cdn.digitaloceanspaces.com/Ukraine_Witness_Datasheet/Worksheet/twitter__karinanguyen__status_1498248288205737990.html</t>
  </si>
  <si>
    <t>2022-02-28T12:49:08.402012+00:00</t>
  </si>
  <si>
    <t>https://bellingcat-archive.nyc3.cdn.digitaloceanspaces.com/Ukraine_Witness_Datasheet/Worksheet/twitter__karinanguyen__status_14982482882057379902022-02-28T12:48:56.136415.png</t>
  </si>
  <si>
    <t>fbba22637188d8c738f74bda9f7f258e2135c3545d0b179313faee20ad3ef37a</t>
  </si>
  <si>
    <t>2022-02-28T10:46:42+00:00</t>
  </si>
  <si>
    <t>https://www.facebook.com/odalug/posts/324827019689036</t>
  </si>
  <si>
    <t>CIV0085</t>
  </si>
  <si>
    <t>Extensive fire damage to residential buildings after shelling</t>
  </si>
  <si>
    <t>Novotoshkivsky</t>
  </si>
  <si>
    <t>UW0941</t>
  </si>
  <si>
    <t>https://web.archive.org/web/20220228124932/https://www.facebook.com/login/?next=https%3A%2F%2Fwww.facebook.com%2Fodalug%2Fposts%2F324827019689036</t>
  </si>
  <si>
    <t>2022-02-28T12:49:48.826115+00:00</t>
  </si>
  <si>
    <t>https://bellingcat-archive.nyc3.cdn.digitaloceanspaces.com/Ukraine_Witness_Datasheet/Worksheet/wayback__odalug_posts_3248270196890362022-02-28T12:49:38.851195.png</t>
  </si>
  <si>
    <t>https://twitter.com/GirkinGirkin/status/1498277121243947019</t>
  </si>
  <si>
    <t>Russina military equipment and personnel casualty</t>
  </si>
  <si>
    <t>UW0942</t>
  </si>
  <si>
    <t>https://bellingcat-archive.nyc3.cdn.digitaloceanspaces.com/Ukraine_Witness_Datasheet/Worksheet/twitter__GirkinGirkin_status_1498277121243947019.html</t>
  </si>
  <si>
    <t>2022-02-28T12:50:02.956458+00:00</t>
  </si>
  <si>
    <t>https://bellingcat-archive.nyc3.cdn.digitaloceanspaces.com/Ukraine_Witness_Datasheet/Worksheet/twitter__GirkinGirkin_status_14982771212439470192022-02-28T12:49:52.118389.png</t>
  </si>
  <si>
    <t>187283585998220d6975ccc270b1367681b9095df3d05641dda75f1660eaa8e3</t>
  </si>
  <si>
    <t>2022-02-28T12:41:17+00:00</t>
  </si>
  <si>
    <t>https://twitter.com/EuroMaydan/status/1498263148427624448</t>
  </si>
  <si>
    <t>Civilian severely injurded in Kharkiv</t>
  </si>
  <si>
    <t>UW0943</t>
  </si>
  <si>
    <t>https://bellingcat-archive.nyc3.cdn.digitaloceanspaces.com/Ukraine_Witness_Datasheet/Worksheet/youtube_dl_1498263148427624448.mp4</t>
  </si>
  <si>
    <t>2022-02-28T12:50:28.830002+00:00</t>
  </si>
  <si>
    <t>https://bellingcat-archive.nyc3.cdn.digitaloceanspaces.com/Ukraine_Witness_Datasheet/Worksheet/youtube_dl__EuroMaydan_status_14982631484276244482022-02-28T12:50:10.002539.png</t>
  </si>
  <si>
    <t>ab3db572c1f3fe71808278d75752654ddfb93372f26a3f17c9d4b180f1a0c98a</t>
  </si>
  <si>
    <t>https://bellingcat-archive.nyc3.cdn.digitaloceanspaces.com/Ukraine_Witness_Datasheet/Worksheet/youtube_dl_1498263148427624448/index.html</t>
  </si>
  <si>
    <t>ЄвроМайдан - Рашисти нанесли удар Смерчами по житловим районами Харкова, за слів Антона Геращенка, дуже велика кількість загиблих та поранених.</t>
  </si>
  <si>
    <t>2022-02-28T11:45:45+00:00</t>
  </si>
  <si>
    <t>https://t.me/truexanewsua/26076</t>
  </si>
  <si>
    <t>UW0944</t>
  </si>
  <si>
    <t>https://bellingcat-archive.nyc3.cdn.digitaloceanspaces.com/Ukraine_Witness_Datasheet/Worksheet/telegram_24d1b92bf4.mp4</t>
  </si>
  <si>
    <t>2022-02-28T13:23:56.206828+00:00</t>
  </si>
  <si>
    <t>https://bellingcat-archive.nyc3.cdn.digitaloceanspaces.com/Ukraine_Witness_Datasheet/Worksheet/telegram__truexanewsua_260762022-02-28T13:23:23.521138.png</t>
  </si>
  <si>
    <t>1ee66439304ec466ca456045fe05722c0fe5b9e9826d4618c572d9beb911386e</t>
  </si>
  <si>
    <t>https://bellingcat-archive.nyc3.cdn.digitaloceanspaces.com/Ukraine_Witness_Datasheet/Worksheet/telegram_24d1b92bf4/index.html</t>
  </si>
  <si>
    <t>2022-02-28T12:49:44+00:00</t>
  </si>
  <si>
    <t>https://twitter.com/ukrainenewstop/status/1498205627126059011</t>
  </si>
  <si>
    <t>Russian soldier detained</t>
  </si>
  <si>
    <t>UW0945</t>
  </si>
  <si>
    <t>https://bellingcat-archive.nyc3.cdn.digitaloceanspaces.com/Ukraine_Witness_Datasheet/Worksheet/youtube_dl_1498205627126059011.mp4</t>
  </si>
  <si>
    <t>2022-02-28T13:24:25.576304+00:00</t>
  </si>
  <si>
    <t>https://bellingcat-archive.nyc3.cdn.digitaloceanspaces.com/Ukraine_Witness_Datasheet/Worksheet/youtube_dl__ukrainenewstop_status_14982056271260590112022-02-28T13:24:08.409310.png</t>
  </si>
  <si>
    <t>6392889068a346e16f058698c709c0b61de203079fa90ef11bc5dc57cc3c74bd</t>
  </si>
  <si>
    <t>https://bellingcat-archive.nyc3.cdn.digitaloceanspaces.com/Ukraine_Witness_Datasheet/Worksheet/youtube_dl_1498205627126059011/index.html</t>
  </si>
  <si>
    <t>Украина Новости / Ukraine War - #Харьков. Во дворе сгоревшей 134 школы местными жителями был задержан #диверсант.  #Харьков #Харків #Харков #Kharkiv #Kharkov #Kharkhiv #Kharviv #русскиесолдаты #русские #вторжениеРоссии #ВойнаПутина #StopWar #DefeatPutin #StopRussia #FckPutin</t>
  </si>
  <si>
    <t>2022-02-28T07:57:11+00:00</t>
  </si>
  <si>
    <t>https://twitter.com/NewUkraineNews/status/1498123725807529991</t>
  </si>
  <si>
    <t>School on fire</t>
  </si>
  <si>
    <t>UW0946</t>
  </si>
  <si>
    <t>https://bellingcat-archive.nyc3.cdn.digitaloceanspaces.com/Ukraine_Witness_Datasheet/Worksheet/youtube_dl_1498123725807529991.mp4</t>
  </si>
  <si>
    <t>2022-02-28T13:24:45.233959+00:00</t>
  </si>
  <si>
    <t>https://bellingcat-archive.nyc3.cdn.digitaloceanspaces.com/Ukraine_Witness_Datasheet/Worksheet/youtube_dl__NewUkraineNews_status_14981237258075299912022-02-28T13:24:30.880749.png</t>
  </si>
  <si>
    <t>6806763086c37bdc37f5bbd3ca3b5f760badd54190b41828b083cdde0e7df7fb</t>
  </si>
  <si>
    <t>https://bellingcat-archive.nyc3.cdn.digitaloceanspaces.com/Ukraine_Witness_Datasheet/Worksheet/youtube_dl_1498123725807529991/index.html</t>
  </si>
  <si>
    <t>Ukraine News Now - In Kharkiv (north eastern #Ukraine), a children's school burns to the ground after a #Russian attack to the area. #UkraineWar #UkraineRussia #Russia</t>
  </si>
  <si>
    <t>2022-02-28T02:31:44+00:00</t>
  </si>
  <si>
    <t>Nick W</t>
  </si>
  <si>
    <t>50.032164</t>
  </si>
  <si>
    <t>36.236881</t>
  </si>
  <si>
    <t>https://t.me/uniannet/33371</t>
  </si>
  <si>
    <t>CIV0086</t>
  </si>
  <si>
    <t>MLRS strike on residential area in Kharkiv</t>
  </si>
  <si>
    <t>UW0947</t>
  </si>
  <si>
    <t>https://bellingcat-archive.nyc3.cdn.digitaloceanspaces.com/Ukraine_Witness_Datasheet/Worksheet/telegram_ab41e66661.mp4</t>
  </si>
  <si>
    <t>2022-02-28T13:25:08.723794+00:00</t>
  </si>
  <si>
    <t>https://bellingcat-archive.nyc3.cdn.digitaloceanspaces.com/Ukraine_Witness_Datasheet/Worksheet/telegram__uniannet_333712022-02-28T13:24:46.164801.png</t>
  </si>
  <si>
    <t>2b6c71b6fe9fc40aaabc32b2be19028652991851cc603608205da4a0ed03d355</t>
  </si>
  <si>
    <t>https://bellingcat-archive.nyc3.cdn.digitaloceanspaces.com/Ukraine_Witness_Datasheet/Worksheet/telegram_ab41e66661/index.html</t>
  </si>
  <si>
    <t>2022-02-28T12:13:47+00:00</t>
  </si>
  <si>
    <t>https://twitter.com/poppoppopkt/status/1498253254907789313</t>
  </si>
  <si>
    <t>UW0948</t>
  </si>
  <si>
    <t>https://bellingcat-archive.nyc3.cdn.digitaloceanspaces.com/Ukraine_Witness_Datasheet/Worksheet/youtube_dl_1498253254907789313.mp4</t>
  </si>
  <si>
    <t>2022-02-28T13:25:32.453061+00:00</t>
  </si>
  <si>
    <t>https://bellingcat-archive.nyc3.cdn.digitaloceanspaces.com/Ukraine_Witness_Datasheet/Worksheet/youtube_dl__poppoppopkt_status_14982532549077893132022-02-28T13:25:15.574097.png</t>
  </si>
  <si>
    <t>3ba89e36e1669f8a755ec3b6b92eb0ed0738592447357a7a1a25454fb94892be</t>
  </si>
  <si>
    <t>https://bellingcat-archive.nyc3.cdn.digitaloceanspaces.com/Ukraine_Witness_Datasheet/Worksheet/youtube_dl_1498253254907789313/index.html</t>
  </si>
  <si>
    <t>Иван Щелепов - #Харьков Деревянко обстрел РСЗО</t>
  </si>
  <si>
    <t>2022-02-28T11:06:26+00:00</t>
  </si>
  <si>
    <t>https://twitter.com/YWNReporter/status/1498222843380879362</t>
  </si>
  <si>
    <t>Russian tank firing</t>
  </si>
  <si>
    <t>UW0949</t>
  </si>
  <si>
    <t>https://bellingcat-archive.nyc3.cdn.digitaloceanspaces.com/Ukraine_Witness_Datasheet/Worksheet/youtube_dl_1498222843380879362.mp4</t>
  </si>
  <si>
    <t>2022-02-28T13:25:50.928083+00:00</t>
  </si>
  <si>
    <t>https://bellingcat-archive.nyc3.cdn.digitaloceanspaces.com/Ukraine_Witness_Datasheet/Worksheet/youtube_dl__YWNReporter_status_14982228433808793622022-02-28T13:25:36.395436.png</t>
  </si>
  <si>
    <t>c2e6303b362d91cfd1371358c24fa17c80c45fec4cf07fe2db9a46ff29bcc4ce</t>
  </si>
  <si>
    <t>https://bellingcat-archive.nyc3.cdn.digitaloceanspaces.com/Ukraine_Witness_Datasheet/Worksheet/youtube_dl_1498222843380879362/index.html</t>
  </si>
  <si>
    <t>Moshe Schwartz - I've geolocated this video reportedly from today showing Russian tanks firing off round in Borodyanka - outside of Kyiv, Ukraine.  📍50.643453,29.933470</t>
  </si>
  <si>
    <t>2022-02-28T09:05:36+00:00</t>
  </si>
  <si>
    <t>https://twitter.com/RolandOliphant/status/1498269943271469063</t>
  </si>
  <si>
    <t>UW0950</t>
  </si>
  <si>
    <t>https://bellingcat-archive.nyc3.cdn.digitaloceanspaces.com/Ukraine_Witness_Datasheet/Worksheet/twitter__RolandOliphant_status_1498269943271469063.html</t>
  </si>
  <si>
    <t>2022-02-28T14:29:04.734056+00:00</t>
  </si>
  <si>
    <t>https://bellingcat-archive.nyc3.cdn.digitaloceanspaces.com/Ukraine_Witness_Datasheet/Worksheet/twitter__RolandOliphant_status_14982699432714690632022-02-28T14:28:43.030687.png</t>
  </si>
  <si>
    <t>e5304a94559c84bcff24e96bbb77cbd2ddf819b21da2161b8b52a4b0de5c03f5</t>
  </si>
  <si>
    <t>2022-02-28T12:12:45+00:00</t>
  </si>
  <si>
    <t>https://twitter.com/nntaleb/status/1498306870007762946</t>
  </si>
  <si>
    <t>https://bellingcat-archive.nyc3.cdn.digitaloceanspaces.com/Ukraine_Witness_Datasheet/Worksheet/youtube_dl_1498306870007762946.mp4</t>
  </si>
  <si>
    <t>2022-03-02T13:02:32.439507+00:00</t>
  </si>
  <si>
    <t>https://bellingcat-archive.nyc3.cdn.digitaloceanspaces.com/Ukraine_Witness_Datasheet/Worksheet/youtube_dl__nntaleb_status_14983068700077629462022-03-02T13:02:21.923602.png</t>
  </si>
  <si>
    <t>121b4f2e304334633fc8973a73e41b35f9ff1050e7d88e1f226105bb694150df</t>
  </si>
  <si>
    <t>https://bellingcat-archive.nyc3.cdn.digitaloceanspaces.com/Ukraine_Witness_Datasheet/Worksheet/youtube_dl_1498306870007762946/index.html</t>
  </si>
  <si>
    <t>Nassim Nicholas Taleb - A close friend from Kharkiv sent me this. "They started shelling Kharkiv with grad. This is a military crime by any measure. You have a tribune, spread this."</t>
  </si>
  <si>
    <t>2022-02-28T14:39:29+00:00</t>
  </si>
  <si>
    <t>Johanna</t>
  </si>
  <si>
    <t>50.035058</t>
  </si>
  <si>
    <t>36.244214</t>
  </si>
  <si>
    <t>https://twitter.com/donetsk62ua/status/1498267087562846211?s=20&amp;t=_xFKuqmEK9J7zIULpQJ-ew</t>
  </si>
  <si>
    <t>CIV0087</t>
  </si>
  <si>
    <t>UW0951</t>
  </si>
  <si>
    <t>https://bellingcat-archive.nyc3.cdn.digitaloceanspaces.com/Ukraine_Witness_Datasheet/Worksheet/twitter__donetsk62ua_status_1498267087562846211.html</t>
  </si>
  <si>
    <t>2022-02-28T13:26:36.344123+00:00</t>
  </si>
  <si>
    <t>https://bellingcat-archive.nyc3.cdn.digitaloceanspaces.com/Ukraine_Witness_Datasheet/Worksheet/twitter__donetsk62ua_status_14982670875628462112022-02-28T13:26:25.220094.png</t>
  </si>
  <si>
    <t>b040941ee9f077225172f01efbbd1dc2ab1c50c5250c2c9f66c6bdf35bd85c46</t>
  </si>
  <si>
    <t>2022-02-28T12:01:24+00:00</t>
  </si>
  <si>
    <t>https://twitter.com/juliaskripkaser/status/1498257415330054144?s=20&amp;t=A6jWQ4h19yCjjoYwVXLvOw</t>
  </si>
  <si>
    <t>CIV0088</t>
  </si>
  <si>
    <t>Cargo munition inside residential building, reportedly Kharkiv</t>
  </si>
  <si>
    <t>UW0952</t>
  </si>
  <si>
    <t>https://bellingcat-archive.nyc3.cdn.digitaloceanspaces.com/Ukraine_Witness_Datasheet/Worksheet/youtube_dl_1498257415330054144.mp4</t>
  </si>
  <si>
    <t>2022-02-28T13:26:59.070722+00:00</t>
  </si>
  <si>
    <t>https://bellingcat-archive.nyc3.cdn.digitaloceanspaces.com/Ukraine_Witness_Datasheet/Worksheet/youtube_dl__juliaskripkaser_status_14982574153300541442022-02-28T13:26:40.599656.png</t>
  </si>
  <si>
    <t>81327025d9d69291487fd466551701648e262694702c8ae795d438dc99af0337</t>
  </si>
  <si>
    <t>https://bellingcat-archive.nyc3.cdn.digitaloceanspaces.com/Ukraine_Witness_Datasheet/Worksheet/youtube_dl_1498257415330054144/index.html</t>
  </si>
  <si>
    <t>JskSrs - Footage of aftermath flooding the groups now</t>
  </si>
  <si>
    <t>2022-02-28T11:22:58+00:00</t>
  </si>
  <si>
    <t>50.032896</t>
  </si>
  <si>
    <t>36.236884</t>
  </si>
  <si>
    <t>https://t.me/truexanewsua/26073</t>
  </si>
  <si>
    <t>CIV0089</t>
  </si>
  <si>
    <t>Dead civilians on the street</t>
  </si>
  <si>
    <t>UW0953</t>
  </si>
  <si>
    <t>https://bellingcat-archive.nyc3.cdn.digitaloceanspaces.com/Ukraine_Witness_Datasheet/Worksheet/telegram_1cde8137c2.mp4</t>
  </si>
  <si>
    <t>2022-02-28T13:27:39.220630+00:00</t>
  </si>
  <si>
    <t>https://bellingcat-archive.nyc3.cdn.digitaloceanspaces.com/Ukraine_Witness_Datasheet/Worksheet/telegram__truexanewsua_260732022-02-28T13:26:59.820091.png</t>
  </si>
  <si>
    <t>43d28a7b0f378d60322283ef9363d1932a619556e53ff8db55b82b3d7ba897ce</t>
  </si>
  <si>
    <t>https://bellingcat-archive.nyc3.cdn.digitaloceanspaces.com/Ukraine_Witness_Datasheet/Worksheet/telegram_1cde8137c2/index.html</t>
  </si>
  <si>
    <t>50.03477304</t>
  </si>
  <si>
    <t>36.23837548</t>
  </si>
  <si>
    <t>https://twitter.com/juliaskripkaser/status/1498254899792027653?s=20&amp;t=A6jWQ4h19yCjjoYwVXLvOw</t>
  </si>
  <si>
    <t>CIV0090</t>
  </si>
  <si>
    <t>Smoke from MLRS strike, likely north side of Kharkiv</t>
  </si>
  <si>
    <t>UW0954</t>
  </si>
  <si>
    <t>https://bellingcat-archive.nyc3.cdn.digitaloceanspaces.com/Ukraine_Witness_Datasheet/Worksheet/youtube_dl_1498254899792027653.mp4</t>
  </si>
  <si>
    <t>2022-02-28T13:39:30.049702+00:00</t>
  </si>
  <si>
    <t>https://bellingcat-archive.nyc3.cdn.digitaloceanspaces.com/Ukraine_Witness_Datasheet/Worksheet/youtube_dl__juliaskripkaser_status_14982548997920276532022-02-28T13:39:06.027692.png</t>
  </si>
  <si>
    <t>5e85b7ea752bbeeda2056aa0d2ef6999a947631b64cc9a24ea868f278eda54dd</t>
  </si>
  <si>
    <t>https://bellingcat-archive.nyc3.cdn.digitaloceanspaces.com/Ukraine_Witness_Datasheet/Worksheet/youtube_dl_1498254899792027653/index.html</t>
  </si>
  <si>
    <t>JskSrs - Yes a lot of civilian footage now confirming this - Russia did just carpet bomb a district in Kharkiv. I am shaking</t>
  </si>
  <si>
    <t>2022-02-28T11:12:58+00:00</t>
  </si>
  <si>
    <t>UW0955</t>
  </si>
  <si>
    <t>https://twitter.com/karinanguyen_/status/1498248288205737990</t>
  </si>
  <si>
    <t>Cars on fire after artillery strike</t>
  </si>
  <si>
    <t>UW0956</t>
  </si>
  <si>
    <t>2022-02-28T13:39:44.303626+00:00</t>
  </si>
  <si>
    <t>https://bellingcat-archive.nyc3.cdn.digitaloceanspaces.com/Ukraine_Witness_Datasheet/Worksheet/twitter__karinanguyen__status_14982482882057379902022-02-28T13:39:32.943724.png</t>
  </si>
  <si>
    <t>a4c076f9c4c7a59ca56462a72783fbb8e03bd6c9179e8cd3ca996fb355ba18ba</t>
  </si>
  <si>
    <t>https://t.me/truexanewsua/26060</t>
  </si>
  <si>
    <t>Car crash resulting in casualty after artillery fire</t>
  </si>
  <si>
    <t>UW1077</t>
  </si>
  <si>
    <t>UW0957</t>
  </si>
  <si>
    <t>https://bellingcat-archive.nyc3.cdn.digitaloceanspaces.com/Ukraine_Witness_Datasheet/Worksheet/telegram_1bc4827588.mp4</t>
  </si>
  <si>
    <t>2022-02-28T14:31:39.237468+00:00</t>
  </si>
  <si>
    <t>https://bellingcat-archive.nyc3.cdn.digitaloceanspaces.com/Ukraine_Witness_Datasheet/Worksheet/telegram__truexanewsua_260602022-02-28T14:29:05.809264.png</t>
  </si>
  <si>
    <t>010cf32d08b08d3634b5ecea55a5cd943cb7e937dcee8cae2efe78216ca59270</t>
  </si>
  <si>
    <t>https://bellingcat-archive.nyc3.cdn.digitaloceanspaces.com/Ukraine_Witness_Datasheet/Worksheet/telegram_1bc4827588/index.html</t>
  </si>
  <si>
    <t>UW0958</t>
  </si>
  <si>
    <t>https://twitter.com/YWNReporter/status/1498283825985638400</t>
  </si>
  <si>
    <t>UW0959</t>
  </si>
  <si>
    <t>https://bellingcat-archive.nyc3.cdn.digitaloceanspaces.com/Ukraine_Witness_Datasheet/Worksheet/youtube_dl_1498283825985638400.mp4</t>
  </si>
  <si>
    <t>2022-02-28T14:32:55.455816+00:00</t>
  </si>
  <si>
    <t>https://bellingcat-archive.nyc3.cdn.digitaloceanspaces.com/Ukraine_Witness_Datasheet/Worksheet/youtube_dl__YWNReporter_status_14982838259856384002022-02-28T14:31:58.613014.png</t>
  </si>
  <si>
    <t>0d31df1b88392d2db89d0e7b7395651913be8622f24708f2b111030ac150efe1</t>
  </si>
  <si>
    <t>https://bellingcat-archive.nyc3.cdn.digitaloceanspaces.com/Ukraine_Witness_Datasheet/Worksheet/youtube_dl_1498283825985638400/index.html</t>
  </si>
  <si>
    <t>Moshe Schwartz - Absolute destruction and carnage in Kharkiv, Ukraine following reported indiscriminate use of cluster munitions by Russian forces against the city.  Most videos are too graphic to post. But the death toll will significantly rise following this horrible decision.</t>
  </si>
  <si>
    <t>2022-02-28T13:07:55+00:00</t>
  </si>
  <si>
    <t>50.925932</t>
  </si>
  <si>
    <t>29.877105</t>
  </si>
  <si>
    <t>https://twitter.com/Bacco110/status/1497782496347496452</t>
  </si>
  <si>
    <t>CIV0092</t>
  </si>
  <si>
    <t>Civilians and dogs dead in ditch near damaged vehicle outside Ivankiv</t>
  </si>
  <si>
    <t>UW0960</t>
  </si>
  <si>
    <t>https://bellingcat-archive.nyc3.cdn.digitaloceanspaces.com/Ukraine_Witness_Datasheet/Worksheet/youtube_dl_1497782496347496452.mp4</t>
  </si>
  <si>
    <t>2022-02-28T14:35:30.303104+00:00</t>
  </si>
  <si>
    <t>https://bellingcat-archive.nyc3.cdn.digitaloceanspaces.com/Ukraine_Witness_Datasheet/Worksheet/youtube_dl__Bacco110_status_14977824963474964522022-02-28T14:33:38.337702.png</t>
  </si>
  <si>
    <t>dbea1213d18fcc34d4ea350a1619a84a7fb031cf52dd30057b780b0004cfc9be</t>
  </si>
  <si>
    <t>https://bellingcat-archive.nyc3.cdn.digitaloceanspaces.com/Ukraine_Witness_Datasheet/Worksheet/youtube_dl_1497782496347496452/index.html</t>
  </si>
  <si>
    <t>PK - Russian soldiers have killed Ukrainian civilians and nearly all of their dogs. Only one German shepherd survived the attack. It's very important to document all of Russia's war crimes in Ukraine.</t>
  </si>
  <si>
    <t>2022-02-27T03:55:49+00:00</t>
  </si>
  <si>
    <t>https://twitter.com/RALee85/status/1498279966588481540?s=20&amp;t=mSFlcDNS0oT1fEh4rZdNHg</t>
  </si>
  <si>
    <t>UW0961</t>
  </si>
  <si>
    <t>https://bellingcat-archive.nyc3.cdn.digitaloceanspaces.com/Ukraine_Witness_Datasheet/Worksheet/youtube_dl_1498279966588481540.mp4</t>
  </si>
  <si>
    <t>2022-02-28T14:37:14.955470+00:00</t>
  </si>
  <si>
    <t>https://bellingcat-archive.nyc3.cdn.digitaloceanspaces.com/Ukraine_Witness_Datasheet/Worksheet/youtube_dl__RALee85_status_14982799665884815402022-02-28T14:35:50.698945.png</t>
  </si>
  <si>
    <t>f1a19140db92ef2fc6f04ade6e6d69fe0d0ade8d88d1554fee1020d8de10d3f9</t>
  </si>
  <si>
    <t>https://bellingcat-archive.nyc3.cdn.digitaloceanspaces.com/Ukraine_Witness_Datasheet/Worksheet/youtube_dl_1498279966588481540/index.html</t>
  </si>
  <si>
    <t>Rob Lee - Likely the aftermath of MLRS fire in Kharkiv today.</t>
  </si>
  <si>
    <t>2022-02-28T12:52:35+00:00</t>
  </si>
  <si>
    <t>https://twitter.com/AKirilenko_True/status/1497941425400565763/photo/1</t>
  </si>
  <si>
    <t xml:space="preserve">Explosion in city </t>
  </si>
  <si>
    <t>Livoberezhnyi</t>
  </si>
  <si>
    <t>UW0962</t>
  </si>
  <si>
    <t>Bombing, shelling, explosion</t>
  </si>
  <si>
    <t>https://bellingcat-archive.nyc3.cdn.digitaloceanspaces.com/Ukraine_Witness_Datasheet/Worksheet/twitter__AKirilenko_True_status_1497941425400565763_photo_1.html</t>
  </si>
  <si>
    <t>2022-02-28T14:37:38.867964+00:00</t>
  </si>
  <si>
    <t>https://bellingcat-archive.nyc3.cdn.digitaloceanspaces.com/Ukraine_Witness_Datasheet/Worksheet/twitter__AKirilenko_True_status_1497941425400565763_photo_12022-02-28T14:37:20.654500.png</t>
  </si>
  <si>
    <t>94323f8a5ee0a74823faa4026c7cd13eb05b38b5c5876ae895f5910cf3049a7c</t>
  </si>
  <si>
    <t>2022-02-27T14:27:20+00:00</t>
  </si>
  <si>
    <t>https://twitter.com/juliaskripkaser/status/1498272000946708486</t>
  </si>
  <si>
    <t>Residential area in Kharkiv under fire</t>
  </si>
  <si>
    <t>"Diamond city" building visible in video</t>
  </si>
  <si>
    <t>UW0963</t>
  </si>
  <si>
    <t>https://bellingcat-archive.nyc3.cdn.digitaloceanspaces.com/Ukraine_Witness_Datasheet/Worksheet/youtube_dl_1498272000946708486.mp4</t>
  </si>
  <si>
    <t>2022-02-28T14:39:16.834364+00:00</t>
  </si>
  <si>
    <t>https://bellingcat-archive.nyc3.cdn.digitaloceanspaces.com/Ukraine_Witness_Datasheet/Worksheet/youtube_dl__juliaskripkaser_status_14982720009467084862022-02-28T14:38:07.602976.png</t>
  </si>
  <si>
    <t>85bfb8980d129eeeb72ae597144b70b3d1705793e60b2018251983ccefc29400</t>
  </si>
  <si>
    <t>https://bellingcat-archive.nyc3.cdn.digitaloceanspaces.com/Ukraine_Witness_Datasheet/Worksheet/youtube_dl_1498272000946708486/index.html</t>
  </si>
  <si>
    <t>JskSrs - Another grad shower in Kharkiv now</t>
  </si>
  <si>
    <t>2022-02-28T12:20:56+00:00</t>
  </si>
  <si>
    <t>https://twitter.com/ostapcsms/status/1498292085832790020</t>
  </si>
  <si>
    <t>Oil depot on fire in Okhtyrka, Sumy Oblast.</t>
  </si>
  <si>
    <t>UW0964</t>
  </si>
  <si>
    <t>https://bellingcat-archive.nyc3.cdn.digitaloceanspaces.com/Ukraine_Witness_Datasheet/Worksheet/twitter__ostapcsms_status_1498292085832790020.html</t>
  </si>
  <si>
    <t>2022-02-28T15:31:30.233348+00:00</t>
  </si>
  <si>
    <t>https://bellingcat-archive.nyc3.cdn.digitaloceanspaces.com/Ukraine_Witness_Datasheet/Worksheet/twitter__ostapcsms_status_14982920858327900202022-02-28T15:31:21.170415.png</t>
  </si>
  <si>
    <t>7919cd6eb09e57d61dba3ce14288c8bc17ceffe4618fced6cfed41847170d670</t>
  </si>
  <si>
    <t>2022-02-28T13:40:44+00:00</t>
  </si>
  <si>
    <t>https://twitter.com/Liveuamap/status/1498249640021528582?s=20&amp;t=G6vPQRweptCgBGsmYJjEpQ</t>
  </si>
  <si>
    <t xml:space="preserve">Fire in Okhtyrka as result of shelling </t>
  </si>
  <si>
    <t>Fence and train tracks visible at beginning of video. Residential area visible in the far distance.</t>
  </si>
  <si>
    <t>UW0965</t>
  </si>
  <si>
    <t>https://bellingcat-archive.nyc3.cdn.digitaloceanspaces.com/Ukraine_Witness_Datasheet/Worksheet/youtube_dl_1498249640021528582.mp4</t>
  </si>
  <si>
    <t>2022-02-28T15:31:59.418847+00:00</t>
  </si>
  <si>
    <t>https://bellingcat-archive.nyc3.cdn.digitaloceanspaces.com/Ukraine_Witness_Datasheet/Worksheet/youtube_dl__Liveuamap_status_14982496400215285822022-02-28T15:31:37.696267.png</t>
  </si>
  <si>
    <t>2c5855e65030f1b1dcc43f8cfc822e4c7c8e888f16328ad980690be7de51680c</t>
  </si>
  <si>
    <t>https://bellingcat-archive.nyc3.cdn.digitaloceanspaces.com/Ukraine_Witness_Datasheet/Worksheet/youtube_dl_1498249640021528582/index.html</t>
  </si>
  <si>
    <t>Liveuamap - Fire in Okhtyrka as result of shelling  #Ukraine</t>
  </si>
  <si>
    <t>2022-02-28T10:52:04+00:00</t>
  </si>
  <si>
    <t>UW0966</t>
  </si>
  <si>
    <t>https://twitter.com/michaelh992/status/1498299997359587331</t>
  </si>
  <si>
    <t>Aftermath of a strike against a military base in Okhtyrka.</t>
  </si>
  <si>
    <t>https://twitter.com/michaelh992/status/1498300078074871809</t>
  </si>
  <si>
    <t>UW0967</t>
  </si>
  <si>
    <t>https://bellingcat-archive.nyc3.cdn.digitaloceanspaces.com/Ukraine_Witness_Datasheet/Worksheet/youtube_dl_1498299997359587331.mp4</t>
  </si>
  <si>
    <t>2022-02-28T15:32:25.210038+00:00</t>
  </si>
  <si>
    <t>https://bellingcat-archive.nyc3.cdn.digitaloceanspaces.com/Ukraine_Witness_Datasheet/Worksheet/youtube_dl__michaelh992_status_14982999973595873312022-02-28T15:32:07.497079.png</t>
  </si>
  <si>
    <t>c785639a2feb8b2a7c937ecd80318c6a27c285e284a54634bbf061872c284317</t>
  </si>
  <si>
    <t>https://bellingcat-archive.nyc3.cdn.digitaloceanspaces.com/Ukraine_Witness_Datasheet/Worksheet/youtube_dl_1498299997359587331/index.html</t>
  </si>
  <si>
    <t>Michael A. Horowitz - Aftermath of a strike against a military base in Okhtyrka. Large impact could point to the use of ballistic missile #Ukraine</t>
  </si>
  <si>
    <t>2022-02-28T14:12:11+00:00</t>
  </si>
  <si>
    <t>https://twitter.com/UAWeapons/status/1497651007752445954</t>
  </si>
  <si>
    <t>Helicopter crashing</t>
  </si>
  <si>
    <t>Film location: 46.622459, 32.802851</t>
  </si>
  <si>
    <t>UW0968</t>
  </si>
  <si>
    <t>Helicopter, fire</t>
  </si>
  <si>
    <t>https://bellingcat-archive.nyc3.cdn.digitaloceanspaces.com/Ukraine_Witness_Datasheet/Worksheet/youtube_dl_1497651007752445954.mp4</t>
  </si>
  <si>
    <t>2022-02-28T15:33:09.934629+00:00</t>
  </si>
  <si>
    <t>https://bellingcat-archive.nyc3.cdn.digitaloceanspaces.com/Ukraine_Witness_Datasheet/Worksheet/youtube_dl__UAWeapons_status_14976510077524459542022-02-28T15:32:30.228029.png</t>
  </si>
  <si>
    <t>7b958cab9e28074bd7b18812054eaa677a3b9348145affbfff68b0928b739227</t>
  </si>
  <si>
    <t>https://bellingcat-archive.nyc3.cdn.digitaloceanspaces.com/Ukraine_Witness_Datasheet/Worksheet/youtube_dl_1497651007752445954/index.html</t>
  </si>
  <si>
    <t>🇺🇦 Ukraine Weapons Tracker - #Ukraine: An apparent Russian Mi-24 attack helicopter burns and falls after being hit by ground fire near Sagi, #Kherson region. What asset was used was unclear.</t>
  </si>
  <si>
    <t>2022-02-26T19:13:19+00:00</t>
  </si>
  <si>
    <t>https://twitter.com/worldonalert/status/1498314971398213633?s=20&amp;t=wIDgC7FK45IH7aIBwjf-wQ</t>
  </si>
  <si>
    <t>Civillians &amp; dog shot in car</t>
  </si>
  <si>
    <t xml:space="preserve">Ivankiv </t>
  </si>
  <si>
    <t>UW0969</t>
  </si>
  <si>
    <t>https://bellingcat-archive.nyc3.cdn.digitaloceanspaces.com/Ukraine_Witness_Datasheet/Worksheet/youtube_dl_1498314971398213633.mp4</t>
  </si>
  <si>
    <t>2022-02-28T15:34:49.711463+00:00</t>
  </si>
  <si>
    <t>https://bellingcat-archive.nyc3.cdn.digitaloceanspaces.com/Ukraine_Witness_Datasheet/Worksheet/youtube_dl__worldonalert_status_14983149713982136332022-02-28T15:33:50.384298.png</t>
  </si>
  <si>
    <t>8243a4f7803807618d4ddf8023b8042120d2cffcd2eb6ca96cdee14fa35ad0c7</t>
  </si>
  <si>
    <t>https://bellingcat-archive.nyc3.cdn.digitaloceanspaces.com/Ukraine_Witness_Datasheet/Worksheet/youtube_dl_1498314971398213633/index.html</t>
  </si>
  <si>
    <t>WorldOnAlert - A video has appeared that shows how a Ukrainian civilian and two of his dogs were killed by Russian forces in Ivankiv in Kyiv Oblast last week. Only the son and a German Shepherd survived the attack.</t>
  </si>
  <si>
    <t>2022-02-28T15:11:41+00:00</t>
  </si>
  <si>
    <t>https://twitter.com/dmitryakhatov/status/1498286694465949696</t>
  </si>
  <si>
    <t xml:space="preserve">Bombed car and dead family </t>
  </si>
  <si>
    <t>UW0970</t>
  </si>
  <si>
    <t>https://bellingcat-archive.nyc3.cdn.digitaloceanspaces.com/Ukraine_Witness_Datasheet/Worksheet/youtube_dl_1498286694465949696.mp4</t>
  </si>
  <si>
    <t>2022-03-01T06:50:54.792218+00:00</t>
  </si>
  <si>
    <t>https://bellingcat-archive.nyc3.cdn.digitaloceanspaces.com/Ukraine_Witness_Datasheet/Worksheet/youtube_dl__dmitryakhatov_status_14982866944659496962022-03-01T06:50:38.282547.png</t>
  </si>
  <si>
    <t>6b02d3694a83c4e0c78546609ee6e776e5501b5e3a6739fc3f90a8eeb4096db3</t>
  </si>
  <si>
    <t>https://bellingcat-archive.nyc3.cdn.digitaloceanspaces.com/Ukraine_Witness_Datasheet/Worksheet/youtube_dl_1498286694465949696/index.html</t>
  </si>
  <si>
    <t>Dmitry Akhatov - #Харьков, #Украина [28 фев. 2022 в 15:16] При обстреле градами жилого массива Харькова в машине погибла целая семья. Этот ужас произошел во время переговоров в Беларуси.</t>
  </si>
  <si>
    <t>2022-02-28T13:19:19+00:00</t>
  </si>
  <si>
    <t>https://twitter.com/markito0171/status/1498318948940533769</t>
  </si>
  <si>
    <t>Russian army in Trostyanet, Sumy</t>
  </si>
  <si>
    <t>https://twitter.com/markito0171/status/1498319067891093506</t>
  </si>
  <si>
    <t>UW0971</t>
  </si>
  <si>
    <t>equipment</t>
  </si>
  <si>
    <t>https://bellingcat-archive.nyc3.cdn.digitaloceanspaces.com/Ukraine_Witness_Datasheet/Worksheet/youtube_dl_1498318948940533769.mp4</t>
  </si>
  <si>
    <t>2022-03-01T06:51:11.346253+00:00</t>
  </si>
  <si>
    <t>https://bellingcat-archive.nyc3.cdn.digitaloceanspaces.com/Ukraine_Witness_Datasheet/Worksheet/youtube_dl__markito0171_status_14983189489405337692022-03-01T06:51:00.678034.png</t>
  </si>
  <si>
    <t>4e52c0836218e780e116f1ae6dd135864d86228ef69b13081118ff32a9f45bc5</t>
  </si>
  <si>
    <t>https://bellingcat-archive.nyc3.cdn.digitaloceanspaces.com/Ukraine_Witness_Datasheet/Worksheet/youtube_dl_1498318948940533769/index.html</t>
  </si>
  <si>
    <t>C4H10FO2P - #Russia'n army use choclate factory as base in #Trostyanets in #Sumy region east #Ukraine</t>
  </si>
  <si>
    <t>2022-02-28T15:27:29+00:00</t>
  </si>
  <si>
    <t xml:space="preserve">Chris </t>
  </si>
  <si>
    <t>BEN</t>
  </si>
  <si>
    <t>https://twitter.com/666_mancer/status/1498297184231596042</t>
  </si>
  <si>
    <t>russian convoy stopped by the population</t>
  </si>
  <si>
    <t>https://twitter.com/5urpher/status/1498308317910913027</t>
  </si>
  <si>
    <t>Horodnya</t>
  </si>
  <si>
    <t>UW0972</t>
  </si>
  <si>
    <t>https://bellingcat-archive.nyc3.cdn.digitaloceanspaces.com/Ukraine_Witness_Datasheet/Worksheet/youtube_dl_1498297184231596042.mp4</t>
  </si>
  <si>
    <t>2022-03-01T06:51:28.682994+00:00</t>
  </si>
  <si>
    <t>https://bellingcat-archive.nyc3.cdn.digitaloceanspaces.com/Ukraine_Witness_Datasheet/Worksheet/youtube_dl__666_mancer_status_14982971842315960422022-03-01T06:51:17.300919.png</t>
  </si>
  <si>
    <t>9d76ee279f6cdbe6758d65ad8415057a1683ad5e3c2328cceddc46faa3ca67ad</t>
  </si>
  <si>
    <t>https://bellingcat-archive.nyc3.cdn.digitaloceanspaces.com/Ukraine_Witness_Datasheet/Worksheet/youtube_dl_1498297184231596042/index.html</t>
  </si>
  <si>
    <t>Necro Mancer - #Сеньковка, Черниговская обл., гражданские не пускают оккупантов в поселок #RussiaUkraineWar</t>
  </si>
  <si>
    <t>2022-02-28T14:01:00+00:00</t>
  </si>
  <si>
    <t>https://twitter.com/GirkinGirkin/status/1498293986087387139</t>
  </si>
  <si>
    <t>destroyed russian convoy</t>
  </si>
  <si>
    <t>https://twitter.com/il_kanguru/status/1498309072352862218</t>
  </si>
  <si>
    <t>UW0973</t>
  </si>
  <si>
    <t>https://bellingcat-archive.nyc3.cdn.digitaloceanspaces.com/Ukraine_Witness_Datasheet/Worksheet/youtube_dl_1498293986087387139.mp4</t>
  </si>
  <si>
    <t>2022-03-01T06:52:00.138427+00:00</t>
  </si>
  <si>
    <t>https://bellingcat-archive.nyc3.cdn.digitaloceanspaces.com/Ukraine_Witness_Datasheet/Worksheet/youtube_dl__GirkinGirkin_status_14982939860873871392022-03-01T06:51:41.383942.png</t>
  </si>
  <si>
    <t>dde575ed06dc1aa885350b695ad748e47928c15cc8683960502f54a050e50010</t>
  </si>
  <si>
    <t>https://bellingcat-archive.nyc3.cdn.digitaloceanspaces.com/Ukraine_Witness_Datasheet/Worksheet/youtube_dl_1498293986087387139/index.html</t>
  </si>
  <si>
    <t>IgorGirkin - Трасса Лебедин-Тростянец  Брошенная и уничтоженная техника вс рф</t>
  </si>
  <si>
    <t>2022-02-28T13:48:17+00:00</t>
  </si>
  <si>
    <t>https://t.me/voynareal/11026</t>
  </si>
  <si>
    <t>CIV0097</t>
  </si>
  <si>
    <t xml:space="preserve">CCTV footage showing bombing </t>
  </si>
  <si>
    <t>UW0974</t>
  </si>
  <si>
    <t>cluster munition</t>
  </si>
  <si>
    <t>https://bellingcat-archive.nyc3.cdn.digitaloceanspaces.com/Ukraine_Witness_Datasheet/Worksheet/telegram_752c4b844b.mp4</t>
  </si>
  <si>
    <t>2022-03-01T06:58:20.882244+00:00</t>
  </si>
  <si>
    <t>https://bellingcat-archive.nyc3.cdn.digitaloceanspaces.com/Ukraine_Witness_Datasheet/Worksheet/telegram__voynareal_110262022-03-01T06:57:29.854279.png</t>
  </si>
  <si>
    <t>dfac7656db4a553d6005fc6e42903f95ef20067017a842a1fe1ddc86c34257f9</t>
  </si>
  <si>
    <t>https://bellingcat-archive.nyc3.cdn.digitaloceanspaces.com/Ukraine_Witness_Datasheet/Worksheet/telegram_752c4b844b/index.html</t>
  </si>
  <si>
    <t>2022-02-28T16:06:03+00:00</t>
  </si>
  <si>
    <t>https://twitter.com/666_mancer/status/1497993315551170561</t>
  </si>
  <si>
    <t>russian convoy stopped by plain clothed people</t>
  </si>
  <si>
    <t>https://twitter.com/5urpher/status/1497999576384557058</t>
  </si>
  <si>
    <t>Dniprorudne</t>
  </si>
  <si>
    <t>UW0975</t>
  </si>
  <si>
    <t>protest</t>
  </si>
  <si>
    <t>https://bellingcat-archive.nyc3.cdn.digitaloceanspaces.com/Ukraine_Witness_Datasheet/Worksheet/youtube_dl_1497993315551170561.mp4</t>
  </si>
  <si>
    <t>2022-03-01T06:53:45.032660+00:00</t>
  </si>
  <si>
    <t>https://bellingcat-archive.nyc3.cdn.digitaloceanspaces.com/Ukraine_Witness_Datasheet/Worksheet/youtube_dl__666_mancer_status_14979933155511705612022-03-01T06:53:29.556989.png</t>
  </si>
  <si>
    <t>28131fef25a2238d8796969805ad0369e466b5755d9de5b52a058160d8bac353</t>
  </si>
  <si>
    <t>https://bellingcat-archive.nyc3.cdn.digitaloceanspaces.com/Ukraine_Witness_Datasheet/Worksheet/youtube_dl_1497993315551170561/index.html</t>
  </si>
  <si>
    <t>Necro Mancer - #Днепрорудное, Запорожская обл., гражданские не пропускают российскую технику (видео от @IrmatovUzbek) #RussiaInvadedUkraine</t>
  </si>
  <si>
    <t>2022-02-27T17:53:32+00:00</t>
  </si>
  <si>
    <t>https://t.me/livekharkov/28039</t>
  </si>
  <si>
    <t>Aftermath of russian bombing</t>
  </si>
  <si>
    <t>UW0976</t>
  </si>
  <si>
    <t>https://bellingcat-archive.nyc3.cdn.digitaloceanspaces.com/Ukraine_Witness_Datasheet/Worksheet/telegram_38a7187351.mp4</t>
  </si>
  <si>
    <t>2022-03-01T06:54:37.129238+00:00</t>
  </si>
  <si>
    <t>https://bellingcat-archive.nyc3.cdn.digitaloceanspaces.com/Ukraine_Witness_Datasheet/Worksheet/telegram__livekharkov_280392022-03-01T06:53:45.787655.png</t>
  </si>
  <si>
    <t>41b48e46fcd3b3f8eb32bb73236f24937cd0c1384de9641358a7d8fe2c1fcb3e</t>
  </si>
  <si>
    <t>https://bellingcat-archive.nyc3.cdn.digitaloceanspaces.com/Ukraine_Witness_Datasheet/Worksheet/telegram_38a7187351/index.html</t>
  </si>
  <si>
    <t>2022-02-28T13:56:20+00:00</t>
  </si>
  <si>
    <t>https://twitter.com/Shrik_E/status/1497679185237712906</t>
  </si>
  <si>
    <t>Footage shows damaged infrastructure</t>
  </si>
  <si>
    <t>https://twitter.com/5urpher/status/1497684054791139331</t>
  </si>
  <si>
    <t>Donets Oblast</t>
  </si>
  <si>
    <t>UW0977</t>
  </si>
  <si>
    <t>https://bellingcat-archive.nyc3.cdn.digitaloceanspaces.com/Ukraine_Witness_Datasheet/Worksheet/youtube_dl_1497679185237712906.mp4</t>
  </si>
  <si>
    <t>2022-03-01T06:55:12.588299+00:00</t>
  </si>
  <si>
    <t>https://bellingcat-archive.nyc3.cdn.digitaloceanspaces.com/Ukraine_Witness_Datasheet/Worksheet/youtube_dl__Shrik_E_status_14976791852377129062022-03-01T06:54:58.605821.png</t>
  </si>
  <si>
    <t>3229488b2c9a635fc097d8bf7073ed5ba41085da09b5df0550fe2ad0b79abda6</t>
  </si>
  <si>
    <t>https://bellingcat-archive.nyc3.cdn.digitaloceanspaces.com/Ukraine_Witness_Datasheet/Worksheet/youtube_dl_1497679185237712906/index.html</t>
  </si>
  <si>
    <t>Shrike - Бугас, русский мир.</t>
  </si>
  <si>
    <t>2022-02-26T21:05:17+00:00</t>
  </si>
  <si>
    <t>https://twitter.com/RALee85/status/1498255416203087872?s=20&amp;t=7Mn9SHetvta9meWkY-R_gw</t>
  </si>
  <si>
    <t>TOS MRLS near Mariupol</t>
  </si>
  <si>
    <t>Novoazovsk Raion</t>
  </si>
  <si>
    <r>
      <rPr>
        <sz val="11.0"/>
      </rPr>
      <t xml:space="preserve">Carlos G:
</t>
    </r>
    <r>
      <rPr>
        <color rgb="FF1155CC"/>
        <sz val="11.0"/>
        <u/>
      </rPr>
      <t>https://imgur.com/a/g3flcnk</t>
    </r>
  </si>
  <si>
    <t>UW0978</t>
  </si>
  <si>
    <t>NO</t>
  </si>
  <si>
    <t>https://bellingcat-archive.nyc3.cdn.digitaloceanspaces.com/Ukraine_Witness_Datasheet/Worksheet/youtube_dl_1498255416203087872.mp4</t>
  </si>
  <si>
    <t>2022-03-01T06:55:27.601845+00:00</t>
  </si>
  <si>
    <t>https://bellingcat-archive.nyc3.cdn.digitaloceanspaces.com/Ukraine_Witness_Datasheet/Worksheet/youtube_dl__RALee85_status_14982554162030878722022-03-01T06:55:17.369718.png</t>
  </si>
  <si>
    <t>4f9e9693eff72425efb627386a5ac0b99cef3773d4603f3996b97eef8ba1a1a5</t>
  </si>
  <si>
    <t>https://bellingcat-archive.nyc3.cdn.digitaloceanspaces.com/Ukraine_Witness_Datasheet/Worksheet/youtube_dl_1498255416203087872/index.html</t>
  </si>
  <si>
    <t>Rob Lee - TOS-1A thermobaric MLRS outside of Mariupol.</t>
  </si>
  <si>
    <t>2022-02-28T11:15:02+00:00</t>
  </si>
  <si>
    <t>https://twitter.com/Militarylandnet/status/1498290252548616192?s=20&amp;t=Gq2irF641jjFGJPsEx6RWw</t>
  </si>
  <si>
    <t>MRLS firing, presumably near Mariupol</t>
  </si>
  <si>
    <t>UW0979</t>
  </si>
  <si>
    <t>https://bellingcat-archive.nyc3.cdn.digitaloceanspaces.com/Ukraine_Witness_Datasheet/Worksheet/youtube_dl_1498290252548616192.mp4</t>
  </si>
  <si>
    <t>2022-03-01T06:55:47.880902+00:00</t>
  </si>
  <si>
    <t>https://bellingcat-archive.nyc3.cdn.digitaloceanspaces.com/Ukraine_Witness_Datasheet/Worksheet/youtube_dl__Militarylandnet_status_14982902525486161922022-03-01T06:55:36.879721.png</t>
  </si>
  <si>
    <t>187bfee7eb14f452ab9cab0128a986346d0e926f7bb7ac3c00c97bdd3d2c831e</t>
  </si>
  <si>
    <t>https://bellingcat-archive.nyc3.cdn.digitaloceanspaces.com/Ukraine_Witness_Datasheet/Worksheet/youtube_dl_1498290252548616192/index.html</t>
  </si>
  <si>
    <t>MilitaryLand.net - 📽️ Russian forces firing GRADs towards Ukrainian positions somewhere between #Volnovakha and #Mariupol #Ukraine #UkraineRussiaWar</t>
  </si>
  <si>
    <t>2022-02-28T13:33:27+00:00</t>
  </si>
  <si>
    <t>Maxim</t>
  </si>
  <si>
    <t>51.466667</t>
  </si>
  <si>
    <t>31.216667</t>
  </si>
  <si>
    <t>https://t.me/WarLife/7715</t>
  </si>
  <si>
    <t>CIV0096</t>
  </si>
  <si>
    <t>Civilian fatality from artillery inside house</t>
  </si>
  <si>
    <t>UW0980</t>
  </si>
  <si>
    <t>https://bellingcat-archive.nyc3.cdn.digitaloceanspaces.com/Ukraine_Witness_Datasheet/Worksheet/telegram__WarLife_7715.html</t>
  </si>
  <si>
    <t>2022-03-01T06:56:01.376847+00:00</t>
  </si>
  <si>
    <t>https://bellingcat-archive.nyc3.cdn.digitaloceanspaces.com/Ukraine_Witness_Datasheet/Worksheet/telegram__WarLife_77152022-03-01T06:55:48.581290.png</t>
  </si>
  <si>
    <t>de88ea39e6e6d6895baadbdfe556cc8f32501db7e406db7c643097d92298171e</t>
  </si>
  <si>
    <t>2022-02-28T15:37:28+00:00</t>
  </si>
  <si>
    <t>https://t.me/truexanewsua/26226</t>
  </si>
  <si>
    <t>CIV0095</t>
  </si>
  <si>
    <t>Damage imparted to School No. 42</t>
  </si>
  <si>
    <t>UW0981</t>
  </si>
  <si>
    <t>https://bellingcat-archive.nyc3.cdn.digitaloceanspaces.com/Ukraine_Witness_Datasheet/Worksheet/telegram__truexanewsua_26226.html</t>
  </si>
  <si>
    <t>2022-03-01T06:56:18.589054+00:00</t>
  </si>
  <si>
    <t>https://bellingcat-archive.nyc3.cdn.digitaloceanspaces.com/Ukraine_Witness_Datasheet/Worksheet/telegram__truexanewsua_262262022-03-01T06:56:02.092927.png</t>
  </si>
  <si>
    <t>eecc07d76564b4716e5015bf459c8399cb6d4477652df01da943d96b1c32187a</t>
  </si>
  <si>
    <t>2022-02-28T16:46:52+00:00</t>
  </si>
  <si>
    <t>49.271145</t>
  </si>
  <si>
    <t>38.908924</t>
  </si>
  <si>
    <t>https://www.facebook.com/100075881777013/posts/131589862713739/</t>
  </si>
  <si>
    <t>CIV0094</t>
  </si>
  <si>
    <t>Civillian residential area heavily damaged by shelling</t>
  </si>
  <si>
    <t>Starobilsk</t>
  </si>
  <si>
    <t>UW0982</t>
  </si>
  <si>
    <t>https://web.archive.org/web/20220301065623/https://www.facebook.com/login/?next=https%3A%2F%2Fwww.facebook.com%2F100075881777013%2Fposts%2F131589862713739%2F</t>
  </si>
  <si>
    <t>2022-03-01T06:56:37.828750+00:00</t>
  </si>
  <si>
    <t>https://bellingcat-archive.nyc3.cdn.digitaloceanspaces.com/Ukraine_Witness_Datasheet/Worksheet/wayback__100075881777013_posts_131589862713739_2022-03-01T06:56:28.824059.png</t>
  </si>
  <si>
    <t>https://www.facebook.com/groups/820419854981203/posts/1571696369853544/</t>
  </si>
  <si>
    <t>UW0983</t>
  </si>
  <si>
    <t>https://web.archive.org/web/20220301065707/https://www.facebook.com/login/?next=https%3A%2F%2Fwww.facebook.com%2Fgroups%2F820419854981203%2Fposts%2F1571696369853544%2F</t>
  </si>
  <si>
    <t>2022-03-01T06:57:18.770933+00:00</t>
  </si>
  <si>
    <t>https://bellingcat-archive.nyc3.cdn.digitaloceanspaces.com/Ukraine_Witness_Datasheet/Worksheet/wayback__groups_820419854981203_posts_1571696369853544_2022-03-01T06:57:11.617743.png</t>
  </si>
  <si>
    <t>https://www.facebook.com/watch/?v=923732664951321&amp;extid=CL-UNK-UNK-UNK-AN_GK0T-GK1C&amp;ref=sharing</t>
  </si>
  <si>
    <t>https://bellingcat-archive.nyc3.cdn.digitaloceanspaces.com/Ukraine_Witness_Datasheet/Worksheet/youtube_dl_923732664951321.mkv</t>
  </si>
  <si>
    <t>2022-03-02T13:02:53.501378+00:00</t>
  </si>
  <si>
    <t>https://bellingcat-archive.nyc3.cdn.digitaloceanspaces.com/Ukraine_Witness_Datasheet/Worksheet/youtube_dl__watch_2022-03-02T13:02:41.970189.png</t>
  </si>
  <si>
    <t>8c56e0b9cf379f82726a1a6129dbb63aa008f9ff607968fdfcaf7123c986f63b</t>
  </si>
  <si>
    <t>https://bellingcat-archive.nyc3.cdn.digitaloceanspaces.com/Ukraine_Witness_Datasheet/Worksheet/youtube_dl_923732664951321/index.html</t>
  </si>
  <si>
    <t>Ватутіна, Старобільськ, 25 лютого</t>
  </si>
  <si>
    <t>2022-02-25T04:29:37+00:00</t>
  </si>
  <si>
    <t>01/03/2022</t>
  </si>
  <si>
    <t>https://twitter.com/ArmedForcesUkr/status/1498550650048811012?s=20&amp;t=BRA5LLszUShbt7IVebiZwA</t>
  </si>
  <si>
    <t>Rocket strike on Kharkiv Regional State Administration building</t>
  </si>
  <si>
    <t>https://twitter.com/Euan_MacDonald/status/1498551778853404674?s=20&amp;t=BRA5LLszUShbt7IVebiZwA</t>
  </si>
  <si>
    <t>UW0984</t>
  </si>
  <si>
    <t>https://bellingcat-archive.nyc3.cdn.digitaloceanspaces.com/Ukraine_Witness_Datasheet/Worksheet/youtube_dl_1498550650048811012.mp4</t>
  </si>
  <si>
    <t>2022-03-01T07:48:16.553681+00:00</t>
  </si>
  <si>
    <t>https://bellingcat-archive.nyc3.cdn.digitaloceanspaces.com/Ukraine_Witness_Datasheet/Worksheet/youtube_dl__ArmedForcesUkr_status_14985506500488110122022-03-01T07:47:59.801602.png</t>
  </si>
  <si>
    <t>b2e52004ed7516ecc593bf3628999f9c99e89e51edcc6fde98ae3020684590ca</t>
  </si>
  <si>
    <t>https://bellingcat-archive.nyc3.cdn.digitaloceanspaces.com/Ukraine_Witness_Datasheet/Worksheet/youtube_dl_1498550650048811012/index.html</t>
  </si>
  <si>
    <t>ВОЇНИ УКРАЇНИ🇺🇦 - ❗❗❗Харків❗❗❗ 1.03.2022р    08:01:52 Ракетний обстріл 🇷🇺 російськими окупантами мирного населення!</t>
  </si>
  <si>
    <t>2022-03-01T06:48:11+00:00</t>
  </si>
  <si>
    <t>https://twitter.com/HannaGun/status/1498494275113431040</t>
  </si>
  <si>
    <t>Satallite imagery of large russian military convoy</t>
  </si>
  <si>
    <t>UW0986</t>
  </si>
  <si>
    <t>Sat imagery, convoy</t>
  </si>
  <si>
    <t>https://bellingcat-archive.nyc3.cdn.digitaloceanspaces.com/Ukraine_Witness_Datasheet/Worksheet/twitter__HannaGun_status_1498494275113431040.html</t>
  </si>
  <si>
    <t>2022-03-01T09:29:02.440217+00:00</t>
  </si>
  <si>
    <t>https://bellingcat-archive.nyc3.cdn.digitaloceanspaces.com/Ukraine_Witness_Datasheet/Worksheet/twitter__HannaGun_status_14984942751134310402022-03-01T09:28:53.523763.png</t>
  </si>
  <si>
    <t>09d7b17cc9915e6bdf136219b6a3598b3260bcf2e26e965ca5cd9f495b72d051</t>
  </si>
  <si>
    <t>2022-03-01T03:04:10+00:00</t>
  </si>
  <si>
    <t>https://twitter.com/GirkinGirkin/status/1498541548757213186</t>
  </si>
  <si>
    <t>Abandoned russian military colunm</t>
  </si>
  <si>
    <t>UW0987</t>
  </si>
  <si>
    <t>https://bellingcat-archive.nyc3.cdn.digitaloceanspaces.com/Ukraine_Witness_Datasheet/Worksheet/youtube_dl_1498541548757213186.mp4</t>
  </si>
  <si>
    <t>2022-03-01T09:29:20.394739+00:00</t>
  </si>
  <si>
    <t>https://bellingcat-archive.nyc3.cdn.digitaloceanspaces.com/Ukraine_Witness_Datasheet/Worksheet/youtube_dl__GirkinGirkin_status_14985415487572131862022-03-01T09:29:05.348343.png</t>
  </si>
  <si>
    <t>578d88485ca7e932928183375110bf30a652bbd5a4336c97371cb9ac45e3a8fc</t>
  </si>
  <si>
    <t>https://bellingcat-archive.nyc3.cdn.digitaloceanspaces.com/Ukraine_Witness_Datasheet/Worksheet/youtube_dl_1498541548757213186/index.html</t>
  </si>
  <si>
    <t>IgorGirkin - Уничтоженная техника вс рф  Бородянка, Киевская обл</t>
  </si>
  <si>
    <t>2022-03-01T06:12:01+00:00</t>
  </si>
  <si>
    <t>https://twitter.com/RALee85/status/1498566462126108680</t>
  </si>
  <si>
    <t>UW0988</t>
  </si>
  <si>
    <t>https://bellingcat-archive.nyc3.cdn.digitaloceanspaces.com/Ukraine_Witness_Datasheet/Worksheet/youtube_dl_1498566462126108680.mp4</t>
  </si>
  <si>
    <t>2022-03-01T09:29:35.594163+00:00</t>
  </si>
  <si>
    <t>https://bellingcat-archive.nyc3.cdn.digitaloceanspaces.com/Ukraine_Witness_Datasheet/Worksheet/youtube_dl__RALee85_status_14985664621261086802022-03-01T09:29:22.965941.png</t>
  </si>
  <si>
    <t>b4b3b78a8261501e1da5a5768eeab40b70c2af811e3430edfec7590a5157a410</t>
  </si>
  <si>
    <t>https://bellingcat-archive.nyc3.cdn.digitaloceanspaces.com/Ukraine_Witness_Datasheet/Worksheet/youtube_dl_1498566462126108680/index.html</t>
  </si>
  <si>
    <t>Rob Lee - A Russian military column in Borodyanka, Kyiv Oblast was destroyed and abandoned.</t>
  </si>
  <si>
    <t>2022-03-01T07:51:01+00:00</t>
  </si>
  <si>
    <t>https://twitter.com/IAPonomarenko/status/1498562567047979008</t>
  </si>
  <si>
    <t>Damage after missile strike</t>
  </si>
  <si>
    <t>UW0989</t>
  </si>
  <si>
    <t>https://bellingcat-archive.nyc3.cdn.digitaloceanspaces.com/Ukraine_Witness_Datasheet/Worksheet/youtube_dl_1498562567047979008.mp4</t>
  </si>
  <si>
    <t>2022-03-01T09:29:57.195807+00:00</t>
  </si>
  <si>
    <t>https://bellingcat-archive.nyc3.cdn.digitaloceanspaces.com/Ukraine_Witness_Datasheet/Worksheet/youtube_dl__IAPonomarenko_status_14985625670479790082022-03-01T09:29:42.218718.png</t>
  </si>
  <si>
    <t>60acad91edfff67f258fd9e29a462a7183da84e052378d8d57a288bebbde4cdf</t>
  </si>
  <si>
    <t>https://bellingcat-archive.nyc3.cdn.digitaloceanspaces.com/Ukraine_Witness_Datasheet/Worksheet/youtube_dl_1498562567047979008/index.html</t>
  </si>
  <si>
    <t>Illia Ponomarenko - 🇺🇦Kharkiv central square now. “Whoever rallied for the Russian World on this square - is this what you wanted? We warned you, it’s a bad idea”</t>
  </si>
  <si>
    <t>2022-03-01T07:35:32+00:00</t>
  </si>
  <si>
    <t>https://twitter.com/MarQs__/status/1498573344223997952</t>
  </si>
  <si>
    <t>UW0990</t>
  </si>
  <si>
    <t>https://bellingcat-archive.nyc3.cdn.digitaloceanspaces.com/Ukraine_Witness_Datasheet/Worksheet/youtube_dl_1498573344223997952.mp4</t>
  </si>
  <si>
    <t>2022-03-01T09:30:13.831407+00:00</t>
  </si>
  <si>
    <t>https://bellingcat-archive.nyc3.cdn.digitaloceanspaces.com/Ukraine_Witness_Datasheet/Worksheet/youtube_dl__MarQs___status_14985733442239979522022-03-01T09:30:00.200852.png</t>
  </si>
  <si>
    <t>d1325de7cb152d83a76a04fad49c3e8558b1e4bb8f5067774cfec8559c91784d</t>
  </si>
  <si>
    <t>https://bellingcat-archive.nyc3.cdn.digitaloceanspaces.com/Ukraine_Witness_Datasheet/Worksheet/youtube_dl_1498573344223997952/index.html</t>
  </si>
  <si>
    <t>marqs - Aftermath of Russian strike in the centre of #Kharkiv this morning</t>
  </si>
  <si>
    <t>2022-03-01T08:18:22+00:00</t>
  </si>
  <si>
    <t>https://twitter.com/Techjournalisto/status/1498578226284802049</t>
  </si>
  <si>
    <t>Houses on fire</t>
  </si>
  <si>
    <t>Obukhovychi</t>
  </si>
  <si>
    <t>UW0991</t>
  </si>
  <si>
    <t>Fire, Sat imagery</t>
  </si>
  <si>
    <t>https://bellingcat-archive.nyc3.cdn.digitaloceanspaces.com/Ukraine_Witness_Datasheet/Worksheet/twitter__Techjournalisto_status_1498578226284802049.html</t>
  </si>
  <si>
    <t>2022-03-01T09:30:24.763981+00:00</t>
  </si>
  <si>
    <t>https://bellingcat-archive.nyc3.cdn.digitaloceanspaces.com/Ukraine_Witness_Datasheet/Worksheet/twitter__Techjournalisto_status_14985782262848020492022-03-01T09:30:16.407346.png</t>
  </si>
  <si>
    <t>6eb1787a4eb5cdbf7332ccc51cec8d277952339317260cbf7f2d7928357deb4b</t>
  </si>
  <si>
    <t>2022-03-01T08:37:46+00:00</t>
  </si>
  <si>
    <t xml:space="preserve">R S </t>
  </si>
  <si>
    <t>https://twitter.com/Osinttechnical/status/1498569467445587969</t>
  </si>
  <si>
    <t>Military movement in Kamyshany</t>
  </si>
  <si>
    <t>Kamyshany</t>
  </si>
  <si>
    <t>UW0992</t>
  </si>
  <si>
    <t>https://bellingcat-archive.nyc3.cdn.digitaloceanspaces.com/Ukraine_Witness_Datasheet/Worksheet/twitter__Osinttechnical_status_1498569467445587969.html</t>
  </si>
  <si>
    <t>2022-03-01T09:41:08.839750+00:00</t>
  </si>
  <si>
    <t>https://bellingcat-archive.nyc3.cdn.digitaloceanspaces.com/Ukraine_Witness_Datasheet/Worksheet/twitter__Osinttechnical_status_14985694674455879692022-03-01T09:40:59.025296.png</t>
  </si>
  <si>
    <t>a36c09ad4c5f2053308a64a6033e4e99cd7815988e1aef2a485fa1afe56b0a2f</t>
  </si>
  <si>
    <t>2022-03-01T08:02:57+00:00</t>
  </si>
  <si>
    <t>https://twitter.com/MarQs__/status/1498585279514529797</t>
  </si>
  <si>
    <t>Captured Russian soldiers in Kharkiv</t>
  </si>
  <si>
    <t>UW0993</t>
  </si>
  <si>
    <t>https://bellingcat-archive.nyc3.cdn.digitaloceanspaces.com/Ukraine_Witness_Datasheet/Worksheet/youtube_dl_1498585279514529797.mp4</t>
  </si>
  <si>
    <t>2022-03-01T09:41:32.609020+00:00</t>
  </si>
  <si>
    <t>https://bellingcat-archive.nyc3.cdn.digitaloceanspaces.com/Ukraine_Witness_Datasheet/Worksheet/youtube_dl__MarQs___status_14985852795145297972022-03-01T09:41:13.896705.png</t>
  </si>
  <si>
    <t>4e99b06a122cc0aa3efbee2cb11623dbea8c85b2147d0946d5da74243e65a1fb</t>
  </si>
  <si>
    <t>https://bellingcat-archive.nyc3.cdn.digitaloceanspaces.com/Ukraine_Witness_Datasheet/Worksheet/youtube_dl_1498585279514529797/index.html</t>
  </si>
  <si>
    <t>marqs - Russian soldiers surrendered near #Kharkiv</t>
  </si>
  <si>
    <t>2022-03-01T09:05:47+00:00</t>
  </si>
  <si>
    <t xml:space="preserve">01/03/2022 </t>
  </si>
  <si>
    <t>https://twitter.com/L_Team10/status/1498560089032114177</t>
  </si>
  <si>
    <t xml:space="preserve">Military momvent in Kherson </t>
  </si>
  <si>
    <t>Paradise coffee shop logo visible in video. Google maps has photos of front of shop. Supermarket on the left also visible and confirmed by google maps' photos.</t>
  </si>
  <si>
    <t>UW0995</t>
  </si>
  <si>
    <t>Filmed from home</t>
  </si>
  <si>
    <t>https://bellingcat-archive.nyc3.cdn.digitaloceanspaces.com/Ukraine_Witness_Datasheet/Worksheet/youtube_dl_1498560089032114177.mp4</t>
  </si>
  <si>
    <t>2022-03-01T11:07:09.418176+00:00</t>
  </si>
  <si>
    <t>https://bellingcat-archive.nyc3.cdn.digitaloceanspaces.com/Ukraine_Witness_Datasheet/Worksheet/youtube_dl__L_Team10_status_14985600890321141772022-03-01T11:06:52.969880.png</t>
  </si>
  <si>
    <t>917564f6dec0697a51636564309d252750b492cd3f8722ae2d7e033267ef64f1</t>
  </si>
  <si>
    <t>https://bellingcat-archive.nyc3.cdn.digitaloceanspaces.com/Ukraine_Witness_Datasheet/Worksheet/youtube_dl_1498560089032114177/index.html</t>
  </si>
  <si>
    <t>🅻-🆃🅴🅰🅼 - ⭕️🇺🇦#Ukraine: 🇷🇺#Russia|n infantry spotted in Kherson.</t>
  </si>
  <si>
    <t>2022-03-01T07:25:41+00:00</t>
  </si>
  <si>
    <t>https://twitter.com/GirkinGirkin/status/1498598354896535555</t>
  </si>
  <si>
    <t>Explosion in an oil refinery in Rayazan</t>
  </si>
  <si>
    <t>Ryazan Oblast</t>
  </si>
  <si>
    <t>Ryazan</t>
  </si>
  <si>
    <t>Video of the incident in Russian media (https://www.tvc.ru/news/show/id/234294) allows you to spot a big red and white tower. That with the raised pipes(tubes?) and the L shaped blue roof allows the triangulation.</t>
  </si>
  <si>
    <t>UW0996</t>
  </si>
  <si>
    <t>Fire</t>
  </si>
  <si>
    <t>https://bellingcat-archive.nyc3.cdn.digitaloceanspaces.com/Ukraine_Witness_Datasheet/Worksheet/twitter__GirkinGirkin_status_1498598354896535555.html</t>
  </si>
  <si>
    <t>2022-03-01T11:07:22.770299+00:00</t>
  </si>
  <si>
    <t>https://bellingcat-archive.nyc3.cdn.digitaloceanspaces.com/Ukraine_Witness_Datasheet/Worksheet/twitter__GirkinGirkin_status_14985983548965355552022-03-01T11:07:12.198075.png</t>
  </si>
  <si>
    <t>aafa617bca952d9ecd22356781a7daeb5892f15c8b45b3ae10c3a5faacd0c8c0</t>
  </si>
  <si>
    <t>2022-03-01T09:57:45+00:00</t>
  </si>
  <si>
    <t>https://twitter.com/RALee85/status/1498597357360930817</t>
  </si>
  <si>
    <t>Russian soliders moving in Komyshany, Kherson</t>
  </si>
  <si>
    <t>Komyshany,</t>
  </si>
  <si>
    <t>Video shows side of food(?) shop on the left. Google Earth Pro has image of the shop where you can match the side view. Also visible the roundabout and zebra crossing.</t>
  </si>
  <si>
    <t>UW0997</t>
  </si>
  <si>
    <t>https://bellingcat-archive.nyc3.cdn.digitaloceanspaces.com/Ukraine_Witness_Datasheet/Worksheet/youtube_dl_1498597357360930817.mp4</t>
  </si>
  <si>
    <t>2022-03-01T11:07:57.722618+00:00</t>
  </si>
  <si>
    <t>https://bellingcat-archive.nyc3.cdn.digitaloceanspaces.com/Ukraine_Witness_Datasheet/Worksheet/youtube_dl__RALee85_status_14985973573609308172022-03-01T11:07:35.264384.png</t>
  </si>
  <si>
    <t>a4438789084d3aeb6acb3d5dd1e7e787c59ea21233a4b8d94e9da78a11dba4b8</t>
  </si>
  <si>
    <t>https://bellingcat-archive.nyc3.cdn.digitaloceanspaces.com/Ukraine_Witness_Datasheet/Worksheet/youtube_dl_1498597357360930817/index.html</t>
  </si>
  <si>
    <t>Rob Lee - Russian soldiers in Komyshany, Kherson.</t>
  </si>
  <si>
    <t>2022-03-01T09:53:47+00:00</t>
  </si>
  <si>
    <t>https://twitter.com/nexta_tv/status/1498589896772096005?s=20&amp;t=x2OHBEh_mIzSjm9XYDnukQ</t>
  </si>
  <si>
    <t>Residential buildings being shelled by occupants</t>
  </si>
  <si>
    <t>UW0998</t>
  </si>
  <si>
    <t>https://bellingcat-archive.nyc3.cdn.digitaloceanspaces.com/Ukraine_Witness_Datasheet/Worksheet/youtube_dl_1498589896772096005.mp4</t>
  </si>
  <si>
    <t>2022-03-01T11:08:15.160592+00:00</t>
  </si>
  <si>
    <t>https://bellingcat-archive.nyc3.cdn.digitaloceanspaces.com/Ukraine_Witness_Datasheet/Worksheet/youtube_dl__nexta_tv_status_14985898967720960052022-03-01T11:08:02.248970.png</t>
  </si>
  <si>
    <t>8b256e4a2dfeb04c1f08720ef4e437ff048b934f9e1485c767b4186036b3a505</t>
  </si>
  <si>
    <t>https://bellingcat-archive.nyc3.cdn.digitaloceanspaces.com/Ukraine_Witness_Datasheet/Worksheet/youtube_dl_1498589896772096005/index.html</t>
  </si>
  <si>
    <t>NEXTA - Ocupants shelling residential buildings in #Kherson</t>
  </si>
  <si>
    <t>2022-03-01T09:24:08+00:00</t>
  </si>
  <si>
    <t>https://twitter.com/brechtcastel/status/1498594115159736320?s=20&amp;t=IYl89ylnVso1uAcCSJo0Iw</t>
  </si>
  <si>
    <t>Bomb in front of store</t>
  </si>
  <si>
    <t>https://twitter.com/alexejhock/status/1498603940186923010?s=20&amp;t=7zQ_nq-rtDLA7lxyAZOpnQ</t>
  </si>
  <si>
    <t>UW0999</t>
  </si>
  <si>
    <t>https://bellingcat-archive.nyc3.cdn.digitaloceanspaces.com/Ukraine_Witness_Datasheet/Worksheet/twitter__brechtcastel_status_1498594115159736320.html</t>
  </si>
  <si>
    <t>2022-03-01T11:08:27.585477+00:00</t>
  </si>
  <si>
    <t>https://bellingcat-archive.nyc3.cdn.digitaloceanspaces.com/Ukraine_Witness_Datasheet/Worksheet/twitter__brechtcastel_status_14985941151597363202022-03-01T11:08:17.523668.png</t>
  </si>
  <si>
    <t>7db41813d8170f7bb1a359797ca2c5c53f8355a25046a024f2060539478513a1</t>
  </si>
  <si>
    <t>2022-03-01T09:40:54+00:00</t>
  </si>
  <si>
    <t>https://twitter.com/nexta_tv/status/1498261970318991366</t>
  </si>
  <si>
    <t>Bomb in front of store, injured person and foot seen near store</t>
  </si>
  <si>
    <t>UW1000</t>
  </si>
  <si>
    <t>https://bellingcat-archive.nyc3.cdn.digitaloceanspaces.com/Ukraine_Witness_Datasheet/Worksheet/youtube_dl_1498261970318991366.mp4</t>
  </si>
  <si>
    <t>2022-03-01T11:08:47.102689+00:00</t>
  </si>
  <si>
    <t>https://bellingcat-archive.nyc3.cdn.digitaloceanspaces.com/Ukraine_Witness_Datasheet/Worksheet/youtube_dl__nexta_tv_status_14982619703189913662022-03-01T11:08:32.943861.png</t>
  </si>
  <si>
    <t>fdeae74117071f0066603d94f1f9f160f416c14ccbfb234ae45f70deca092ba6</t>
  </si>
  <si>
    <t>https://bellingcat-archive.nyc3.cdn.digitaloceanspaces.com/Ukraine_Witness_Datasheet/Worksheet/youtube_dl_1498261970318991366/index.html</t>
  </si>
  <si>
    <t>NEXTA - The pensioner injured her legs as a result of shelling.  This is real horror. 18+</t>
  </si>
  <si>
    <t>2022-02-28T11:41:04+00:00</t>
  </si>
  <si>
    <t>https://twitter.com/verkhovna_rada/status/1498608507486093315</t>
  </si>
  <si>
    <t>Water facility reportedly bombed in Kherson</t>
  </si>
  <si>
    <t>Visible in the distance the 2 water containers(?), the closest yellow and the furthest whitish. Nearby we can see the red roof meeting the white roof. Coordinates of where the video was probably recorded from.</t>
  </si>
  <si>
    <t>UW1001</t>
  </si>
  <si>
    <t>https://bellingcat-archive.nyc3.cdn.digitaloceanspaces.com/Ukraine_Witness_Datasheet/Worksheet/youtube_dl_1498608507486093315.mp4</t>
  </si>
  <si>
    <t>2022-03-01T13:50:06.812946+00:00</t>
  </si>
  <si>
    <t>https://bellingcat-archive.nyc3.cdn.digitaloceanspaces.com/Ukraine_Witness_Datasheet/Worksheet/youtube_dl__verkhovna_rada_status_14986085074860933152022-03-01T13:49:52.631865.png</t>
  </si>
  <si>
    <t>235d2afbd23b85fc19a5162098889cf0b87072575798246899c3912b19d72206</t>
  </si>
  <si>
    <t>https://bellingcat-archive.nyc3.cdn.digitaloceanspaces.com/Ukraine_Witness_Datasheet/Worksheet/youtube_dl_1498608507486093315/index.html</t>
  </si>
  <si>
    <t>Верховна Рада України - ⚡️У Херсоні російські терористичні війська розбомбили водоканал. #StopRussia  #StopPutin</t>
  </si>
  <si>
    <t>2022-03-01T10:38:05+00:00</t>
  </si>
  <si>
    <t>https://twitter.com/michaelh992/status/1498592167966695424</t>
  </si>
  <si>
    <t>Russian helicopter shot down in lake</t>
  </si>
  <si>
    <t>UW1002</t>
  </si>
  <si>
    <t>Helicopter, crash</t>
  </si>
  <si>
    <t>https://bellingcat-archive.nyc3.cdn.digitaloceanspaces.com/Ukraine_Witness_Datasheet/Worksheet/youtube_dl_1498592167966695424.mp4</t>
  </si>
  <si>
    <t>2022-03-01T13:50:25.579474+00:00</t>
  </si>
  <si>
    <t>https://bellingcat-archive.nyc3.cdn.digitaloceanspaces.com/Ukraine_Witness_Datasheet/Worksheet/youtube_dl__michaelh992_status_14985921679666954242022-03-01T13:50:10.128670.png</t>
  </si>
  <si>
    <t>7ead797270c6819abe08524fcb30098b53f0ab5f9a8d11f0b93d375015e5ad57</t>
  </si>
  <si>
    <t>https://bellingcat-archive.nyc3.cdn.digitaloceanspaces.com/Ukraine_Witness_Datasheet/Worksheet/youtube_dl_1498592167966695424/index.html</t>
  </si>
  <si>
    <t>Michael A. Horowitz - Video of Russian helicopters being shot down north of #Kyiv</t>
  </si>
  <si>
    <t>2022-03-01T09:33:09+00:00</t>
  </si>
  <si>
    <t>https://twitter.com/RALee85/status/1498605883886080000</t>
  </si>
  <si>
    <t>Russian troops in the city</t>
  </si>
  <si>
    <t>UW1003</t>
  </si>
  <si>
    <t>https://bellingcat-archive.nyc3.cdn.digitaloceanspaces.com/Ukraine_Witness_Datasheet/Worksheet/youtube_dl_1498605883886080000.mp4</t>
  </si>
  <si>
    <t>2022-03-01T13:51:02.573297+00:00</t>
  </si>
  <si>
    <t>https://bellingcat-archive.nyc3.cdn.digitaloceanspaces.com/Ukraine_Witness_Datasheet/Worksheet/youtube_dl__RALee85_status_14986058838860800002022-03-01T13:50:42.489634.png</t>
  </si>
  <si>
    <t>b3ba8e48df0bc51b8c558cd85b01aadb9f94693555f4f8b3a605cf1bc5b59b3a</t>
  </si>
  <si>
    <t>https://bellingcat-archive.nyc3.cdn.digitaloceanspaces.com/Ukraine_Witness_Datasheet/Worksheet/youtube_dl_1498605883886080000/index.html</t>
  </si>
  <si>
    <t>Rob Lee - Russian troops, likely VDV or Spetsnaz, in Kherson.</t>
  </si>
  <si>
    <t>2022-03-01T10:27:40+00:00</t>
  </si>
  <si>
    <t>https://twitter.com/michaelh992/status/1498603941214441478</t>
  </si>
  <si>
    <t>CIV0127</t>
  </si>
  <si>
    <t>Missile strike on appartment building</t>
  </si>
  <si>
    <t>UW1004</t>
  </si>
  <si>
    <t>https://bellingcat-archive.nyc3.cdn.digitaloceanspaces.com/Ukraine_Witness_Datasheet/Worksheet/youtube_dl_1498603941214441478.mp4</t>
  </si>
  <si>
    <t>2022-03-01T13:51:23.556250+00:00</t>
  </si>
  <si>
    <t>https://bellingcat-archive.nyc3.cdn.digitaloceanspaces.com/Ukraine_Witness_Datasheet/Worksheet/youtube_dl__michaelh992_status_14986039412144414782022-03-01T13:51:06.000101.png</t>
  </si>
  <si>
    <t>932daa963bf61c5452618ffb6b6b31720f32755988348462615a96bd7781ed63</t>
  </si>
  <si>
    <t>https://bellingcat-archive.nyc3.cdn.digitaloceanspaces.com/Ukraine_Witness_Datasheet/Worksheet/youtube_dl_1498603941214441478/index.html</t>
  </si>
  <si>
    <t>Michael A. Horowitz - Artillery strike against civilian buildings in Kherson, southern #Ukraine</t>
  </si>
  <si>
    <t>2022-03-01T10:19:56+00:00</t>
  </si>
  <si>
    <t>https://twitter.com/gt_lotrz/status/1498611237948694533</t>
  </si>
  <si>
    <t>Convoy of Russian tanks and trucks on the way to Kharkiv</t>
  </si>
  <si>
    <t>Spotted a petrol station, identified it as РОСНЕФТЬ in the highway from Russia to Kharkiv. Road inclination matches, building with blue roof on left matches and next to it the petrol station matches.</t>
  </si>
  <si>
    <t>UW1005</t>
  </si>
  <si>
    <t>https://bellingcat-archive.nyc3.cdn.digitaloceanspaces.com/Ukraine_Witness_Datasheet/Worksheet/youtube_dl_1498611237948694533.mp4</t>
  </si>
  <si>
    <t>2022-03-01T13:52:09.566223+00:00</t>
  </si>
  <si>
    <t>https://bellingcat-archive.nyc3.cdn.digitaloceanspaces.com/Ukraine_Witness_Datasheet/Worksheet/youtube_dl__gt_lotrz_status_14986112379486945332022-03-01T13:51:40.043527.png</t>
  </si>
  <si>
    <t>07181dc4c63491e898e709524101a23829354920b27f36a7448b10d5c8b17096</t>
  </si>
  <si>
    <t>https://bellingcat-archive.nyc3.cdn.digitaloceanspaces.com/Ukraine_Witness_Datasheet/Worksheet/youtube_dl_1498611237948694533/index.html</t>
  </si>
  <si>
    <t>M:ara - «Война началась»</t>
  </si>
  <si>
    <t>2022-03-01T10:48:56+00:00</t>
  </si>
  <si>
    <t>https://www.facebook.com/Dmytro.Lunin/posts/5550840651625357?__cft__[0]=AZXlywU7BQajUEwlUiGjbLvGAifEJ6NM1vf_oklRJFZLeoTzVF-gJ4npmEQ_EIwBLf-mCfxZ1w_ykOco4mTXVwRFqcBEM1TWfd2Z4nOFZGz-6E9yyTADIov-v68Bl_XaZIA&amp;__tn__=%2CO%2CP-R</t>
  </si>
  <si>
    <t>Abandoned Russian T-80U and TOR SAM system</t>
  </si>
  <si>
    <t>UW1006</t>
  </si>
  <si>
    <t>https://web.archive.org/web/20220301153657/https://www.facebook.com/login/?next=https%3A%2F%2Fwww.facebook.com%2FDmytro.Lunin%2Fposts%2F5550840651625357%3F__cft__%255B0%255D%3DAZXlywU7BQajUEwlUiGjbLvGAifEJ6NM1vf_oklRJFZLeoTzVF-gJ4npmEQ_EIwBLf-mCfxZ1w_ykOco4mTXVwRFqcBEM1TWfd2Z4nOFZGz-6E9yyTADIov-v68Bl_XaZIA%26__tn__%3D%252CO%252CP-R</t>
  </si>
  <si>
    <t>2022-03-01T15:37:18.037734+00:00</t>
  </si>
  <si>
    <t>https://bellingcat-archive.nyc3.cdn.digitaloceanspaces.com/Ukraine_Witness_Datasheet/Worksheet/wayback__Dmytro.Lunin_posts_55508406516253572022-03-01T15:37:05.755947.png</t>
  </si>
  <si>
    <t>https://twitter.com/aldin_ww/status/1498636315004489734</t>
  </si>
  <si>
    <t>Fire after artillery strike</t>
  </si>
  <si>
    <t>UW1007</t>
  </si>
  <si>
    <t>https://bellingcat-archive.nyc3.cdn.digitaloceanspaces.com/Ukraine_Witness_Datasheet/Worksheet/youtube_dl_1498636315004489734.mp4</t>
  </si>
  <si>
    <t>2022-03-01T14:37:18.869764+00:00</t>
  </si>
  <si>
    <t>https://bellingcat-archive.nyc3.cdn.digitaloceanspaces.com/Ukraine_Witness_Datasheet/Worksheet/youtube_dl__aldin_ww_status_14986363150044897342022-03-01T14:37:02.017294.png</t>
  </si>
  <si>
    <t>c027768dd963121c8b10142819e55d4d53dcb0d6397370a7d621c7397ccef179</t>
  </si>
  <si>
    <t>https://bellingcat-archive.nyc3.cdn.digitaloceanspaces.com/Ukraine_Witness_Datasheet/Worksheet/youtube_dl_1498636315004489734/index.html</t>
  </si>
  <si>
    <t>Aldin 🇧🇦 - Donetsk under Ukraine artillery fire.</t>
  </si>
  <si>
    <t>2022-03-01T12:28:35+00:00</t>
  </si>
  <si>
    <t>47.112148</t>
  </si>
  <si>
    <t>37.553096</t>
  </si>
  <si>
    <t>https://twitter.com/Polk_Azov/status/1498638194908315648</t>
  </si>
  <si>
    <t>CIV0126</t>
  </si>
  <si>
    <t>Ballistic missile booster (likely Tochka-U) on roof in residential area</t>
  </si>
  <si>
    <t>UW1008</t>
  </si>
  <si>
    <t>https://bellingcat-archive.nyc3.cdn.digitaloceanspaces.com/Ukraine_Witness_Datasheet/Worksheet/twitter__Polk_Azov_status_1498638194908315648.html</t>
  </si>
  <si>
    <t>2022-03-01T14:37:34.764541+00:00</t>
  </si>
  <si>
    <t>https://bellingcat-archive.nyc3.cdn.digitaloceanspaces.com/Ukraine_Witness_Datasheet/Worksheet/twitter__Polk_Azov_status_14986381949083156482022-03-01T14:37:23.574279.png</t>
  </si>
  <si>
    <t>36c768023f3c2fc7c07a3f02dc6eec6697c7bc70b4ec9833852d3d0263b1ea2a</t>
  </si>
  <si>
    <t>2022-03-01T12:36:03+00:00</t>
  </si>
  <si>
    <t>https://twitter.com/200_zoka/status/1498531616540536836</t>
  </si>
  <si>
    <t>Russian troops entering city</t>
  </si>
  <si>
    <t>UW1009</t>
  </si>
  <si>
    <t>https://bellingcat-archive.nyc3.cdn.digitaloceanspaces.com/Ukraine_Witness_Datasheet/Worksheet/youtube_dl_1498531616540536836.mp4</t>
  </si>
  <si>
    <t>2022-03-01T14:38:02.232614+00:00</t>
  </si>
  <si>
    <t>https://bellingcat-archive.nyc3.cdn.digitaloceanspaces.com/Ukraine_Witness_Datasheet/Worksheet/youtube_dl__200_zoka_status_14985316165405368362022-03-01T14:37:42.086508.png</t>
  </si>
  <si>
    <t>08bd5559e84f2198fc5b85c5ca40ec47101601e35405f2be077a9ea0f4df73f5</t>
  </si>
  <si>
    <t>https://bellingcat-archive.nyc3.cdn.digitaloceanspaces.com/Ukraine_Witness_Datasheet/Worksheet/youtube_dl_1498531616540536836/index.html</t>
  </si>
  <si>
    <t>ZOKA - Russians at Herson city</t>
  </si>
  <si>
    <t>2022-03-01T05:32:33+00:00</t>
  </si>
  <si>
    <t>https://twitter.com/BeMilInterests/status/1498644134894125064?s=20&amp;t=s22dN35Phs4QLgnbLcnRog</t>
  </si>
  <si>
    <t>Russian Mechanized troops entering Cherson/Kherson</t>
  </si>
  <si>
    <t>UW1010</t>
  </si>
  <si>
    <t>https://bellingcat-archive.nyc3.cdn.digitaloceanspaces.com/Ukraine_Witness_Datasheet/Worksheet/youtube_dl_1498644134894125064.mp4</t>
  </si>
  <si>
    <t>2022-03-01T14:38:24.309951+00:00</t>
  </si>
  <si>
    <t>https://bellingcat-archive.nyc3.cdn.digitaloceanspaces.com/Ukraine_Witness_Datasheet/Worksheet/youtube_dl__BeMilInterests_status_14986441348941250642022-03-01T14:38:06.447656.png</t>
  </si>
  <si>
    <t>7cc071afc4c39db30fe3a146c1e67fbc29880ed69026d3e86cae9fc29d8d6e65</t>
  </si>
  <si>
    <t>https://bellingcat-archive.nyc3.cdn.digitaloceanspaces.com/Ukraine_Witness_Datasheet/Worksheet/youtube_dl_1498644134894125064/index.html</t>
  </si>
  <si>
    <t>🇧🇪 Belgian Military Interests 🇧🇪 - 01 MAR 2022: Russian Mechanized troops entering Cherson/Kherson  Geolocated 46.65856, 32.59421  @RALee85  @COUPSURE  @Cen4infoRes</t>
  </si>
  <si>
    <t>2022-03-01T12:59:39+00:00</t>
  </si>
  <si>
    <t>https://twitter.com/i_army_org/status/1498568218633461761</t>
  </si>
  <si>
    <t>T-80U tank of the 4th Kantemirovskaya Division abandoned</t>
  </si>
  <si>
    <t>UW1011</t>
  </si>
  <si>
    <t>https://bellingcat-archive.nyc3.cdn.digitaloceanspaces.com/Ukraine_Witness_Datasheet/Worksheet/twitter__i_army_org_status_1498568218633461761.html</t>
  </si>
  <si>
    <t>2022-03-01T14:38:39.773711+00:00</t>
  </si>
  <si>
    <t>https://bellingcat-archive.nyc3.cdn.digitaloceanspaces.com/Ukraine_Witness_Datasheet/Worksheet/twitter__i_army_org_status_14985682186334617612022-03-01T14:38:30.171781.png</t>
  </si>
  <si>
    <t>40dd6c18bb95153b0e9debcb98ea9268e3632eefbfc5dd97b3d294b9751decd5</t>
  </si>
  <si>
    <t>2022-03-01T07:58:00+00:00</t>
  </si>
  <si>
    <t>https://twitter.com/MarQs__/status/1498647794319564808</t>
  </si>
  <si>
    <t>INV0005</t>
  </si>
  <si>
    <t>Protesters block path of Russian Military Police vehicles; warning shots fired by Russian soldier</t>
  </si>
  <si>
    <t>UW1012</t>
  </si>
  <si>
    <t>https://bellingcat-archive.nyc3.cdn.digitaloceanspaces.com/Ukraine_Witness_Datasheet/Worksheet/youtube_dl_1498647794319564808.mp4</t>
  </si>
  <si>
    <t>2022-03-01T14:39:37.184684+00:00</t>
  </si>
  <si>
    <t>https://bellingcat-archive.nyc3.cdn.digitaloceanspaces.com/Ukraine_Witness_Datasheet/Worksheet/youtube_dl__MarQs___status_14986477943195648082022-03-01T14:38:59.758351.png</t>
  </si>
  <si>
    <t>c27cd3ffc0f54a4dee3985b4ea5f79a737d77fff3e4d7a9cc9561634dd299e37</t>
  </si>
  <si>
    <t>https://bellingcat-archive.nyc3.cdn.digitaloceanspaces.com/Ukraine_Witness_Datasheet/Worksheet/youtube_dl_1498647794319564808/index.html</t>
  </si>
  <si>
    <t>marqs - Ukrainians block a Russian convoy in Melitopol</t>
  </si>
  <si>
    <t>2022-03-01T13:14:12+00:00</t>
  </si>
  <si>
    <t>https://t.me/riamelitopol/44951</t>
  </si>
  <si>
    <t>Protesters block convoy of Russian trucks; warning shots fired by Russian soldier</t>
  </si>
  <si>
    <t>UW1013</t>
  </si>
  <si>
    <t>https://bellingcat-archive.nyc3.cdn.digitaloceanspaces.com/Ukraine_Witness_Datasheet/Worksheet/telegram_2471eec51f.mp4</t>
  </si>
  <si>
    <t>2022-03-01T15:09:57.552356+00:00</t>
  </si>
  <si>
    <t>https://bellingcat-archive.nyc3.cdn.digitaloceanspaces.com/Ukraine_Witness_Datasheet/Worksheet/telegram__riamelitopol_449512022-03-01T15:08:14.632421.png</t>
  </si>
  <si>
    <t>baa140c93325a95c1637b5c7a0b542baf7fd9e52288f06bfc3036c7ea49ae5fc</t>
  </si>
  <si>
    <t>https://bellingcat-archive.nyc3.cdn.digitaloceanspaces.com/Ukraine_Witness_Datasheet/Worksheet/telegram_2471eec51f/index.html</t>
  </si>
  <si>
    <t>2022-03-01T12:03:49+00:00</t>
  </si>
  <si>
    <t>https://twitter.com/tucamaiacaetano/status/1496704498177294355?s=20&amp;t=yL9zIVdh82XeuPTdAbODmQ</t>
  </si>
  <si>
    <t>Bombing in the distance in Kyiv</t>
  </si>
  <si>
    <t>UW1014</t>
  </si>
  <si>
    <t>https://bellingcat-archive.nyc3.cdn.digitaloceanspaces.com/Ukraine_Witness_Datasheet/Worksheet/youtube_dl_1496704498177294355.mp4</t>
  </si>
  <si>
    <t>2022-03-01T15:10:20.859244+00:00</t>
  </si>
  <si>
    <t>https://bellingcat-archive.nyc3.cdn.digitaloceanspaces.com/Ukraine_Witness_Datasheet/Worksheet/youtube_dl__tucamaiacaetano_status_14967044981772943552022-03-01T15:10:03.324823.png</t>
  </si>
  <si>
    <t>fa1ed1758d4e6445ae6a795fd1a3c074711efa4f73fa763377cdee1a67edf0df</t>
  </si>
  <si>
    <t>https://bellingcat-archive.nyc3.cdn.digitaloceanspaces.com/Ukraine_Witness_Datasheet/Worksheet/youtube_dl_1496704498177294355/index.html</t>
  </si>
  <si>
    <t>Tucamaiacaetano - capital Kiev</t>
  </si>
  <si>
    <t>2022-02-24T04:32:14+00:00</t>
  </si>
  <si>
    <t>https://twitter.com/christogrozev/status/1497637169128693763?s=20&amp;t=fFkFcyY-DpDQ3r755nrx9Q</t>
  </si>
  <si>
    <t>Gunfire heard in distance</t>
  </si>
  <si>
    <t>UW1015</t>
  </si>
  <si>
    <t>Gunfire</t>
  </si>
  <si>
    <t>https://bellingcat-archive.nyc3.cdn.digitaloceanspaces.com/Ukraine_Witness_Datasheet/Worksheet/youtube_dl_1497637169128693763.mp4</t>
  </si>
  <si>
    <t>2022-03-01T15:10:50.328277+00:00</t>
  </si>
  <si>
    <t>https://bellingcat-archive.nyc3.cdn.digitaloceanspaces.com/Ukraine_Witness_Datasheet/Worksheet/youtube_dl__christogrozev_status_14976371691286937632022-03-01T15:10:29.186347.png</t>
  </si>
  <si>
    <t>d2d6323f0801a0308aae4146b093bb8c320f4e98dab9c44948367c23edf18bfc</t>
  </si>
  <si>
    <t>https://bellingcat-archive.nyc3.cdn.digitaloceanspaces.com/Ukraine_Witness_Datasheet/Worksheet/youtube_dl_1497637169128693763/index.html</t>
  </si>
  <si>
    <t>Christo Grozev - Renewed fighting on l Kyiv's right bank</t>
  </si>
  <si>
    <t>2022-02-26T18:18:20+00:00</t>
  </si>
  <si>
    <t>https://twitter.com/XyKyiv/status/1498393005027475461</t>
  </si>
  <si>
    <t>Civilian casualty in car</t>
  </si>
  <si>
    <t>https://twitter.com/ohsendit/status/1498394646350860290</t>
  </si>
  <si>
    <t>Makariv</t>
  </si>
  <si>
    <t>UW1016</t>
  </si>
  <si>
    <t>Corpse</t>
  </si>
  <si>
    <t>https://bellingcat-archive.nyc3.cdn.digitaloceanspaces.com/Ukraine_Witness_Datasheet/Worksheet/youtube_dl_1498393005027475461.mp4</t>
  </si>
  <si>
    <t>2022-03-01T15:11:40.656494+00:00</t>
  </si>
  <si>
    <t>https://bellingcat-archive.nyc3.cdn.digitaloceanspaces.com/Ukraine_Witness_Datasheet/Worksheet/youtube_dl__XyKyiv_status_14983930050274754612022-03-01T15:11:10.076210.png</t>
  </si>
  <si>
    <t>747549019e45818a3f3c2a44abfbfc347213b33996fca84b3790b9262282cfbc</t>
  </si>
  <si>
    <t>https://bellingcat-archive.nyc3.cdn.digitaloceanspaces.com/Ukraine_Witness_Datasheet/Worksheet/youtube_dl_1498393005027475461/index.html</t>
  </si>
  <si>
    <t>Хyёвий Київ - Макарів сьогодні. Русня розстріляла цивільне авто. Загинуло двоє пенсіонерів.</t>
  </si>
  <si>
    <t>2022-02-28T20:21:45+00:00</t>
  </si>
  <si>
    <t>49.212119</t>
  </si>
  <si>
    <t>38.905921</t>
  </si>
  <si>
    <t>https://www.facebook.com/story.php?story_fbid=317408247086919&amp;id=100064532388988</t>
  </si>
  <si>
    <t>CIV0098</t>
  </si>
  <si>
    <t>Woman injured by shelling, ambulance responds</t>
  </si>
  <si>
    <t>UW1017</t>
  </si>
  <si>
    <t>https://web.archive.org/web/20220301151147/https://www.facebook.com/login/?next=https%3A%2F%2Fwww.facebook.com%2Fstory.php%3Fstory_fbid%3D317408247086919%26id%3D100064532388988</t>
  </si>
  <si>
    <t>2022-03-01T15:12:06.371879+00:00</t>
  </si>
  <si>
    <t>https://bellingcat-archive.nyc3.cdn.digitaloceanspaces.com/Ukraine_Witness_Datasheet/Worksheet/wayback__story.php2022-03-01T15:11:56.206422.png</t>
  </si>
  <si>
    <t>48.957558</t>
  </si>
  <si>
    <t>38.503902</t>
  </si>
  <si>
    <t>https://www.facebook.com/magomedovandrei/posts/7086923728048526</t>
  </si>
  <si>
    <t>CIV0099</t>
  </si>
  <si>
    <t>Residential buildings destroyed by shelling</t>
  </si>
  <si>
    <t xml:space="preserve">Luhansk </t>
  </si>
  <si>
    <t>Severodonetsk</t>
  </si>
  <si>
    <t>UW1018</t>
  </si>
  <si>
    <t>https://web.archive.org/web/20220301151216/https://www.facebook.com/login/?next=https%3A%2F%2Fwww.facebook.com%2Fmagomedovandrei%2Fposts%2F7086923728048526</t>
  </si>
  <si>
    <t>2022-03-01T15:12:33.307045+00:00</t>
  </si>
  <si>
    <t>https://bellingcat-archive.nyc3.cdn.digitaloceanspaces.com/Ukraine_Witness_Datasheet/Worksheet/wayback__magomedovandrei_posts_70869237280485262022-03-01T15:12:24.813230.png</t>
  </si>
  <si>
    <t>48.915311</t>
  </si>
  <si>
    <t>38.429935</t>
  </si>
  <si>
    <t>https://www.facebook.com/story.php?story_fbid=1388217971693967&amp;id=102113453637765</t>
  </si>
  <si>
    <t>CIV0100</t>
  </si>
  <si>
    <t>Lysychans'k</t>
  </si>
  <si>
    <t>UW1019</t>
  </si>
  <si>
    <t>https://web.archive.org/web/20220301151248/https://www.facebook.com/login/?next=https%3A%2F%2Fwww.facebook.com%2Fstory.php%3Fstory_fbid%3D1388217971693967%26id%3D102113453637765</t>
  </si>
  <si>
    <t>2022-03-01T15:13:01.824973+00:00</t>
  </si>
  <si>
    <t>https://bellingcat-archive.nyc3.cdn.digitaloceanspaces.com/Ukraine_Witness_Datasheet/Worksheet/wayback__story.php2022-03-01T15:12:53.227505.png</t>
  </si>
  <si>
    <t>47.61663979</t>
  </si>
  <si>
    <t>37.49803344</t>
  </si>
  <si>
    <t>https://twitter.com/Yevheniuss/status/1498308560580657152?fbclid=IwAR09eCY1kaEMQPdwuzo5vSK9x58qKsctlEISOGVj40oDbUC3WvKZK0k08hg</t>
  </si>
  <si>
    <t>CIV0101</t>
  </si>
  <si>
    <t>Residential buildings burnt and destroyed</t>
  </si>
  <si>
    <t>UW1020</t>
  </si>
  <si>
    <t>https://bellingcat-archive.nyc3.cdn.digitaloceanspaces.com/Ukraine_Witness_Datasheet/Worksheet/twitter__Yevheniuss_status_1498308560580657152.html</t>
  </si>
  <si>
    <t>2022-03-01T15:13:18.726355+00:00</t>
  </si>
  <si>
    <t>https://bellingcat-archive.nyc3.cdn.digitaloceanspaces.com/Ukraine_Witness_Datasheet/Worksheet/twitter__Yevheniuss_status_14983085605806571522022-03-01T15:13:07.597590.png</t>
  </si>
  <si>
    <t>6af483d3581c5c8bca4cf146e0620219ecfc7ee2e6a94bbb7c80a583bd2c92a6</t>
  </si>
  <si>
    <t>2022-02-28T14:46:12+00:00</t>
  </si>
  <si>
    <t>50.430742</t>
  </si>
  <si>
    <t>30.037756</t>
  </si>
  <si>
    <t>https://twitter.com/AsamiTerajima/status/1498533891619106816</t>
  </si>
  <si>
    <t>CIV0102</t>
  </si>
  <si>
    <t>Claim that maternity hospital was shelled</t>
  </si>
  <si>
    <t>Buzova</t>
  </si>
  <si>
    <t>UW1021</t>
  </si>
  <si>
    <t>https://web.archive.org/web/20220301151401/https://twitter.com/AsamiTerajima/status/1498533891619106816</t>
  </si>
  <si>
    <t>2022-03-01T15:14:38.257808+00:00</t>
  </si>
  <si>
    <t>https://bellingcat-archive.nyc3.cdn.digitaloceanspaces.com/Ukraine_Witness_Datasheet/Worksheet/wayback__AsamiTerajima_status_14985338916191068162022-03-01T15:14:24.459912.png</t>
  </si>
  <si>
    <t>https://twitter.com/christogrozev/status/1498559231141765120</t>
  </si>
  <si>
    <t>CIV0103</t>
  </si>
  <si>
    <t>Missile strike hits city administration, theater buildings</t>
  </si>
  <si>
    <t>UW1022</t>
  </si>
  <si>
    <t>https://bellingcat-archive.nyc3.cdn.digitaloceanspaces.com/Ukraine_Witness_Datasheet/Worksheet/youtube_dl_1498559231141765120.mp4</t>
  </si>
  <si>
    <t>2022-03-01T15:15:04.883979+00:00</t>
  </si>
  <si>
    <t>https://bellingcat-archive.nyc3.cdn.digitaloceanspaces.com/Ukraine_Witness_Datasheet/Worksheet/youtube_dl__christogrozev_status_14985592311417651202022-03-01T15:14:45.612875.png</t>
  </si>
  <si>
    <t>2d386b84e84825f7b6198cca3c3fa7a72a0d2ee33016b9842acf8396f9908765</t>
  </si>
  <si>
    <t>https://bellingcat-archive.nyc3.cdn.digitaloceanspaces.com/Ukraine_Witness_Datasheet/Worksheet/youtube_dl_1498559231141765120/index.html</t>
  </si>
  <si>
    <t>Christo Grozev - Russian missile hits Kharkiv's theater and city administration. A very military object indeed.</t>
  </si>
  <si>
    <t>2022-03-01T07:22:17+00:00</t>
  </si>
  <si>
    <t>46.86900864</t>
  </si>
  <si>
    <t>35.36848132</t>
  </si>
  <si>
    <t>https://twitter.com/Brijeshbsingh/status/1498555475025137667</t>
  </si>
  <si>
    <t>CIV0104</t>
  </si>
  <si>
    <t>Missile (or missile remnant) falls on top of a house</t>
  </si>
  <si>
    <t>UW1023</t>
  </si>
  <si>
    <t>https://bellingcat-archive.nyc3.cdn.digitaloceanspaces.com/Ukraine_Witness_Datasheet/Worksheet/youtube_dl_1498555475025137667.mp4</t>
  </si>
  <si>
    <t>2022-03-01T15:15:44.662432+00:00</t>
  </si>
  <si>
    <t>https://bellingcat-archive.nyc3.cdn.digitaloceanspaces.com/Ukraine_Witness_Datasheet/Worksheet/youtube_dl__Brijeshbsingh_status_14985554750251376672022-03-01T15:15:16.190371.png</t>
  </si>
  <si>
    <t>c120978df5bcc9ff4d73c6b280d032bb7fd06ff013d2a72ee22120e98db8417e</t>
  </si>
  <si>
    <t>https://bellingcat-archive.nyc3.cdn.digitaloceanspaces.com/Ukraine_Witness_Datasheet/Worksheet/youtube_dl_1498555475025137667/index.html</t>
  </si>
  <si>
    <t>Brijesh Singh - Dot-U tactical missile fell into houses in Melitopol.</t>
  </si>
  <si>
    <t>2022-03-01T07:07:21+00:00</t>
  </si>
  <si>
    <t>https://twitter.com/christogrozev/status/1498564169234268166</t>
  </si>
  <si>
    <t>CIV0105</t>
  </si>
  <si>
    <t>Civiian vehicles, residential building damaged in shelling</t>
  </si>
  <si>
    <t>UW1024</t>
  </si>
  <si>
    <t>https://bellingcat-archive.nyc3.cdn.digitaloceanspaces.com/Ukraine_Witness_Datasheet/Worksheet/youtube_dl_1498564169234268166.mp4</t>
  </si>
  <si>
    <t>2022-03-01T15:16:09.961006+00:00</t>
  </si>
  <si>
    <t>https://bellingcat-archive.nyc3.cdn.digitaloceanspaces.com/Ukraine_Witness_Datasheet/Worksheet/youtube_dl__christogrozev_status_14985641692342681662022-03-01T15:15:53.125514.png</t>
  </si>
  <si>
    <t>a03cc888a32e633a1dbd6f8330ff7b1d1c14096a6c25701aa2c1db3498a21e4b</t>
  </si>
  <si>
    <t>https://bellingcat-archive.nyc3.cdn.digitaloceanspaces.com/Ukraine_Witness_Datasheet/Worksheet/youtube_dl_1498564169234268166/index.html</t>
  </si>
  <si>
    <t>Christo Grozev - Aftermath of shelling of Kyiv overnight.</t>
  </si>
  <si>
    <t>2022-03-01T07:41:54+00:00</t>
  </si>
  <si>
    <t>https://www.facebook.com/MNS.GOV.UA/posts/323872166447346</t>
  </si>
  <si>
    <t>REPEAT OF CIV0103</t>
  </si>
  <si>
    <t>6 people were injured as a result of the shelling of the Kharkiv Regional State Building, one of them a child.</t>
  </si>
  <si>
    <t>UW1025</t>
  </si>
  <si>
    <t>https://web.archive.org/web/20220301151614/https://www.facebook.com/login/?next=https%3A%2F%2Fwww.facebook.com%2FMNS.GOV.UA%2Fposts%2F323872166447346</t>
  </si>
  <si>
    <t>2022-03-01T15:16:33.222312+00:00</t>
  </si>
  <si>
    <t>https://bellingcat-archive.nyc3.cdn.digitaloceanspaces.com/Ukraine_Witness_Datasheet/Worksheet/wayback__MNS.GOV.UA_posts_3238721664473462022-03-01T15:16:23.226693.png</t>
  </si>
  <si>
    <t>Michael C</t>
  </si>
  <si>
    <t>https://twitter.com/Osinttechnical/status/1498593301699739649?s=20&amp;t=jwvHefenwYjibrw5p7Q3Sw</t>
  </si>
  <si>
    <t>CIV0107</t>
  </si>
  <si>
    <t>Strike/shelling of residential building, four injured</t>
  </si>
  <si>
    <t>UW1026</t>
  </si>
  <si>
    <t>https://bellingcat-archive.nyc3.cdn.digitaloceanspaces.com/Ukraine_Witness_Datasheet/Worksheet/youtube_dl_1498593301699739649.mp4</t>
  </si>
  <si>
    <t>2022-03-01T15:16:57.680949+00:00</t>
  </si>
  <si>
    <t>https://bellingcat-archive.nyc3.cdn.digitaloceanspaces.com/Ukraine_Witness_Datasheet/Worksheet/youtube_dl__Osinttechnical_status_14985933016997396492022-03-01T15:16:39.814893.png</t>
  </si>
  <si>
    <t>77bf87d3b1cba662631dca6872c291b6d09a9632b5e3bab744896b6b4c5af583</t>
  </si>
  <si>
    <t>https://bellingcat-archive.nyc3.cdn.digitaloceanspaces.com/Ukraine_Witness_Datasheet/Worksheet/youtube_dl_1498593301699739649/index.html</t>
  </si>
  <si>
    <t>OSINTtechnical - Russian are far more willing to target urban areas. Strike in Kherson as troops push into the city.</t>
  </si>
  <si>
    <t>2022-03-01T09:37:40+00:00</t>
  </si>
  <si>
    <t>https://t.me/insiderUKR/22849</t>
  </si>
  <si>
    <t>https://bellingcat-archive.nyc3.cdn.digitaloceanspaces.com/Ukraine_Witness_Datasheet/Worksheet/telegram_e16209d3fd.mp4</t>
  </si>
  <si>
    <t>2022-03-02T13:50:50.425003+00:00</t>
  </si>
  <si>
    <t>https://bellingcat-archive.nyc3.cdn.digitaloceanspaces.com/Ukraine_Witness_Datasheet/Worksheet/telegram__insiderUKR_228492022-03-02T13:50:07.851744.png</t>
  </si>
  <si>
    <t>e3b56872e953b2e3078f4cc44868f233bf251949b536f9e07fa586aab804ff0e</t>
  </si>
  <si>
    <t>https://bellingcat-archive.nyc3.cdn.digitaloceanspaces.com/Ukraine_Witness_Datasheet/Worksheet/telegram_e16209d3fd/index.html</t>
  </si>
  <si>
    <t>2022-03-01T09:19:25+00:00</t>
  </si>
  <si>
    <t>https://twitter.com/khersonci/status/1498596668987555841?s=20&amp;t=l4pmXCdLhimD0FXCeAqsDA</t>
  </si>
  <si>
    <t>https://bellingcat-archive.nyc3.cdn.digitaloceanspaces.com/Ukraine_Witness_Datasheet/Worksheet/twitter__khersonci_status_1498596668987555841.html</t>
  </si>
  <si>
    <t>2022-03-02T13:51:02.571783+00:00</t>
  </si>
  <si>
    <t>https://bellingcat-archive.nyc3.cdn.digitaloceanspaces.com/Ukraine_Witness_Datasheet/Worksheet/twitter__khersonci_status_14985966689875558412022-03-02T13:50:54.380868.png</t>
  </si>
  <si>
    <t>4050f3a2d2c26a9dca1679c7a88859e05f081753dc1732559406ca02591f3419</t>
  </si>
  <si>
    <t>2022-03-01T09:51:03+00:00</t>
  </si>
  <si>
    <t>https://twitter.com/Hromadske/status/1498622103020580864?s=20&amp;t=l4pmXCdLhimD0FXCeAqsDA</t>
  </si>
  <si>
    <t>https://web.archive.org/web/20220302135115/https://twitter.com/Hromadske/status/1498622103020580864?s=20&amp;t=l4pmXCdLhimD0FXCeAqsDA</t>
  </si>
  <si>
    <t>2022-03-02T13:51:30.660620+00:00</t>
  </si>
  <si>
    <t>https://bellingcat-archive.nyc3.cdn.digitaloceanspaces.com/Ukraine_Witness_Datasheet/Worksheet/wayback__Hromadske_status_14986221030205808642022-03-02T13:51:22.129993.png</t>
  </si>
  <si>
    <t>Hromadske Int. on Twitter: "In Kherson, shells hit two 9-story residential buildings at about 11 a.m., destroying apartments on the 2nd and 3rd floors. A fire broke out in one of the buildings. According to initial reports, four people are injured. The fire has already been extinguished. There is a gas leak" / Twitter</t>
  </si>
  <si>
    <t>https://twitter.com/shcherbininainn/status/1498404775939002380?s=20&amp;t=72-YqqvMgeW2MuyxCEe1yA</t>
  </si>
  <si>
    <t>CIV0108</t>
  </si>
  <si>
    <t xml:space="preserve">Old male civillian killed in vehicle. </t>
  </si>
  <si>
    <t>UW1027</t>
  </si>
  <si>
    <t>https://bellingcat-archive.nyc3.cdn.digitaloceanspaces.com/Ukraine_Witness_Datasheet/Worksheet/youtube_dl_1498404775939002380.mp4</t>
  </si>
  <si>
    <t>2022-03-01T15:17:34.670152+00:00</t>
  </si>
  <si>
    <t>https://bellingcat-archive.nyc3.cdn.digitaloceanspaces.com/Ukraine_Witness_Datasheet/Worksheet/youtube_dl__shcherbininainn_status_14984047759390023802022-03-01T15:17:10.669700.png</t>
  </si>
  <si>
    <t>d58059d93399261c7997e0c5df4322f5127b3e74ef85e3718ad315d66cbe2851</t>
  </si>
  <si>
    <t>https://bellingcat-archive.nyc3.cdn.digitaloceanspaces.com/Ukraine_Witness_Datasheet/Worksheet/youtube_dl_1498404775939002380/index.html</t>
  </si>
  <si>
    <t>Інна Щер - російський вбивці та військові злочинці, горітимете в пеклі за свої злочини   окупанти розстріляли машину, в якій їхали пенсіонери — бабуся та дідусь  В кого ще є сумніви  #StopRussia  #StopRussianAggression  #RussiaInvadedUkraine  #RussiaInvadesUkraine  @operativnoZSU</t>
  </si>
  <si>
    <t>2022-02-28T21:08:32+00:00</t>
  </si>
  <si>
    <t>https://t.me/KharkivTODAY1/3164</t>
  </si>
  <si>
    <t>CIV0109</t>
  </si>
  <si>
    <t>Missile exploded on the sidewalk. Reportedly one pedestrian died.</t>
  </si>
  <si>
    <t>UW1028</t>
  </si>
  <si>
    <t>Bombing</t>
  </si>
  <si>
    <t>https://bellingcat-archive.nyc3.cdn.digitaloceanspaces.com/Ukraine_Witness_Datasheet/Worksheet/telegram_61038725a6.mp4</t>
  </si>
  <si>
    <t>2022-03-01T15:18:25.020975+00:00</t>
  </si>
  <si>
    <t>https://bellingcat-archive.nyc3.cdn.digitaloceanspaces.com/Ukraine_Witness_Datasheet/Worksheet/telegram__KharkivTODAY1_31642022-03-01T15:17:35.614408.png</t>
  </si>
  <si>
    <t>ca486a59aaa1020074a8ce9b5fd7dd56ffd343f346786836cf2bb6bf120999e4</t>
  </si>
  <si>
    <t>https://bellingcat-archive.nyc3.cdn.digitaloceanspaces.com/Ukraine_Witness_Datasheet/Worksheet/telegram_61038725a6/index.html</t>
  </si>
  <si>
    <t>2022-02-26T14:29:23+00:00</t>
  </si>
  <si>
    <t>https://2day.kh.ua/kharkow/obstrel-saltovki-pogib-chelovek</t>
  </si>
  <si>
    <t>UW1029</t>
  </si>
  <si>
    <t>https://web.archive.org/web/20220302135142/https://2day.kh.ua/kharkow/obstrel-saltovki-pogibli-lyudi</t>
  </si>
  <si>
    <t>2022-03-02T13:52:03.949963+00:00</t>
  </si>
  <si>
    <t>https://bellingcat-archive.nyc3.cdn.digitaloceanspaces.com/Ukraine_Witness_Datasheet/Worksheet/wayback__kharkow_obstrel-saltovki-pogib-chelovek2022-03-02T13:51:56.044986.png</t>
  </si>
  <si>
    <t>Обстрел Салтовки: погибли люди</t>
  </si>
  <si>
    <t>50.42295716</t>
  </si>
  <si>
    <t>30.46515814</t>
  </si>
  <si>
    <t>https://twitter.com/JhanSDoriel/status/1497556585396125700</t>
  </si>
  <si>
    <t>CIV0111</t>
  </si>
  <si>
    <t>Missile striked a civilian building in CIV0041</t>
  </si>
  <si>
    <t>UW1030</t>
  </si>
  <si>
    <t>https://bellingcat-archive.nyc3.cdn.digitaloceanspaces.com/Ukraine_Witness_Datasheet/Worksheet/twitter__JhanSDoriel_status_1497556585396125700.html</t>
  </si>
  <si>
    <t>2022-03-01T15:18:56.565095+00:00</t>
  </si>
  <si>
    <t>https://bellingcat-archive.nyc3.cdn.digitaloceanspaces.com/Ukraine_Witness_Datasheet/Worksheet/twitter__JhanSDoriel_status_14975565853961257002022-03-01T15:18:44.132797.png</t>
  </si>
  <si>
    <t>605a0ae27d1b791123293e86ab4ded009cd8ef36e111f3c48aa096139398c941</t>
  </si>
  <si>
    <t>2022-02-26T12:58:07+00:00</t>
  </si>
  <si>
    <t>https://twitter.com/JhanSDoriel/status/1497583504577732610</t>
  </si>
  <si>
    <t>https://bellingcat-archive.nyc3.cdn.digitaloceanspaces.com/Ukraine_Witness_Datasheet/Worksheet/youtube_dl_1497583504577732610.mp4</t>
  </si>
  <si>
    <t>2022-03-02T14:01:13.707423+00:00</t>
  </si>
  <si>
    <t>https://bellingcat-archive.nyc3.cdn.digitaloceanspaces.com/Ukraine_Witness_Datasheet/Worksheet/youtube_dl__JhanSDoriel_status_14975835045777326102022-03-02T14:01:02.686236.png</t>
  </si>
  <si>
    <t>b1da380b84eaedfa5685f7983d71eac0486fcb2ceaa637b99b3088f3d77c5347</t>
  </si>
  <si>
    <t>https://bellingcat-archive.nyc3.cdn.digitaloceanspaces.com/Ukraine_Witness_Datasheet/Worksheet/youtube_dl_1497583504577732610/index.html</t>
  </si>
  <si>
    <t>Jhan Doriel ∴ - Day 3: #Russia strikes a building in #Kiev #russianinvasion</t>
  </si>
  <si>
    <t>2022-02-26T14:45:05+00:00</t>
  </si>
  <si>
    <t>https://www.instagram.com/tv/Cab70RxFXMU/?utm_source=ig_web_copy_link</t>
  </si>
  <si>
    <t>CIV0112</t>
  </si>
  <si>
    <t>Residential building claimed to be hit by a Russian airstrike</t>
  </si>
  <si>
    <t>Vorzel',</t>
  </si>
  <si>
    <t>UW1031</t>
  </si>
  <si>
    <t>https://bellingcat-archive.nyc3.cdn.digitaloceanspaces.com/Ukraine_Witness_Datasheet/Worksheet/youtube_dl_Cab70RxFXMU.mp4</t>
  </si>
  <si>
    <t>2022-03-01T15:20:31.480726+00:00</t>
  </si>
  <si>
    <t>https://bellingcat-archive.nyc3.cdn.digitaloceanspaces.com/Ukraine_Witness_Datasheet/Worksheet/youtube_dl__tv_Cab70RxFXMU_2022-03-01T15:19:21.065719.png</t>
  </si>
  <si>
    <t>db948664d61cb1558ba6a5208d095d9f5aaff710896e2cfdfa97250e5dd54b1d</t>
  </si>
  <si>
    <t>https://bellingcat-archive.nyc3.cdn.digitaloceanspaces.com/Ukraine_Witness_Datasheet/Worksheet/youtube_dl_Cab70RxFXMU/index.html</t>
  </si>
  <si>
    <t>Video by nadenka.kv</t>
  </si>
  <si>
    <t>2022-02-26T10:03:55+00:00</t>
  </si>
  <si>
    <t>https://drive.google.com/file/d/1Ui6Vm7ShCFcR69010g64in53Z4UrKFCZ/view?usp=sharing</t>
  </si>
  <si>
    <t>CIV0113</t>
  </si>
  <si>
    <t>Vasylkiv technical colledge heavily damaged by a rocket strike</t>
  </si>
  <si>
    <t>UW1032</t>
  </si>
  <si>
    <t>drive link, do not post</t>
  </si>
  <si>
    <t>https://bellingcat-archive.nyc3.cdn.digitaloceanspaces.com/Ukraine_Witness_Datasheet/Worksheet/youtube_dl_1Ui6Vm7ShCFcR69010g64in53Z4UrKFCZ.mp4</t>
  </si>
  <si>
    <t>2022-03-01T15:20:57.843028+00:00</t>
  </si>
  <si>
    <t>https://bellingcat-archive.nyc3.cdn.digitaloceanspaces.com/Ukraine_Witness_Datasheet/Worksheet/youtube_dl__file_d_1Ui6Vm7ShCFcR69010g64in53Z4UrKFCZ_view2022-03-01T15:20:40.974140.png</t>
  </si>
  <si>
    <t>349cd0157136c2ecac637cacf0ef6263db0a8cb2d0cd378d994e88a3bb11db1e</t>
  </si>
  <si>
    <t>https://bellingcat-archive.nyc3.cdn.digitaloceanspaces.com/Ukraine_Witness_Datasheet/Worksheet/youtube_dl_1Ui6Vm7ShCFcR69010g64in53Z4UrKFCZ/index.html</t>
  </si>
  <si>
    <t>IMG_7170.MP4</t>
  </si>
  <si>
    <t>https://drive.google.com/file/d/1P3TS1hmAr-Lkf_FM7F3OxC-0SxfQSkdI/view?usp=sharing</t>
  </si>
  <si>
    <t>CIV0114</t>
  </si>
  <si>
    <t>Vasylkiv Professional College of the National Aviation University (civil aviation) was heavily damaged by a rocket strike</t>
  </si>
  <si>
    <t>UW1033</t>
  </si>
  <si>
    <t>https://bellingcat-archive.nyc3.cdn.digitaloceanspaces.com/Ukraine_Witness_Datasheet/Worksheet/youtube_dl_1P3TS1hmAr-Lkf_FM7F3OxC-0SxfQSkdI.mp4</t>
  </si>
  <si>
    <t>2022-03-01T15:21:26.641861+00:00</t>
  </si>
  <si>
    <t>https://bellingcat-archive.nyc3.cdn.digitaloceanspaces.com/Ukraine_Witness_Datasheet/Worksheet/youtube_dl__file_d_1P3TS1hmAr-Lkf_FM7F3OxC-0SxfQSkdI_view2022-03-01T15:21:08.610733.png</t>
  </si>
  <si>
    <t>904414aa3a0ccbc8d8bd49517ef22daeda239841130a2209c72aa9f1af4b69de</t>
  </si>
  <si>
    <t>https://bellingcat-archive.nyc3.cdn.digitaloceanspaces.com/Ukraine_Witness_Datasheet/Worksheet/youtube_dl_1P3TS1hmAr-Lkf_FM7F3OxC-0SxfQSkdI/index.html</t>
  </si>
  <si>
    <t>IMG_7171.MP4</t>
  </si>
  <si>
    <t>https://www.reddit.com/r/ukraine/comments/t2ihg8/russian_invaders_killed_civilian_family_and_dogs/</t>
  </si>
  <si>
    <t>REPEAT OF CIV0092</t>
  </si>
  <si>
    <t>Bodies of civilian family and their dogs allegedly killed by Russian soldiers</t>
  </si>
  <si>
    <t>UW1034</t>
  </si>
  <si>
    <t>https://bellingcat-archive.nyc3.cdn.digitaloceanspaces.com/Ukraine_Witness_Datasheet/Worksheet/youtube_dl_3hefkebvrbk81.mp4</t>
  </si>
  <si>
    <t>2022-03-01T15:22:22.643801+00:00</t>
  </si>
  <si>
    <t>https://bellingcat-archive.nyc3.cdn.digitaloceanspaces.com/Ukraine_Witness_Datasheet/Worksheet/youtube_dl__r_ukraine_comments_t2ihg8_russian_invaders_killed_civilian_family_and_dogs_2022-03-01T15:21:54.419909.png</t>
  </si>
  <si>
    <t>bf691fd858c2f4017d1458cbd0e9d1cbdd3f6935d150301f6c3902e9246807be</t>
  </si>
  <si>
    <t>https://bellingcat-archive.nyc3.cdn.digitaloceanspaces.com/Ukraine_Witness_Datasheet/Worksheet/youtube_dl_3hefkebvrbk81/index.html</t>
  </si>
  <si>
    <t>Russian invaders killed civilian family and dogs, they will pay for these crimes.</t>
  </si>
  <si>
    <t>2022-02-27T07:07:13+00:00</t>
  </si>
  <si>
    <t>https://drive.google.com/file/d/1m6PlMAA6I8Oh-bIj1EVTw0Up-s1c1G-n/view?usp=sharing</t>
  </si>
  <si>
    <t>CIV0116</t>
  </si>
  <si>
    <t>Private house and outbuildings damaged by a shot down Russian reconnaissance drone</t>
  </si>
  <si>
    <t>Rivne Oblast</t>
  </si>
  <si>
    <t>Velykyi Zholuds'k</t>
  </si>
  <si>
    <t>UW1035</t>
  </si>
  <si>
    <t>https://bellingcat-archive.nyc3.cdn.digitaloceanspaces.com/Ukraine_Witness_Datasheet/Worksheet/youtube_dl_1m6PlMAA6I8Oh-bIj1EVTw0Up-s1c1G-n.mp4</t>
  </si>
  <si>
    <t>2022-03-01T15:23:10.811416+00:00</t>
  </si>
  <si>
    <t>https://bellingcat-archive.nyc3.cdn.digitaloceanspaces.com/Ukraine_Witness_Datasheet/Worksheet/youtube_dl__file_d_1m6PlMAA6I8Oh-bIj1EVTw0Up-s1c1G-n_view2022-03-01T15:22:49.817353.png</t>
  </si>
  <si>
    <t>8d9123fae2dccc335cdf1188948aec6e912e345235a78ca571f933ef8014c288</t>
  </si>
  <si>
    <t>https://bellingcat-archive.nyc3.cdn.digitaloceanspaces.com/Ukraine_Witness_Datasheet/Worksheet/youtube_dl_1m6PlMAA6I8Oh-bIj1EVTw0Up-s1c1G-n/index.html</t>
  </si>
  <si>
    <t>video_2022-02-27_16-54-09.mp4</t>
  </si>
  <si>
    <t>https://t.me/c/1348181349/19454</t>
  </si>
  <si>
    <t>Private house and outbuildings damaged by a shot down Russian drone</t>
  </si>
  <si>
    <t>https://web.archive.org/web/20220302135214/https://t.me/c/1348181349/19454</t>
  </si>
  <si>
    <t>2022-03-02T13:53:55.905881+00:00</t>
  </si>
  <si>
    <t>https://bellingcat-archive.nyc3.cdn.digitaloceanspaces.com/Ukraine_Witness_Datasheet/Worksheet/wayback__c_1348181349_194542022-03-02T13:53:48.891990.png</t>
  </si>
  <si>
    <t>Telegram</t>
  </si>
  <si>
    <t>https://t.me/truexanewsua/25978</t>
  </si>
  <si>
    <t>CIV0117</t>
  </si>
  <si>
    <t>GRAPHIC - Bodies of civilians (3), killed by MLRS shelling in Kharkiv, Pavlove Pole district)</t>
  </si>
  <si>
    <t>UW1036</t>
  </si>
  <si>
    <t>https://bellingcat-archive.nyc3.cdn.digitaloceanspaces.com/Ukraine_Witness_Datasheet/Worksheet/telegram_8bc8f9489a.mp4</t>
  </si>
  <si>
    <t>2022-03-01T15:25:16.269600+00:00</t>
  </si>
  <si>
    <t>https://bellingcat-archive.nyc3.cdn.digitaloceanspaces.com/Ukraine_Witness_Datasheet/Worksheet/telegram__truexanewsua_259782022-03-01T15:23:11.712359.png</t>
  </si>
  <si>
    <t>505cea0ec47ded11037b89aa5aaae0ff223f601bff440146c46b8db922d59385</t>
  </si>
  <si>
    <t>https://bellingcat-archive.nyc3.cdn.digitaloceanspaces.com/Ukraine_Witness_Datasheet/Worksheet/telegram_8bc8f9489a/index.html</t>
  </si>
  <si>
    <t>2022-02-28T11:24:54+00:00</t>
  </si>
  <si>
    <t>https://drive.google.com/drive/folders/1zcrwz0oohUMtii52WlozW-6VWd4Wmthf?usp=sharing</t>
  </si>
  <si>
    <t>GRAPHIC!!! Bodies of civilians (3), killed by MLRS shelling in Kharkiv, Pavlove Pole district)</t>
  </si>
  <si>
    <t>https://web.archive.org/web/20220302140118/https://drive.google.com/drive/folders/1zcrwz0oohUMtii52WlozW-6VWd4Wmthf?usp=sharing</t>
  </si>
  <si>
    <t>2022-03-02T14:01:37.265088+00:00</t>
  </si>
  <si>
    <t>https://bellingcat-archive.nyc3.cdn.digitaloceanspaces.com/Ukraine_Witness_Datasheet/Worksheet/wayback__drive_folders_1zcrwz0oohUMtii52WlozW-6VWd4Wmthf2022-03-02T14:01:28.902934.png</t>
  </si>
  <si>
    <t>Kharkiv_Pavlove pole_dead civilians - Google Drive</t>
  </si>
  <si>
    <t>CIV0118</t>
  </si>
  <si>
    <t>GRAPHIC!!! MLRS missile landed in the yard of a block of flats building in Kharkiv, causing civilian casualties</t>
  </si>
  <si>
    <t>UW1037</t>
  </si>
  <si>
    <t>https://t.me/Tsaplienko/1319</t>
  </si>
  <si>
    <t>CIV0119</t>
  </si>
  <si>
    <t>GRAPHIC!!! Family killed and burned by artillery shelling in Kharkiv, while they were driving.</t>
  </si>
  <si>
    <t>UW1038</t>
  </si>
  <si>
    <t>https://bellingcat-archive.nyc3.cdn.digitaloceanspaces.com/Ukraine_Witness_Datasheet/Worksheet/telegram_c1a36b9569.mp4</t>
  </si>
  <si>
    <t>2022-03-01T15:25:52.090367+00:00</t>
  </si>
  <si>
    <t>https://bellingcat-archive.nyc3.cdn.digitaloceanspaces.com/Ukraine_Witness_Datasheet/Worksheet/telegram__Tsaplienko_13192022-03-01T15:25:17.163726.png</t>
  </si>
  <si>
    <t>86737f2ed947cf2f12fca8dee9cf1afcc7a53c55c93eba833d76b1e327c17e1a</t>
  </si>
  <si>
    <t>https://bellingcat-archive.nyc3.cdn.digitaloceanspaces.com/Ukraine_Witness_Datasheet/Worksheet/telegram_c1a36b9569/index.html</t>
  </si>
  <si>
    <t>2022-02-28T12:53:56+00:00</t>
  </si>
  <si>
    <t>https://drive.google.com/file/d/1N2mCelCBJ-nJIcbHvLRkY8JB5gsuCtJU/view?usp=sharing</t>
  </si>
  <si>
    <t>https://web.archive.org/web/20220302140202/https://drive.google.com/file/d/1N2mCelCBJ-nJIcbHvLRkY8JB5gsuCtJU/view?usp=sharing</t>
  </si>
  <si>
    <t>2022-03-02T14:02:18.685115+00:00</t>
  </si>
  <si>
    <t>https://bellingcat-archive.nyc3.cdn.digitaloceanspaces.com/Ukraine_Witness_Datasheet/Worksheet/wayback__file_d_1N2mCelCBJ-nJIcbHvLRkY8JB5gsuCtJU_view2022-03-02T14:02:10.749731.png</t>
  </si>
  <si>
    <t>video_2022-02-28_18-42-00_Klochkivska St, 228_family killed.mp4 - Google Drive</t>
  </si>
  <si>
    <t>50.026464</t>
  </si>
  <si>
    <t>36.220547</t>
  </si>
  <si>
    <t>https://t.me/truexanewsua/26021</t>
  </si>
  <si>
    <t>CIV0120</t>
  </si>
  <si>
    <t>Cluster munition shelling of the city district "August 23" in Kharkiv (named in honour of the day, Kharkiv was liberated from nazi occupation in 1943)</t>
  </si>
  <si>
    <t>UW1039</t>
  </si>
  <si>
    <t>https://bellingcat-archive.nyc3.cdn.digitaloceanspaces.com/Ukraine_Witness_Datasheet/Worksheet/telegram_7d40c74f5d.mp4</t>
  </si>
  <si>
    <t>2022-03-01T15:27:53.683311+00:00</t>
  </si>
  <si>
    <t>https://bellingcat-archive.nyc3.cdn.digitaloceanspaces.com/Ukraine_Witness_Datasheet/Worksheet/telegram__truexanewsua_260212022-03-01T15:25:52.931846.png</t>
  </si>
  <si>
    <t>d341114e5ccfba492972fef48551cf0b66bac7b15a4dd37a187cdcef56506b2d</t>
  </si>
  <si>
    <t>https://bellingcat-archive.nyc3.cdn.digitaloceanspaces.com/Ukraine_Witness_Datasheet/Worksheet/telegram_7d40c74f5d/index.html</t>
  </si>
  <si>
    <t>2022-02-28T11:59:13+00:00</t>
  </si>
  <si>
    <t>https://drive.google.com/file/d/1wWqQZlI5PrlzwgDJTgGhXoIr5lgno8qO/view?usp=sharing</t>
  </si>
  <si>
    <t>https://web.archive.org/web/20220302140247/https://drive.google.com/file/d/1wWqQZlI5PrlzwgDJTgGhXoIr5lgno8qO/view?usp=sharing</t>
  </si>
  <si>
    <t>2022-03-02T14:03:03.101493+00:00</t>
  </si>
  <si>
    <t>https://bellingcat-archive.nyc3.cdn.digitaloceanspaces.com/Ukraine_Witness_Datasheet/Worksheet/wayback__file_d_1wWqQZlI5PrlzwgDJTgGhXoIr5lgno8qO_view2022-03-02T14:02:55.489766.png</t>
  </si>
  <si>
    <t>IMG_9193_23_August_Kharkiv.MOV - Google Drive</t>
  </si>
  <si>
    <t>https://t.me/ukraina_novosti/17365</t>
  </si>
  <si>
    <t>CIV0121</t>
  </si>
  <si>
    <t>Local History Museum in the village Ivankov being burned out</t>
  </si>
  <si>
    <t>UW1040</t>
  </si>
  <si>
    <t>https://bellingcat-archive.nyc3.cdn.digitaloceanspaces.com/Ukraine_Witness_Datasheet/Worksheet/telegram_74ea211ec4.mp4</t>
  </si>
  <si>
    <t>2022-03-01T15:29:14.395535+00:00</t>
  </si>
  <si>
    <t>https://bellingcat-archive.nyc3.cdn.digitaloceanspaces.com/Ukraine_Witness_Datasheet/Worksheet/telegram__ukraina_novosti_173652022-03-01T15:27:54.491988.png</t>
  </si>
  <si>
    <t>4bda7ab4ddc63d81c943bd1919397d08e1c8c5e2304f72a9814da8d4c8d5507d</t>
  </si>
  <si>
    <t>https://bellingcat-archive.nyc3.cdn.digitaloceanspaces.com/Ukraine_Witness_Datasheet/Worksheet/telegram_74ea211ec4/index.html</t>
  </si>
  <si>
    <t>2022-02-28T08:23:43+00:00</t>
  </si>
  <si>
    <t>https://t.me/KharkivTODAY1/3065</t>
  </si>
  <si>
    <t>CIV0122</t>
  </si>
  <si>
    <t>Cluster munition remnant embedded on residential street</t>
  </si>
  <si>
    <t>as</t>
  </si>
  <si>
    <t>UW1041</t>
  </si>
  <si>
    <t>https://bellingcat-archive.nyc3.cdn.digitaloceanspaces.com/Ukraine_Witness_Datasheet/Worksheet/telegram__KharkivTODAY1_3065.html</t>
  </si>
  <si>
    <t>2022-03-01T15:29:23.867940+00:00</t>
  </si>
  <si>
    <t>https://bellingcat-archive.nyc3.cdn.digitaloceanspaces.com/Ukraine_Witness_Datasheet/Worksheet/telegram__KharkivTODAY1_30652022-03-01T15:29:15.163636.png</t>
  </si>
  <si>
    <t>528d89fde9d61e29851287cd0d08d8eb81371692a9f07c9e21812c4caf1b2b2b</t>
  </si>
  <si>
    <t>2022-02-25T09:37:54+00:00</t>
  </si>
  <si>
    <t>https://t.me/truexanewsua/25866</t>
  </si>
  <si>
    <t>CIV0123</t>
  </si>
  <si>
    <t>Rocket motor impacted inside civillian apartment</t>
  </si>
  <si>
    <t>UW1042</t>
  </si>
  <si>
    <t>https://bellingcat-archive.nyc3.cdn.digitaloceanspaces.com/Ukraine_Witness_Datasheet/Worksheet/telegram__truexanewsua_25866.html</t>
  </si>
  <si>
    <t>2022-03-01T15:29:35.077471+00:00</t>
  </si>
  <si>
    <t>https://bellingcat-archive.nyc3.cdn.digitaloceanspaces.com/Ukraine_Witness_Datasheet/Worksheet/telegram__truexanewsua_258662022-03-01T15:29:24.632394.png</t>
  </si>
  <si>
    <t>59102bc42fd70cb411ae7ffe2cec46f277fba486aae78fcd857fef73c1a02349</t>
  </si>
  <si>
    <t>2022-02-28T09:23:48+00:00</t>
  </si>
  <si>
    <t>https://t.me/truexanewsua/25182</t>
  </si>
  <si>
    <t>CIV0124</t>
  </si>
  <si>
    <t>Partially collapsed block of flats in Kharkiv, Saltovka district. At least one woman was reported to be killed.</t>
  </si>
  <si>
    <t>UW1043</t>
  </si>
  <si>
    <t>https://bellingcat-archive.nyc3.cdn.digitaloceanspaces.com/Ukraine_Witness_Datasheet/Worksheet/telegram__truexanewsua_25182.html</t>
  </si>
  <si>
    <t>2022-03-01T15:29:45.977560+00:00</t>
  </si>
  <si>
    <t>https://bellingcat-archive.nyc3.cdn.digitaloceanspaces.com/Ukraine_Witness_Datasheet/Worksheet/telegram__truexanewsua_251822022-03-01T15:29:35.838571.png</t>
  </si>
  <si>
    <t>c279f742f4c788f95cf5dbd1539aac25975aacd48e7bc1c97d99c940519c3a78</t>
  </si>
  <si>
    <t>2022-02-27T13:49:17+00:00</t>
  </si>
  <si>
    <t>Carlos G.</t>
  </si>
  <si>
    <t>https://twitter.com/zloy_odessit/status/1498627544437960710</t>
  </si>
  <si>
    <t>CIV0125</t>
  </si>
  <si>
    <t xml:space="preserve">Civilian houses shelled </t>
  </si>
  <si>
    <t>Dachne</t>
  </si>
  <si>
    <t>Used town name, stitching and red roofed house to match on satellite</t>
  </si>
  <si>
    <t>UW1044</t>
  </si>
  <si>
    <t>https://bellingcat-archive.nyc3.cdn.digitaloceanspaces.com/Ukraine_Witness_Datasheet/Worksheet/youtube_dl_1498627544437960710.mp4</t>
  </si>
  <si>
    <t>2022-03-01T15:30:14.295090+00:00</t>
  </si>
  <si>
    <t>https://bellingcat-archive.nyc3.cdn.digitaloceanspaces.com/Ukraine_Witness_Datasheet/Worksheet/youtube_dl__zloy_odessit_status_14986275444379607102022-03-01T15:29:52.585492.png</t>
  </si>
  <si>
    <t>8e14ff1572f3ec643909dbf9ef51c9c0600bcdcbc0c700b6687ace35472d8c63</t>
  </si>
  <si>
    <t>https://bellingcat-archive.nyc3.cdn.digitaloceanspaces.com/Ukraine_Witness_Datasheet/Worksheet/youtube_dl_1498627544437960710/index.html</t>
  </si>
  <si>
    <t>Александр Коваленко - Последствия обстрела села Дачное, Одесской области российскими оккупантами.</t>
  </si>
  <si>
    <t>2022-03-01T11:53:44+00:00</t>
  </si>
  <si>
    <t>https://twitter.com/michaeldweiss/status/1498650772623564806</t>
  </si>
  <si>
    <t xml:space="preserve">Russian Military Movement </t>
  </si>
  <si>
    <t>UW1045</t>
  </si>
  <si>
    <t>https://bellingcat-archive.nyc3.cdn.digitaloceanspaces.com/Ukraine_Witness_Datasheet/Worksheet/twitter__michaeldweiss_status_1498650772623564806.html</t>
  </si>
  <si>
    <t>2022-03-01T15:30:35.389986+00:00</t>
  </si>
  <si>
    <t>https://bellingcat-archive.nyc3.cdn.digitaloceanspaces.com/Ukraine_Witness_Datasheet/Worksheet/twitter__michaeldweiss_status_14986507726235648062022-03-01T15:30:23.416864.png</t>
  </si>
  <si>
    <t>72d6dc644398b7e3ba7547385ec6b7a06b36ee59b3e0343e5eff80abc98d5419</t>
  </si>
  <si>
    <t>2022-03-01T13:26:02+00:00</t>
  </si>
  <si>
    <t>https://youtube.com/shorts/c8rgp5ImoMc?feature=share</t>
  </si>
  <si>
    <t>Shelling damage to cafe and shops in residential area</t>
  </si>
  <si>
    <t>Used the Shantiliko coffee shop and street name</t>
  </si>
  <si>
    <t>UW1046</t>
  </si>
  <si>
    <t>https://bellingcat-archive.nyc3.cdn.digitaloceanspaces.com/Ukraine_Witness_Datasheet/Worksheet/youtube_dl_c8rgp5ImoMc.webm</t>
  </si>
  <si>
    <t>2022-03-01T15:31:44.431771+00:00</t>
  </si>
  <si>
    <t>https://bellingcat-archive.nyc3.cdn.digitaloceanspaces.com/Ukraine_Witness_Datasheet/Worksheet/youtube_dl__shorts_c8rgp5ImoMc2022-03-01T15:31:00.081458.png</t>
  </si>
  <si>
    <t>a744f4c42824b2fbca5cb595626f9c4a9356694f58d7391057fd67667a800071</t>
  </si>
  <si>
    <t>https://bellingcat-archive.nyc3.cdn.digitaloceanspaces.com/Ukraine_Witness_Datasheet/Worksheet/youtube_dl_c8rgp5ImoMc/index.html</t>
  </si>
  <si>
    <t>Украина.Мариуполь.Ленинградский.1.03.2022.после обстрела</t>
  </si>
  <si>
    <t>2022-02-28T00:00:00+00:00</t>
  </si>
  <si>
    <t>https://twitter.com/CasusBellii/status/1498671012887638016</t>
  </si>
  <si>
    <t>Russian forces take over Kherson train station</t>
  </si>
  <si>
    <t>Used the train station refernced in tweet</t>
  </si>
  <si>
    <t>UW1047</t>
  </si>
  <si>
    <t>https://bellingcat-archive.nyc3.cdn.digitaloceanspaces.com/Ukraine_Witness_Datasheet/Worksheet/youtube_dl_1498671012887638016.mp4</t>
  </si>
  <si>
    <t>2022-03-01T15:32:39.146434+00:00</t>
  </si>
  <si>
    <t>https://bellingcat-archive.nyc3.cdn.digitaloceanspaces.com/Ukraine_Witness_Datasheet/Worksheet/youtube_dl__CasusBellii_status_14986710128876380162022-03-01T15:31:59.495633.png</t>
  </si>
  <si>
    <t>9cf93aab791b57619087cf7274981e0fd1f119db9ec807766ceae5289fd76b5e</t>
  </si>
  <si>
    <t>https://bellingcat-archive.nyc3.cdn.digitaloceanspaces.com/Ukraine_Witness_Datasheet/Worksheet/youtube_dl_1498671012887638016/index.html</t>
  </si>
  <si>
    <t>Casus Belli - 🇺🇦🇷🇺🚨| Russian Forces took control of Kherson train station  46.6559321, 32.6053797</t>
  </si>
  <si>
    <t>2022-03-01T14:46:28+00:00</t>
  </si>
  <si>
    <t>https://twitter.com/aldin_ww/status/1498680800572751875?s=20&amp;t=pq1WaH4hmqr0bMsfne5T1w</t>
  </si>
  <si>
    <t>Multiple explosions hit the Kyiv TV tower and its surroundings</t>
  </si>
  <si>
    <t>UW1048</t>
  </si>
  <si>
    <t>https://bellingcat-archive.nyc3.cdn.digitaloceanspaces.com/Ukraine_Witness_Datasheet/Worksheet/youtube_dl_1498680800572751875.mp4</t>
  </si>
  <si>
    <t>2022-03-01T15:38:21.115500+00:00</t>
  </si>
  <si>
    <t>https://bellingcat-archive.nyc3.cdn.digitaloceanspaces.com/Ukraine_Witness_Datasheet/Worksheet/youtube_dl__aldin_ww_status_14986808005727518752022-03-01T15:37:42.061361.png</t>
  </si>
  <si>
    <t>5713e3c8020e7a81be14597b4b85b6d0e2b332a847f4a2aa45d82f20165a2118</t>
  </si>
  <si>
    <t>https://bellingcat-archive.nyc3.cdn.digitaloceanspaces.com/Ukraine_Witness_Datasheet/Worksheet/youtube_dl_1498680800572751875/index.html</t>
  </si>
  <si>
    <t>Aldin 🇧🇦 - #Kyiv TV tower</t>
  </si>
  <si>
    <t>2022-03-01T15:25:21+00:00</t>
  </si>
  <si>
    <t>https://twitter.com/InnaSovsun/status/1498667975045525510?s=20&amp;t=6gpODgjgSxhBgB_gs-waYw</t>
  </si>
  <si>
    <t>Building destroyed and on fire</t>
  </si>
  <si>
    <t>UW1049</t>
  </si>
  <si>
    <t>fire</t>
  </si>
  <si>
    <t>https://bellingcat-archive.nyc3.cdn.digitaloceanspaces.com/Ukraine_Witness_Datasheet/Worksheet/youtube_dl_1498667975045525510.mp4</t>
  </si>
  <si>
    <t>2022-03-01T16:30:20.677985+00:00</t>
  </si>
  <si>
    <t>https://bellingcat-archive.nyc3.cdn.digitaloceanspaces.com/Ukraine_Witness_Datasheet/Worksheet/youtube_dl__InnaSovsun_status_14986679750455255102022-03-01T16:29:46.582296.png</t>
  </si>
  <si>
    <t>91f589fa357d44b49180c44398c352ec168cec751a9f5d972da4889de30f487c</t>
  </si>
  <si>
    <t>https://bellingcat-archive.nyc3.cdn.digitaloceanspaces.com/Ukraine_Witness_Datasheet/Worksheet/youtube_dl_1498667975045525510/index.html</t>
  </si>
  <si>
    <t>Inna Sovsun - Bombing houses isn't enough. Today, #Putin decided it was time to destroy hospitals.  Hospitals with the wounded from the previous attacks. These bastards need to be stopped! #Kharkiv</t>
  </si>
  <si>
    <t>2022-03-01T14:34:23+00:00</t>
  </si>
  <si>
    <t>https://twitter.com/ArmedForcesUkr/status/1498692622386348032?s=20&amp;t=ef5CSqF6wwePXY6LkcHHdQ</t>
  </si>
  <si>
    <t>Casualties after missile strike</t>
  </si>
  <si>
    <t>UW1050</t>
  </si>
  <si>
    <t>Corpse, fire</t>
  </si>
  <si>
    <t>https://bellingcat-archive.nyc3.cdn.digitaloceanspaces.com/Ukraine_Witness_Datasheet/Worksheet/youtube_dl_1498692622386348032.mp4</t>
  </si>
  <si>
    <t>2022-03-01T16:31:02.531186+00:00</t>
  </si>
  <si>
    <t>https://bellingcat-archive.nyc3.cdn.digitaloceanspaces.com/Ukraine_Witness_Datasheet/Worksheet/youtube_dl__ArmedForcesUkr_status_14986926223863480322022-03-01T16:30:38.394494.png</t>
  </si>
  <si>
    <t>bb988c8b43274fb5977ef2226c30453d1f29b0f63310baf3b9b89e7185e79a2d</t>
  </si>
  <si>
    <t>https://bellingcat-archive.nyc3.cdn.digitaloceanspaces.com/Ukraine_Witness_Datasheet/Worksheet/youtube_dl_1498692622386348032/index.html</t>
  </si>
  <si>
    <t>ВОЇНИ УКРАЇНИ🇺🇦 - ❗❗❗Наслідки обстрілу київської телевежі!!! Загиблі, та поранені цивільні!!!</t>
  </si>
  <si>
    <t>2022-03-01T16:12:20+00:00</t>
  </si>
  <si>
    <t>https://twitter.com/markito0171/status/1498696448883535883</t>
  </si>
  <si>
    <t>UW1051</t>
  </si>
  <si>
    <t>https://bellingcat-archive.nyc3.cdn.digitaloceanspaces.com/Ukraine_Witness_Datasheet/Worksheet/youtube_dl_1498696448883535883.mp4</t>
  </si>
  <si>
    <t>2022-03-01T16:40:24.113790+00:00</t>
  </si>
  <si>
    <t>https://bellingcat-archive.nyc3.cdn.digitaloceanspaces.com/Ukraine_Witness_Datasheet/Worksheet/youtube_dl__markito0171_status_14986964488835358832022-03-01T16:40:10.096316.png</t>
  </si>
  <si>
    <t>25940330862ab2e9a59e1bc57e889a77c658b11bf779b2a3bd27a1db5d4a9db4</t>
  </si>
  <si>
    <t>https://bellingcat-archive.nyc3.cdn.digitaloceanspaces.com/Ukraine_Witness_Datasheet/Worksheet/youtube_dl_1498696448883535883/index.html</t>
  </si>
  <si>
    <t>C4H10FO2P - 🔞🔞🔞</t>
  </si>
  <si>
    <t>2022-03-01T16:27:32+00:00</t>
  </si>
  <si>
    <t>Woman with traumatically amputated leg after artillery strike</t>
  </si>
  <si>
    <t>UW1052</t>
  </si>
  <si>
    <t xml:space="preserve">Civilian casualty </t>
  </si>
  <si>
    <t>2022-03-02T08:01:02.650747+00:00</t>
  </si>
  <si>
    <t>https://bellingcat-archive.nyc3.cdn.digitaloceanspaces.com/Ukraine_Witness_Datasheet/Worksheet/telegram__voynareal_109032022-03-02T08:00:38.473891.png</t>
  </si>
  <si>
    <t>https://twitter.com/loogunda/status/1498262829840973828?s=20&amp;t=zKf3Nb7bCgUn-dgAFPWdRg</t>
  </si>
  <si>
    <t>Multiple images of munitions rockets. Image four is located image</t>
  </si>
  <si>
    <t>UW1053</t>
  </si>
  <si>
    <t>https://web.archive.org/web/20220302080118/https://twitter.com/loogunda/status/1498262829840973828?s=20&amp;t=zKf3Nb7bCgUn-dgAFPWdRg</t>
  </si>
  <si>
    <t>2022-03-02T08:01:32.646495+00:00</t>
  </si>
  <si>
    <t>https://bellingcat-archive.nyc3.cdn.digitaloceanspaces.com/Ukraine_Witness_Datasheet/Worksheet/wayback__loogunda_status_14982628298409738282022-03-02T08:01:24.073427.png</t>
  </si>
  <si>
    <t>English Lugansk on Twitter: "Kharkiv: Russia keeps targeting residential areas of Kharkiv. There were hits on residential buildings, cars." / Twitter</t>
  </si>
  <si>
    <t>https://t.me/hueviykharkov/46999</t>
  </si>
  <si>
    <t>UW1054</t>
  </si>
  <si>
    <t>https://bellingcat-archive.nyc3.cdn.digitaloceanspaces.com/Ukraine_Witness_Datasheet/Worksheet/telegram__hueviykharkov_46999.html</t>
  </si>
  <si>
    <t>2022-03-02T08:01:41.774825+00:00</t>
  </si>
  <si>
    <t>https://bellingcat-archive.nyc3.cdn.digitaloceanspaces.com/Ukraine_Witness_Datasheet/Worksheet/telegram__hueviykharkov_469992022-03-02T08:01:33.486608.png</t>
  </si>
  <si>
    <t>6e72df13a8cd12ea50880a4fa89c7edfe28ae5aac537b2d00d38fb7f321c0e59</t>
  </si>
  <si>
    <t>2022-02-28T11:25:45+00:00</t>
  </si>
  <si>
    <t>https://t.me/truexanewsua/26053</t>
  </si>
  <si>
    <t>UW1055</t>
  </si>
  <si>
    <t>https://bellingcat-archive.nyc3.cdn.digitaloceanspaces.com/Ukraine_Witness_Datasheet/Worksheet/telegram_72fd4c64e0.mp4</t>
  </si>
  <si>
    <t>2022-03-02T08:03:07.729191+00:00</t>
  </si>
  <si>
    <t>https://bellingcat-archive.nyc3.cdn.digitaloceanspaces.com/Ukraine_Witness_Datasheet/Worksheet/telegram__truexanewsua_260532022-03-02T08:01:42.619266.png</t>
  </si>
  <si>
    <t>64f4bdb0756938b02538b35b2f28e9f9c5aa373258d0ea57cbbb0eac0d750820</t>
  </si>
  <si>
    <t>https://bellingcat-archive.nyc3.cdn.digitaloceanspaces.com/Ukraine_Witness_Datasheet/Worksheet/telegram_72fd4c64e0/index.html</t>
  </si>
  <si>
    <t>2022-02-28T12:15:28+00:00</t>
  </si>
  <si>
    <t>https://drive.google.com/file/d/1mPujwIWeoGdsvyUK1v4LVtN4Eb_5gW9T/view?usp=sharing</t>
  </si>
  <si>
    <t>UW1056</t>
  </si>
  <si>
    <t>https://bellingcat-archive.nyc3.cdn.digitaloceanspaces.com/Ukraine_Witness_Datasheet/Worksheet/youtube_dl_1mPujwIWeoGdsvyUK1v4LVtN4Eb_5gW9T.mov</t>
  </si>
  <si>
    <t>2022-03-02T08:03:31.803276+00:00</t>
  </si>
  <si>
    <t>https://bellingcat-archive.nyc3.cdn.digitaloceanspaces.com/Ukraine_Witness_Datasheet/Worksheet/youtube_dl__file_d_1mPujwIWeoGdsvyUK1v4LVtN4Eb_5gW9T_view2022-03-02T08:03:17.535762.png</t>
  </si>
  <si>
    <t>https://bellingcat-archive.nyc3.cdn.digitaloceanspaces.com/Ukraine_Witness_Datasheet/Worksheet/youtube_dl_1mPujwIWeoGdsvyUK1v4LVtN4Eb_5gW9T/index.html</t>
  </si>
  <si>
    <t>IMG_9212_Kharkiv_chinese_wall.MOV</t>
  </si>
  <si>
    <t>https://mobile.twitter.com/RolandOliphant/status/1498269943271469063</t>
  </si>
  <si>
    <t>UW1057</t>
  </si>
  <si>
    <t>https://web.archive.org/web/20220302080351/https://mobile.twitter.com/RolandOliphant/status/1498269943271469063</t>
  </si>
  <si>
    <t>2022-03-02T08:04:12.947382+00:00</t>
  </si>
  <si>
    <t>https://bellingcat-archive.nyc3.cdn.digitaloceanspaces.com/Ukraine_Witness_Datasheet/Worksheet/wayback__RolandOliphant_status_14982699432714690632022-03-02T08:04:05.240544.png</t>
  </si>
  <si>
    <t>Cant see why its in this spot</t>
  </si>
  <si>
    <t>https://mobile.twitter.com/christogrozev/status/1498262958287302658</t>
  </si>
  <si>
    <t>UW1058</t>
  </si>
  <si>
    <t>https://bellingcat-archive.nyc3.cdn.digitaloceanspaces.com/Ukraine_Witness_Datasheet/Worksheet/youtube_dl_1498262958287302658.mp4</t>
  </si>
  <si>
    <t>2022-03-02T08:04:31.427511+00:00</t>
  </si>
  <si>
    <t>https://bellingcat-archive.nyc3.cdn.digitaloceanspaces.com/Ukraine_Witness_Datasheet/Worksheet/youtube_dl__christogrozev_status_14982629582873026582022-03-02T08:04:17.789354.png</t>
  </si>
  <si>
    <t>da3a29a2899afa18f1ac812fe8a1df6001a065c2f7cbe06274f3664f5eef8589</t>
  </si>
  <si>
    <t>https://bellingcat-archive.nyc3.cdn.digitaloceanspaces.com/Ukraine_Witness_Datasheet/Worksheet/youtube_dl_1498262958287302658/index.html</t>
  </si>
  <si>
    <t>Christo Grozev - Ukraine's interior ministry says dozens killed, hundreds injured civilians after massive GRAD shelling of Kharkiv *while negotiations are ongoing". If true, these are the worst faith "negotiations" recent history has seen.</t>
  </si>
  <si>
    <t>2022-02-28T11:45:00+00:00</t>
  </si>
  <si>
    <t>https://twitter.com/laura_zelinska/status/1498695443638894595</t>
  </si>
  <si>
    <t>Strike on TV tower area in Kyiv - view from down the street</t>
  </si>
  <si>
    <t>Streetview: https://www.google.com/maps/@50.4734469,30.4472488,3a,75y,110.56h,92.31t/data=!3m6!1e1!3m4!1sDvNU39NoRfypv5cE1xkhJQ!2e0!7i13312!8i6656</t>
  </si>
  <si>
    <t>UW1059</t>
  </si>
  <si>
    <t>https://bellingcat-archive.nyc3.cdn.digitaloceanspaces.com/Ukraine_Witness_Datasheet/Worksheet/youtube_dl_1498695443638894595.mp4</t>
  </si>
  <si>
    <t>2022-03-02T08:04:47.298523+00:00</t>
  </si>
  <si>
    <t>https://bellingcat-archive.nyc3.cdn.digitaloceanspaces.com/Ukraine_Witness_Datasheet/Worksheet/youtube_dl__laura_zelinska_status_14986954436388945952022-03-02T08:04:35.318691.png</t>
  </si>
  <si>
    <t>cf5d9738300bda492074d528aef0c09fe0478762f90e62ed156807b4e79d3e5b</t>
  </si>
  <si>
    <t>https://bellingcat-archive.nyc3.cdn.digitaloceanspaces.com/Ukraine_Witness_Datasheet/Worksheet/youtube_dl_1498695443638894595/index.html</t>
  </si>
  <si>
    <t>Laura Zelinska - And here is another video of the shelling of a TV tower in Kyiv by Russian invaders....   Residential buildings nearby...  #UkraineRussiaWar #Ukriane</t>
  </si>
  <si>
    <t>2022-03-01T16:23:32+00:00</t>
  </si>
  <si>
    <t>https://twitter.com/TiranaHassan/status/1497348792038924290?s=20&amp;t=gy1DPWfjpK8P3DeXkOB93g</t>
  </si>
  <si>
    <t>UW1061</t>
  </si>
  <si>
    <t>https://bellingcat-archive.nyc3.cdn.digitaloceanspaces.com/Ukraine_Witness_Datasheet/Worksheet/youtube_dl_1497348792038924290.mp4</t>
  </si>
  <si>
    <t>2022-03-02T08:05:01.520214+00:00</t>
  </si>
  <si>
    <t>https://bellingcat-archive.nyc3.cdn.digitaloceanspaces.com/Ukraine_Witness_Datasheet/Worksheet/youtube_dl__TiranaHassan_status_14973487920389242902022-03-02T08:04:50.615259.png</t>
  </si>
  <si>
    <t>ebbf35df206a1d0d76c43c29d61c7a47a7de98967dd84e90006345a091e25029</t>
  </si>
  <si>
    <t>https://bellingcat-archive.nyc3.cdn.digitaloceanspaces.com/Ukraine_Witness_Datasheet/Worksheet/youtube_dl_1497348792038924290/index.html</t>
  </si>
  <si>
    <t>Tirana Hassan - A Russian ballistic missile carrying a cluster munition struck just outside a hospital in #Ukraine, killing and injuring civilians. Russian forces should stop using cluster munitions and end unlawful attacks with weapons that indiscriminately kill and maim.- @hrw</t>
  </si>
  <si>
    <t>2022-02-25T23:12:26+00:00</t>
  </si>
  <si>
    <t>https://www.hrw.org/news/2022/02/25/ukraine-russian-cluster-munition-hits-hospital</t>
  </si>
  <si>
    <t>UW1062</t>
  </si>
  <si>
    <t>https://bellingcat-archive.nyc3.cdn.digitaloceanspaces.com/Ukraine_Witness_Datasheet/Worksheet/youtube_dl_42NknSPpcCI.webm</t>
  </si>
  <si>
    <t>2022-03-02T08:05:19.647558+00:00</t>
  </si>
  <si>
    <t>https://bellingcat-archive.nyc3.cdn.digitaloceanspaces.com/Ukraine_Witness_Datasheet/Worksheet/youtube_dl__news_2022_02_25_ukraine-russian-cluster-munition-hits-hospital2022-03-02T08:05:08.219217.png</t>
  </si>
  <si>
    <t>24e3da5f0cdf696278c22426433e34867bb2ec4fa53a70e89655875126662e9d</t>
  </si>
  <si>
    <t>https://bellingcat-archive.nyc3.cdn.digitaloceanspaces.com/Ukraine_Witness_Datasheet/Worksheet/youtube_dl_42NknSPpcCI/index.html</t>
  </si>
  <si>
    <t>Russian Cluster Munition Strikes Ukrainian Hospital #Short</t>
  </si>
  <si>
    <t>2022-02-25T00:00:00+00:00</t>
  </si>
  <si>
    <t>Artillery (MLRS) strike on a residential area</t>
  </si>
  <si>
    <t>UW1063</t>
  </si>
  <si>
    <t>2022-03-02T08:05:33.283217+00:00</t>
  </si>
  <si>
    <t>https://bellingcat-archive.nyc3.cdn.digitaloceanspaces.com/Ukraine_Witness_Datasheet/Worksheet/youtube_dl__Michael1Sheldon_status_14975068369956126732022-03-02T08:05:22.485125.png</t>
  </si>
  <si>
    <t>2022-02-26T05:05:53+00:00</t>
  </si>
  <si>
    <t>https://twitter.com/GirkinGirkin/status/1498699212577460224</t>
  </si>
  <si>
    <t>Military equipment movement</t>
  </si>
  <si>
    <t>https://twitter.com/gfusfus/status/1498706389698494465</t>
  </si>
  <si>
    <t>UW1064</t>
  </si>
  <si>
    <t>https://bellingcat-archive.nyc3.cdn.digitaloceanspaces.com/Ukraine_Witness_Datasheet/Worksheet/youtube_dl_1498699212577460224.mp4</t>
  </si>
  <si>
    <t>2022-03-02T08:05:46.512460+00:00</t>
  </si>
  <si>
    <t>https://bellingcat-archive.nyc3.cdn.digitaloceanspaces.com/Ukraine_Witness_Datasheet/Worksheet/youtube_dl__GirkinGirkin_status_14986992125774602242022-03-02T08:05:35.902142.png</t>
  </si>
  <si>
    <t>acf532a0bd16cf85ac3f800f481bfb7ca6d38938751678d5695a8e003a783fb9</t>
  </si>
  <si>
    <t>https://bellingcat-archive.nyc3.cdn.digitaloceanspaces.com/Ukraine_Witness_Datasheet/Worksheet/youtube_dl_1498699212577460224/index.html</t>
  </si>
  <si>
    <t>2022-03-01T16:38:31+00:00</t>
  </si>
  <si>
    <t>https://twitter.com/aldin_ww/status/1498619666708799489?s=20&amp;t=MNhIR_16UMWpqDOB_BAX7g</t>
  </si>
  <si>
    <t>Russian soldiers firing towards civilians filming them in Borodyanka</t>
  </si>
  <si>
    <t>UW1065</t>
  </si>
  <si>
    <t>Gunfire/Fighting/Battle</t>
  </si>
  <si>
    <t>https://bellingcat-archive.nyc3.cdn.digitaloceanspaces.com/Ukraine_Witness_Datasheet/Worksheet/youtube_dl_1498619666708799489.mp4</t>
  </si>
  <si>
    <t>2022-03-02T08:06:00.901436+00:00</t>
  </si>
  <si>
    <t>https://bellingcat-archive.nyc3.cdn.digitaloceanspaces.com/Ukraine_Witness_Datasheet/Worksheet/youtube_dl__aldin_ww_status_14986196667087994892022-03-02T08:05:50.285263.png</t>
  </si>
  <si>
    <t>2b9fdc75278d0e1c74364719dc29c692cbd78d870ecf2a58d394372803c5be5c</t>
  </si>
  <si>
    <t>https://bellingcat-archive.nyc3.cdn.digitaloceanspaces.com/Ukraine_Witness_Datasheet/Worksheet/youtube_dl_1498619666708799489/index.html</t>
  </si>
  <si>
    <t>Aldin 🇧🇦 - Video probably taken yesterday, judging by the weather, Russian troops aim toward civilians in Borodyanka, #Kyiv Oblast</t>
  </si>
  <si>
    <t>2022-03-01T11:22:26+00:00</t>
  </si>
  <si>
    <t>https://twitter.com/poppoppopkt/status/1497140485013467137</t>
  </si>
  <si>
    <t>Video of burned-out building. Accompanying text indicates it was the central market</t>
  </si>
  <si>
    <t>UW1066</t>
  </si>
  <si>
    <t>https://bellingcat-archive.nyc3.cdn.digitaloceanspaces.com/Ukraine_Witness_Datasheet/Worksheet/youtube_dl_1497140485013467137.mp4</t>
  </si>
  <si>
    <t>2022-03-02T08:06:16.177725+00:00</t>
  </si>
  <si>
    <t>https://bellingcat-archive.nyc3.cdn.digitaloceanspaces.com/Ukraine_Witness_Datasheet/Worksheet/youtube_dl__poppoppopkt_status_14971404850134671372022-03-02T08:06:05.379651.png</t>
  </si>
  <si>
    <t>a86a65a9a6b9676efe65b229423f35a197ca0bde5da9ac5f6da9b9f238079303</t>
  </si>
  <si>
    <t>https://bellingcat-archive.nyc3.cdn.digitaloceanspaces.com/Ukraine_Witness_Datasheet/Worksheet/youtube_dl_1497140485013467137/index.html</t>
  </si>
  <si>
    <t>Иван Щелепов - #Херсон Очередной "военный объект" -  Центральный рынок героически побежденный российскими войсками</t>
  </si>
  <si>
    <t>2022-02-25T09:24:41+00:00</t>
  </si>
  <si>
    <t>https://t.me/c/1401646220/5042</t>
  </si>
  <si>
    <t>Residential building and civilian vehicles damaged by missile/artillery strike.</t>
  </si>
  <si>
    <t>UW1067</t>
  </si>
  <si>
    <t>wayback: Internet Archive failed: {'status': 'pending', 'resources': [], 'job_id': 'spn2-60857bc081d61050f86aacc0b541c556f44b7775-cd773c3b'}</t>
  </si>
  <si>
    <t>2022-03-02T14:05:00.832216+00:00</t>
  </si>
  <si>
    <t>https://twitter.com/IntelDoge/status/1498703033391325184</t>
  </si>
  <si>
    <t>Tank firing at residential building</t>
  </si>
  <si>
    <t>UW1068</t>
  </si>
  <si>
    <t>Violence</t>
  </si>
  <si>
    <t>https://bellingcat-archive.nyc3.cdn.digitaloceanspaces.com/Ukraine_Witness_Datasheet/Worksheet/youtube_dl_1498703033391325184.mp4</t>
  </si>
  <si>
    <t>2022-03-02T09:06:42.728066+00:00</t>
  </si>
  <si>
    <t>https://bellingcat-archive.nyc3.cdn.digitaloceanspaces.com/Ukraine_Witness_Datasheet/Worksheet/youtube_dl__IntelDoge_status_14987030333913251842022-03-02T09:06:30.869353.png</t>
  </si>
  <si>
    <t>ea5a38092ff29d2421d67055f20271446f4d5302667f000fd07bcbf6d1918b51</t>
  </si>
  <si>
    <t>https://bellingcat-archive.nyc3.cdn.digitaloceanspaces.com/Ukraine_Witness_Datasheet/Worksheet/youtube_dl_1498703033391325184/index.html</t>
  </si>
  <si>
    <t>Doge - Borodyanka, #Kyiv Oblast, filmed during street fighting, tank shell fired towards camera man.</t>
  </si>
  <si>
    <t>2022-03-01T16:53:42+00:00</t>
  </si>
  <si>
    <t>https://t.me/riamelitopol/44999</t>
  </si>
  <si>
    <t>Russian Military Police vehicles trying to move through protesters</t>
  </si>
  <si>
    <t>Video is patchy but managed to spot shop accross the street with red banner that says "ортосалон". Google Earth Pro has photo from across the street where you can see all the landmarks in the video (including the ortho shoes shop).</t>
  </si>
  <si>
    <t>UW1069</t>
  </si>
  <si>
    <t>https://bellingcat-archive.nyc3.cdn.digitaloceanspaces.com/Ukraine_Witness_Datasheet/Worksheet/telegram_c3050b39d1.mp4</t>
  </si>
  <si>
    <t>2022-03-02T09:08:27.201516+00:00</t>
  </si>
  <si>
    <t>https://bellingcat-archive.nyc3.cdn.digitaloceanspaces.com/Ukraine_Witness_Datasheet/Worksheet/telegram__riamelitopol_449992022-03-02T09:06:43.685024.png</t>
  </si>
  <si>
    <t>de78ac985e2edc943cd580310ee55d7df6b527f5a703bd97a73f41ca7c88f628</t>
  </si>
  <si>
    <t>https://bellingcat-archive.nyc3.cdn.digitaloceanspaces.com/Ukraine_Witness_Datasheet/Worksheet/telegram_c3050b39d1/index.html</t>
  </si>
  <si>
    <t>2022-03-01T16:02:00+00:00</t>
  </si>
  <si>
    <t>https://twitter.com/RALee85/status/1498714042155905031</t>
  </si>
  <si>
    <t>Russian soldiers patrolling Kherson</t>
  </si>
  <si>
    <t>UW1070</t>
  </si>
  <si>
    <t>https://bellingcat-archive.nyc3.cdn.digitaloceanspaces.com/Ukraine_Witness_Datasheet/Worksheet/youtube_dl_1498714042155905031.mp4</t>
  </si>
  <si>
    <t>2022-03-02T09:08:41.503794+00:00</t>
  </si>
  <si>
    <t>https://bellingcat-archive.nyc3.cdn.digitaloceanspaces.com/Ukraine_Witness_Datasheet/Worksheet/youtube_dl__RALee85_status_14987140421559050312022-03-02T09:08:30.744940.png</t>
  </si>
  <si>
    <t>aab24bd35ec80fa9f0075fd90a21987531ad88d00726430e88433d692e77cbef</t>
  </si>
  <si>
    <t>https://bellingcat-archive.nyc3.cdn.digitaloceanspaces.com/Ukraine_Witness_Datasheet/Worksheet/youtube_dl_1498714042155905031/index.html</t>
  </si>
  <si>
    <t>Rob Lee - Russian paratroopers patrolling through Kherson with BMD-2.</t>
  </si>
  <si>
    <t>2022-03-01T17:37:27+00:00</t>
  </si>
  <si>
    <t>https://twitter.com/aldin_ww/status/1498716479465918470</t>
  </si>
  <si>
    <t>UW1072</t>
  </si>
  <si>
    <t>https://bellingcat-archive.nyc3.cdn.digitaloceanspaces.com/Ukraine_Witness_Datasheet/Worksheet/youtube_dl_1498716479465918470.mp4</t>
  </si>
  <si>
    <t>2022-03-02T09:08:54.454857+00:00</t>
  </si>
  <si>
    <t>https://bellingcat-archive.nyc3.cdn.digitaloceanspaces.com/Ukraine_Witness_Datasheet/Worksheet/youtube_dl__aldin_ww_status_14987164794659184702022-03-02T09:08:44.414674.png</t>
  </si>
  <si>
    <t>2a492203aaa15d2f11936a60e7d80e8701eb3be9d7edf78dd238cd5d5e28dd2a</t>
  </si>
  <si>
    <t>https://bellingcat-archive.nyc3.cdn.digitaloceanspaces.com/Ukraine_Witness_Datasheet/Worksheet/youtube_dl_1498716479465918470/index.html</t>
  </si>
  <si>
    <t>Aldin 🇧🇦 - Chuguev AB, Kharkiv Oblast.</t>
  </si>
  <si>
    <t>2022-03-01T17:47:08+00:00</t>
  </si>
  <si>
    <t>01/03/2011</t>
  </si>
  <si>
    <t>https://twitter.com/aldin_ww/status/1498709008311590922?s=20&amp;t=0YoxZYVXG1mj_KWAulgueQ</t>
  </si>
  <si>
    <t>Heavy damage to the civilian infrastructure</t>
  </si>
  <si>
    <t>UW1073</t>
  </si>
  <si>
    <t>https://bellingcat-archive.nyc3.cdn.digitaloceanspaces.com/Ukraine_Witness_Datasheet/Worksheet/youtube_dl_1498709008311590922.mp4</t>
  </si>
  <si>
    <t>2022-03-02T09:09:09.594163+00:00</t>
  </si>
  <si>
    <t>https://bellingcat-archive.nyc3.cdn.digitaloceanspaces.com/Ukraine_Witness_Datasheet/Worksheet/youtube_dl__aldin_ww_status_14987090083115909222022-03-02T09:08:58.204200.png</t>
  </si>
  <si>
    <t>2ab67334f23d30e114ef9e829091d094c92bd684a83fe9b2f3a362ccd34f7fcc</t>
  </si>
  <si>
    <t>https://bellingcat-archive.nyc3.cdn.digitaloceanspaces.com/Ukraine_Witness_Datasheet/Worksheet/youtube_dl_1498709008311590922/index.html</t>
  </si>
  <si>
    <t>Aldin 🇧🇦 - Vodeo of immense damage in town of Borodyanka.</t>
  </si>
  <si>
    <t>2022-03-01T17:17:26+00:00</t>
  </si>
  <si>
    <t>https://twitter.com/UAWeapons/status/1498725396346507269</t>
  </si>
  <si>
    <t>Destroyed Russian BM-21 Grad</t>
  </si>
  <si>
    <t>UW1074</t>
  </si>
  <si>
    <t>https://bellingcat-archive.nyc3.cdn.digitaloceanspaces.com/Ukraine_Witness_Datasheet/Worksheet/twitter__UAWeapons_status_1498725396346507269.html</t>
  </si>
  <si>
    <t>2022-03-02T09:09:20.041605+00:00</t>
  </si>
  <si>
    <t>https://bellingcat-archive.nyc3.cdn.digitaloceanspaces.com/Ukraine_Witness_Datasheet/Worksheet/twitter__UAWeapons_status_14987253963465072692022-03-02T09:09:12.428236.png</t>
  </si>
  <si>
    <t>e2269e8c39b0fc392c7e23b96c9875690d2473261cf159344b480a4bcdc3201e</t>
  </si>
  <si>
    <t>2022-03-01T18:22:34+00:00</t>
  </si>
  <si>
    <t>https://twitter.com/COUPSURE/status/1498745618692517892?s=20&amp;t=0YoxZYVXG1mj_KWAulgueQ</t>
  </si>
  <si>
    <t xml:space="preserve">Extensive damage to civilian infrastructure </t>
  </si>
  <si>
    <t>UW1075</t>
  </si>
  <si>
    <t>https://bellingcat-archive.nyc3.cdn.digitaloceanspaces.com/Ukraine_Witness_Datasheet/Worksheet/youtube_dl_1497917151314911234.mp4</t>
  </si>
  <si>
    <t>2022-03-02T09:09:51.520309+00:00</t>
  </si>
  <si>
    <t>https://bellingcat-archive.nyc3.cdn.digitaloceanspaces.com/Ukraine_Witness_Datasheet/Worksheet/youtube_dl__COUPSURE_status_14987456186925178922022-03-02T09:09:32.327311.png</t>
  </si>
  <si>
    <t>https://bellingcat-archive.nyc3.cdn.digitaloceanspaces.com/Ukraine_Witness_Datasheet/Worksheet/youtube_dl_1497917151314911234/index.html</t>
  </si>
  <si>
    <t>C O U P S U R E - Massive destruction reportedly in Bucha</t>
  </si>
  <si>
    <t>2022-02-27T12:50:53+00:00</t>
  </si>
  <si>
    <t>https://twitter.com/aldin_ww/status/1498748931827814400?s=20&amp;t=0YoxZYVXG1mj_KWAulgueQ</t>
  </si>
  <si>
    <t>Russian military equipment being hit in Staryi Krym</t>
  </si>
  <si>
    <t>Staryi Krym</t>
  </si>
  <si>
    <t>UW1076</t>
  </si>
  <si>
    <t>https://bellingcat-archive.nyc3.cdn.digitaloceanspaces.com/Ukraine_Witness_Datasheet/Worksheet/youtube_dl_1498748931827814400.mp4</t>
  </si>
  <si>
    <t>2022-03-02T09:10:07.292039+00:00</t>
  </si>
  <si>
    <t>https://bellingcat-archive.nyc3.cdn.digitaloceanspaces.com/Ukraine_Witness_Datasheet/Worksheet/youtube_dl__aldin_ww_status_14987489318278144002022-03-02T09:09:55.796845.png</t>
  </si>
  <si>
    <t>41500583bccf2f09d08a811eac70326eaa1d685cad1168017ed0891d13978fac</t>
  </si>
  <si>
    <t>https://bellingcat-archive.nyc3.cdn.digitaloceanspaces.com/Ukraine_Witness_Datasheet/Worksheet/youtube_dl_1498748931827814400/index.html</t>
  </si>
  <si>
    <t>Aldin 🇧🇦 - Apparently Russian Forces have reached village of Staryi Krym on the west of Mariupol.  This confirms that Mariupol is under siege.  Video shows Ukraine using drone to correct artillery.</t>
  </si>
  <si>
    <t>2022-03-01T19:56:05+00:00</t>
  </si>
  <si>
    <t>https://twitter.com/RestitutorOrien/status/1498689358349623304</t>
  </si>
  <si>
    <t>Military vehicle crashing after missile strikes</t>
  </si>
  <si>
    <t>crash</t>
  </si>
  <si>
    <t>https://bellingcat-archive.nyc3.cdn.digitaloceanspaces.com/Ukraine_Witness_Datasheet/Worksheet/youtube_dl_1498689358349623304.mp4</t>
  </si>
  <si>
    <t>2022-03-02T09:10:20.307012+00:00</t>
  </si>
  <si>
    <t>https://bellingcat-archive.nyc3.cdn.digitaloceanspaces.com/Ukraine_Witness_Datasheet/Worksheet/youtube_dl__RestitutorOrien_status_14986893583496233042022-03-02T09:10:09.871300.png</t>
  </si>
  <si>
    <t>29228964413d1dc360eac205698648f7ff8a3a9afbe7ab9ceb0e820ebe3844db</t>
  </si>
  <si>
    <t>https://bellingcat-archive.nyc3.cdn.digitaloceanspaces.com/Ukraine_Witness_Datasheet/Worksheet/youtube_dl_1498689358349623304/index.html</t>
  </si>
  <si>
    <t>Restitutor Orientis - Un camion russe...</t>
  </si>
  <si>
    <t>2022-03-01T15:59:21+00:00</t>
  </si>
  <si>
    <t>Dave B</t>
  </si>
  <si>
    <t>https://twitter.com/Michael1Sheldon/status/1498044130416594947</t>
  </si>
  <si>
    <t>https://twitter.com/Michael1Sheldon/status/1498044553915420674</t>
  </si>
  <si>
    <t>Kharviv Oblast</t>
  </si>
  <si>
    <t>UW1078</t>
  </si>
  <si>
    <t>https://bellingcat-archive.nyc3.cdn.digitaloceanspaces.com/Ukraine_Witness_Datasheet/Worksheet/youtube_dl_1498044130416594947.mp4</t>
  </si>
  <si>
    <t>2022-03-02T09:10:34.145041+00:00</t>
  </si>
  <si>
    <t>https://bellingcat-archive.nyc3.cdn.digitaloceanspaces.com/Ukraine_Witness_Datasheet/Worksheet/youtube_dl__Michael1Sheldon_status_14980441304165949472022-03-02T09:10:23.439420.png</t>
  </si>
  <si>
    <t>07525f81d8784b24f02f7f6d694a228a6070d0c364041b9c2fc57bcfc9f053b2</t>
  </si>
  <si>
    <t>https://bellingcat-archive.nyc3.cdn.digitaloceanspaces.com/Ukraine_Witness_Datasheet/Worksheet/youtube_dl_1498044130416594947/index.html</t>
  </si>
  <si>
    <t>Michael Sheldon - Damage to civilian houses in the Zalyutino neighborhood of Kharkiv.</t>
  </si>
  <si>
    <t>2022-02-27T21:15:27+00:00</t>
  </si>
  <si>
    <t>https://twitter.com/UAWeapons/status/1498721718386544647</t>
  </si>
  <si>
    <t>UW1079</t>
  </si>
  <si>
    <t>https://bellingcat-archive.nyc3.cdn.digitaloceanspaces.com/Ukraine_Witness_Datasheet/Worksheet/youtube_dl_1498721718386544647.mp4</t>
  </si>
  <si>
    <t>2022-03-02T09:10:47.017403+00:00</t>
  </si>
  <si>
    <t>https://bellingcat-archive.nyc3.cdn.digitaloceanspaces.com/Ukraine_Witness_Datasheet/Worksheet/youtube_dl__UAWeapons_status_14987217183865446472022-03-02T09:10:36.696185.png</t>
  </si>
  <si>
    <t>aab47d49952d3c675a7b0b1029aee6fe8eb9d77b4d09621b9216eedcdaf054c8</t>
  </si>
  <si>
    <t>https://bellingcat-archive.nyc3.cdn.digitaloceanspaces.com/Ukraine_Witness_Datasheet/Worksheet/youtube_dl_1498721718386544647/index.html</t>
  </si>
  <si>
    <t>🇺🇦 Ukraine Weapons Tracker - #Ukraine: A truck and the D-30 howitzer that it was towing was abandoned by the Russian army in #Mykolaiv.</t>
  </si>
  <si>
    <t>2022-03-01T18:07:57+00:00</t>
  </si>
  <si>
    <t>ADD</t>
  </si>
  <si>
    <t>https://twitter.com/Michael1Sheldon/status/1498445663440457728</t>
  </si>
  <si>
    <t>https://twitter.com/Michael1Sheldon/status/1498446162684223501</t>
  </si>
  <si>
    <t>UW1080</t>
  </si>
  <si>
    <t>https://bellingcat-archive.nyc3.cdn.digitaloceanspaces.com/Ukraine_Witness_Datasheet/Worksheet/youtube_dl_1498445663440457728.mp4</t>
  </si>
  <si>
    <t>2022-03-02T09:11:01.047137+00:00</t>
  </si>
  <si>
    <t>https://bellingcat-archive.nyc3.cdn.digitaloceanspaces.com/Ukraine_Witness_Datasheet/Worksheet/youtube_dl__Michael1Sheldon_status_14984456634404577282022-03-02T09:10:50.546380.png</t>
  </si>
  <si>
    <t>7d6f4b6dbc9d86b919e4855447c00b8b1529ae56ebfde66b21c0dc09391ed266</t>
  </si>
  <si>
    <t>https://bellingcat-archive.nyc3.cdn.digitaloceanspaces.com/Ukraine_Witness_Datasheet/Worksheet/youtube_dl_1498445663440457728/index.html</t>
  </si>
  <si>
    <t>Michael Sheldon - More footage from one of these locations.</t>
  </si>
  <si>
    <t>2022-02-28T23:51:00+00:00</t>
  </si>
  <si>
    <t>https://twitter.com/oryxspioenkop/status/1498697710429425672/photo/1</t>
  </si>
  <si>
    <t xml:space="preserve">Captured TOS-1A Thermobaric MRL </t>
  </si>
  <si>
    <t>https://twitter.com/oryxspioenkop</t>
  </si>
  <si>
    <t>UW1081</t>
  </si>
  <si>
    <t>https://bellingcat-archive.nyc3.cdn.digitaloceanspaces.com/Ukraine_Witness_Datasheet/Worksheet/twitter__oryxspioenkop_status_1498697710429425672_photo_1.html</t>
  </si>
  <si>
    <t>2022-03-02T09:11:11.164351+00:00</t>
  </si>
  <si>
    <t>https://bellingcat-archive.nyc3.cdn.digitaloceanspaces.com/Ukraine_Witness_Datasheet/Worksheet/twitter__oryxspioenkop_status_1498697710429425672_photo_12022-03-02T09:11:03.759241.png</t>
  </si>
  <si>
    <t>0c5bd7c66f2863ea1655eaadf6ceee8e225ee97cea3829f176beb28a7977254e</t>
  </si>
  <si>
    <t>2022-03-01T16:32:33+00:00</t>
  </si>
  <si>
    <t>Poline</t>
  </si>
  <si>
    <t>https://twitter.com/RALee85/status/1498696083932954629</t>
  </si>
  <si>
    <t>Residential building on fire after strike</t>
  </si>
  <si>
    <t>UW1082</t>
  </si>
  <si>
    <t>https://bellingcat-archive.nyc3.cdn.digitaloceanspaces.com/Ukraine_Witness_Datasheet/Worksheet/youtube_dl_1498696083932954629.mp4</t>
  </si>
  <si>
    <t>2022-03-02T09:11:24.579860+00:00</t>
  </si>
  <si>
    <t>https://bellingcat-archive.nyc3.cdn.digitaloceanspaces.com/Ukraine_Witness_Datasheet/Worksheet/youtube_dl__RALee85_status_14986960839329546292022-03-02T09:11:14.215522.png</t>
  </si>
  <si>
    <t>f7353a7642bbf87358c8531c3ed3018bb1e5e9455f476758c5c00fba3a1a2336</t>
  </si>
  <si>
    <t>https://bellingcat-archive.nyc3.cdn.digitaloceanspaces.com/Ukraine_Witness_Datasheet/Worksheet/youtube_dl_1498696083932954629/index.html</t>
  </si>
  <si>
    <t>Rob Lee - The aftermath of a Russian air strike in Kharkiv.</t>
  </si>
  <si>
    <t>2022-03-01T16:26:05+00:00</t>
  </si>
  <si>
    <t>https://t.me/livekharkov/27979</t>
  </si>
  <si>
    <t>Private house on fire after strike</t>
  </si>
  <si>
    <t>UW1083</t>
  </si>
  <si>
    <t>https://bellingcat-archive.nyc3.cdn.digitaloceanspaces.com/Ukraine_Witness_Datasheet/Worksheet/telegram_f31e789a94.mp4</t>
  </si>
  <si>
    <t>2022-03-02T09:11:43.139140+00:00</t>
  </si>
  <si>
    <t>https://bellingcat-archive.nyc3.cdn.digitaloceanspaces.com/Ukraine_Witness_Datasheet/Worksheet/telegram__livekharkov_279792022-03-02T09:11:25.367899.png</t>
  </si>
  <si>
    <t>113a71fc2231ad4fd86b5e80a6831b5fa4c9bb5e6307f95f32e23cb6a417c07b</t>
  </si>
  <si>
    <t>https://bellingcat-archive.nyc3.cdn.digitaloceanspaces.com/Ukraine_Witness_Datasheet/Worksheet/telegram_f31e789a94/index.html</t>
  </si>
  <si>
    <t>2022-02-28T11:20:10+00:00</t>
  </si>
  <si>
    <t>https://twitter.com/666_mancer/status/1498311386069360640</t>
  </si>
  <si>
    <t>https://twitter.com/ghost_watcher1/status/1498375557234499588</t>
  </si>
  <si>
    <t>Shevchenkove</t>
  </si>
  <si>
    <t>UW1084</t>
  </si>
  <si>
    <t>https://bellingcat-archive.nyc3.cdn.digitaloceanspaces.com/Ukraine_Witness_Datasheet/Worksheet/youtube_dl_1498311386069360640.mp4</t>
  </si>
  <si>
    <t>2022-03-02T09:12:07.326107+00:00</t>
  </si>
  <si>
    <t>https://bellingcat-archive.nyc3.cdn.digitaloceanspaces.com/Ukraine_Witness_Datasheet/Worksheet/youtube_dl__666_mancer_status_14983113860693606402022-03-02T09:11:49.182002.png</t>
  </si>
  <si>
    <t>4544f57eef587fedb3210a71516c345d5d2f6ec5c592a8e464161ee400228bcd</t>
  </si>
  <si>
    <t>https://bellingcat-archive.nyc3.cdn.digitaloceanspaces.com/Ukraine_Witness_Datasheet/Worksheet/youtube_dl_1498311386069360640/index.html</t>
  </si>
  <si>
    <t>Necro Mancer - #Семеновка Изюмский р-н, Харьковская обл., разбитая дружественным огнём (предположительно) российская колонна #RussiaUkraineWar</t>
  </si>
  <si>
    <t>2022-02-28T14:57:26+00:00</t>
  </si>
  <si>
    <t>https://twitter.com/666_mancer/status/1498365347795247107</t>
  </si>
  <si>
    <t>Person firing RPG</t>
  </si>
  <si>
    <t>https://twitter.com/ghost_watcher1/status/1498380397742284809</t>
  </si>
  <si>
    <t>UW1085</t>
  </si>
  <si>
    <t>https://bellingcat-archive.nyc3.cdn.digitaloceanspaces.com/Ukraine_Witness_Datasheet/Worksheet/youtube_dl_1498365347795247107.mp4</t>
  </si>
  <si>
    <t>2022-03-02T09:12:22.380564+00:00</t>
  </si>
  <si>
    <t>https://bellingcat-archive.nyc3.cdn.digitaloceanspaces.com/Ukraine_Witness_Datasheet/Worksheet/youtube_dl__666_mancer_status_14983653477952471072022-03-02T09:12:10.847829.png</t>
  </si>
  <si>
    <t>e1af09089d0b60993ac0a8e6a83e1bbcb88fe3a2da1133b7f4a28d8f7762ab83</t>
  </si>
  <si>
    <t>https://bellingcat-archive.nyc3.cdn.digitaloceanspaces.com/Ukraine_Witness_Datasheet/Worksheet/youtube_dl_1498365347795247107/index.html</t>
  </si>
  <si>
    <t>Necro Mancer - #Буча, 28/02/22: граждане, сохраняйте спокойствие, всё под контролем #RussiaUkraineWar</t>
  </si>
  <si>
    <t>2022-02-28T18:31:51+00:00</t>
  </si>
  <si>
    <t>https://twitter.com/Mike_Eckel/status/1498365627156865032</t>
  </si>
  <si>
    <t xml:space="preserve">Russian convoy </t>
  </si>
  <si>
    <t>https://twitter.com/il_kanguru/status/1498521309671788547</t>
  </si>
  <si>
    <t>Zdvyzhivka</t>
  </si>
  <si>
    <t>UW1086</t>
  </si>
  <si>
    <t>https://bellingcat-archive.nyc3.cdn.digitaloceanspaces.com/Ukraine_Witness_Datasheet/Worksheet/twitter__Mike_Eckel_status_1498365627156865032.html</t>
  </si>
  <si>
    <t>2022-03-02T09:12:34.668639+00:00</t>
  </si>
  <si>
    <t>https://bellingcat-archive.nyc3.cdn.digitaloceanspaces.com/Ukraine_Witness_Datasheet/Worksheet/twitter__Mike_Eckel_status_14983656271568650322022-03-02T09:12:26.721162.png</t>
  </si>
  <si>
    <t>eb8c93bcf2ee166b13b9e1326f991165e86f12c6f54ab39620afc9e6a2677408</t>
  </si>
  <si>
    <t>2022-02-28T18:32:58+00:00</t>
  </si>
  <si>
    <t>https://twitter.com/obretix/status/1498627872860389376</t>
  </si>
  <si>
    <t>Satellite imagery of Russian convoy and houses on fire</t>
  </si>
  <si>
    <t>UW1087</t>
  </si>
  <si>
    <t>https://bellingcat-archive.nyc3.cdn.digitaloceanspaces.com/Ukraine_Witness_Datasheet/Worksheet/twitter__obretix_status_1498627872860389376.html</t>
  </si>
  <si>
    <t>2022-03-02T09:12:45.881215+00:00</t>
  </si>
  <si>
    <t>https://bellingcat-archive.nyc3.cdn.digitaloceanspaces.com/Ukraine_Witness_Datasheet/Worksheet/twitter__obretix_status_14986278728603893762022-03-02T09:12:38.502462.png</t>
  </si>
  <si>
    <t>a23069683024182f5896c1993d35271734022170e738d0a9d9ae8dea2be14c4e</t>
  </si>
  <si>
    <t>2022-03-01T11:55:02+00:00</t>
  </si>
  <si>
    <t>02/03/2022</t>
  </si>
  <si>
    <t>https://twitter.com/GirkinGirkin/status/1498924222277632003?s=20&amp;t=S3kR0y6xH2HNT_CLwO3bvw</t>
  </si>
  <si>
    <t>Residential building destroyed</t>
  </si>
  <si>
    <t>https://twitter.com/COUPSURE/status/1498936998400348163?s=20&amp;t=S3kR0y6xH2HNT_CLwO3bvw</t>
  </si>
  <si>
    <t xml:space="preserve">Ukraine          </t>
  </si>
  <si>
    <t>UW1088</t>
  </si>
  <si>
    <t>https://bellingcat-archive.nyc3.cdn.digitaloceanspaces.com/Ukraine_Witness_Datasheet/Worksheet/youtube_dl_1498924222277632003.mp4</t>
  </si>
  <si>
    <t>2022-03-02T09:12:58.651589+00:00</t>
  </si>
  <si>
    <t>https://bellingcat-archive.nyc3.cdn.digitaloceanspaces.com/Ukraine_Witness_Datasheet/Worksheet/youtube_dl__GirkinGirkin_status_14989242222776320032022-03-02T09:12:48.284828.png</t>
  </si>
  <si>
    <t>15fe12916c4777d2116e11b90462038cdc159c52ddfc1e6cc674310e2136b942</t>
  </si>
  <si>
    <t>https://bellingcat-archive.nyc3.cdn.digitaloceanspaces.com/Ukraine_Witness_Datasheet/Worksheet/youtube_dl_1498924222277632003/index.html</t>
  </si>
  <si>
    <t>IgorGirkin - Ирпень, русская армия уничтожает жилые кварталы</t>
  </si>
  <si>
    <t>2022-03-02T07:32:37+00:00</t>
  </si>
  <si>
    <t>https://twitter.com/ignis_fatum/status/1498816059981238275?s=21</t>
  </si>
  <si>
    <t>CIV0143</t>
  </si>
  <si>
    <t>Civilian casualtys, dismembered or sections of bodies scattered in a park</t>
  </si>
  <si>
    <t>UW1089</t>
  </si>
  <si>
    <t>https://bellingcat-archive.nyc3.cdn.digitaloceanspaces.com/Ukraine_Witness_Datasheet/Worksheet/youtube_dl_1498816059981238275.mp4</t>
  </si>
  <si>
    <t>2022-03-02T09:13:31.454794+00:00</t>
  </si>
  <si>
    <t>https://bellingcat-archive.nyc3.cdn.digitaloceanspaces.com/Ukraine_Witness_Datasheet/Worksheet/youtube_dl__ignis_fatum_status_14988160599812382752022-03-02T09:13:12.659807.png</t>
  </si>
  <si>
    <t>05a5fe5c391bb02de219b40eb998e9f67b93c1210fc90821d5ae1d1a5e07b07c</t>
  </si>
  <si>
    <t>https://bellingcat-archive.nyc3.cdn.digitaloceanspaces.com/Ukraine_Witness_Datasheet/Worksheet/youtube_dl_1498816059981238275/index.html</t>
  </si>
  <si>
    <t>Слава Україні🇺🇦 - 🛑🛑🛑‼️‼️‼️#BREAKING  GRAPHIC: Horrific footage emerges from Kherson, where the #Putin regime terrorists massacred dozens of civilians that were preparing Molotov cocktails in a park in the city.</t>
  </si>
  <si>
    <t>2022-03-02T00:22:50+00:00</t>
  </si>
  <si>
    <t>https://twitter.com/RALee85/status/1498855012532989956</t>
  </si>
  <si>
    <t>Fighting around bridge</t>
  </si>
  <si>
    <t>UW1090</t>
  </si>
  <si>
    <t>https://bellingcat-archive.nyc3.cdn.digitaloceanspaces.com/Ukraine_Witness_Datasheet/Worksheet/youtube_dl_1498855012532989956.mp4</t>
  </si>
  <si>
    <t>2022-03-02T09:14:00.732852+00:00</t>
  </si>
  <si>
    <t>https://bellingcat-archive.nyc3.cdn.digitaloceanspaces.com/Ukraine_Witness_Datasheet/Worksheet/youtube_dl__RALee85_status_14988550125329899562022-03-02T09:13:41.169610.png</t>
  </si>
  <si>
    <t>f3c0a81de6337afe50737816a81cb81baa2b08054ce02f0fa8e505e4af1123b1</t>
  </si>
  <si>
    <t>https://bellingcat-archive.nyc3.cdn.digitaloceanspaces.com/Ukraine_Witness_Datasheet/Worksheet/youtube_dl_1498855012532989956/index.html</t>
  </si>
  <si>
    <t>Rob Lee - UAV footage of the battle for the Antonovsky bridge near Kherson. The footage shows two Ukrainian BRDM-2 vehicles, Ukrainian soldiers, and Russian Ural trucks and Msta-B howitzers.</t>
  </si>
  <si>
    <t>2022-03-02T02:57:37+00:00</t>
  </si>
  <si>
    <t>Giancarlo Fiorella</t>
  </si>
  <si>
    <t>https://twitter.com/ChristopherJM/status/1498911842286063616</t>
  </si>
  <si>
    <t>CIV0141</t>
  </si>
  <si>
    <t>Kharkiv National University buildings destroye in strikes</t>
  </si>
  <si>
    <t>UW1091</t>
  </si>
  <si>
    <t>https://bellingcat-archive.nyc3.cdn.digitaloceanspaces.com/Ukraine_Witness_Datasheet/Worksheet/youtube_dl_1498911842286063616.mp4</t>
  </si>
  <si>
    <t>2022-03-02T09:14:15.015491+00:00</t>
  </si>
  <si>
    <t>https://bellingcat-archive.nyc3.cdn.digitaloceanspaces.com/Ukraine_Witness_Datasheet/Worksheet/youtube_dl__ChristopherJM_status_14989118422860636162022-03-02T09:14:04.361753.png</t>
  </si>
  <si>
    <t>ce0982c0af90b559ab726c72464df7fc3ce92f96e923f174e78acecbba886ea4</t>
  </si>
  <si>
    <t>https://bellingcat-archive.nyc3.cdn.digitaloceanspaces.com/Ukraine_Witness_Datasheet/Worksheet/youtube_dl_1498911842286063616/index.html</t>
  </si>
  <si>
    <t>Christopher Miller - Another devastating Russian strike on Kharkiv. This one hit the Karazin National University’s School of Sociology which sits across the street from the regional Interior Ministry office. Video via Anton Gerashenko, aide to Interior Minister.</t>
  </si>
  <si>
    <t>2022-03-02T06:43:26+00:00</t>
  </si>
  <si>
    <t>Giancarlo FIorella</t>
  </si>
  <si>
    <t>https://twitter.com/DAlperovitch/status/1498917790845177859</t>
  </si>
  <si>
    <t>Kharkiv National University buildings destroyed in strikes</t>
  </si>
  <si>
    <t>UW1092</t>
  </si>
  <si>
    <t>https://bellingcat-archive.nyc3.cdn.digitaloceanspaces.com/Ukraine_Witness_Datasheet/Worksheet/youtube_dl_1498914132225048576.mp4</t>
  </si>
  <si>
    <t>2022-03-02T09:14:29.903342+00:00</t>
  </si>
  <si>
    <t>https://bellingcat-archive.nyc3.cdn.digitaloceanspaces.com/Ukraine_Witness_Datasheet/Worksheet/youtube_dl__DAlperovitch_status_14989177908451778592022-03-02T09:14:18.679736.png</t>
  </si>
  <si>
    <t>ec2892f14251efdd42d2957bb9247cca65670293c62dee3c6096541ffcf71876</t>
  </si>
  <si>
    <t>https://bellingcat-archive.nyc3.cdn.digitaloceanspaces.com/Ukraine_Witness_Datasheet/Worksheet/youtube_dl_1498914132225048576/index.html</t>
  </si>
  <si>
    <t>Dmitri Alperovitch - Scenes of devastation in Kharkiv</t>
  </si>
  <si>
    <t>2022-03-02T06:52:32+00:00</t>
  </si>
  <si>
    <t>https://twitter.com/IntelCrab/status/1498674395820216329/photo/1</t>
  </si>
  <si>
    <t>Damage to residential building after strike</t>
  </si>
  <si>
    <t>UW1093</t>
  </si>
  <si>
    <t>https://bellingcat-archive.nyc3.cdn.digitaloceanspaces.com/Ukraine_Witness_Datasheet/Worksheet/twitter__IntelCrab_status_1498674395820216329_photo_1.html</t>
  </si>
  <si>
    <t>2022-03-02T09:14:39.838877+00:00</t>
  </si>
  <si>
    <t>https://bellingcat-archive.nyc3.cdn.digitaloceanspaces.com/Ukraine_Witness_Datasheet/Worksheet/twitter__IntelCrab_status_1498674395820216329_photo_12022-03-02T09:14:32.107546.png</t>
  </si>
  <si>
    <t>459deeb5b305b194ca5148587a8582aa98c8db60b026253a5cd6930361da935b</t>
  </si>
  <si>
    <t>2022-03-01T14:59:54+00:00</t>
  </si>
  <si>
    <t>https://twitter.com/michaeldweiss/status/1498669909261398020</t>
  </si>
  <si>
    <t xml:space="preserve"> CIV0132</t>
  </si>
  <si>
    <t>Damage to residential building after fighting</t>
  </si>
  <si>
    <t>UW1094</t>
  </si>
  <si>
    <t>https://bellingcat-archive.nyc3.cdn.digitaloceanspaces.com/Ukraine_Witness_Datasheet/Worksheet/youtube_dl_1498669909261398020.mp4</t>
  </si>
  <si>
    <t>2022-03-02T09:14:53.413756+00:00</t>
  </si>
  <si>
    <t>https://bellingcat-archive.nyc3.cdn.digitaloceanspaces.com/Ukraine_Witness_Datasheet/Worksheet/youtube_dl__michaeldweiss_status_14986699092613980202022-03-02T09:14:43.180698.png</t>
  </si>
  <si>
    <t>0f0d215944914e9f8c65435673ecf72ad223cd47fbd06701f39e35b9c5e4256b</t>
  </si>
  <si>
    <t>https://bellingcat-archive.nyc3.cdn.digitaloceanspaces.com/Ukraine_Witness_Datasheet/Worksheet/youtube_dl_1498669909261398020/index.html</t>
  </si>
  <si>
    <t>Michael Weiss 🌻 - Borodyanka, in Kyiv oblast, reduced to rubble. Russian MoD still insists they're not targeting civilians.</t>
  </si>
  <si>
    <t>2022-03-01T14:42:04+00:00</t>
  </si>
  <si>
    <t>https://twitter.com/IntelRogue/status/1498913583685840896</t>
  </si>
  <si>
    <t>Damage to mall after shelling</t>
  </si>
  <si>
    <t>UW1095</t>
  </si>
  <si>
    <t>https://web.archive.org/web/20220302091531/https://twitter.com/login</t>
  </si>
  <si>
    <t>2022-03-02T09:15:43.027981+00:00</t>
  </si>
  <si>
    <t>https://bellingcat-archive.nyc3.cdn.digitaloceanspaces.com/Ukraine_Witness_Datasheet/Worksheet/wayback__i_bookmarks2022-03-02T09:15:35.718865.png</t>
  </si>
  <si>
    <t>Login on Twitter / Twitter</t>
  </si>
  <si>
    <t>https://twitter.com/no_itsmyturn/status/1498915212015153152</t>
  </si>
  <si>
    <t>UW1096</t>
  </si>
  <si>
    <t>https://bellingcat-archive.nyc3.cdn.digitaloceanspaces.com/Ukraine_Witness_Datasheet/Worksheet/youtube_dl_1498915212015153152.mp4</t>
  </si>
  <si>
    <t>2022-03-02T09:15:56.775482+00:00</t>
  </si>
  <si>
    <t>https://bellingcat-archive.nyc3.cdn.digitaloceanspaces.com/Ukraine_Witness_Datasheet/Worksheet/youtube_dl__no_itsmyturn_status_14989152120151531522022-03-02T09:15:45.888869.png</t>
  </si>
  <si>
    <t>fee0629e30220226af27d533a325a585d6a8015ded5513fbea3df457cd2e70a8</t>
  </si>
  <si>
    <t>https://bellingcat-archive.nyc3.cdn.digitaloceanspaces.com/Ukraine_Witness_Datasheet/Worksheet/youtube_dl_1498915212015153152/index.html</t>
  </si>
  <si>
    <t>Aleph א #IStandWithUkraine 🇺🇦 - This was minutes after Russian strikes on the Fabrika mall in Kherson  [Attack happened @~ 13-14 on March 1, 2022]   #Ukraine 🇺🇦</t>
  </si>
  <si>
    <t>2022-03-02T06:56:49+00:00</t>
  </si>
  <si>
    <t>https://twitter.com/AricToler/status/1498838724423172096</t>
  </si>
  <si>
    <t>Drone strike on Russian military convoy</t>
  </si>
  <si>
    <t>https://twitter.com/Axub4/status/1498843457217249280</t>
  </si>
  <si>
    <t>Dymer</t>
  </si>
  <si>
    <t>UW1097</t>
  </si>
  <si>
    <t>https://bellingcat-archive.nyc3.cdn.digitaloceanspaces.com/Ukraine_Witness_Datasheet/Worksheet/twitter__AricToler_status_1498838724423172096.html</t>
  </si>
  <si>
    <t>2022-03-02T09:16:07.959255+00:00</t>
  </si>
  <si>
    <t>https://bellingcat-archive.nyc3.cdn.digitaloceanspaces.com/Ukraine_Witness_Datasheet/Worksheet/twitter__AricToler_status_14988387244231720962022-03-02T09:16:00.321688.png</t>
  </si>
  <si>
    <t>73cd8ee53ca3ab4f77272af83783112247e68c5e48f465a6a050f4218c5dd92a</t>
  </si>
  <si>
    <t>2022-03-02T01:52:53+00:00</t>
  </si>
  <si>
    <t>Valerie M</t>
  </si>
  <si>
    <t>https://youtu.be/Lp6Sb4thyoQ</t>
  </si>
  <si>
    <t>Multiple dead bodies, damages in residential area</t>
  </si>
  <si>
    <t>Tavriiskyi</t>
  </si>
  <si>
    <t>Wrong cords or video</t>
  </si>
  <si>
    <t>UW1098</t>
  </si>
  <si>
    <t>https://bellingcat-archive.nyc3.cdn.digitaloceanspaces.com/Ukraine_Witness_Datasheet/Worksheet/telegram_08bb90c2c3.mp4</t>
  </si>
  <si>
    <t>2022-03-02T09:53:48.991736+00:00</t>
  </si>
  <si>
    <t>https://bellingcat-archive.nyc3.cdn.digitaloceanspaces.com/Ukraine_Witness_Datasheet/Worksheet/telegram__HersonDN_26902022-03-02T09:53:08.757416.png</t>
  </si>
  <si>
    <t>85e12c3113358b01710584853e51eacdea9a8f344096d6b0a652640a462105fe</t>
  </si>
  <si>
    <t>https://bellingcat-archive.nyc3.cdn.digitaloceanspaces.com/Ukraine_Witness_Datasheet/Worksheet/telegram_08bb90c2c3/index.html</t>
  </si>
  <si>
    <t>https://t.me/HersonDN/2690</t>
  </si>
  <si>
    <t>2022-03-01T11:46:55+00:00</t>
  </si>
  <si>
    <t>https://twitter.com/MarQs__/status/1498942056743555074</t>
  </si>
  <si>
    <t xml:space="preserve">Fighting and explosion in Mariupol </t>
  </si>
  <si>
    <t>UW1099</t>
  </si>
  <si>
    <t>https://bellingcat-archive.nyc3.cdn.digitaloceanspaces.com/Ukraine_Witness_Datasheet/Worksheet/youtube_dl_1498942056743555074.mp4</t>
  </si>
  <si>
    <t>2022-03-02T09:16:22.499195+00:00</t>
  </si>
  <si>
    <t>https://bellingcat-archive.nyc3.cdn.digitaloceanspaces.com/Ukraine_Witness_Datasheet/Worksheet/youtube_dl__MarQs___status_14989420567435550742022-03-02T09:16:11.465826.png</t>
  </si>
  <si>
    <t>d54041beabeb5639337b5c0ec6bdf066dc3af9b650521ae4e986bf848d50b76e</t>
  </si>
  <si>
    <t>https://bellingcat-archive.nyc3.cdn.digitaloceanspaces.com/Ukraine_Witness_Datasheet/Worksheet/youtube_dl_1498942056743555074/index.html</t>
  </si>
  <si>
    <t>marqs - Reportedly from #Mariupol this morning</t>
  </si>
  <si>
    <t>2022-03-02T08:43:29+00:00</t>
  </si>
  <si>
    <t>https://twitter.com/GirkinGirkin/status/1498904155406184454</t>
  </si>
  <si>
    <t>Russian troops at store</t>
  </si>
  <si>
    <t>UW1100</t>
  </si>
  <si>
    <t>https://bellingcat-archive.nyc3.cdn.digitaloceanspaces.com/Ukraine_Witness_Datasheet/Worksheet/youtube_dl_1498904155406184454.mp4</t>
  </si>
  <si>
    <t>2022-03-02T09:16:40.941910+00:00</t>
  </si>
  <si>
    <t>https://bellingcat-archive.nyc3.cdn.digitaloceanspaces.com/Ukraine_Witness_Datasheet/Worksheet/youtube_dl__GirkinGirkin_status_14989041554061844542022-03-02T09:16:27.421298.png</t>
  </si>
  <si>
    <t>d2ec8ab27c87511c91f51ef4b2c05f6c34e71eae15f15c8e0be27ced576d4690</t>
  </si>
  <si>
    <t>https://bellingcat-archive.nyc3.cdn.digitaloceanspaces.com/Ukraine_Witness_Datasheet/Worksheet/youtube_dl_1498904155406184454/index.html</t>
  </si>
  <si>
    <t>IgorGirkin - Херсон, 1 марта, русская армия грабит продуктовый магазин</t>
  </si>
  <si>
    <t>2022-03-02T06:12:53+00:00</t>
  </si>
  <si>
    <t>https://twitter.com/nexta_tv/status/1498891738093658116</t>
  </si>
  <si>
    <t>Residential building heavily bombed in Kharkiv</t>
  </si>
  <si>
    <t>https://bellingcat-archive.nyc3.cdn.digitaloceanspaces.com/Ukraine_Witness_Datasheet/Worksheet/youtube_dl_1498891738093658116.mp4</t>
  </si>
  <si>
    <t>2022-03-02T09:16:55.961091+00:00</t>
  </si>
  <si>
    <t>https://bellingcat-archive.nyc3.cdn.digitaloceanspaces.com/Ukraine_Witness_Datasheet/Worksheet/youtube_dl__nexta_tv_status_14988917380936581162022-03-02T09:16:44.990866.png</t>
  </si>
  <si>
    <t>28d161cb8189067702c817c22bb2e1bf0bc8f4d1e376a901fcc8f9ee9ad63716</t>
  </si>
  <si>
    <t>https://bellingcat-archive.nyc3.cdn.digitaloceanspaces.com/Ukraine_Witness_Datasheet/Worksheet/youtube_dl_1498891738093658116/index.html</t>
  </si>
  <si>
    <t>NEXTA - ⚡️This is how #Kharkiv looks in the morning after a hard night under the massive shelling of #Putin's occupiers.</t>
  </si>
  <si>
    <t>2022-03-02T05:23:33+00:00</t>
  </si>
  <si>
    <t>https://twitter.com/BNONews/status/1498842035763228674</t>
  </si>
  <si>
    <t>Russian forces in Kherson</t>
  </si>
  <si>
    <t>UW1101</t>
  </si>
  <si>
    <t>https://bellingcat-archive.nyc3.cdn.digitaloceanspaces.com/Ukraine_Witness_Datasheet/Worksheet/twitter__BNONews_status_1498842035763228674.html</t>
  </si>
  <si>
    <t>2022-03-02T09:17:06.222874+00:00</t>
  </si>
  <si>
    <t>https://bellingcat-archive.nyc3.cdn.digitaloceanspaces.com/Ukraine_Witness_Datasheet/Worksheet/twitter__BNONews_status_14988420357632286742022-03-02T09:16:58.724967.png</t>
  </si>
  <si>
    <t>13e36ca57a72c25415a4ba82f2729deafb17fce141756d64389838acf2d252b2</t>
  </si>
  <si>
    <t>2022-03-02T02:06:03+00:00</t>
  </si>
  <si>
    <t>https://twitter.com/nexta_tv/status/1498906571916591110</t>
  </si>
  <si>
    <t>Smoke from residential area in Kharkiv</t>
  </si>
  <si>
    <t>In the distance the "Temple of Holy Myron-Bearin Women" visible. At bottom of video McDonalds visible. Coordinates of where the video was likely recorded from. White platform in video not present in recent satellite videos (google, apple, etc) but all the other buildings match.</t>
  </si>
  <si>
    <t>UW1102</t>
  </si>
  <si>
    <t>https://bellingcat-archive.nyc3.cdn.digitaloceanspaces.com/Ukraine_Witness_Datasheet/Worksheet/youtube_dl_1498906571916591110.mp4</t>
  </si>
  <si>
    <t>2022-03-02T09:54:05.031263+00:00</t>
  </si>
  <si>
    <t>https://bellingcat-archive.nyc3.cdn.digitaloceanspaces.com/Ukraine_Witness_Datasheet/Worksheet/youtube_dl__nexta_tv_status_14989065719165911102022-03-02T09:53:52.853301.png</t>
  </si>
  <si>
    <t>983a42766b87de234e0bd87f16ae87ec83bf4c26fb839ffb314176025e7582de</t>
  </si>
  <si>
    <t>https://bellingcat-archive.nyc3.cdn.digitaloceanspaces.com/Ukraine_Witness_Datasheet/Worksheet/youtube_dl_1498906571916591110/index.html</t>
  </si>
  <si>
    <t>NEXTA - 💥 Heavy fire in the center of #Kharkiv</t>
  </si>
  <si>
    <t>2022-03-02T06:22:29+00:00</t>
  </si>
  <si>
    <t>https://twitter.com/nexta_tv/status/1498916706965721090</t>
  </si>
  <si>
    <t>Smoke from destroyed residential area in Kharkiv</t>
  </si>
  <si>
    <t>UW1103</t>
  </si>
  <si>
    <t>https://bellingcat-archive.nyc3.cdn.digitaloceanspaces.com/Ukraine_Witness_Datasheet/Worksheet/youtube_dl_1498916706965721090.mp4</t>
  </si>
  <si>
    <t>2022-03-02T09:54:20.378733+00:00</t>
  </si>
  <si>
    <t>https://bellingcat-archive.nyc3.cdn.digitaloceanspaces.com/Ukraine_Witness_Datasheet/Worksheet/youtube_dl__nexta_tv_status_14989167069657210902022-03-02T09:54:09.801157.png</t>
  </si>
  <si>
    <t>56262201f1527454ddf190d2a16f26188c0eb754fe1ce7c3c97fc81529e31f1e</t>
  </si>
  <si>
    <t>https://bellingcat-archive.nyc3.cdn.digitaloceanspaces.com/Ukraine_Witness_Datasheet/Worksheet/youtube_dl_1498916706965721090/index.html</t>
  </si>
  <si>
    <t>NEXTA - #Kharkiv, cadet corps on Kholodnaya Hill</t>
  </si>
  <si>
    <t>2022-03-02T07:02:46+00:00</t>
  </si>
  <si>
    <t>https://twitter.com/nexta_tv/status/1498919384101830661</t>
  </si>
  <si>
    <t>Destroyed residential area in Kharkiv</t>
  </si>
  <si>
    <t>UW1104</t>
  </si>
  <si>
    <t>https://bellingcat-archive.nyc3.cdn.digitaloceanspaces.com/Ukraine_Witness_Datasheet/Worksheet/youtube_dl_1498919384101830661.mp4</t>
  </si>
  <si>
    <t>2022-03-02T09:54:36.358093+00:00</t>
  </si>
  <si>
    <t>https://bellingcat-archive.nyc3.cdn.digitaloceanspaces.com/Ukraine_Witness_Datasheet/Worksheet/youtube_dl__nexta_tv_status_14989193841018306612022-03-02T09:54:25.378703.png</t>
  </si>
  <si>
    <t>2e7563356d7c3b5dfd859e8f44cceed7729bfb3c2529b62ceca0407a1a906975</t>
  </si>
  <si>
    <t>https://bellingcat-archive.nyc3.cdn.digitaloceanspaces.com/Ukraine_Witness_Datasheet/Worksheet/youtube_dl_1498919384101830661/index.html</t>
  </si>
  <si>
    <t>NEXTA - Private sector in #Kharkiv</t>
  </si>
  <si>
    <t>2022-03-02T07:13:24+00:00</t>
  </si>
  <si>
    <t>https://twitter.com/Militarylandnet/status/1498947163098865667</t>
  </si>
  <si>
    <t>Civilians blocking russian military convoy</t>
  </si>
  <si>
    <t>UW1105</t>
  </si>
  <si>
    <t>https://bellingcat-archive.nyc3.cdn.digitaloceanspaces.com/Ukraine_Witness_Datasheet/Worksheet/youtube_dl_1498947163098865667.mp4</t>
  </si>
  <si>
    <t>2022-03-02T09:54:49.809768+00:00</t>
  </si>
  <si>
    <t>https://bellingcat-archive.nyc3.cdn.digitaloceanspaces.com/Ukraine_Witness_Datasheet/Worksheet/youtube_dl__Militarylandnet_status_14989471630988656672022-03-02T09:54:39.476113.png</t>
  </si>
  <si>
    <t>842a5c1d3a1d5bef25b4c6b822a0aa052abf25768926c1a4307ec1ab5ed8603d</t>
  </si>
  <si>
    <t>https://bellingcat-archive.nyc3.cdn.digitaloceanspaces.com/Ukraine_Witness_Datasheet/Worksheet/youtube_dl_1498947163098865667/index.html</t>
  </si>
  <si>
    <t>MilitaryLand.net - 📽️Civilians block Russian convoy in Starobilsk, #Luhansk Region #Ukraine #UkraineRussiaWar</t>
  </si>
  <si>
    <t>2022-03-02T09:03:47+00:00</t>
  </si>
  <si>
    <t>https://twitter.com/MarQs__/status/1498925666758234114</t>
  </si>
  <si>
    <t>Military movement in Balakliya</t>
  </si>
  <si>
    <t>Balakliya</t>
  </si>
  <si>
    <t>UW1106</t>
  </si>
  <si>
    <t>https://bellingcat-archive.nyc3.cdn.digitaloceanspaces.com/Ukraine_Witness_Datasheet/Worksheet/youtube_dl_1498925666758234114.mp4</t>
  </si>
  <si>
    <t>2022-03-02T09:55:23.809033+00:00</t>
  </si>
  <si>
    <t>https://bellingcat-archive.nyc3.cdn.digitaloceanspaces.com/Ukraine_Witness_Datasheet/Worksheet/youtube_dl__MarQs___status_14989256667582341142022-03-02T09:55:09.065338.png</t>
  </si>
  <si>
    <t>7e9df812361151d8364d7778a519ba4c9dfef2065485f1fa37d590c979b5b466</t>
  </si>
  <si>
    <t>https://bellingcat-archive.nyc3.cdn.digitaloceanspaces.com/Ukraine_Witness_Datasheet/Worksheet/youtube_dl_1498925666758234114/index.html</t>
  </si>
  <si>
    <t>marqs - Russian troops spotted in Balakleya, south-east of #Kharkiv</t>
  </si>
  <si>
    <t>2022-03-02T07:38:22+00:00</t>
  </si>
  <si>
    <t>https://twitter.com/Den_2042/status/1498907159400271873</t>
  </si>
  <si>
    <t>Destroyed civilian infrastructure in Kharkiv</t>
  </si>
  <si>
    <t>UW1108</t>
  </si>
  <si>
    <t>https://bellingcat-archive.nyc3.cdn.digitaloceanspaces.com/Ukraine_Witness_Datasheet/Worksheet/youtube_dl_1498907159400271873.mp4</t>
  </si>
  <si>
    <t>2022-03-02T09:55:52.392247+00:00</t>
  </si>
  <si>
    <t>https://bellingcat-archive.nyc3.cdn.digitaloceanspaces.com/Ukraine_Witness_Datasheet/Worksheet/youtube_dl__Den_2042_status_14989071594002718732022-03-02T09:55:41.155397.png</t>
  </si>
  <si>
    <t>2dab8335404dceb8e9a05002d8bfb010585757f94d240a462879783c0207494e</t>
  </si>
  <si>
    <t>https://bellingcat-archive.nyc3.cdn.digitaloceanspaces.com/Ukraine_Witness_Datasheet/Worksheet/youtube_dl_1498907159400271873/index.html</t>
  </si>
  <si>
    <t>Denis Kazakiewicz - Kharkiv this morning. Aftermath of Russian strike  V Unian</t>
  </si>
  <si>
    <t>2022-03-02T06:24:49+00:00</t>
  </si>
  <si>
    <t>https://twitter.com/MarQs__/status/1498921371015000066</t>
  </si>
  <si>
    <t>University building in Kharkiv on fire</t>
  </si>
  <si>
    <t>UW1109</t>
  </si>
  <si>
    <t>https://bellingcat-archive.nyc3.cdn.digitaloceanspaces.com/Ukraine_Witness_Datasheet/Worksheet/youtube_dl_1498921371015000066.mp4</t>
  </si>
  <si>
    <t>2022-03-02T09:56:07.031503+00:00</t>
  </si>
  <si>
    <t>https://bellingcat-archive.nyc3.cdn.digitaloceanspaces.com/Ukraine_Witness_Datasheet/Worksheet/youtube_dl__MarQs___status_14989213710150000662022-03-02T09:55:55.512675.png</t>
  </si>
  <si>
    <t>8007163d6a0b024ce83e5a5710eb712aace32ddae2baacdf12a40e4d093fb398</t>
  </si>
  <si>
    <t>https://bellingcat-archive.nyc3.cdn.digitaloceanspaces.com/Ukraine_Witness_Datasheet/Worksheet/youtube_dl_1498921371015000066/index.html</t>
  </si>
  <si>
    <t>marqs - Building of the regional police department in #Kharkiv was destroyed</t>
  </si>
  <si>
    <t>2022-03-02T07:21:18+00:00</t>
  </si>
  <si>
    <t>https://www.facebook.com/kate.morozova.39/videos/1017002309169675</t>
  </si>
  <si>
    <t>Father and dog killed by russian sniper</t>
  </si>
  <si>
    <t>UW1110</t>
  </si>
  <si>
    <t>https://bellingcat-archive.nyc3.cdn.digitaloceanspaces.com/Ukraine_Witness_Datasheet/Worksheet/youtube_dl_1017002309169675.mkv</t>
  </si>
  <si>
    <t>2022-03-02T09:56:50.159955+00:00</t>
  </si>
  <si>
    <t>https://bellingcat-archive.nyc3.cdn.digitaloceanspaces.com/Ukraine_Witness_Datasheet/Worksheet/youtube_dl__kate.morozova.39_videos_10170023091696752022-03-02T09:56:29.557305.png</t>
  </si>
  <si>
    <t>6767391dd6cbd8139bcd3cda00c399f6343d1142a6281b0bde2d15a7d1fde7af</t>
  </si>
  <si>
    <t>https://bellingcat-archive.nyc3.cdn.digitaloceanspaces.com/Ukraine_Witness_Datasheet/Worksheet/youtube_dl_1017002309169675/index.html</t>
  </si>
  <si>
    <t>Видео обязательно смотреть до конца  Все уже видели смерть мирного жителя и его собак  Так вот,от первого лица  Я повторюсь,Я НЕНАВИЖУ РАШУ У ПУТИНСКИХ ХУИЛ   ‼️Сегодня пострадала и  МОЯ семья ‼️ (На видео не они🙏🏼) Во мне столько ненависти никогда не было  Если хотите написать что-то в защиту раши,лучше сразу «иди нахуй»  Приятного просмотра всем,кто считает,что Путин не трогает мирных   Мрази</t>
  </si>
  <si>
    <t>2022-02-28T14:50:44+00:00</t>
  </si>
  <si>
    <t>https://twitter.com/MarQs__/status/1498952059558797312</t>
  </si>
  <si>
    <t>UW1111</t>
  </si>
  <si>
    <t>https://bellingcat-archive.nyc3.cdn.digitaloceanspaces.com/Ukraine_Witness_Datasheet/Worksheet/twitter__MarQs___status_1498952059558797312.html</t>
  </si>
  <si>
    <t>2022-03-02T09:57:00.553798+00:00</t>
  </si>
  <si>
    <t>https://bellingcat-archive.nyc3.cdn.digitaloceanspaces.com/Ukraine_Witness_Datasheet/Worksheet/twitter__MarQs___status_14989520595587973122022-03-02T09:56:53.047276.png</t>
  </si>
  <si>
    <t>59ea4e67987cdbc5fddeeccfb7353d24a72dced0f7573e1a97f6c93fff4b8fce</t>
  </si>
  <si>
    <t>2022-03-02T09:23:14+00:00</t>
  </si>
  <si>
    <t>https://twitter.com/MarQs__/status/1498964238941007874</t>
  </si>
  <si>
    <t>TV tower targeted in Lisichansk</t>
  </si>
  <si>
    <t>Lisichansk</t>
  </si>
  <si>
    <t>Visible to tv tower in the short distance. For a split second in the video you can see a tower on the right. Triangulated the building from where it was recorded using both structures.</t>
  </si>
  <si>
    <t>UW1112</t>
  </si>
  <si>
    <t>https://bellingcat-archive.nyc3.cdn.digitaloceanspaces.com/Ukraine_Witness_Datasheet/Worksheet/youtube_dl_1498964238941007874.mp4</t>
  </si>
  <si>
    <t>2022-03-02T11:40:44.893630+00:00</t>
  </si>
  <si>
    <t>https://bellingcat-archive.nyc3.cdn.digitaloceanspaces.com/Ukraine_Witness_Datasheet/Worksheet/youtube_dl__MarQs___status_14989642389410078742022-03-02T11:40:33.245117.png</t>
  </si>
  <si>
    <t>43bfda52c19a1ce5ba7337ec263f35d8d4b5959935658826e38f514cf14a4bc8</t>
  </si>
  <si>
    <t>https://bellingcat-archive.nyc3.cdn.digitaloceanspaces.com/Ukraine_Witness_Datasheet/Worksheet/youtube_dl_1498964238941007874/index.html</t>
  </si>
  <si>
    <t>marqs - TV Tower in Lisichansk was hit by Russian strikes</t>
  </si>
  <si>
    <t>2022-03-02T10:11:38+00:00</t>
  </si>
  <si>
    <t>https://www.youtube.com/watch?v=bnLHQ3VFzc4</t>
  </si>
  <si>
    <t>Discovery of scene after father and dog killed by russian sniper</t>
  </si>
  <si>
    <t>UW1113</t>
  </si>
  <si>
    <t>https://bellingcat-archive.nyc3.cdn.digitaloceanspaces.com/Ukraine_Witness_Datasheet/Worksheet/youtube_dl_bnLHQ3VFzc4.webm</t>
  </si>
  <si>
    <t>2022-03-02T11:41:04.648686+00:00</t>
  </si>
  <si>
    <t>https://bellingcat-archive.nyc3.cdn.digitaloceanspaces.com/Ukraine_Witness_Datasheet/Worksheet/youtube_dl__watch2022-03-02T11:40:49.821787.png</t>
  </si>
  <si>
    <t>43b78cfc69ff871b802a682d1ae80ec808919e589057df9cea2561dadd0fff47</t>
  </si>
  <si>
    <t>https://bellingcat-archive.nyc3.cdn.digitaloceanspaces.com/Ukraine_Witness_Datasheet/Worksheet/youtube_dl_bnLHQ3VFzc4/index.html</t>
  </si>
  <si>
    <t>A family that was stopped and shot in Ukraine, only one dog survived.</t>
  </si>
  <si>
    <t>2022-02-27T00:00:00+00:00</t>
  </si>
  <si>
    <t>https://twitter.com/Osinttechnical/status/1498955188811583492</t>
  </si>
  <si>
    <t>Russian soldier walking around with Hand granades</t>
  </si>
  <si>
    <t>Konotop Raion</t>
  </si>
  <si>
    <t>Konotop</t>
  </si>
  <si>
    <t>UW1114</t>
  </si>
  <si>
    <t>https://bellingcat-archive.nyc3.cdn.digitaloceanspaces.com/Ukraine_Witness_Datasheet/Worksheet/youtube_dl_1498955188811583492.mp4</t>
  </si>
  <si>
    <t>2022-03-02T11:41:27.728723+00:00</t>
  </si>
  <si>
    <t>https://bellingcat-archive.nyc3.cdn.digitaloceanspaces.com/Ukraine_Witness_Datasheet/Worksheet/youtube_dl__Osinttechnical_status_14989551888115834922022-03-02T11:41:13.235895.png</t>
  </si>
  <si>
    <t>ddfe767cd9dc47b9a47f2413b9ed9d2d3de8e49475ef69ae4f3f191b79bfca25</t>
  </si>
  <si>
    <t>https://bellingcat-archive.nyc3.cdn.digitaloceanspaces.com/Ukraine_Witness_Datasheet/Worksheet/youtube_dl_1498955188811583492/index.html</t>
  </si>
  <si>
    <t>OSINTtechnical - The lead Russian soldier is walking around with two hand grenades held in the air. Presumably with their pins out.</t>
  </si>
  <si>
    <t>2022-03-02T09:35:40+00:00</t>
  </si>
  <si>
    <t>https://twitter.com/nexta_tv/status/1498945034669993987?s=21</t>
  </si>
  <si>
    <t>Explosion at airport</t>
  </si>
  <si>
    <t>UW1115</t>
  </si>
  <si>
    <t>https://bellingcat-archive.nyc3.cdn.digitaloceanspaces.com/Ukraine_Witness_Datasheet/Worksheet/youtube_dl_1498945034669993987.mp4</t>
  </si>
  <si>
    <t>2022-03-02T11:41:40.714712+00:00</t>
  </si>
  <si>
    <t>https://bellingcat-archive.nyc3.cdn.digitaloceanspaces.com/Ukraine_Witness_Datasheet/Worksheet/youtube_dl__nexta_tv_status_14989450346699939872022-03-02T11:41:30.374634.png</t>
  </si>
  <si>
    <t>ca36b5e35bd22bbf8711a806f4ead6878b5b23c7e7e2d8dbee5efb65382acd4c</t>
  </si>
  <si>
    <t>https://bellingcat-archive.nyc3.cdn.digitaloceanspaces.com/Ukraine_Witness_Datasheet/Worksheet/youtube_dl_1498945034669993987/index.html</t>
  </si>
  <si>
    <t>NEXTA - The occupants began shelling #Odesa. An explosion was detected near the airport.</t>
  </si>
  <si>
    <t>2022-03-02T08:55:19+00:00</t>
  </si>
  <si>
    <t>UW1116</t>
  </si>
  <si>
    <t>https://files.slack.com/files-pri/T0347HGT6KB-F035JRHKC57/20220301_204401.jpg</t>
  </si>
  <si>
    <t>Observed explosion cloud coming from the direction Antoniwka Bridge</t>
  </si>
  <si>
    <t>Pic made by my uncle, living nearby Antoniwka Bridge (Perekopska St. 161)</t>
  </si>
  <si>
    <t>UW1117</t>
  </si>
  <si>
    <t>https://web.archive.org/web/20220302114146/https://eyesonrussia.slack.com/?redir=%2Ffiles-pri%2FT0347HGT6KB-F035JRHKC57%2F20220301_204401.jpg</t>
  </si>
  <si>
    <t>2022-03-02T11:42:04.747855+00:00</t>
  </si>
  <si>
    <t>https://bellingcat-archive.nyc3.cdn.digitaloceanspaces.com/Ukraine_Witness_Datasheet/Worksheet/wayback__files-pri_T0347HGT6KB-F035JRHKC57_20220301_204401.jpg2022-03-02T11:41:57.021689.png</t>
  </si>
  <si>
    <t>https://youtube.com/shorts/ChqNbyjg1dw?feature=share</t>
  </si>
  <si>
    <t>Fires, damages in shopping mall Fabrika, one of the most popular, crowded locations in Kherson</t>
  </si>
  <si>
    <t>My hometown, know the location, also approved by others living in Kherson</t>
  </si>
  <si>
    <t>missing link</t>
  </si>
  <si>
    <t>UW1118</t>
  </si>
  <si>
    <t>wayback: Internet archive failed: http://missing%20link/ URL syntax is not valid.</t>
  </si>
  <si>
    <t>2022-03-02T18:10:12.602156+00:00</t>
  </si>
  <si>
    <t>https://twitter.com/200_zoka/status/1498977614232440838</t>
  </si>
  <si>
    <t>Russian Military movement Vaislivka south of Zaporozhye</t>
  </si>
  <si>
    <t>Vasylivka</t>
  </si>
  <si>
    <t>Big supermarket(?) with huge green banner visible behing tanks.</t>
  </si>
  <si>
    <t>UW1119</t>
  </si>
  <si>
    <t>https://bellingcat-archive.nyc3.cdn.digitaloceanspaces.com/Ukraine_Witness_Datasheet/Worksheet/youtube_dl_1498977614232440838.mp4</t>
  </si>
  <si>
    <t>2022-03-02T11:42:19.700745+00:00</t>
  </si>
  <si>
    <t>https://bellingcat-archive.nyc3.cdn.digitaloceanspaces.com/Ukraine_Witness_Datasheet/Worksheet/youtube_dl__200_zoka_status_14989776142324408382022-03-02T11:42:08.210446.png</t>
  </si>
  <si>
    <t>2273c20b235ebb454b0bc917bc3ddc036ada674f6f4f77826f0ecd3ef5bdab53</t>
  </si>
  <si>
    <t>https://bellingcat-archive.nyc3.cdn.digitaloceanspaces.com/Ukraine_Witness_Datasheet/Worksheet/youtube_dl_1498977614232440838/index.html</t>
  </si>
  <si>
    <t>ZOKA - Russians enetered Vaislivka south of Zaporozhye</t>
  </si>
  <si>
    <t>2022-03-02T11:04:47+00:00</t>
  </si>
  <si>
    <t>https://twitter.com/aldin_ww/status/1498983452464590861?s=20&amp;t=pt1sYXmgTvl29htSMZkbcA</t>
  </si>
  <si>
    <t>Explosion in city center</t>
  </si>
  <si>
    <t>UW1120</t>
  </si>
  <si>
    <t>https://bellingcat-archive.nyc3.cdn.digitaloceanspaces.com/Ukraine_Witness_Datasheet/Worksheet/youtube_dl_1498983452464590861.mp4</t>
  </si>
  <si>
    <t>2022-03-02T12:17:55.250773+00:00</t>
  </si>
  <si>
    <t>https://bellingcat-archive.nyc3.cdn.digitaloceanspaces.com/Ukraine_Witness_Datasheet/Worksheet/youtube_dl__aldin_ww_status_14989834524645908612022-03-02T12:17:43.169110.png</t>
  </si>
  <si>
    <t>b8d04f6c5f51e717dddc9823dd8aabb5e11a613510d6d09fde29392d9392afb2</t>
  </si>
  <si>
    <t>https://bellingcat-archive.nyc3.cdn.digitaloceanspaces.com/Ukraine_Witness_Datasheet/Worksheet/youtube_dl_1498983452464590861/index.html</t>
  </si>
  <si>
    <t>Aldin 🇧🇦 - Airstrikes on Kharkiv city center.</t>
  </si>
  <si>
    <t>2022-03-02T11:27:59+00:00</t>
  </si>
  <si>
    <t>https://twitter.com/michaelh992/status/1498896303107026945</t>
  </si>
  <si>
    <t>UW1121</t>
  </si>
  <si>
    <t>https://bellingcat-archive.nyc3.cdn.digitaloceanspaces.com/Ukraine_Witness_Datasheet/Worksheet/youtube_dl_1498896303107026945.mp4</t>
  </si>
  <si>
    <t>2022-03-02T12:18:10.370073+00:00</t>
  </si>
  <si>
    <t>https://bellingcat-archive.nyc3.cdn.digitaloceanspaces.com/Ukraine_Witness_Datasheet/Worksheet/youtube_dl__michaelh992_status_14988963031070269452022-03-02T12:17:59.590400.png</t>
  </si>
  <si>
    <t>5b2e4e576eb4adcb6c947f7d3eb2202cad46b6c14f54ee9da17323fda6aae8aa</t>
  </si>
  <si>
    <t>https://bellingcat-archive.nyc3.cdn.digitaloceanspaces.com/Ukraine_Witness_Datasheet/Worksheet/youtube_dl_1498896303107026945/index.html</t>
  </si>
  <si>
    <t>Michael A. Horowitz - Same building visible in this video of the aftermath of heavy shelling last night #Kharkiv</t>
  </si>
  <si>
    <t>2022-03-02T05:41:41+00:00</t>
  </si>
  <si>
    <t>https://t.me/Tsaplienko/1539</t>
  </si>
  <si>
    <t>Aftermath of missile strike</t>
  </si>
  <si>
    <t>UW1122</t>
  </si>
  <si>
    <t>https://bellingcat-archive.nyc3.cdn.digitaloceanspaces.com/Ukraine_Witness_Datasheet/Worksheet/telegram_e3d2976835.mp4</t>
  </si>
  <si>
    <t>2022-03-02T12:19:35.663097+00:00</t>
  </si>
  <si>
    <t>https://bellingcat-archive.nyc3.cdn.digitaloceanspaces.com/Ukraine_Witness_Datasheet/Worksheet/telegram__Tsaplienko_15392022-03-02T12:18:11.421068.png</t>
  </si>
  <si>
    <t>89aee30fc3b313953b3b039638ea5747baa2fceedfecb462cc93649459645c72</t>
  </si>
  <si>
    <t>https://bellingcat-archive.nyc3.cdn.digitaloceanspaces.com/Ukraine_Witness_Datasheet/Worksheet/telegram_e3d2976835/index.html</t>
  </si>
  <si>
    <t>2022-03-02T10:38:31+00:00</t>
  </si>
  <si>
    <t>https://twitter.com/KoliaDelesalle/status/1498956513821483012?s=20&amp;t=pt1sYXmgTvl29htSMZkbcA</t>
  </si>
  <si>
    <t>UW1123</t>
  </si>
  <si>
    <t>https://bellingcat-archive.nyc3.cdn.digitaloceanspaces.com/Ukraine_Witness_Datasheet/Worksheet/twitter__KoliaDelesalle_status_1498956513821483012.html</t>
  </si>
  <si>
    <t>2022-03-02T12:19:48.013957+00:00</t>
  </si>
  <si>
    <t>https://bellingcat-archive.nyc3.cdn.digitaloceanspaces.com/Ukraine_Witness_Datasheet/Worksheet/twitter__KoliaDelesalle_status_14989565138214830122022-03-02T12:19:39.871430.png</t>
  </si>
  <si>
    <t>08fef6801a2dd7b618650052356722649e48353183f5bc941e1b5a09772c1d05</t>
  </si>
  <si>
    <t>2022-03-02T09:40:56+00:00</t>
  </si>
  <si>
    <t>https://twitter.com/IntelDoge/status/1498771259512995841</t>
  </si>
  <si>
    <t>Destruction of town after fighting and shelling</t>
  </si>
  <si>
    <t>UW1124</t>
  </si>
  <si>
    <t>https://bellingcat-archive.nyc3.cdn.digitaloceanspaces.com/Ukraine_Witness_Datasheet/Worksheet/youtube_dl_1498771259512995841.mp4</t>
  </si>
  <si>
    <t>2022-03-02T12:20:06.482413+00:00</t>
  </si>
  <si>
    <t>https://bellingcat-archive.nyc3.cdn.digitaloceanspaces.com/Ukraine_Witness_Datasheet/Worksheet/youtube_dl__IntelDoge_status_14987712595129958412022-03-02T12:19:53.117174.png</t>
  </si>
  <si>
    <t>d0a8109f28117af2c77168023e1f983fc8c3bf75b16b19f3fb024d5de4a70b19</t>
  </si>
  <si>
    <t>https://bellingcat-archive.nyc3.cdn.digitaloceanspaces.com/Ukraine_Witness_Datasheet/Worksheet/youtube_dl_1498771259512995841/index.html</t>
  </si>
  <si>
    <t>Doge - Volnovakha, Donetsk Oblast, absolutely destroyed.</t>
  </si>
  <si>
    <t>2022-03-01T21:24:48+00:00</t>
  </si>
  <si>
    <t>134.254594</t>
  </si>
  <si>
    <t>https://twitter.com/MarQs__/status/1498983588724883458</t>
  </si>
  <si>
    <t xml:space="preserve">Military equipment being loaded on trains in Eastern Russia </t>
  </si>
  <si>
    <t>Khabarovsk Krai</t>
  </si>
  <si>
    <t>Bikin</t>
  </si>
  <si>
    <t>https://yandex.com/maps/20165/bikin/?l=mrc&amp;ll=134.258621%2C46.808293&amp;mode=search&amp;mrc%5Bid%5D=41507426&amp;sll=134.254594%2C46.808484&amp;text=46.808484%2C134.254594&amp;z=16.08</t>
  </si>
  <si>
    <t>UW1125</t>
  </si>
  <si>
    <t>https://bellingcat-archive.nyc3.cdn.digitaloceanspaces.com/Ukraine_Witness_Datasheet/Worksheet/youtube_dl_1498983588724883458.mp4</t>
  </si>
  <si>
    <t>2022-03-02T13:03:07.490192+00:00</t>
  </si>
  <si>
    <t>https://bellingcat-archive.nyc3.cdn.digitaloceanspaces.com/Ukraine_Witness_Datasheet/Worksheet/youtube_dl__MarQs___status_14989835887248834582022-03-02T13:02:56.783864.png</t>
  </si>
  <si>
    <t>66d73e074e4c3386559516dcbb65bab276282dd83aff219a0fd0dfb9071dfb77</t>
  </si>
  <si>
    <t>https://bellingcat-archive.nyc3.cdn.digitaloceanspaces.com/Ukraine_Witness_Datasheet/Worksheet/youtube_dl_1498983588724883458/index.html</t>
  </si>
  <si>
    <t>marqs - Reportedly military equipment being loaded on trains in Khabarovsky Krai of far eastern #Russia. Probably reinforcements for #Ukraine</t>
  </si>
  <si>
    <t>2022-03-02T11:28:31+00:00</t>
  </si>
  <si>
    <t>https://t.me/pravdaGerashchenko_en/299</t>
  </si>
  <si>
    <t>Multiple bodies in a public area, near Park</t>
  </si>
  <si>
    <t>UW1126</t>
  </si>
  <si>
    <t>No</t>
  </si>
  <si>
    <t>https://bellingcat-archive.nyc3.cdn.digitaloceanspaces.com/Ukraine_Witness_Datasheet/Worksheet/telegram__pravdaGerashchenko_en_299.html</t>
  </si>
  <si>
    <t>2022-03-02T12:20:14.792019+00:00</t>
  </si>
  <si>
    <t>https://bellingcat-archive.nyc3.cdn.digitaloceanspaces.com/Ukraine_Witness_Datasheet/Worksheet/telegram__pravdaGerashchenko_en_2992022-03-02T12:20:07.310095.png</t>
  </si>
  <si>
    <t>43a48daa18db875d1b36d1640add06b30a3cc747b6281321de6b5bbb79816013</t>
  </si>
  <si>
    <t xml:space="preserve">Giancarlo F. </t>
  </si>
  <si>
    <t>https://t.me/Pravda_Gerashchenko/1220</t>
  </si>
  <si>
    <t>CIV0137</t>
  </si>
  <si>
    <t>Civilians killed by missile strike</t>
  </si>
  <si>
    <t>UW1127</t>
  </si>
  <si>
    <t>https://bellingcat-archive.nyc3.cdn.digitaloceanspaces.com/Ukraine_Witness_Datasheet/Worksheet/telegram_ae3b0a7dbe.mp4</t>
  </si>
  <si>
    <t>2022-03-02T12:21:46.215847+00:00</t>
  </si>
  <si>
    <t>https://bellingcat-archive.nyc3.cdn.digitaloceanspaces.com/Ukraine_Witness_Datasheet/Worksheet/telegram__Pravda_Gerashchenko_12202022-03-02T12:20:15.701163.png</t>
  </si>
  <si>
    <t>134fe272c545f90260038eeeca96b803ff10fe5df70232c23c074e5089b8dbb9</t>
  </si>
  <si>
    <t>https://bellingcat-archive.nyc3.cdn.digitaloceanspaces.com/Ukraine_Witness_Datasheet/Worksheet/telegram_ae3b0a7dbe/index.html</t>
  </si>
  <si>
    <t>2022-03-01T16:01:50+00:00</t>
  </si>
  <si>
    <t>https://t.me/nexta_live/18900</t>
  </si>
  <si>
    <t>UW1128</t>
  </si>
  <si>
    <t>https://bellingcat-archive.nyc3.cdn.digitaloceanspaces.com/Ukraine_Witness_Datasheet/Worksheet/telegram__nexta_live_18900.html</t>
  </si>
  <si>
    <t>2022-03-02T12:21:57.246314+00:00</t>
  </si>
  <si>
    <t>https://bellingcat-archive.nyc3.cdn.digitaloceanspaces.com/Ukraine_Witness_Datasheet/Worksheet/telegram__nexta_live_189002022-03-02T12:21:47.054422.png</t>
  </si>
  <si>
    <t>c40c92fb3d5186fd197a788266e9cb3628065bcc83e868ae5f294d9fa6b70365</t>
  </si>
  <si>
    <t>2022-03-01T16:25:38+00:00</t>
  </si>
  <si>
    <t>https://twitter.com/nexta_tv/status/1498991877579841540</t>
  </si>
  <si>
    <t>UW1129</t>
  </si>
  <si>
    <t>https://bellingcat-archive.nyc3.cdn.digitaloceanspaces.com/Ukraine_Witness_Datasheet/Worksheet/youtube_dl_1498993104954834949.mp4</t>
  </si>
  <si>
    <t>2022-03-02T12:22:12.986955+00:00</t>
  </si>
  <si>
    <t>https://bellingcat-archive.nyc3.cdn.digitaloceanspaces.com/Ukraine_Witness_Datasheet/Worksheet/youtube_dl__MarQs___status_14989931049548349492022-03-02T12:22:01.375391.png</t>
  </si>
  <si>
    <t>0a50030408288254a9058917f05f156183d26b8af5424f1c548db101e9494382</t>
  </si>
  <si>
    <t>https://bellingcat-archive.nyc3.cdn.digitaloceanspaces.com/Ukraine_Witness_Datasheet/Worksheet/youtube_dl_1498993104954834949/index.html</t>
  </si>
  <si>
    <t>marqs - #Kharkiv right now</t>
  </si>
  <si>
    <t>2022-03-02T12:06:20+00:00</t>
  </si>
  <si>
    <t>UW1130</t>
  </si>
  <si>
    <t>https://t.me/milinfolive/77684</t>
  </si>
  <si>
    <t>Pictures alledging Russian Soldiers Captured in the City of Mykolaiv infront of the 68 Para Memorial</t>
  </si>
  <si>
    <t>Distinct memorial matches the image and square patterns on the ground</t>
  </si>
  <si>
    <t>UW1131</t>
  </si>
  <si>
    <t>https://bellingcat-archive.nyc3.cdn.digitaloceanspaces.com/Ukraine_Witness_Datasheet/Worksheet/telegram__milinfolive_77684.html</t>
  </si>
  <si>
    <t>2022-03-02T12:25:27.266685+00:00</t>
  </si>
  <si>
    <t>https://bellingcat-archive.nyc3.cdn.digitaloceanspaces.com/Ukraine_Witness_Datasheet/Worksheet/telegram__milinfolive_776842022-03-02T12:25:11.973227.png</t>
  </si>
  <si>
    <t>4dc3502bfc94b690e12ad1c7ec84b8a3fee8fda2463866028a75916701cbbcaa</t>
  </si>
  <si>
    <t>2022-03-02T12:10:33+00:00</t>
  </si>
  <si>
    <t>Civilian buildings on fire</t>
  </si>
  <si>
    <t>https://twitter.com/gfusfus/status/1498999543727284230</t>
  </si>
  <si>
    <t>UW1132</t>
  </si>
  <si>
    <t>https://bellingcat-archive.nyc3.cdn.digitaloceanspaces.com/Ukraine_Witness_Datasheet/Worksheet/youtube_dl_1498991877579841540.mp4</t>
  </si>
  <si>
    <t>2022-03-02T12:25:42.441715+00:00</t>
  </si>
  <si>
    <t>https://bellingcat-archive.nyc3.cdn.digitaloceanspaces.com/Ukraine_Witness_Datasheet/Worksheet/youtube_dl__nexta_tv_status_14989918775798415402022-03-02T12:25:31.521070.png</t>
  </si>
  <si>
    <t>https://bellingcat-archive.nyc3.cdn.digitaloceanspaces.com/Ukraine_Witness_Datasheet/Worksheet/youtube_dl_1498991877579841540/index.html</t>
  </si>
  <si>
    <t>NEXTA - Garages are on fire in #Kharkiv</t>
  </si>
  <si>
    <t>2022-03-02T12:01:28+00:00</t>
  </si>
  <si>
    <t>Bellingcat</t>
  </si>
  <si>
    <t>https://t.me/Doninside/9860</t>
  </si>
  <si>
    <t>CIV0154</t>
  </si>
  <si>
    <t>Shop destroyed</t>
  </si>
  <si>
    <t>UW1133</t>
  </si>
  <si>
    <t>https://bellingcat-archive.nyc3.cdn.digitaloceanspaces.com/Ukraine_Witness_Datasheet/Worksheet/telegram__Doninside_9860.html</t>
  </si>
  <si>
    <t>2022-03-02T13:03:16.252985+00:00</t>
  </si>
  <si>
    <t>https://bellingcat-archive.nyc3.cdn.digitaloceanspaces.com/Ukraine_Witness_Datasheet/Worksheet/telegram__Doninside_98602022-03-02T13:03:08.425691.png</t>
  </si>
  <si>
    <t>182289801a30c6df263f275dcdca4b7bc2b9334f461f6da77252a2d6012fe468</t>
  </si>
  <si>
    <t>2022-03-02T09:58:51+00:00</t>
  </si>
  <si>
    <t>https://twitter.com/rescuero/status/1498977317690957827</t>
  </si>
  <si>
    <t>UW1134</t>
  </si>
  <si>
    <t>https://bellingcat-archive.nyc3.cdn.digitaloceanspaces.com/Ukraine_Witness_Datasheet/Worksheet/youtube_dl_1498977317690957827.mp4</t>
  </si>
  <si>
    <t>2022-03-02T13:03:29.278403+00:00</t>
  </si>
  <si>
    <t>https://bellingcat-archive.nyc3.cdn.digitaloceanspaces.com/Ukraine_Witness_Datasheet/Worksheet/youtube_dl__rescuero_status_14989773176909578272022-03-02T13:03:18.724362.png</t>
  </si>
  <si>
    <t>d8a75c24afcb6918c75e6983f572ba05e59e1e6625b48a2a5895644f641af00a</t>
  </si>
  <si>
    <t>https://bellingcat-archive.nyc3.cdn.digitaloceanspaces.com/Ukraine_Witness_Datasheet/Worksheet/youtube_dl_1498977317690957827/index.html</t>
  </si>
  <si>
    <t>Pavlo - Роз'їбали магазин, підараси! #Лисичанськ</t>
  </si>
  <si>
    <t>2022-03-02T11:03:36+00:00</t>
  </si>
  <si>
    <t>https://t.me/ukr_novosti_voina/5441</t>
  </si>
  <si>
    <t>Rocket attack on the Lisichansk brewery</t>
  </si>
  <si>
    <t>Google maps has images of the brewery. Matched the building next to the explosion and the surroundings. Coordinates of where the video was likely taken from: 48.94856, 38.364786.</t>
  </si>
  <si>
    <t>UW1135</t>
  </si>
  <si>
    <t>https://bellingcat-archive.nyc3.cdn.digitaloceanspaces.com/Ukraine_Witness_Datasheet/Worksheet/telegram_1b20e77885.mp4</t>
  </si>
  <si>
    <t>2022-03-02T13:04:07.878225+00:00</t>
  </si>
  <si>
    <t>https://bellingcat-archive.nyc3.cdn.digitaloceanspaces.com/Ukraine_Witness_Datasheet/Worksheet/telegram__ukr_novosti_voina_54412022-03-02T13:03:30.061307.png</t>
  </si>
  <si>
    <t>6357095265cb13df0933010ddf96827dc02db057426fd605b4681d6f71688350</t>
  </si>
  <si>
    <t>https://bellingcat-archive.nyc3.cdn.digitaloceanspaces.com/Ukraine_Witness_Datasheet/Worksheet/telegram_1b20e77885/index.html</t>
  </si>
  <si>
    <t>2022-03-02T12:05:22+00:00</t>
  </si>
  <si>
    <t>https://twitter.com/MarQs__/status/1498996906151886862</t>
  </si>
  <si>
    <t>Large amount of Russian military equipment in city center</t>
  </si>
  <si>
    <t>UW1136</t>
  </si>
  <si>
    <t>https://bellingcat-archive.nyc3.cdn.digitaloceanspaces.com/Ukraine_Witness_Datasheet/Worksheet/youtube_dl_1498996906151886862.mp4</t>
  </si>
  <si>
    <t>2022-03-02T13:04:22.253040+00:00</t>
  </si>
  <si>
    <t>https://bellingcat-archive.nyc3.cdn.digitaloceanspaces.com/Ukraine_Witness_Datasheet/Worksheet/youtube_dl__MarQs___status_14989969061518868622022-03-02T13:04:11.547081.png</t>
  </si>
  <si>
    <t>3ac695883450b0014070b6ff0a76a0732a1d82ec34d91fa5be1b8fcaffd4321b</t>
  </si>
  <si>
    <t>https://bellingcat-archive.nyc3.cdn.digitaloceanspaces.com/Ukraine_Witness_Datasheet/Worksheet/youtube_dl_1498996906151886862/index.html</t>
  </si>
  <si>
    <t>marqs - Large amount of Russian equipment now in #Kherson</t>
  </si>
  <si>
    <t>2022-03-02T12:21:27+00:00</t>
  </si>
  <si>
    <t>https://twitter.com/MarQs__/status/1498993475265699841</t>
  </si>
  <si>
    <t>Aftermath of russian strikes</t>
  </si>
  <si>
    <t>UW1137</t>
  </si>
  <si>
    <t>https://bellingcat-archive.nyc3.cdn.digitaloceanspaces.com/Ukraine_Witness_Datasheet/Worksheet/youtube_dl_1498993475265699841.mp4</t>
  </si>
  <si>
    <t>2022-03-02T13:04:50.369141+00:00</t>
  </si>
  <si>
    <t>https://bellingcat-archive.nyc3.cdn.digitaloceanspaces.com/Ukraine_Witness_Datasheet/Worksheet/youtube_dl__MarQs___status_14989934752656998412022-03-02T13:04:35.606860.png</t>
  </si>
  <si>
    <t>7cb5dcfc61c03c1202a403cc807a94885f2729e1c91c86855d32d24fdfebaa9b</t>
  </si>
  <si>
    <t>https://bellingcat-archive.nyc3.cdn.digitaloceanspaces.com/Ukraine_Witness_Datasheet/Worksheet/youtube_dl_1498993475265699841/index.html</t>
  </si>
  <si>
    <t>marqs - Irpin after Russian airstrikes</t>
  </si>
  <si>
    <t>2022-03-02T12:07:49+00:00</t>
  </si>
  <si>
    <t>https://twitter.com/michaelh992/status/1498999379411312649</t>
  </si>
  <si>
    <t>Aftermath of missile strikes</t>
  </si>
  <si>
    <t>https://twitter.com/gfusfus/status/1499005189881311242</t>
  </si>
  <si>
    <t>UW1138</t>
  </si>
  <si>
    <t>https://bellingcat-archive.nyc3.cdn.digitaloceanspaces.com/Ukraine_Witness_Datasheet/Worksheet/youtube_dl_1498999379411312649.mp4</t>
  </si>
  <si>
    <t>2022-03-02T13:05:03.910861+00:00</t>
  </si>
  <si>
    <t>https://bellingcat-archive.nyc3.cdn.digitaloceanspaces.com/Ukraine_Witness_Datasheet/Worksheet/youtube_dl__michaelh992_status_14989993794113126492022-03-02T13:04:53.038076.png</t>
  </si>
  <si>
    <t>c763077742a5b8ebf32c1185b04fe72b796c9bcd7e3d8f4862de8638a4d9128e</t>
  </si>
  <si>
    <t>https://bellingcat-archive.nyc3.cdn.digitaloceanspaces.com/Ukraine_Witness_Datasheet/Worksheet/youtube_dl_1498999379411312649/index.html</t>
  </si>
  <si>
    <t>Michael A. Horowitz - Aftermath of shelling in Kharkiv #Ukraine</t>
  </si>
  <si>
    <t>2022-03-02T12:31:16+00:00</t>
  </si>
  <si>
    <t>50.00373698</t>
  </si>
  <si>
    <t>36.33066234</t>
  </si>
  <si>
    <t>https://t.me/livekharkov/28020</t>
  </si>
  <si>
    <t>CIV0093</t>
  </si>
  <si>
    <t>Munition remnant embedded in pavement.</t>
  </si>
  <si>
    <t>UW1139</t>
  </si>
  <si>
    <t>https://bellingcat-archive.nyc3.cdn.digitaloceanspaces.com/Ukraine_Witness_Datasheet/Worksheet/telegram__livekharkov_28020.html</t>
  </si>
  <si>
    <t>2022-03-02T13:05:13.330406+00:00</t>
  </si>
  <si>
    <t>https://bellingcat-archive.nyc3.cdn.digitaloceanspaces.com/Ukraine_Witness_Datasheet/Worksheet/telegram__livekharkov_280202022-03-02T13:05:04.816582.png</t>
  </si>
  <si>
    <t>9ede231ced89d2b5f85ee5a30ed644d24e9e5a00d1622bb921e8b7f392d10213</t>
  </si>
  <si>
    <t>2022-02-28T13:10:45+00:00</t>
  </si>
  <si>
    <t>https://t.me/warjournaltg/11985</t>
  </si>
  <si>
    <t>Russian Armed forces in Kherson</t>
  </si>
  <si>
    <t xml:space="preserve">Spire building windows consistent with location found on google maps. White arched columns on corner of the intersection also visible in both video and google maps. </t>
  </si>
  <si>
    <t>UW1140</t>
  </si>
  <si>
    <t>https://bellingcat-archive.nyc3.cdn.digitaloceanspaces.com/Ukraine_Witness_Datasheet/Worksheet/telegram_dedd79e7cd.mp4</t>
  </si>
  <si>
    <t>2022-03-02T13:07:08.807173+00:00</t>
  </si>
  <si>
    <t>https://bellingcat-archive.nyc3.cdn.digitaloceanspaces.com/Ukraine_Witness_Datasheet/Worksheet/telegram__warjournaltg_119852022-03-02T13:05:14.062752.png</t>
  </si>
  <si>
    <t>c31680a35a2422ae1c983a151bd63d6d9a86570da7870cc3f0cfff48c60a5645</t>
  </si>
  <si>
    <t>https://bellingcat-archive.nyc3.cdn.digitaloceanspaces.com/Ukraine_Witness_Datasheet/Worksheet/telegram_dedd79e7cd/index.html</t>
  </si>
  <si>
    <t>2022-03-02T11:01:41+00:00</t>
  </si>
  <si>
    <t>Thomas</t>
  </si>
  <si>
    <t>https://twitter.com/EydouxT/status/1498976055880728585?s=20&amp;t=_wF5HmhyP0avqRAOYbvJBQ</t>
  </si>
  <si>
    <t>Jytomyr Oblast</t>
  </si>
  <si>
    <t>Jytomyr</t>
  </si>
  <si>
    <r>
      <rPr>
        <sz val="11.0"/>
      </rPr>
      <t xml:space="preserve">Base on this Tweet from french journo : </t>
    </r>
    <r>
      <rPr>
        <color rgb="FF1155CC"/>
        <sz val="11.0"/>
        <u/>
      </rPr>
      <t>https://twitter.com/KoliaDelesalle/status/1498956513821483012?s=20&amp;t=_wF5HmhyP0avqRAOYbvJBQ</t>
    </r>
  </si>
  <si>
    <t>UW1141</t>
  </si>
  <si>
    <t>2022-03-02T13:10:59.099899+00:00</t>
  </si>
  <si>
    <t>https://bellingcat-archive.nyc3.cdn.digitaloceanspaces.com/Ukraine_Witness_Datasheet/Worksheet/telegram__Tsaplienko_15392022-03-02T13:09:38.216903.png</t>
  </si>
  <si>
    <t>UW1142</t>
  </si>
  <si>
    <t>https://twitter.com/aldin_ww/status/1498983452464590861?s=20&amp;t=_wF5HmhyP0avqRAOYbvJBQ</t>
  </si>
  <si>
    <t>Aftermath of russian strike, center Kharkiv</t>
  </si>
  <si>
    <t>https://twitter.com/EydouxT/status/1498985653043961866?s=20&amp;t=_wF5HmhyP0avqRAOYbvJBQ</t>
  </si>
  <si>
    <t>UW1143</t>
  </si>
  <si>
    <t>2022-03-02T13:11:15.087354+00:00</t>
  </si>
  <si>
    <t>https://bellingcat-archive.nyc3.cdn.digitaloceanspaces.com/Ukraine_Witness_Datasheet/Worksheet/youtube_dl__aldin_ww_status_14989834524645908612022-03-02T13:11:03.264174.png</t>
  </si>
  <si>
    <t>https://twitter.com/GirkinGirkin/status/1499004124960014338</t>
  </si>
  <si>
    <t>Missile hits in civilian area</t>
  </si>
  <si>
    <t>https://twitter.com/gfusfus/status/1499009082967080962</t>
  </si>
  <si>
    <t>Luhans'ka oblast</t>
  </si>
  <si>
    <t>Novodruzhes'k</t>
  </si>
  <si>
    <t>UW1144</t>
  </si>
  <si>
    <t>https://bellingcat-archive.nyc3.cdn.digitaloceanspaces.com/Ukraine_Witness_Datasheet/Worksheet/youtube_dl_1499004124960014338.mp4</t>
  </si>
  <si>
    <t>2022-03-02T13:11:28.742867+00:00</t>
  </si>
  <si>
    <t>https://bellingcat-archive.nyc3.cdn.digitaloceanspaces.com/Ukraine_Witness_Datasheet/Worksheet/youtube_dl__GirkinGirkin_status_14990041249600143382022-03-02T13:11:17.912545.png</t>
  </si>
  <si>
    <t>f245ead84ba4ed715f0e8a4e22a6a52f8f586336c0fa842bf6316142196a077a</t>
  </si>
  <si>
    <t>https://bellingcat-archive.nyc3.cdn.digitaloceanspaces.com/Ukraine_Witness_Datasheet/Worksheet/youtube_dl_1499004124960014338/index.html</t>
  </si>
  <si>
    <t>IgorGirkin - Лисичанск  попадание русского боеприпаса в здание пивзавода</t>
  </si>
  <si>
    <t>2022-03-02T12:50:08+00:00</t>
  </si>
  <si>
    <t>https://twitter.com/nexta_tv/status/1499004791846051844</t>
  </si>
  <si>
    <t>Aftermath of russian strikes and fighting</t>
  </si>
  <si>
    <t>UW1145</t>
  </si>
  <si>
    <t>https://bellingcat-archive.nyc3.cdn.digitaloceanspaces.com/Ukraine_Witness_Datasheet/Worksheet/twitter__nexta_tv_status_1499004791846051844.html</t>
  </si>
  <si>
    <t>2022-03-02T13:11:39.957842+00:00</t>
  </si>
  <si>
    <t>https://bellingcat-archive.nyc3.cdn.digitaloceanspaces.com/Ukraine_Witness_Datasheet/Worksheet/twitter__nexta_tv_status_14990047918460518442022-03-02T13:11:32.421068.png</t>
  </si>
  <si>
    <t>41e3c697a718dad952f38e50985d131c43aadaafc36e921a8bc20dc1f871bf77</t>
  </si>
  <si>
    <t>https://bellingcat-archive.nyc3.cdn.digitaloceanspaces.com/Ukraine_Witness_Datasheet/Worksheet/youtube_dl_mD3gIx6H_bA/index.html</t>
  </si>
  <si>
    <t>"Сиреневый парк" по ул. Нефтяников в Херсоне, 1 марта 2022 год.#ужасы войны</t>
  </si>
  <si>
    <t>2022-03-02T12:52:47+00:00</t>
  </si>
  <si>
    <t>https://www.youtube.com/watch?v=mD3gIx6H_bA</t>
  </si>
  <si>
    <t>Dead civilians, dismembered or sections of bodies scattered in a park</t>
  </si>
  <si>
    <t>Roof features and blue facade of of the buildings can be matched using Yandex Street View</t>
  </si>
  <si>
    <t>UW1146</t>
  </si>
  <si>
    <t>Archive in progress</t>
  </si>
  <si>
    <t>https://bellingcat-archive.nyc3.cdn.digitaloceanspaces.com/Ukraine_Witness_Datasheet/Worksheet/youtube_dl_mD3gIx6H_bA.webm</t>
  </si>
  <si>
    <t>2022-03-02T13:12:46.819273+00:00</t>
  </si>
  <si>
    <t>https://bellingcat-archive.nyc3.cdn.digitaloceanspaces.com/Ukraine_Witness_Datasheet/Worksheet/youtube_dl__watch2022-03-02T13:12:19.338514.png</t>
  </si>
  <si>
    <t>0f92254667f94146e1ed3544ff6f122ed5030b0f933e1fa2654f33126b755ae4</t>
  </si>
  <si>
    <t>2022-03-01T00:00:00+00:00</t>
  </si>
  <si>
    <t>https://www.youtube.com/shorts/XUdZ3tLHF3k</t>
  </si>
  <si>
    <t>UW1147</t>
  </si>
  <si>
    <t>https://bellingcat-archive.nyc3.cdn.digitaloceanspaces.com/Ukraine_Witness_Datasheet/Worksheet/youtube_dl_XUdZ3tLHF3k.webm</t>
  </si>
  <si>
    <t>2022-03-02T14:05:18.489477+00:00</t>
  </si>
  <si>
    <t>https://bellingcat-archive.nyc3.cdn.digitaloceanspaces.com/Ukraine_Witness_Datasheet/Worksheet/youtube_dl__shorts_XUdZ3tLHF3k2022-03-02T14:05:06.126342.png</t>
  </si>
  <si>
    <t>a08c848907bcff7190d643715344bff4c4066556b6bc70840c4d06323d6a9bd7</t>
  </si>
  <si>
    <t>https://bellingcat-archive.nyc3.cdn.digitaloceanspaces.com/Ukraine_Witness_Datasheet/Worksheet/youtube_dl_XUdZ3tLHF3k/index.html</t>
  </si>
  <si>
    <t>Херсон 2 марта 2022 г. тела погибших из теробороны</t>
  </si>
  <si>
    <t>https://twitter.com/CasusBellii/status/1499008888506654736</t>
  </si>
  <si>
    <t>Destruction of an armored plant in Kharkiv</t>
  </si>
  <si>
    <t>UW1148</t>
  </si>
  <si>
    <t>https://bellingcat-archive.nyc3.cdn.digitaloceanspaces.com/Ukraine_Witness_Datasheet/Worksheet/youtube_dl_1499008888506654736.mp4</t>
  </si>
  <si>
    <t>2022-03-02T14:05:31.646852+00:00</t>
  </si>
  <si>
    <t>https://bellingcat-archive.nyc3.cdn.digitaloceanspaces.com/Ukraine_Witness_Datasheet/Worksheet/youtube_dl__CasusBellii_status_14990088885066547362022-03-02T14:05:20.528703.png</t>
  </si>
  <si>
    <t>4c43d6738c9691682c515e653fd46f29e0c8f641f527c3875ea55f9d8c592a22</t>
  </si>
  <si>
    <t>https://bellingcat-archive.nyc3.cdn.digitaloceanspaces.com/Ukraine_Witness_Datasheet/Worksheet/youtube_dl_1499008888506654736/index.html</t>
  </si>
  <si>
    <t>Casus Belli - 🇷🇺🇺🇦🚨| Alleged footage showing the destruction of an armored plant warehouses on the morning of March 2 in Kharkiv.</t>
  </si>
  <si>
    <t>2022-03-02T13:09:03+00:00</t>
  </si>
  <si>
    <t>https://twitter.com/Tar_Milus/status/1499009127808487427</t>
  </si>
  <si>
    <t>Civilian protesting Russian occupation</t>
  </si>
  <si>
    <t>UW1149</t>
  </si>
  <si>
    <t>https://bellingcat-archive.nyc3.cdn.digitaloceanspaces.com/Ukraine_Witness_Datasheet/Worksheet/youtube_dl_1499009127808487427.mp4</t>
  </si>
  <si>
    <t>2022-03-02T14:05:45.686809+00:00</t>
  </si>
  <si>
    <t>https://bellingcat-archive.nyc3.cdn.digitaloceanspaces.com/Ukraine_Witness_Datasheet/Worksheet/youtube_dl__Tar_Milus_status_14990091278084874272022-03-02T14:05:33.921189.png</t>
  </si>
  <si>
    <t>b9126993d3d4f2a337d52c493bdd07aae5aa70181e8ea4ab1d376629d5233dc0</t>
  </si>
  <si>
    <t>https://bellingcat-archive.nyc3.cdn.digitaloceanspaces.com/Ukraine_Witness_Datasheet/Worksheet/youtube_dl_1499009127808487427/index.html</t>
  </si>
  <si>
    <t>TarMilus - Herson kenti. Ukrayna bayrakları taşıyan adam, Rus askerleri önünde tek kişilik eylem yapıyor. Şurada çekilmiş: 46°38'25.4"N 32°36'55.2"E.</t>
  </si>
  <si>
    <t>2022-03-02T13:10:00+00:00</t>
  </si>
  <si>
    <t>https://twitter.com/Tar_Milus/status/1499016155461267456</t>
  </si>
  <si>
    <t xml:space="preserve">Destroyed residential building </t>
  </si>
  <si>
    <t>UW1150</t>
  </si>
  <si>
    <t>https://bellingcat-archive.nyc3.cdn.digitaloceanspaces.com/Ukraine_Witness_Datasheet/Worksheet/twitter__Tar_Milus_status_1499016155461267456.html</t>
  </si>
  <si>
    <t>2022-03-02T14:05:57.404911+00:00</t>
  </si>
  <si>
    <t>https://bellingcat-archive.nyc3.cdn.digitaloceanspaces.com/Ukraine_Witness_Datasheet/Worksheet/twitter__Tar_Milus_status_14990161554612674562022-03-02T14:05:48.335924.png</t>
  </si>
  <si>
    <t>598939b1f8e05d21bcb60045cc303fb05784c313ec9f37e71abe63252a04fce6</t>
  </si>
  <si>
    <t>2022-03-02T13:37:56+00:00</t>
  </si>
  <si>
    <t>https://twitter.com/CasusBellii/status/1499016465386725380</t>
  </si>
  <si>
    <t>Russian shelling of Kharkiv</t>
  </si>
  <si>
    <t>Next to Pieshkova St tram stop/Graffiti wall</t>
  </si>
  <si>
    <t>UW1151</t>
  </si>
  <si>
    <t>https://bellingcat-archive.nyc3.cdn.digitaloceanspaces.com/Ukraine_Witness_Datasheet/Worksheet/youtube_dl_1499016465386725380.mp4</t>
  </si>
  <si>
    <t>2022-03-02T14:06:12.772005+00:00</t>
  </si>
  <si>
    <t>https://bellingcat-archive.nyc3.cdn.digitaloceanspaces.com/Ukraine_Witness_Datasheet/Worksheet/youtube_dl__CasusBellii_status_14990164653867253802022-03-02T14:06:00.037484.png</t>
  </si>
  <si>
    <t>41bf21cdd08b5336f6005048d82ad963fae5090b8490260de7a94b8ebcd18bb4</t>
  </si>
  <si>
    <t>https://bellingcat-archive.nyc3.cdn.digitaloceanspaces.com/Ukraine_Witness_Datasheet/Worksheet/youtube_dl_1499016465386725380/index.html</t>
  </si>
  <si>
    <t>Casus Belli - 🇷🇺🇺🇦🚨| Footage showing the russian strikes in Kharkiv today.   Ukrainian sources are claiming that the city council building was also hit today</t>
  </si>
  <si>
    <t>2022-03-02T13:39:10+00:00</t>
  </si>
  <si>
    <t>https://www.facebook.com/photo/?fbid=10209691341437443&amp;set=a.3760342824257</t>
  </si>
  <si>
    <t>Smoke rising from object in Black Sea near Odessa</t>
  </si>
  <si>
    <t>UW1152</t>
  </si>
  <si>
    <t>https://web.archive.org/web/20220302140631/https://www.facebook.com/photo/?fbid=10209691341437443&amp;set=a.3760342824257</t>
  </si>
  <si>
    <t>2022-03-02T14:06:45.281281+00:00</t>
  </si>
  <si>
    <t>https://bellingcat-archive.nyc3.cdn.digitaloceanspaces.com/Ukraine_Witness_Datasheet/Worksheet/wayback__photo_2022-03-02T14:06:37.315109.png</t>
  </si>
  <si>
    <t>https://twitter.com/nexta_tv/status/1499022073733201921</t>
  </si>
  <si>
    <t>Killed civilians as a result of Russian shelling</t>
  </si>
  <si>
    <t>UW1153</t>
  </si>
  <si>
    <t>https://bellingcat-archive.nyc3.cdn.digitaloceanspaces.com/Ukraine_Witness_Datasheet/Worksheet/youtube_dl_1499022073733201921.mp4</t>
  </si>
  <si>
    <t>2022-03-02T14:22:31.492596+00:00</t>
  </si>
  <si>
    <t>https://bellingcat-archive.nyc3.cdn.digitaloceanspaces.com/Ukraine_Witness_Datasheet/Worksheet/youtube_dl__nexta_tv_status_14990220737332019212022-03-02T14:22:19.298232.png</t>
  </si>
  <si>
    <t>083e6f64860e4a4d8fc060cd9ed851aa862f40070c44e2cc6d97f13379de458a</t>
  </si>
  <si>
    <t>https://bellingcat-archive.nyc3.cdn.digitaloceanspaces.com/Ukraine_Witness_Datasheet/Worksheet/youtube_dl_1499022073733201921/index.html</t>
  </si>
  <si>
    <t>NEXTA - ❗️Killed civilians as a result of the shelling in #Kharkiv  🔞Violent footage</t>
  </si>
  <si>
    <t>2022-03-02T14:01:27+00:00</t>
  </si>
  <si>
    <t>https://drive.google.com/file/d/15a3--mnRONRti0dipAm6C1EZzRrfLoHK/view?usp=sharing</t>
  </si>
  <si>
    <t>UW1154</t>
  </si>
  <si>
    <t>https://web.archive.org/web/20220302142310/https://drive.google.com/file/d/15a3--mnRONRti0dipAm6C1EZzRrfLoHK/view?usp=sharing</t>
  </si>
  <si>
    <t>2022-03-02T14:23:30.390723+00:00</t>
  </si>
  <si>
    <t>https://bellingcat-archive.nyc3.cdn.digitaloceanspaces.com/Ukraine_Witness_Datasheet/Worksheet/wayback__file_d_15a3--mnRONRti0dipAm6C1EZzRrfLoHK_view2022-03-02T14:23:22.177133.png</t>
  </si>
  <si>
    <t>https://drive.google.com/file/d/1Xx6bZFo6x_Wr2G4sEem3_1q9aNFIlhZE/view?usp=sharing</t>
  </si>
  <si>
    <t>UW1155</t>
  </si>
  <si>
    <t>https://web.archive.org/web/20220302143153/https://drive.google.com/file/d/1Xx6bZFo6x_Wr2G4sEem3_1q9aNFIlhZE/view?usp=sharing</t>
  </si>
  <si>
    <t>2022-03-02T14:32:08.656601+00:00</t>
  </si>
  <si>
    <t>https://bellingcat-archive.nyc3.cdn.digitaloceanspaces.com/Ukraine_Witness_Datasheet/Worksheet/wayback__file_d_1Xx6bZFo6x_Wr2G4sEem3_1q9aNFIlhZE_view2022-03-02T14:32:00.849119.png</t>
  </si>
  <si>
    <t>photo_2022-02-28_23-49-18_Konnyi_rinok.jpg - Google Drive</t>
  </si>
  <si>
    <t>https://drive.google.com/drive/folders/1qI6yrr1ruBpIdaxAqf5o3DK3j0z4NWoZ?usp=sharing</t>
  </si>
  <si>
    <t>UW1156</t>
  </si>
  <si>
    <t>https://web.archive.org/web/20220302143258/https://drive.google.com/drive/folders/1qI6yrr1ruBpIdaxAqf5o3DK3j0z4NWoZ?usp=sharing</t>
  </si>
  <si>
    <t>2022-03-02T14:33:19.213083+00:00</t>
  </si>
  <si>
    <t>https://bellingcat-archive.nyc3.cdn.digitaloceanspaces.com/Ukraine_Witness_Datasheet/Worksheet/wayback__drive_folders_1qI6yrr1ruBpIdaxAqf5o3DK3j0z4NWoZ2022-03-02T14:33:10.661112.png</t>
  </si>
  <si>
    <t>Kharkiv_inside the apartments - Google Drive</t>
  </si>
  <si>
    <t>https://drive.google.com/file/d/1DlK66OSFbWwpagTL78bHbY1_VZPaOSx_/view?usp=sharing</t>
  </si>
  <si>
    <t>UW1157</t>
  </si>
  <si>
    <t>https://web.archive.org/web/20220302143418/https://drive.google.com/file/d/1DlK66OSFbWwpagTL78bHbY1_VZPaOSx_/view?usp=sharing</t>
  </si>
  <si>
    <t>2022-03-02T14:35:04.634413+00:00</t>
  </si>
  <si>
    <t>https://bellingcat-archive.nyc3.cdn.digitaloceanspaces.com/Ukraine_Witness_Datasheet/Worksheet/wayback__file_d_1DlK66OSFbWwpagTL78bHbY1_VZPaOSx__view2022-03-02T14:34:56.772525.png</t>
  </si>
  <si>
    <t>https://drive.google.com/file/d/1A15q87eFH6K45NouP7VRFFp-5cK4hdm9/view?usp=sharing</t>
  </si>
  <si>
    <t>UW1158</t>
  </si>
  <si>
    <t>https://web.archive.org/web/20220302143632/https://drive.google.com/file/d/1A15q87eFH6K45NouP7VRFFp-5cK4hdm9/view?usp=sharing</t>
  </si>
  <si>
    <t>2022-03-02T14:36:58.469268+00:00</t>
  </si>
  <si>
    <t>https://bellingcat-archive.nyc3.cdn.digitaloceanspaces.com/Ukraine_Witness_Datasheet/Worksheet/wayback__file_d_1A15q87eFH6K45NouP7VRFFp-5cK4hdm9_view2022-03-02T14:36:50.718478.png</t>
  </si>
  <si>
    <t>https://twitter.com/RadovaNata/status/1498629509653880834</t>
  </si>
  <si>
    <t>UW1159</t>
  </si>
  <si>
    <t>https://bellingcat-archive.nyc3.cdn.digitaloceanspaces.com/Ukraine_Witness_Datasheet/Worksheet/youtube_dl_1498629509653880834.mp4</t>
  </si>
  <si>
    <t>2022-03-02T14:37:17.427353+00:00</t>
  </si>
  <si>
    <t>https://bellingcat-archive.nyc3.cdn.digitaloceanspaces.com/Ukraine_Witness_Datasheet/Worksheet/youtube_dl__RadovaNata_status_14986295096538808342022-03-02T14:37:04.272665.png</t>
  </si>
  <si>
    <t>2fa5fdc798a183cffd37f959b48eac210a6ba6c29f7eac6f4ff30ee8879f3b8c</t>
  </si>
  <si>
    <t>https://bellingcat-archive.nyc3.cdn.digitaloceanspaces.com/Ukraine_Witness_Datasheet/Worksheet/youtube_dl_1498629509653880834/index.html</t>
  </si>
  <si>
    <t>Ната Радова - Дачное Одесской области Откуда это прилетело?</t>
  </si>
  <si>
    <t>2022-03-01T12:01:32+00:00</t>
  </si>
  <si>
    <t>https://twitter.com/Angelkin_xmarki/status/1498630021119885314</t>
  </si>
  <si>
    <t>UW1160</t>
  </si>
  <si>
    <t>https://bellingcat-archive.nyc3.cdn.digitaloceanspaces.com/Ukraine_Witness_Datasheet/Worksheet/youtube_dl_1498630021119885314.mp4</t>
  </si>
  <si>
    <t>2022-03-02T14:37:33.067856+00:00</t>
  </si>
  <si>
    <t>https://bellingcat-archive.nyc3.cdn.digitaloceanspaces.com/Ukraine_Witness_Datasheet/Worksheet/youtube_dl__Angelkin_xmarki_status_14986300211198853142022-03-02T14:37:20.629317.png</t>
  </si>
  <si>
    <t>b71b2042eaadc109610c3494ee9b178c9e2c8c56d99aed461848f913f652ce83</t>
  </si>
  <si>
    <t>https://bellingcat-archive.nyc3.cdn.digitaloceanspaces.com/Ukraine_Witness_Datasheet/Worksheet/youtube_dl_1498630021119885314/index.html</t>
  </si>
  <si>
    <t>Анжела Архипова - С.Дачное, Одесская область</t>
  </si>
  <si>
    <t>2022-03-01T12:03:34+00:00</t>
  </si>
  <si>
    <t>46.67151919</t>
  </si>
  <si>
    <t>32.60978684</t>
  </si>
  <si>
    <t>https://twitter.com/hochu_dodomu/status/1498641493522800645</t>
  </si>
  <si>
    <t>CIV0128</t>
  </si>
  <si>
    <t>School No. 24 shelled in Kherson.</t>
  </si>
  <si>
    <t>UW1161</t>
  </si>
  <si>
    <t>https://bellingcat-archive.nyc3.cdn.digitaloceanspaces.com/Ukraine_Witness_Datasheet/Worksheet/youtube_dl_1498641493522800645.mp4</t>
  </si>
  <si>
    <t>2022-03-02T14:37:46.215754+00:00</t>
  </si>
  <si>
    <t>https://bellingcat-archive.nyc3.cdn.digitaloceanspaces.com/Ukraine_Witness_Datasheet/Worksheet/youtube_dl__hochu_dodomu_status_14986414935228006452022-03-02T14:37:35.131552.png</t>
  </si>
  <si>
    <t>bbbcb6c51ac8f9e735a0e90ddc116e22f0f4cc21d1e8c634b0315ea14b5a5e20</t>
  </si>
  <si>
    <t>https://bellingcat-archive.nyc3.cdn.digitaloceanspaces.com/Ukraine_Witness_Datasheet/Worksheet/youtube_dl_1498641493522800645/index.html</t>
  </si>
  <si>
    <t>hochu domoy v UA - Херсон  Таврик 24 школа</t>
  </si>
  <si>
    <t>2022-03-01T12:49:10+00:00</t>
  </si>
  <si>
    <t>https://twitter.com/RALee85/status/1499014791536549890</t>
  </si>
  <si>
    <t>Russian troops in city center</t>
  </si>
  <si>
    <t>UW1162</t>
  </si>
  <si>
    <t>https://bellingcat-archive.nyc3.cdn.digitaloceanspaces.com/Ukraine_Witness_Datasheet/Worksheet/youtube_dl_1499014791536549890.mp4</t>
  </si>
  <si>
    <t>2022-03-02T14:37:59.909936+00:00</t>
  </si>
  <si>
    <t>https://bellingcat-archive.nyc3.cdn.digitaloceanspaces.com/Ukraine_Witness_Datasheet/Worksheet/youtube_dl__RALee85_status_14990147915365498902022-03-02T14:37:48.483193.png</t>
  </si>
  <si>
    <t>0d5c0ac9874364e62f6ba09acc4d0b3dcbe0784e6d6d9ccdbcf62c6c0d36c650</t>
  </si>
  <si>
    <t>https://bellingcat-archive.nyc3.cdn.digitaloceanspaces.com/Ukraine_Witness_Datasheet/Worksheet/youtube_dl_1499014791536549890/index.html</t>
  </si>
  <si>
    <t>Rob Lee - Russian troops patrolling through Balakliya, Kharkiv Oblast.</t>
  </si>
  <si>
    <t>2022-03-02T13:32:31+00:00</t>
  </si>
  <si>
    <t>Michael C.</t>
  </si>
  <si>
    <r>
      <rPr>
        <sz val="11.0"/>
      </rPr>
      <t xml:space="preserve"> </t>
    </r>
    <r>
      <rPr>
        <color rgb="FF1155CC"/>
        <sz val="11.0"/>
        <u/>
      </rPr>
      <t>https://twitter.com/HromadskeUA/status/1498641421183721477?t=wIT-q_wv2BtWSb_68yIN5A</t>
    </r>
  </si>
  <si>
    <t>CIV0129</t>
  </si>
  <si>
    <t>Shelling of residential building on Novobavarskyi.</t>
  </si>
  <si>
    <t>UW1163</t>
  </si>
  <si>
    <t>https://web.archive.org/web/20220302153147/https://twitter.com/HromadskeUA/status/1498641421183721477?t=wIT-q_wv2BtWSb_68yIN5A</t>
  </si>
  <si>
    <t>2022-03-02T15:32:05.023361+00:00</t>
  </si>
  <si>
    <t>https://bellingcat-archive.nyc3.cdn.digitaloceanspaces.com/Ukraine_Witness_Datasheet/Worksheet/wayback_ https:__twitter.com_HromadskeUA_status_14986414211837214772022-03-02T15:31:56.497484.png</t>
  </si>
  <si>
    <t>https://twitter.com/nexta_tv/status/1499025009486045187</t>
  </si>
  <si>
    <t>Shelling of residential building in Saltovka, Kharkiv</t>
  </si>
  <si>
    <t>Saltovka</t>
  </si>
  <si>
    <t>UW1164</t>
  </si>
  <si>
    <t>https://bellingcat-archive.nyc3.cdn.digitaloceanspaces.com/Ukraine_Witness_Datasheet/Worksheet/twitter__nexta_tv_status_1499025009486045187.html</t>
  </si>
  <si>
    <t>2022-03-02T14:38:11.071273+00:00</t>
  </si>
  <si>
    <t>https://bellingcat-archive.nyc3.cdn.digitaloceanspaces.com/Ukraine_Witness_Datasheet/Worksheet/twitter__nexta_tv_status_14990250094860451872022-03-02T14:38:02.256086.png</t>
  </si>
  <si>
    <t>45380f31cbbd7910cbfd7f72308a9c2556f8e74a7e65920c51a46f84fc4509db</t>
  </si>
  <si>
    <t>2022-03-02T14:13:07+00:00</t>
  </si>
  <si>
    <t>https://twitter.com/RALee85/status/1499026794900602884</t>
  </si>
  <si>
    <t>UW1165</t>
  </si>
  <si>
    <t>https://bellingcat-archive.nyc3.cdn.digitaloceanspaces.com/Ukraine_Witness_Datasheet/Worksheet/youtube_dl_1499026794900602884.mp4</t>
  </si>
  <si>
    <t>2022-03-02T14:38:25.792485+00:00</t>
  </si>
  <si>
    <t>https://bellingcat-archive.nyc3.cdn.digitaloceanspaces.com/Ukraine_Witness_Datasheet/Worksheet/youtube_dl__RALee85_status_14990267949006028842022-03-02T14:38:13.593775.png</t>
  </si>
  <si>
    <t>5ce973bb24e1fa0db39743c958f941eea94e5962abe818ba79a2830c71545bbf</t>
  </si>
  <si>
    <t>https://bellingcat-archive.nyc3.cdn.digitaloceanspaces.com/Ukraine_Witness_Datasheet/Worksheet/youtube_dl_1499026794900602884/index.html</t>
  </si>
  <si>
    <t>Rob Lee - Russian troops in Balakliya. 3/</t>
  </si>
  <si>
    <t>2022-03-02T14:20:13+00:00</t>
  </si>
  <si>
    <t>https://twitter.com/MarQs__/status/1499026120490078212</t>
  </si>
  <si>
    <t>Aftermath of Russian shelling of residential area in Bordyanka</t>
  </si>
  <si>
    <t>Bordyanka</t>
  </si>
  <si>
    <t>https://www.google.com/maps/@50.6437502,29.9331862,3a,90y,199.27h,95.74t/data=!3m8!1e1!3m6!1sAF1QipMNIoxNzelliV986lwkHZGhmm6dxvjBMexf8L1P!2e10!3e11!6shttps:%2F%2Flh5.googleusercontent.com%2Fp%2FAF1QipMNIoxNzelliV986lwkHZGhmm6dxvjBMexf8L1P%3Dw203-h100-k-no-pi0-ya63.853607-ro0-fo100!7i6080!8i3040</t>
  </si>
  <si>
    <t>UW1166</t>
  </si>
  <si>
    <t>https://bellingcat-archive.nyc3.cdn.digitaloceanspaces.com/Ukraine_Witness_Datasheet/Worksheet/twitter__MarQs___status_1499026120490078212.html</t>
  </si>
  <si>
    <t>2022-03-02T14:38:38.241719+00:00</t>
  </si>
  <si>
    <t>https://bellingcat-archive.nyc3.cdn.digitaloceanspaces.com/Ukraine_Witness_Datasheet/Worksheet/twitter__MarQs___status_14990261204900782122022-03-02T14:38:28.994426.png</t>
  </si>
  <si>
    <t>2d0e7cb932ddcfa91fd8ccb6c106b4903dff822312d2e7ad99e3a41f554705c6</t>
  </si>
  <si>
    <t>2022-03-02T14:17:32+00:00</t>
  </si>
  <si>
    <t>https://twitter.com/HromadskeUA/status/1498641421183721477?t=wIT-q_wv2BtWSb_68yIN5A</t>
  </si>
  <si>
    <t>UW1167</t>
  </si>
  <si>
    <t>https://bellingcat-archive.nyc3.cdn.digitaloceanspaces.com/Ukraine_Witness_Datasheet/Worksheet/youtube_dl_1498641421183721477.mp4</t>
  </si>
  <si>
    <t>2022-03-02T15:32:19.059972+00:00</t>
  </si>
  <si>
    <t>https://bellingcat-archive.nyc3.cdn.digitaloceanspaces.com/Ukraine_Witness_Datasheet/Worksheet/youtube_dl__HromadskeUA_status_14986414211837214772022-03-02T15:32:07.336903.png</t>
  </si>
  <si>
    <t>dcf22fe2fcbee985005f989e0e5dc7080eaed41306c3f312781cf2539c6dcfd7</t>
  </si>
  <si>
    <t>https://bellingcat-archive.nyc3.cdn.digitaloceanspaces.com/Ukraine_Witness_Datasheet/Worksheet/youtube_dl_1498641421183721477/index.html</t>
  </si>
  <si>
    <t>hromadske - Близько 13:20 внаслідок авіаудару в м. Харків по проспекту Новобаварському частково зруйновано п’ятиповерховий житловий будинок. Кількість жертв та постраждалих уточнюється</t>
  </si>
  <si>
    <t>2022-03-01T12:48:52+00:00</t>
  </si>
  <si>
    <t>https://twitter.com/MarQs__/status/1498632893568065541?s=20&amp;t=YezQ6cWqbRHCl9P3C5tHRw</t>
  </si>
  <si>
    <t>CIV0131</t>
  </si>
  <si>
    <t>Russian soldiers shoot at person filming them.</t>
  </si>
  <si>
    <r>
      <rPr>
        <sz val="11.0"/>
      </rPr>
      <t xml:space="preserve">Verification: </t>
    </r>
    <r>
      <rPr>
        <color rgb="FF1155CC"/>
        <sz val="11.0"/>
        <u/>
      </rPr>
      <t>https://imgur.com/a/fMCX4TF</t>
    </r>
  </si>
  <si>
    <t>UW1168</t>
  </si>
  <si>
    <t>https://bellingcat-archive.nyc3.cdn.digitaloceanspaces.com/Ukraine_Witness_Datasheet/Worksheet/youtube_dl_1498632893568065541.mp4</t>
  </si>
  <si>
    <t>2022-03-02T15:32:35.013164+00:00</t>
  </si>
  <si>
    <t>https://bellingcat-archive.nyc3.cdn.digitaloceanspaces.com/Ukraine_Witness_Datasheet/Worksheet/youtube_dl__MarQs___status_14986328935680655412022-03-02T15:32:21.402518.png</t>
  </si>
  <si>
    <t>https://bellingcat-archive.nyc3.cdn.digitaloceanspaces.com/Ukraine_Witness_Datasheet/Worksheet/youtube_dl_1498632893568065541/index.html</t>
  </si>
  <si>
    <t>marqs - Russian Troops firing towards a civilian filming them in Borodyanka, #Kyiv (yesterday)</t>
  </si>
  <si>
    <t>2022-03-01T12:14:59+00:00</t>
  </si>
  <si>
    <t>https://t.me/voynareal/11727</t>
  </si>
  <si>
    <t>Ukranians take back ukrainian flag from Russian soldiers</t>
  </si>
  <si>
    <t>UW1169</t>
  </si>
  <si>
    <t>https://bellingcat-archive.nyc3.cdn.digitaloceanspaces.com/Ukraine_Witness_Datasheet/Worksheet/telegram_976c0cdea1.mp4</t>
  </si>
  <si>
    <t>2022-03-02T15:33:46.394094+00:00</t>
  </si>
  <si>
    <t>https://bellingcat-archive.nyc3.cdn.digitaloceanspaces.com/Ukraine_Witness_Datasheet/Worksheet/telegram__voynareal_117272022-03-02T15:32:35.813339.png</t>
  </si>
  <si>
    <t>b201643ee13c0ce250d6824a7e67071f4eaa00bc51501ddb4edc8dc9dbc7529a</t>
  </si>
  <si>
    <t>https://bellingcat-archive.nyc3.cdn.digitaloceanspaces.com/Ukraine_Witness_Datasheet/Worksheet/telegram_976c0cdea1/index.html</t>
  </si>
  <si>
    <t>2022-03-02T10:30:01+00:00</t>
  </si>
  <si>
    <t>https://twitter.com/ignis_fatum/status/1498988278061674512?s=20&amp;t=_wF5HmhyP0avqRAOYbvJBQ</t>
  </si>
  <si>
    <t>Aftermath of russian shelling/targeting building Kharkiv center</t>
  </si>
  <si>
    <t>UW1170</t>
  </si>
  <si>
    <t>https://bellingcat-archive.nyc3.cdn.digitaloceanspaces.com/Ukraine_Witness_Datasheet/Worksheet/youtube_dl_1498988278061674512.mp4</t>
  </si>
  <si>
    <t>2022-03-02T15:34:00.810895+00:00</t>
  </si>
  <si>
    <t>https://bellingcat-archive.nyc3.cdn.digitaloceanspaces.com/Ukraine_Witness_Datasheet/Worksheet/youtube_dl__ignis_fatum_status_14989882780616745122022-03-02T15:33:48.622812.png</t>
  </si>
  <si>
    <t>fb5df813af2160b3933ec3ef3f3cc07851b5ef4aa68f144aed2f7985c4c257ec</t>
  </si>
  <si>
    <t>https://bellingcat-archive.nyc3.cdn.digitaloceanspaces.com/Ukraine_Witness_Datasheet/Worksheet/youtube_dl_1498988278061674512/index.html</t>
  </si>
  <si>
    <t>Слава Україні🇺🇦 - 🛑🛑🛑‼️‼️‼️#BREAKING  INITIAL AFTERMATH OF THE #PUTIN REGIME TERRORISTS AIRSTRIKE ON THE KHARKIV CITY COUNCIL BUILDING .NEAR BY HOME GOT HIT AND PARTIALLY COLLAPSED  #UKRAINE #RUSSIA</t>
  </si>
  <si>
    <t>2022-03-02T11:47:10+00:00</t>
  </si>
  <si>
    <t>https://twitter.com/MarQs__/status/1499027108127027200</t>
  </si>
  <si>
    <t xml:space="preserve">Russian tank movement in Balkya </t>
  </si>
  <si>
    <t>Balakliya district administration building visible in video.</t>
  </si>
  <si>
    <t>UW1171</t>
  </si>
  <si>
    <t>https://bellingcat-archive.nyc3.cdn.digitaloceanspaces.com/Ukraine_Witness_Datasheet/Worksheet/youtube_dl_1499027108127027200.mp4</t>
  </si>
  <si>
    <t>2022-03-02T15:34:15.211640+00:00</t>
  </si>
  <si>
    <t>https://bellingcat-archive.nyc3.cdn.digitaloceanspaces.com/Ukraine_Witness_Datasheet/Worksheet/youtube_dl__MarQs___status_14990271081270272002022-03-02T15:34:02.983057.png</t>
  </si>
  <si>
    <t>9594300aa1e7ab4278913ee1ba0001117d2235e0147d4c247bf567807145ff98</t>
  </si>
  <si>
    <t>https://bellingcat-archive.nyc3.cdn.digitaloceanspaces.com/Ukraine_Witness_Datasheet/Worksheet/youtube_dl_1499027108127027200/index.html</t>
  </si>
  <si>
    <t>marqs - Russian forces in Balakliia, south of #Kharkiv</t>
  </si>
  <si>
    <t>2022-03-02T14:21:27+00:00</t>
  </si>
  <si>
    <t>https://t.me/place_kh/7848</t>
  </si>
  <si>
    <t>School damaged</t>
  </si>
  <si>
    <t>UW1172</t>
  </si>
  <si>
    <t>https://bellingcat-archive.nyc3.cdn.digitaloceanspaces.com/Ukraine_Witness_Datasheet/Worksheet/telegram__place_kh_7848.html</t>
  </si>
  <si>
    <t>2022-03-02T15:34:28.398192+00:00</t>
  </si>
  <si>
    <t>https://bellingcat-archive.nyc3.cdn.digitaloceanspaces.com/Ukraine_Witness_Datasheet/Worksheet/telegram__place_kh_78482022-03-02T15:34:15.981620.png</t>
  </si>
  <si>
    <t>d7be33a4cb5ed0768e10b43e1048ce605a73111bb6ceb3de1b120ec6b2ad479b</t>
  </si>
  <si>
    <t>2022-03-02T08:42:50+00:00</t>
  </si>
  <si>
    <t>https://t.me/hueviykharkov/47424</t>
  </si>
  <si>
    <t>UW1173</t>
  </si>
  <si>
    <t>https://bellingcat-archive.nyc3.cdn.digitaloceanspaces.com/Ukraine_Witness_Datasheet/Worksheet/telegram__hueviykharkov_47424.html</t>
  </si>
  <si>
    <t>2022-03-02T15:34:37.553630+00:00</t>
  </si>
  <si>
    <t>https://bellingcat-archive.nyc3.cdn.digitaloceanspaces.com/Ukraine_Witness_Datasheet/Worksheet/telegram__hueviykharkov_474242022-03-02T15:34:29.126405.png</t>
  </si>
  <si>
    <t>57357f943ea0a9f1586d57bc079e92fdf8f1a3e303e12249808dfd3378a8fd9f</t>
  </si>
  <si>
    <t>2022-03-02T05:46:37+00:00</t>
  </si>
  <si>
    <t>https://t.me/hueviykharkov/47406</t>
  </si>
  <si>
    <t>UW1174</t>
  </si>
  <si>
    <t>https://bellingcat-archive.nyc3.cdn.digitaloceanspaces.com/Ukraine_Witness_Datasheet/Worksheet/telegram_0f870acdf8.mp4</t>
  </si>
  <si>
    <t>2022-03-02T15:36:31.634672+00:00</t>
  </si>
  <si>
    <t>https://bellingcat-archive.nyc3.cdn.digitaloceanspaces.com/Ukraine_Witness_Datasheet/Worksheet/telegram__hueviykharkov_474062022-03-02T15:34:38.277304.png</t>
  </si>
  <si>
    <t>6b37e836bfdb60a9d9bf5af4f6a859be271c5cb8c6d049e83a11a59ed12e7ac0</t>
  </si>
  <si>
    <t>https://bellingcat-archive.nyc3.cdn.digitaloceanspaces.com/Ukraine_Witness_Datasheet/Worksheet/telegram_0f870acdf8/index.html</t>
  </si>
  <si>
    <t>2022-03-02T04:58:14+00:00</t>
  </si>
  <si>
    <t>https://t.me/livekharkov/28607</t>
  </si>
  <si>
    <t>UW1175</t>
  </si>
  <si>
    <t>https://bellingcat-archive.nyc3.cdn.digitaloceanspaces.com/Ukraine_Witness_Datasheet/Worksheet/telegram__livekharkov_28607.html</t>
  </si>
  <si>
    <t>2022-03-02T15:36:40.037579+00:00</t>
  </si>
  <si>
    <t>https://bellingcat-archive.nyc3.cdn.digitaloceanspaces.com/Ukraine_Witness_Datasheet/Worksheet/telegram__livekharkov_286072022-03-02T15:36:32.317995.png</t>
  </si>
  <si>
    <t>b17bb368a16d0bd0f3b3ca7b7f8c655e2050289ea492a4f950cc0ed8c125010b</t>
  </si>
  <si>
    <t>2022-03-02T11:50:39+00:00</t>
  </si>
  <si>
    <t>https://t.me/hueviykharkov/47518</t>
  </si>
  <si>
    <t>UW1176</t>
  </si>
  <si>
    <t>https://bellingcat-archive.nyc3.cdn.digitaloceanspaces.com/Ukraine_Witness_Datasheet/Worksheet/telegram__hueviykharkov_47518.html</t>
  </si>
  <si>
    <t>2022-03-02T15:36:48.068697+00:00</t>
  </si>
  <si>
    <t>https://bellingcat-archive.nyc3.cdn.digitaloceanspaces.com/Ukraine_Witness_Datasheet/Worksheet/telegram__hueviykharkov_475182022-03-02T15:36:40.708991.png</t>
  </si>
  <si>
    <t>3443a775ef0ce379cc3fa238fbcb6673ebab2e8643254363bec85d2ceb074232</t>
  </si>
  <si>
    <t>2022-03-02T12:15:52+00:00</t>
  </si>
  <si>
    <t>https://t.me/hueviykharkov/47516</t>
  </si>
  <si>
    <t>Fires after russian strikes</t>
  </si>
  <si>
    <t>UW1177</t>
  </si>
  <si>
    <t>https://bellingcat-archive.nyc3.cdn.digitaloceanspaces.com/Ukraine_Witness_Datasheet/Worksheet/telegram__hueviykharkov_47516.html</t>
  </si>
  <si>
    <t>2022-03-02T15:36:55.906155+00:00</t>
  </si>
  <si>
    <t>https://bellingcat-archive.nyc3.cdn.digitaloceanspaces.com/Ukraine_Witness_Datasheet/Worksheet/telegram__hueviykharkov_475162022-03-02T15:36:48.722809.png</t>
  </si>
  <si>
    <t>303b869f6b024f8aad26495cba6399d3790d6b6f984ae46fef2f41819098e769</t>
  </si>
  <si>
    <t>https://t.me/kharkov_now/10291</t>
  </si>
  <si>
    <t>Casette of missile in street</t>
  </si>
  <si>
    <t>UW1178</t>
  </si>
  <si>
    <t>https://bellingcat-archive.nyc3.cdn.digitaloceanspaces.com/Ukraine_Witness_Datasheet/Worksheet/telegram__kharkov_now_10291.html</t>
  </si>
  <si>
    <t>2022-03-02T16:05:20.239297+00:00</t>
  </si>
  <si>
    <t>https://bellingcat-archive.nyc3.cdn.digitaloceanspaces.com/Ukraine_Witness_Datasheet/Worksheet/telegram__kharkov_now_102912022-03-02T16:05:09.508762.png</t>
  </si>
  <si>
    <t>14037e9bc1d4ac994e81ed92edafd79773acc39bec449d43708c17c5a519d98b</t>
  </si>
  <si>
    <t>2022-02-28T14:58:45+00:00</t>
  </si>
  <si>
    <t>https://twitter.com/nexta_tv/status/1498994384880209925</t>
  </si>
  <si>
    <t>CIV0159</t>
  </si>
  <si>
    <t>UW1179</t>
  </si>
  <si>
    <t>https://bellingcat-archive.nyc3.cdn.digitaloceanspaces.com/Ukraine_Witness_Datasheet/Worksheet/twitter__nexta_tv_status_1498994384880209925.html</t>
  </si>
  <si>
    <t>2022-03-02T16:05:31.074693+00:00</t>
  </si>
  <si>
    <t>https://bellingcat-archive.nyc3.cdn.digitaloceanspaces.com/Ukraine_Witness_Datasheet/Worksheet/twitter__nexta_tv_status_14989943848802099252022-03-02T16:05:22.967064.png</t>
  </si>
  <si>
    <t>6f336c7b3b7b89d3d510706bc3089c8be33d6903c2a4b53a148cad13544c5d74</t>
  </si>
  <si>
    <t>2022-03-02T12:11:25+00:00</t>
  </si>
  <si>
    <t>https://twitter.com/nexta_tv/status/1498993144876212227</t>
  </si>
  <si>
    <t>Residential building struck</t>
  </si>
  <si>
    <t>UW1180</t>
  </si>
  <si>
    <t>https://bellingcat-archive.nyc3.cdn.digitaloceanspaces.com/Ukraine_Witness_Datasheet/Worksheet/twitter__nexta_tv_status_1498993144876212227.html</t>
  </si>
  <si>
    <t>2022-03-02T16:05:41.953584+00:00</t>
  </si>
  <si>
    <t>https://bellingcat-archive.nyc3.cdn.digitaloceanspaces.com/Ukraine_Witness_Datasheet/Worksheet/twitter__nexta_tv_status_14989931448762122272022-03-02T16:05:32.965497.png</t>
  </si>
  <si>
    <t>c9bfd13ea144075563507e5a1fbe167d13581da809d17a3e47217cedf07b4db9</t>
  </si>
  <si>
    <t>2022-03-02T12:06:30+00:00</t>
  </si>
  <si>
    <t>https://twitter.com/nexta_tv/status/1498971207051497475</t>
  </si>
  <si>
    <t>Protest in front of russian soldiers</t>
  </si>
  <si>
    <t>UW1181</t>
  </si>
  <si>
    <t>https://bellingcat-archive.nyc3.cdn.digitaloceanspaces.com/Ukraine_Witness_Datasheet/Worksheet/youtube_dl_1498971207051497475.mp4</t>
  </si>
  <si>
    <t>2022-03-02T16:05:58.874483+00:00</t>
  </si>
  <si>
    <t>https://bellingcat-archive.nyc3.cdn.digitaloceanspaces.com/Ukraine_Witness_Datasheet/Worksheet/youtube_dl__nexta_tv_status_14989712070514974752022-03-02T16:05:44.281873.png</t>
  </si>
  <si>
    <t>8956e4736b7734857f57c20d3e3532652a351ea81828e1c81372c12597de33d5</t>
  </si>
  <si>
    <t>https://bellingcat-archive.nyc3.cdn.digitaloceanspaces.com/Ukraine_Witness_Datasheet/Worksheet/youtube_dl_1498971207051497475/index.html</t>
  </si>
  <si>
    <t>NEXTA - In #Kherson, people defended their flag, which the occupiers tried to take away.</t>
  </si>
  <si>
    <t>2022-03-02T10:39:19+00:00</t>
  </si>
  <si>
    <t>https://twitter.com/nexta_tv/status/1499047434567180289</t>
  </si>
  <si>
    <t>Russian military fires stun grenades at civilians</t>
  </si>
  <si>
    <t>Energodar</t>
  </si>
  <si>
    <t>UW1182</t>
  </si>
  <si>
    <t>https://bellingcat-archive.nyc3.cdn.digitaloceanspaces.com/Ukraine_Witness_Datasheet/Worksheet/youtube_dl_1499047434567180289.mp4</t>
  </si>
  <si>
    <t>2022-03-02T16:06:12.949185+00:00</t>
  </si>
  <si>
    <t>https://bellingcat-archive.nyc3.cdn.digitaloceanspaces.com/Ukraine_Witness_Datasheet/Worksheet/youtube_dl__nexta_tv_status_14990474345671802892022-03-02T16:06:01.213396.png</t>
  </si>
  <si>
    <t>7ade82f59c20ab157f3451d36e30840d02f173171e4abb190dd8e0b14b98871c</t>
  </si>
  <si>
    <t>https://bellingcat-archive.nyc3.cdn.digitaloceanspaces.com/Ukraine_Witness_Datasheet/Worksheet/youtube_dl_1499047434567180289/index.html</t>
  </si>
  <si>
    <t>NEXTA - In #Energodar, the invaders used stun grenades against the civilian population.</t>
  </si>
  <si>
    <t>2022-03-02T15:42:14+00:00</t>
  </si>
  <si>
    <t>https://t.me/HersonDN/2712</t>
  </si>
  <si>
    <t>UW1183</t>
  </si>
  <si>
    <t>https://bellingcat-archive.nyc3.cdn.digitaloceanspaces.com/Ukraine_Witness_Datasheet/Worksheet/youtube_dl_1498960682850607105.mp4</t>
  </si>
  <si>
    <t>2022-03-02T16:06:28.522477+00:00</t>
  </si>
  <si>
    <t>https://bellingcat-archive.nyc3.cdn.digitaloceanspaces.com/Ukraine_Witness_Datasheet/Worksheet/youtube_dl__MarQs___status_14989606828506071052022-03-02T16:06:15.669179.png</t>
  </si>
  <si>
    <t>db9e11956ade140209c0fba849437d8fd682d5b3cca2a70c7f70d9f4d9a06e8f</t>
  </si>
  <si>
    <t>https://bellingcat-archive.nyc3.cdn.digitaloceanspaces.com/Ukraine_Witness_Datasheet/Worksheet/youtube_dl_1498960682850607105/index.html</t>
  </si>
  <si>
    <t>marqs - #Kherson</t>
  </si>
  <si>
    <t>2022-03-02T09:57:30+00:00</t>
  </si>
  <si>
    <t>https://twitter.com/GirkinGirkin/status/1499049012493570049</t>
  </si>
  <si>
    <t>Russian military movement in Melitopol</t>
  </si>
  <si>
    <t>UW1184</t>
  </si>
  <si>
    <t>https://bellingcat-archive.nyc3.cdn.digitaloceanspaces.com/Ukraine_Witness_Datasheet/Worksheet/youtube_dl_1499049012493570049.mp4</t>
  </si>
  <si>
    <t>2022-03-02T16:06:45.093054+00:00</t>
  </si>
  <si>
    <t>https://bellingcat-archive.nyc3.cdn.digitaloceanspaces.com/Ukraine_Witness_Datasheet/Worksheet/youtube_dl__GirkinGirkin_status_14990490124935700492022-03-02T16:06:30.850981.png</t>
  </si>
  <si>
    <t>31a2c4e0c2570fb985aed9b1c7afa7c78abce5206953ce7ffc92deaf6c9ee172</t>
  </si>
  <si>
    <t>https://bellingcat-archive.nyc3.cdn.digitaloceanspaces.com/Ukraine_Witness_Datasheet/Worksheet/youtube_dl_1499049012493570049/index.html</t>
  </si>
  <si>
    <t>IgorGirkin - Мелитополь, 2 марта</t>
  </si>
  <si>
    <t>2022-03-02T15:48:30+00:00</t>
  </si>
  <si>
    <t>https://t.me/operativnoZSU/10280</t>
  </si>
  <si>
    <t>Russian airstrik on residential building</t>
  </si>
  <si>
    <t>UW1185</t>
  </si>
  <si>
    <t>https://bellingcat-archive.nyc3.cdn.digitaloceanspaces.com/Ukraine_Witness_Datasheet/Worksheet/telegram__operativnoZSU_10280.html</t>
  </si>
  <si>
    <t>2022-03-02T16:06:53.503007+00:00</t>
  </si>
  <si>
    <t>https://bellingcat-archive.nyc3.cdn.digitaloceanspaces.com/Ukraine_Witness_Datasheet/Worksheet/telegram__operativnoZSU_102802022-03-02T16:06:46.143547.png</t>
  </si>
  <si>
    <t>9b40dd907e3e24e80efa87046ff3dbf0643c3b0b712dee7ddb9a448c4a4bded3</t>
  </si>
  <si>
    <t>https://twitter.com/Tar_Milus/status/1498730997956947973</t>
  </si>
  <si>
    <t>https://twitter.com/Tar_Milus/status/1498851656104042498</t>
  </si>
  <si>
    <t>Bashtanka</t>
  </si>
  <si>
    <t>UW1186</t>
  </si>
  <si>
    <t>https://bellingcat-archive.nyc3.cdn.digitaloceanspaces.com/Ukraine_Witness_Datasheet/Worksheet/youtube_dl_1498730997956947973.mp4</t>
  </si>
  <si>
    <t>2022-03-02T16:07:09.066307+00:00</t>
  </si>
  <si>
    <t>https://bellingcat-archive.nyc3.cdn.digitaloceanspaces.com/Ukraine_Witness_Datasheet/Worksheet/youtube_dl__Tar_Milus_status_14987309979569479732022-03-02T16:06:56.148382.png</t>
  </si>
  <si>
    <t>1fbb2bb6b023e0dc8de6fd440e8443d613e96177a985f1bf1f0777a11dd89ad2</t>
  </si>
  <si>
    <t>https://bellingcat-archive.nyc3.cdn.digitaloceanspaces.com/Ukraine_Witness_Datasheet/Worksheet/youtube_dl_1498730997956947973/index.html</t>
  </si>
  <si>
    <t>TarMilus - Muhtemelen Mikolayiv Oblastı. Geriye pek bir şey kalmamış, neyin imha edildiği anlaşılmıyor.</t>
  </si>
  <si>
    <t>2022-03-01T18:44:49+00:00</t>
  </si>
  <si>
    <t>https://twitter.com/ua_ridna_vilna/status/1499046370187128840</t>
  </si>
  <si>
    <t>UW1187</t>
  </si>
  <si>
    <t>wayback: Internet Archive failed: {'status': 'error', 'message': 'The server cannot find the requested resource https://twitter.com/ua_ridna_vilna/status/1499046370187128840 (HTTP status=404).', 'job_id': 'spn2-84a12855b714c1648bbda43940fae7c73cf0e245-1928ea6a', 'status_ext': 'error:not-found', 'duration_sec': 4.094, 'resources': []}</t>
  </si>
  <si>
    <t>2022-03-02T16:16:05.207825+00:00</t>
  </si>
  <si>
    <t>https://twitter.com/ua_zinkoviy/status/1499053530686046210</t>
  </si>
  <si>
    <t>UW1188</t>
  </si>
  <si>
    <t>https://bellingcat-archive.nyc3.cdn.digitaloceanspaces.com/Ukraine_Witness_Datasheet/Worksheet/youtube_dl_1499053530686046210.mp4</t>
  </si>
  <si>
    <t>2022-03-02T16:16:21.850025+00:00</t>
  </si>
  <si>
    <t>https://bellingcat-archive.nyc3.cdn.digitaloceanspaces.com/Ukraine_Witness_Datasheet/Worksheet/youtube_dl__ua_zinkoviy_status_14990535306860462102022-03-02T16:16:08.517094.png</t>
  </si>
  <si>
    <t>8bfff215407d764b959d053e905373fa65e9c6d429b230e2448597b07fc2eb25</t>
  </si>
  <si>
    <t>https://bellingcat-archive.nyc3.cdn.digitaloceanspaces.com/Ukraine_Witness_Datasheet/Worksheet/youtube_dl_1499053530686046210/index.html</t>
  </si>
  <si>
    <t>Константиновский - Обстрел 1 марта вечером. #PutinHitler #Константиновка</t>
  </si>
  <si>
    <t>2022-03-02T16:06:27+00:00</t>
  </si>
  <si>
    <t>https://twitter.com/YWNReporter/status/1498943189138685952</t>
  </si>
  <si>
    <t>INV0006</t>
  </si>
  <si>
    <t>Russian soldier attempting to break into store</t>
  </si>
  <si>
    <t>UW1189</t>
  </si>
  <si>
    <t>https://bellingcat-archive.nyc3.cdn.digitaloceanspaces.com/Ukraine_Witness_Datasheet/Worksheet/youtube_dl_1498943189138685952.mp4</t>
  </si>
  <si>
    <t>2022-03-02T16:16:42.546051+00:00</t>
  </si>
  <si>
    <t>https://bellingcat-archive.nyc3.cdn.digitaloceanspaces.com/Ukraine_Witness_Datasheet/Worksheet/youtube_dl__YWNReporter_status_14989431891386859522022-03-02T16:16:24.985490.png</t>
  </si>
  <si>
    <t>2ef94c557f971cde889687c727da61c9ce40ece1d72bba63942b10925cf5e74d</t>
  </si>
  <si>
    <t>https://bellingcat-archive.nyc3.cdn.digitaloceanspaces.com/Ukraine_Witness_Datasheet/Worksheet/youtube_dl_1498943189138685952/index.html</t>
  </si>
  <si>
    <t>Moshe Schwartz - Russian soldier vs. Door.  Kherson, Ukraine.</t>
  </si>
  <si>
    <t>2022-03-02T08:47:59+00:00</t>
  </si>
  <si>
    <t>https://twitter.com/Danspiun/status/1499053606586261505</t>
  </si>
  <si>
    <t>UW1190</t>
  </si>
  <si>
    <t>https://web.archive.org/web/20220302162051/https://twitter.com/Danspiun/status/1499053606586261505</t>
  </si>
  <si>
    <t>2022-03-02T16:21:11.761924+00:00</t>
  </si>
  <si>
    <t>https://bellingcat-archive.nyc3.cdn.digitaloceanspaces.com/Ukraine_Witness_Datasheet/Worksheet/wayback__Danspiun_status_14990536065862615052022-03-02T16:21:03.243906.png</t>
  </si>
  <si>
    <t>https://twitter.com/Tar_Milus/status/1499055732813021186</t>
  </si>
  <si>
    <t>Fighting between Russian and Ukrainian forces</t>
  </si>
  <si>
    <t>Donestk Oblast</t>
  </si>
  <si>
    <t xml:space="preserve">Mariupol </t>
  </si>
  <si>
    <t>UW1191</t>
  </si>
  <si>
    <t>https://bellingcat-archive.nyc3.cdn.digitaloceanspaces.com/Ukraine_Witness_Datasheet/Worksheet/youtube_dl_1499055732813021186.mp4</t>
  </si>
  <si>
    <t>2022-03-02T16:21:29.597039+00:00</t>
  </si>
  <si>
    <t>https://bellingcat-archive.nyc3.cdn.digitaloceanspaces.com/Ukraine_Witness_Datasheet/Worksheet/youtube_dl__Tar_Milus_status_14990557328130211862022-03-02T16:21:14.623982.png</t>
  </si>
  <si>
    <t>cdc163adbcca326f4b7e8f736799aa171d806e7b7c384ae8740907ca98905183</t>
  </si>
  <si>
    <t>https://bellingcat-archive.nyc3.cdn.digitaloceanspaces.com/Ukraine_Witness_Datasheet/Worksheet/youtube_dl_1499055732813021186/index.html</t>
  </si>
  <si>
    <t>TarMilus - Mariupol'da çatışma var. Rus birlikleri kent sınırları içinde. 47°06'33.3"N 37°33'13.8"E.</t>
  </si>
  <si>
    <t>2022-03-02T16:15:12+00:00</t>
  </si>
  <si>
    <t>-</t>
  </si>
  <si>
    <t>UW1192</t>
  </si>
  <si>
    <t>https://web.archive.org/web/20220302163100/https://twitter.com/hashtag/Lisichansk?src=hashtag_click</t>
  </si>
  <si>
    <t>2022-03-02T16:31:18.841379+00:00</t>
  </si>
  <si>
    <t>https://bellingcat-archive.nyc3.cdn.digitaloceanspaces.com/Ukraine_Witness_Datasheet/Worksheet/wayback__hashtag_Lisichansk2022-03-02T16:31:10.325248.png</t>
  </si>
  <si>
    <t>https://twitter.com/RALee85/status/1499053814241968133</t>
  </si>
  <si>
    <t>Russian Su-25 attack aircraft conducting an air strike in Irpin</t>
  </si>
  <si>
    <t>https://twitter.com/trbrtc/status/1499061427964981248</t>
  </si>
  <si>
    <t xml:space="preserve">Irpin </t>
  </si>
  <si>
    <t>UW1193</t>
  </si>
  <si>
    <t>https://bellingcat-archive.nyc3.cdn.digitaloceanspaces.com/Ukraine_Witness_Datasheet/Worksheet/youtube_dl_1499053814241968133.mp4</t>
  </si>
  <si>
    <t>2022-03-02T16:50:23.993472+00:00</t>
  </si>
  <si>
    <t>https://bellingcat-archive.nyc3.cdn.digitaloceanspaces.com/Ukraine_Witness_Datasheet/Worksheet/youtube_dl__RALee85_status_14990538142419681332022-03-02T16:50:11.894019.png</t>
  </si>
  <si>
    <t>ca857698715680ee7fd426f086b0a606fa44a84c92954ef6590c0d98fb156e6b</t>
  </si>
  <si>
    <t>https://bellingcat-archive.nyc3.cdn.digitaloceanspaces.com/Ukraine_Witness_Datasheet/Worksheet/youtube_dl_1499053814241968133/index.html</t>
  </si>
  <si>
    <t>Rob Lee - Video of Russian Su-25 attack aircraft conducting an air strike in Irpin.</t>
  </si>
  <si>
    <t>2022-03-02T16:07:35+00:00</t>
  </si>
  <si>
    <t>https://twitter.com/200_zoka/status/1498984710239883264</t>
  </si>
  <si>
    <t>Russian VDV troops moving West</t>
  </si>
  <si>
    <t>https://twitter.com/OAlexanderDK/status/1498986452172038144</t>
  </si>
  <si>
    <t>UW1194</t>
  </si>
  <si>
    <t>https://bellingcat-archive.nyc3.cdn.digitaloceanspaces.com/Ukraine_Witness_Datasheet/Worksheet/youtube_dl_1498984710239883264.mp4</t>
  </si>
  <si>
    <t>2022-03-02T16:55:24.910838+00:00</t>
  </si>
  <si>
    <t>https://bellingcat-archive.nyc3.cdn.digitaloceanspaces.com/Ukraine_Witness_Datasheet/Worksheet/youtube_dl__200_zoka_status_14989847102398832642022-03-02T16:55:11.717695.png</t>
  </si>
  <si>
    <t>dd8b28959b97753e149fbaa4634c07192dd7215efa64d2609f2f4ebd10c861d3</t>
  </si>
  <si>
    <t>https://bellingcat-archive.nyc3.cdn.digitaloceanspaces.com/Ukraine_Witness_Datasheet/Worksheet/youtube_dl_1498984710239883264/index.html</t>
  </si>
  <si>
    <t>ZOKA - Russians at city</t>
  </si>
  <si>
    <t>2022-03-02T11:32:59+00:00</t>
  </si>
  <si>
    <t>https://twitter.com/SputnikATO/status/1499071102873657349</t>
  </si>
  <si>
    <t>Vessel Banglar Samriddhi hit by missile</t>
  </si>
  <si>
    <t>Stara Bohdanivka</t>
  </si>
  <si>
    <t>https://www.marinetraffic.com/en/ais/details/ships/shipid:5662725/mmsi:405000241/imo:9793832/vessel:BANGLAR_SAMRIDDHI</t>
  </si>
  <si>
    <t>UW1195</t>
  </si>
  <si>
    <t>https://bellingcat-archive.nyc3.cdn.digitaloceanspaces.com/Ukraine_Witness_Datasheet/Worksheet/youtube_dl_1499071102873657349.mp4</t>
  </si>
  <si>
    <t>2022-03-02T17:20:22.714861+00:00</t>
  </si>
  <si>
    <t>https://bellingcat-archive.nyc3.cdn.digitaloceanspaces.com/Ukraine_Witness_Datasheet/Worksheet/youtube_dl__SputnikATO_status_14990711028736573492022-03-02T17:20:12.257778.png</t>
  </si>
  <si>
    <t>399ad73809f4d272b82263f81b617eae804b898535d6ee5672d4fab9d47cd533</t>
  </si>
  <si>
    <t>https://bellingcat-archive.nyc3.cdn.digitaloceanspaces.com/Ukraine_Witness_Datasheet/Worksheet/youtube_dl_1499071102873657349/index.html</t>
  </si>
  <si>
    <t>Спутник News АТО - ⚡Подбили корабль в Николаеве.                                         Судно Banglar Samriddhi (флаг Бангладеш) попала ракета РФ. На судне пожар, по предварительным данным, травмированных нет.</t>
  </si>
  <si>
    <t>2022-03-02T17:16:16+00:00</t>
  </si>
  <si>
    <t>https://twitter.com/aldin_ww/status/1499075890176831489</t>
  </si>
  <si>
    <t>Russian Forces in center of Kamyanka-Dniprovsk</t>
  </si>
  <si>
    <t>Kamyanka-Dniprovska</t>
  </si>
  <si>
    <t>UW1196</t>
  </si>
  <si>
    <t>https://bellingcat-archive.nyc3.cdn.digitaloceanspaces.com/Ukraine_Witness_Datasheet/Worksheet/twitter__aldin_ww_status_1499075890176831489.html</t>
  </si>
  <si>
    <t>2022-03-02T17:50:21.413233+00:00</t>
  </si>
  <si>
    <t>https://bellingcat-archive.nyc3.cdn.digitaloceanspaces.com/Ukraine_Witness_Datasheet/Worksheet/twitter__aldin_ww_status_14990758901768314892022-03-02T17:50:11.982305.png</t>
  </si>
  <si>
    <t>c32cc4c9c8491f6c1b5c85a794ee912178769f268e98018cbe708d0d54094417</t>
  </si>
  <si>
    <t>2022-03-02T17:35:18+00:00</t>
  </si>
  <si>
    <t>https://www.youtube.com/watch?v=YQBLdkt1Lew&amp;ab_channel=%D0%9C%D0%B0%D0%BA%D1%81%D0%90%D0%BD%D0%B4%D1%80%D0%B5%D0%B5%D0%B2</t>
  </si>
  <si>
    <t>Destruction at market after strike</t>
  </si>
  <si>
    <t>UW1197</t>
  </si>
  <si>
    <t>https://bellingcat-archive.nyc3.cdn.digitaloceanspaces.com/Ukraine_Witness_Datasheet/Worksheet/youtube_dl_YQBLdkt1Lew.webm</t>
  </si>
  <si>
    <t>2022-03-02T20:25:52.576476+00:00</t>
  </si>
  <si>
    <t>https://bellingcat-archive.nyc3.cdn.digitaloceanspaces.com/Ukraine_Witness_Datasheet/Worksheet/youtube_dl__watch2022-03-02T20:25:17.567671.png</t>
  </si>
  <si>
    <t>5887f539bafbcb6fc7fbf0ae3763644da0720b8d3b85d52ac641aeeb1affbb95</t>
  </si>
  <si>
    <t>https://bellingcat-archive.nyc3.cdn.digitaloceanspaces.com/Ukraine_Witness_Datasheet/Worksheet/youtube_dl_YQBLdkt1Lew/index.html</t>
  </si>
  <si>
    <t>Украина.Мариуполь.левый берег.02.03.2022</t>
  </si>
  <si>
    <t>2022-03-02T00:00:00+00:00</t>
  </si>
  <si>
    <t>Dead body in a shelled damadged vehicle, Kherson license plate, strike hit building too</t>
  </si>
  <si>
    <t>UW1198</t>
  </si>
  <si>
    <t>https://bellingcat-archive.nyc3.cdn.digitaloceanspaces.com/Ukraine_Witness_Datasheet/Worksheet/telegram_8edcfd406f.mp4</t>
  </si>
  <si>
    <t>2022-03-02T21:01:52.890320+00:00</t>
  </si>
  <si>
    <t>https://bellingcat-archive.nyc3.cdn.digitaloceanspaces.com/Ukraine_Witness_Datasheet/Worksheet/telegram__HersonDN_27122022-03-02T21:00:10.232571.png</t>
  </si>
  <si>
    <t>4a61b154748c341868c4aa6fdf61bb22b4bc4760b90569e45a2f1b172f1eb4c9</t>
  </si>
  <si>
    <t>https://bellingcat-archive.nyc3.cdn.digitaloceanspaces.com/Ukraine_Witness_Datasheet/Worksheet/telegram_8edcfd406f/index.html</t>
  </si>
  <si>
    <t>2022-03-02T10:12:02+00:00</t>
  </si>
  <si>
    <r>
      <rPr>
        <sz val="11.0"/>
      </rPr>
      <t xml:space="preserve"> </t>
    </r>
    <r>
      <rPr>
        <color rgb="FF1155CC"/>
        <sz val="11.0"/>
        <u/>
      </rPr>
      <t>https://twitter.com/GirkinGirkin/status/1499236342781382660</t>
    </r>
  </si>
  <si>
    <t xml:space="preserve">&gt;47 vehicle russian convoy in chertkovo, next to russian ukrainian border, donetsk oblast, the morning of 24 feb </t>
  </si>
  <si>
    <t>Chertkovo</t>
  </si>
  <si>
    <t>https://www.google.com/maps/@49.3776324,40.1546461,3a,75y,102.78h,84.85t/data=!3m6!1e1!3m4!1sD5hhcU110UCTDJzU65aqMw!2e0!7i13312!8i6656</t>
  </si>
  <si>
    <t>UW1199</t>
  </si>
  <si>
    <t>https://web.archive.org/web/20220303055554/https://twitter.com/GirkinGirkin/status/1499236342781382660</t>
  </si>
  <si>
    <t>2022-03-03T05:56:12.345865+00:00</t>
  </si>
  <si>
    <t>https://bellingcat-archive.nyc3.cdn.digitaloceanspaces.com/Ukraine_Witness_Datasheet/Worksheet/wayback_ https:__twitter.com_GirkinGirkin_status_14992363427813826602022-03-03T05:56:03.652202.png</t>
  </si>
  <si>
    <t>https://twitter.com/GirkinGirkin/status/1499101902470062093</t>
  </si>
  <si>
    <t>russian convoy</t>
  </si>
  <si>
    <t>UW1200</t>
  </si>
  <si>
    <t>https://bellingcat-archive.nyc3.cdn.digitaloceanspaces.com/Ukraine_Witness_Datasheet/Worksheet/youtube_dl_1499101902470062093.mp4</t>
  </si>
  <si>
    <t>2022-03-03T06:45:25.640062+00:00</t>
  </si>
  <si>
    <t>https://bellingcat-archive.nyc3.cdn.digitaloceanspaces.com/Ukraine_Witness_Datasheet/Worksheet/youtube_dl__GirkinGirkin_status_14991019024700620932022-03-03T06:45:14.604714.png</t>
  </si>
  <si>
    <t>88feb7b3b9e80df1d020781ea9fbce6aafe88626c29b26630073c3b4ac16fd85</t>
  </si>
  <si>
    <t>https://bellingcat-archive.nyc3.cdn.digitaloceanspaces.com/Ukraine_Witness_Datasheet/Worksheet/youtube_dl_1499101902470062093/index.html</t>
  </si>
  <si>
    <t>IgorGirkin - Климово, Брянск, загружено 4 ч назад</t>
  </si>
  <si>
    <t>2022-03-02T19:18:40+00:00</t>
  </si>
  <si>
    <t>https://twitter.com/itsector/status/1498669362789638150</t>
  </si>
  <si>
    <t>CIV0134</t>
  </si>
  <si>
    <t>Widespread shelling damage kills civilians</t>
  </si>
  <si>
    <t>https://imgur.com/a/xfqFaK9</t>
  </si>
  <si>
    <t>UW1201</t>
  </si>
  <si>
    <t>https://bellingcat-archive.nyc3.cdn.digitaloceanspaces.com/Ukraine_Witness_Datasheet/Worksheet/youtube_dl_1498669362789638150.mp4</t>
  </si>
  <si>
    <t>2022-03-03T07:00:36.111299+00:00</t>
  </si>
  <si>
    <t>https://bellingcat-archive.nyc3.cdn.digitaloceanspaces.com/Ukraine_Witness_Datasheet/Worksheet/youtube_dl__itsector_status_14986693627896381502022-03-03T07:00:19.439922.png</t>
  </si>
  <si>
    <t>e77071daf00e057d66a75f697acfa2162313bda746da3301b0ceecddd573d4df</t>
  </si>
  <si>
    <t>https://bellingcat-archive.nyc3.cdn.digitaloceanspaces.com/Ukraine_Witness_Datasheet/Worksheet/youtube_dl_1498669362789638150/index.html</t>
  </si>
  <si>
    <t>IT Sector Харків - #Харків один зі спальних районів міста після бомбьожки окупантами. Будівлі зруйновано. Багато загиблих і поранених. #StopRussia #StopPutin</t>
  </si>
  <si>
    <t>2022-03-01T14:39:54+00:00</t>
  </si>
  <si>
    <t>01/03/2023</t>
  </si>
  <si>
    <t>https://t.me/nexta_live/18884</t>
  </si>
  <si>
    <t>https://imgur.com/a/xfqFaK10</t>
  </si>
  <si>
    <t>UW1202</t>
  </si>
  <si>
    <t>https://bellingcat-archive.nyc3.cdn.digitaloceanspaces.com/Ukraine_Witness_Datasheet/Worksheet/telegram_8c890305b7.mp4</t>
  </si>
  <si>
    <t>2022-03-03T07:00:49.451170+00:00</t>
  </si>
  <si>
    <t>https://bellingcat-archive.nyc3.cdn.digitaloceanspaces.com/Ukraine_Witness_Datasheet/Worksheet/telegram__nexta_live_188842022-03-03T07:00:36.945164.png</t>
  </si>
  <si>
    <t>69db752468744d71a4449d81bf55d196e29d8d07b2c550fee0d40da130671387</t>
  </si>
  <si>
    <t>https://bellingcat-archive.nyc3.cdn.digitaloceanspaces.com/Ukraine_Witness_Datasheet/Worksheet/telegram_8c890305b7/index.html</t>
  </si>
  <si>
    <t>2022-03-01T14:57:07+00:00</t>
  </si>
  <si>
    <t>01/03/2024</t>
  </si>
  <si>
    <t>https://twitter.com/LatestNews315/status/1498711222463746050</t>
  </si>
  <si>
    <t>https://imgur.com/a/xfqFaK11</t>
  </si>
  <si>
    <t>UW1203</t>
  </si>
  <si>
    <t>https://bellingcat-archive.nyc3.cdn.digitaloceanspaces.com/Ukraine_Witness_Datasheet/Worksheet/youtube_dl_1498711222463746050.mp4</t>
  </si>
  <si>
    <t>2022-03-03T07:01:09.105219+00:00</t>
  </si>
  <si>
    <t>https://bellingcat-archive.nyc3.cdn.digitaloceanspaces.com/Ukraine_Witness_Datasheet/Worksheet/youtube_dl__LatestNews315_status_14987112224637460502022-03-03T07:00:52.397861.png</t>
  </si>
  <si>
    <t>https://bellingcat-archive.nyc3.cdn.digitaloceanspaces.com/Ukraine_Witness_Datasheet/Worksheet/youtube_dl_1498711222463746050/index.html</t>
  </si>
  <si>
    <t>Eagle_Eye - [WARNING GRAPHIC!] Absolutely massive destruction in #Kharkiv today. There are many dead and wounded.  #Ukraine #RussiaUkraine</t>
  </si>
  <si>
    <t>2022-03-01T17:26:14+00:00</t>
  </si>
  <si>
    <t>01/03/2025</t>
  </si>
  <si>
    <t>https://twitter.com/ukrainiareality/status/1498643415558459403</t>
  </si>
  <si>
    <t>https://imgur.com/a/xfqFaK12</t>
  </si>
  <si>
    <t>UW1204</t>
  </si>
  <si>
    <t>https://bellingcat-archive.nyc3.cdn.digitaloceanspaces.com/Ukraine_Witness_Datasheet/Worksheet/youtube_dl_1498643415558459403.mp4</t>
  </si>
  <si>
    <t>2022-03-03T07:01:23.258635+00:00</t>
  </si>
  <si>
    <t>https://bellingcat-archive.nyc3.cdn.digitaloceanspaces.com/Ukraine_Witness_Datasheet/Worksheet/youtube_dl__ukrainiareality_status_14986434155584594032022-03-03T07:01:11.999384.png</t>
  </si>
  <si>
    <t>aa5e51ef4927225a78de98db003542b79f7f5744b54178b33bffe90f19b1a7fb</t>
  </si>
  <si>
    <t>https://bellingcat-archive.nyc3.cdn.digitaloceanspaces.com/Ukraine_Witness_Datasheet/Worksheet/youtube_dl_1498643415558459403/index.html</t>
  </si>
  <si>
    <t>Ukrainian Reality - Kharkiv. A fighter plane dropped a bomb onto a factory of lifting and transport equipment. There are victims #StopWarInUkraine  #StopPutin</t>
  </si>
  <si>
    <t>2022-03-01T12:56:48+00:00</t>
  </si>
  <si>
    <t>01/03/2026</t>
  </si>
  <si>
    <t>https://twitter.com/UkraineNewsLive/status/1498641837434748930</t>
  </si>
  <si>
    <t>https://imgur.com/a/xfqFaK13</t>
  </si>
  <si>
    <t>UW1205</t>
  </si>
  <si>
    <t>https://bellingcat-archive.nyc3.cdn.digitaloceanspaces.com/Ukraine_Witness_Datasheet/Worksheet/youtube_dl_1498641837434748930.mp4</t>
  </si>
  <si>
    <t>2022-03-03T07:01:39.494905+00:00</t>
  </si>
  <si>
    <t>https://bellingcat-archive.nyc3.cdn.digitaloceanspaces.com/Ukraine_Witness_Datasheet/Worksheet/youtube_dl__UkraineNewsLive_status_14986418374347489302022-03-03T07:01:26.620786.png</t>
  </si>
  <si>
    <t>55fb879022fd27ab66b9e0181a70b0f290926f7b4b5bca8d77a0c5b9593c791c</t>
  </si>
  <si>
    <t>https://bellingcat-archive.nyc3.cdn.digitaloceanspaces.com/Ukraine_Witness_Datasheet/Worksheet/youtube_dl_1498641837434748930/index.html</t>
  </si>
  <si>
    <t>Ukraine News Live - 🔥 In Kharkiv, the Russian occupiers fired on a factory and nearby houses.18+</t>
  </si>
  <si>
    <t>2022-03-01T12:50:32+00:00</t>
  </si>
  <si>
    <t>03/03/2022</t>
  </si>
  <si>
    <t>https://twitter.com/Caucasuswar/status/1499288952372699138</t>
  </si>
  <si>
    <t xml:space="preserve">Destruction of oil depot </t>
  </si>
  <si>
    <t>UW1206</t>
  </si>
  <si>
    <t>https://bellingcat-archive.nyc3.cdn.digitaloceanspaces.com/Ukraine_Witness_Datasheet/Worksheet/youtube_dl_1499288952372699138.mp4</t>
  </si>
  <si>
    <t>2022-03-03T07:55:20.727652+00:00</t>
  </si>
  <si>
    <t>https://bellingcat-archive.nyc3.cdn.digitaloceanspaces.com/Ukraine_Witness_Datasheet/Worksheet/youtube_dl__Caucasuswar_status_14992889523726991382022-03-03T07:55:10.788378.png</t>
  </si>
  <si>
    <t>6b4b99c3292740d62f3009d4cebaf040e4097004f7bcc5fb731d2cc1b58ee676</t>
  </si>
  <si>
    <t>https://bellingcat-archive.nyc3.cdn.digitaloceanspaces.com/Ukraine_Witness_Datasheet/Worksheet/youtube_dl_1499288952372699138/index.html</t>
  </si>
  <si>
    <t>CaucasusWarReport - Oil depot was targeted by Russian forces in Chernihiv, Ukraine.</t>
  </si>
  <si>
    <t>2022-03-03T07:41:56+00:00</t>
  </si>
  <si>
    <t>https://twitter.com/GirkinGirkin/status/1499254338283315206</t>
  </si>
  <si>
    <t>Destruction after missile hits</t>
  </si>
  <si>
    <t>UW1207</t>
  </si>
  <si>
    <t>https://bellingcat-archive.nyc3.cdn.digitaloceanspaces.com/Ukraine_Witness_Datasheet/Worksheet/youtube_dl_1499254338283315206.mp4</t>
  </si>
  <si>
    <t>2022-03-03T08:05:22.553694+00:00</t>
  </si>
  <si>
    <t>https://bellingcat-archive.nyc3.cdn.digitaloceanspaces.com/Ukraine_Witness_Datasheet/Worksheet/youtube_dl__GirkinGirkin_status_14992543382833152062022-03-03T08:05:11.755038.png</t>
  </si>
  <si>
    <t>8671cbaead27224d5793b419914b271b274e60a7db6e25e5cbcb0950e375e800</t>
  </si>
  <si>
    <t>https://bellingcat-archive.nyc3.cdn.digitaloceanspaces.com/Ukraine_Witness_Datasheet/Worksheet/youtube_dl_1499254338283315206/index.html</t>
  </si>
  <si>
    <t>IgorGirkin - Харьков, русская армия уничтожает жилые кварталы</t>
  </si>
  <si>
    <t>2022-03-03T05:24:23+00:00</t>
  </si>
  <si>
    <t>https://t.me/uniannet/34535</t>
  </si>
  <si>
    <t>UW1208</t>
  </si>
  <si>
    <t>https://bellingcat-archive.nyc3.cdn.digitaloceanspaces.com/Ukraine_Witness_Datasheet/Worksheet/telegram_f5459e54d3.mp4</t>
  </si>
  <si>
    <t>2022-03-03T08:11:28.848456+00:00</t>
  </si>
  <si>
    <t>https://bellingcat-archive.nyc3.cdn.digitaloceanspaces.com/Ukraine_Witness_Datasheet/Worksheet/telegram__uniannet_345352022-03-03T08:10:09.606345.png</t>
  </si>
  <si>
    <t>51f3b9d1c4dec2b79c2361d2de67eb334b7f842a3b2df20502b2c08cc36a0adc</t>
  </si>
  <si>
    <t>https://bellingcat-archive.nyc3.cdn.digitaloceanspaces.com/Ukraine_Witness_Datasheet/Worksheet/telegram_f5459e54d3/index.html</t>
  </si>
  <si>
    <t>2022-03-03T04:44:12+00:00</t>
  </si>
  <si>
    <t>https://t.me/KharkivPolitics/6916</t>
  </si>
  <si>
    <t>UW1209</t>
  </si>
  <si>
    <t>https://bellingcat-archive.nyc3.cdn.digitaloceanspaces.com/Ukraine_Witness_Datasheet/Worksheet/telegram_01756d2112.mp4</t>
  </si>
  <si>
    <t>2022-03-03T08:13:26.537839+00:00</t>
  </si>
  <si>
    <t>https://bellingcat-archive.nyc3.cdn.digitaloceanspaces.com/Ukraine_Witness_Datasheet/Worksheet/telegram__KharkivPolitics_69162022-03-03T08:11:29.614718.png</t>
  </si>
  <si>
    <t>3ad7b252a895f34bedf763b1955ea1feef6a17f4d1f85f660117cb257ef6a1ec</t>
  </si>
  <si>
    <t>https://bellingcat-archive.nyc3.cdn.digitaloceanspaces.com/Ukraine_Witness_Datasheet/Worksheet/telegram_01756d2112/index.html</t>
  </si>
  <si>
    <t>2022-03-03T06:02:02+00:00</t>
  </si>
  <si>
    <t>https://t.me/KharkivPolitics/6914</t>
  </si>
  <si>
    <t>Destruction after strike</t>
  </si>
  <si>
    <t>UW1210</t>
  </si>
  <si>
    <t>https://bellingcat-archive.nyc3.cdn.digitaloceanspaces.com/Ukraine_Witness_Datasheet/Worksheet/telegram_1f7c89a78a.mp4</t>
  </si>
  <si>
    <t>2022-03-03T08:21:06.923179+00:00</t>
  </si>
  <si>
    <t>https://bellingcat-archive.nyc3.cdn.digitaloceanspaces.com/Ukraine_Witness_Datasheet/Worksheet/telegram__KharkivPolitics_69142022-03-03T08:20:09.157507.png</t>
  </si>
  <si>
    <t>a14757c851664b0f5db2b936fc8dfffecd6f6bef40477d9a7ad2cd556f0add47</t>
  </si>
  <si>
    <t>https://bellingcat-archive.nyc3.cdn.digitaloceanspaces.com/Ukraine_Witness_Datasheet/Worksheet/telegram_1f7c89a78a/index.html</t>
  </si>
  <si>
    <t>2022-03-03T05:09:54+00:00</t>
  </si>
  <si>
    <t>https://twitter.com/nexta_tv/status/1499289046073454593</t>
  </si>
  <si>
    <t>Fire in oil storage after missile hit</t>
  </si>
  <si>
    <t>Chernihiv oblast</t>
  </si>
  <si>
    <t>UW1211</t>
  </si>
  <si>
    <t>https://bellingcat-archive.nyc3.cdn.digitaloceanspaces.com/Ukraine_Witness_Datasheet/Worksheet/twitter__nexta_tv_status_1499289046073454593.html</t>
  </si>
  <si>
    <t>2022-03-03T08:25:19.476833+00:00</t>
  </si>
  <si>
    <t>https://bellingcat-archive.nyc3.cdn.digitaloceanspaces.com/Ukraine_Witness_Datasheet/Worksheet/twitter__nexta_tv_status_14992890460734545932022-03-03T08:25:11.526439.png</t>
  </si>
  <si>
    <t>abb94a97ef912aa846fd72b5533ccd5d5d453412e24466729c0b15d58bd23ba0</t>
  </si>
  <si>
    <t>2022-03-03T07:42:18+00:00</t>
  </si>
  <si>
    <t>https://twitter.com/nexta_tv/status/1499163168676974596</t>
  </si>
  <si>
    <t>UW1212</t>
  </si>
  <si>
    <t>https://bellingcat-archive.nyc3.cdn.digitaloceanspaces.com/Ukraine_Witness_Datasheet/Worksheet/twitter__nexta_tv_status_1499163168676974596.html</t>
  </si>
  <si>
    <t>2022-03-03T08:30:20.900436+00:00</t>
  </si>
  <si>
    <t>https://bellingcat-archive.nyc3.cdn.digitaloceanspaces.com/Ukraine_Witness_Datasheet/Worksheet/twitter__nexta_tv_status_14991631686769745962022-03-03T08:30:11.927242.png</t>
  </si>
  <si>
    <t>964beb40fc830f547fecb37768e1ee59700817fa62eea756ba3259714ab6f1ca</t>
  </si>
  <si>
    <t>2022-03-02T23:22:07+00:00</t>
  </si>
  <si>
    <t>47.11104583270716</t>
  </si>
  <si>
    <t>37.51277008</t>
  </si>
  <si>
    <t>https://www.instagram.com/accounts/login/?next=/p/CafSvX8K944/</t>
  </si>
  <si>
    <t>CIV0133</t>
  </si>
  <si>
    <t>First responders performing CPR on a child in the back of an ambulance.</t>
  </si>
  <si>
    <t>UW1213</t>
  </si>
  <si>
    <t>wayback: Internet Archive failed: {'message': 'Please try again in a few minutes. Crawling this host is paused because they notified us that they are overloaded. (HTTP status=429)', 'duration_sec': 0.114, 'status': 'error', 'resources': [], 'status_ext': 'error:host-crawling-paused', 'job_id': 'spn2-3fa2ae0ee76a24d4cf4a65a22e967b54bf351e63-7c950187'}</t>
  </si>
  <si>
    <t>2022-03-03T08:31:08.525097+00:00</t>
  </si>
  <si>
    <t>https://t.me/Pravda_Gerashchenko/1203</t>
  </si>
  <si>
    <t>CIV0136</t>
  </si>
  <si>
    <t>Strike on residential area; allegedly civilians killed. (Graphic warning: bodies)</t>
  </si>
  <si>
    <t>Note from Narine: Novo-Bavarskyj Ave, 95 (building number visible on one of the photos. Slightly corrected coords. Warning: charred bodies, blood</t>
  </si>
  <si>
    <t>UW1214</t>
  </si>
  <si>
    <t>https://bellingcat-archive.nyc3.cdn.digitaloceanspaces.com/Ukraine_Witness_Datasheet/Worksheet/telegram__Pravda_Gerashchenko_1203.html</t>
  </si>
  <si>
    <t>2022-03-03T08:35:26.086308+00:00</t>
  </si>
  <si>
    <t>https://bellingcat-archive.nyc3.cdn.digitaloceanspaces.com/Ukraine_Witness_Datasheet/Worksheet/telegram__Pravda_Gerashchenko_12032022-03-03T08:35:08.829258.png</t>
  </si>
  <si>
    <t>3065c1de9e332fb1e279cca55a236a80b9bc67b3be6e5288d1bb987899012b9b</t>
  </si>
  <si>
    <t>2022-03-01T15:45:37+00:00</t>
  </si>
  <si>
    <t>https://twitter.com/michaelh992/status/1499292926635130880</t>
  </si>
  <si>
    <t>Russian troops entering Kyiv Oblast</t>
  </si>
  <si>
    <t>Poliske</t>
  </si>
  <si>
    <t>Visible at min 0:48</t>
  </si>
  <si>
    <t>UW1215</t>
  </si>
  <si>
    <t>https://bellingcat-archive.nyc3.cdn.digitaloceanspaces.com/Ukraine_Witness_Datasheet/Worksheet/youtube_dl_1499292926635130880.mp4</t>
  </si>
  <si>
    <t>2022-03-03T08:40:33.648437+00:00</t>
  </si>
  <si>
    <t>https://bellingcat-archive.nyc3.cdn.digitaloceanspaces.com/Ukraine_Witness_Datasheet/Worksheet/youtube_dl__michaelh992_status_14992929266351308802022-03-03T08:40:13.886281.png</t>
  </si>
  <si>
    <t>8002c597418090b1d9d89afc188b9cbd1da01bc34818b4f90457c8e5f0cbe91e</t>
  </si>
  <si>
    <t>https://bellingcat-archive.nyc3.cdn.digitaloceanspaces.com/Ukraine_Witness_Datasheet/Worksheet/youtube_dl_1499292926635130880/index.html</t>
  </si>
  <si>
    <t>Michael A. Horowitz - Video released by #Russia's Zvezda purportedly showing Russian forces approaching #Kyiv</t>
  </si>
  <si>
    <t>2022-03-03T07:57:43+00:00</t>
  </si>
  <si>
    <t>https://t.me/milinfolive/77787</t>
  </si>
  <si>
    <t xml:space="preserve">HD Footage of damage in Irpin on Hostomel's'ke Highway </t>
  </si>
  <si>
    <t>Buildings are consistent with street view</t>
  </si>
  <si>
    <t>UW1216</t>
  </si>
  <si>
    <t>https://bellingcat-archive.nyc3.cdn.digitaloceanspaces.com/Ukraine_Witness_Datasheet/Worksheet/telegram_7db0c86c43.mp4</t>
  </si>
  <si>
    <t>2022-03-03T11:27:00.000117+00:00</t>
  </si>
  <si>
    <t>https://bellingcat-archive.nyc3.cdn.digitaloceanspaces.com/Ukraine_Witness_Datasheet/Worksheet/telegram__milinfolive_777872022-03-03T11:25:09.096056.png</t>
  </si>
  <si>
    <t>a7e3d7793415ca2b3a44e734653591c50e826a1a1dbc598b9f865a51dae75559</t>
  </si>
  <si>
    <t>https://bellingcat-archive.nyc3.cdn.digitaloceanspaces.com/Ukraine_Witness_Datasheet/Worksheet/telegram_7db0c86c43/index.html</t>
  </si>
  <si>
    <t>2022-03-03T06:55:36+00:00</t>
  </si>
  <si>
    <t>https://twitter.com/nexta_tv/status/1499294921680949251</t>
  </si>
  <si>
    <t>Extensive multiple building damage in Irpin</t>
  </si>
  <si>
    <t>Both buildings and street signs are consistent with video and street-view</t>
  </si>
  <si>
    <t>UW1217</t>
  </si>
  <si>
    <t xml:space="preserve">At the end of the video, the person filming can be seen. </t>
  </si>
  <si>
    <t>https://bellingcat-archive.nyc3.cdn.digitaloceanspaces.com/Ukraine_Witness_Datasheet/Worksheet/youtube_dl_1499294921680949251.mp4</t>
  </si>
  <si>
    <t>2022-03-03T10:10:34.632357+00:00</t>
  </si>
  <si>
    <t>https://bellingcat-archive.nyc3.cdn.digitaloceanspaces.com/Ukraine_Witness_Datasheet/Worksheet/youtube_dl__nexta_tv_status_14992949216809492512022-03-03T10:10:19.429070.png</t>
  </si>
  <si>
    <t>615730d393435e46331862ce0bb58465f9d0b70a808f8b91b07c94ab53fe6349</t>
  </si>
  <si>
    <t>https://bellingcat-archive.nyc3.cdn.digitaloceanspaces.com/Ukraine_Witness_Datasheet/Worksheet/youtube_dl_1499294921680949251/index.html</t>
  </si>
  <si>
    <t>NEXTA - #Irpin, #Ukraine.</t>
  </si>
  <si>
    <t>2022-03-03T08:05:39+00:00</t>
  </si>
  <si>
    <t>https://twitter.com/YWNReporter/status/1499330481728499719</t>
  </si>
  <si>
    <t>CIV0183</t>
  </si>
  <si>
    <t>Large fire at Epicentre shopping mall</t>
  </si>
  <si>
    <t>UW1218</t>
  </si>
  <si>
    <t>https://bellingcat-archive.nyc3.cdn.digitaloceanspaces.com/Ukraine_Witness_Datasheet/Worksheet/twitter__YWNReporter_status_1499330481728499719.html</t>
  </si>
  <si>
    <t>2022-03-03T10:50:20.600447+00:00</t>
  </si>
  <si>
    <t>https://bellingcat-archive.nyc3.cdn.digitaloceanspaces.com/Ukraine_Witness_Datasheet/Worksheet/twitter__YWNReporter_status_14993304817284997192022-03-03T10:50:12.469024.png</t>
  </si>
  <si>
    <t>f446474abbfacac12e3f725b20224cbf785bd0afc3429de2e522620468914d75</t>
  </si>
  <si>
    <t>2022-03-03T10:26:57+00:00</t>
  </si>
  <si>
    <t>https://twitter.com/KyleJGlen/status/1499336508364492801</t>
  </si>
  <si>
    <t xml:space="preserve">video </t>
  </si>
  <si>
    <t>CIV0190</t>
  </si>
  <si>
    <t>Shelling of residential area</t>
  </si>
  <si>
    <t>UW1219</t>
  </si>
  <si>
    <t>https://bellingcat-archive.nyc3.cdn.digitaloceanspaces.com/Ukraine_Witness_Datasheet/Worksheet/twitter__GirkinGirkin_status_1499333875696287748.html</t>
  </si>
  <si>
    <t>2022-03-03T10:50:31.621740+00:00</t>
  </si>
  <si>
    <t>https://bellingcat-archive.nyc3.cdn.digitaloceanspaces.com/Ukraine_Witness_Datasheet/Worksheet/twitter__GirkinGirkin_status_14993338756962877482022-03-03T10:50:22.402636.png</t>
  </si>
  <si>
    <t>8247cbb63d166017a6ce4fb259f1b3806d7710551cfa9a421a2aa94f9c73181b</t>
  </si>
  <si>
    <t>2022-03-03T10:40:26+00:00</t>
  </si>
  <si>
    <t>https://twitter.com/UAWeapons/status/1499329117539422211</t>
  </si>
  <si>
    <t>UW1220</t>
  </si>
  <si>
    <t>https://bellingcat-archive.nyc3.cdn.digitaloceanspaces.com/Ukraine_Witness_Datasheet/Worksheet/twitter__UAWeapons_status_1499329117539422211.html</t>
  </si>
  <si>
    <t>2022-03-03T11:10:21.078090+00:00</t>
  </si>
  <si>
    <t>https://bellingcat-archive.nyc3.cdn.digitaloceanspaces.com/Ukraine_Witness_Datasheet/Worksheet/twitter__UAWeapons_status_14993291175394222112022-03-03T11:10:12.308747.png</t>
  </si>
  <si>
    <t>e3fd81de325a52e3fcf0278945f18b7e75213520d561446a8b26d61320c2a2fc</t>
  </si>
  <si>
    <t>2022-03-03T10:21:32+00:00</t>
  </si>
  <si>
    <t>https://twitter.com/UAWeapons/status/1499332664033222656</t>
  </si>
  <si>
    <t>Russian T-72B3 tank trapped in wreckage of blown bridge over railway</t>
  </si>
  <si>
    <t>https://twitter.com/GeoConfirmed/status/1499335438724747265</t>
  </si>
  <si>
    <t>Kalynivka</t>
  </si>
  <si>
    <t>UW1221</t>
  </si>
  <si>
    <t>https://bellingcat-archive.nyc3.cdn.digitaloceanspaces.com/Ukraine_Witness_Datasheet/Worksheet/twitter__UAWeapons_status_1499332664033222656.html</t>
  </si>
  <si>
    <t>2022-03-03T11:20:21.533858+00:00</t>
  </si>
  <si>
    <t>https://bellingcat-archive.nyc3.cdn.digitaloceanspaces.com/Ukraine_Witness_Datasheet/Worksheet/twitter__UAWeapons_status_14993326640332226562022-03-03T11:20:12.914037.png</t>
  </si>
  <si>
    <t>99304e11fcc3cac6b5417e72fdf1190f095db0059f95530eb7039e05e6639ff7</t>
  </si>
  <si>
    <t>2022-03-03T10:35:38+00:00</t>
  </si>
  <si>
    <t>https://twitter.com/GirkinGirkin/status/1499303894274478086</t>
  </si>
  <si>
    <t>Russian Armed Forces using medical vehicles to transport ammunition</t>
  </si>
  <si>
    <t>UW1222</t>
  </si>
  <si>
    <t>https://bellingcat-archive.nyc3.cdn.digitaloceanspaces.com/Ukraine_Witness_Datasheet/Worksheet/youtube_dl_1499303894274478086.mp4</t>
  </si>
  <si>
    <t>2022-03-03T11:30:28.050989+00:00</t>
  </si>
  <si>
    <t>https://bellingcat-archive.nyc3.cdn.digitaloceanspaces.com/Ukraine_Witness_Datasheet/Worksheet/youtube_dl__GirkinGirkin_status_14993038942744780862022-03-03T11:30:13.232738.png</t>
  </si>
  <si>
    <t>fa97d2b12db2956929287af901e60b27d464cc3575dfab491e40f4423a21dd04</t>
  </si>
  <si>
    <t>https://bellingcat-archive.nyc3.cdn.digitaloceanspaces.com/Ukraine_Witness_Datasheet/Worksheet/youtube_dl_1499303894274478086/index.html</t>
  </si>
  <si>
    <t>IgorGirkin - ЗС РФ використовують медичні машини для перевезення боєприпасів</t>
  </si>
  <si>
    <t>2022-03-03T08:41:18+00:00</t>
  </si>
  <si>
    <t>https://t.me/istorijaoruzija/38675</t>
  </si>
  <si>
    <t>Damage to Military equipment (V labelled) and the AN-225 Mriya</t>
  </si>
  <si>
    <t>Hangers and tarmac placement consistent with both refrence images and Sateliete imagery of the Antonov companies Hostomel Airport.</t>
  </si>
  <si>
    <t>UW1223</t>
  </si>
  <si>
    <t>https://bellingcat-archive.nyc3.cdn.digitaloceanspaces.com/Ukraine_Witness_Datasheet/Worksheet/telegram_02687c06bf.mp4</t>
  </si>
  <si>
    <t>2022-03-03T12:40:33.858612+00:00</t>
  </si>
  <si>
    <t>https://bellingcat-archive.nyc3.cdn.digitaloceanspaces.com/Ukraine_Witness_Datasheet/Worksheet/telegram__istorijaoruzija_386752022-03-03T12:40:09.715272.png</t>
  </si>
  <si>
    <t>051ea8299a5a33dbfcd3d3808da7aab854f986cd858241d097c00aa367861c05</t>
  </si>
  <si>
    <t>https://bellingcat-archive.nyc3.cdn.digitaloceanspaces.com/Ukraine_Witness_Datasheet/Worksheet/telegram_02687c06bf/index.html</t>
  </si>
  <si>
    <t>2022-03-03T11:43:34+00:00</t>
  </si>
  <si>
    <t>https://t.me/Pravda_Gerashchenko/1677</t>
  </si>
  <si>
    <t>Multiple strike/bombing on civilian building</t>
  </si>
  <si>
    <t>UW1224</t>
  </si>
  <si>
    <t>https://bellingcat-archive.nyc3.cdn.digitaloceanspaces.com/Ukraine_Witness_Datasheet/Worksheet/telegram__Pravda_Gerashchenko_1677.html</t>
  </si>
  <si>
    <t>2022-03-03T12:10:18.195138+00:00</t>
  </si>
  <si>
    <t>https://bellingcat-archive.nyc3.cdn.digitaloceanspaces.com/Ukraine_Witness_Datasheet/Worksheet/telegram__Pravda_Gerashchenko_16772022-03-03T12:10:10.273160.png</t>
  </si>
  <si>
    <t>ebe52bdfdaa9e270f48adeb7e358a3973d97df95a618525d635bc07212070654</t>
  </si>
  <si>
    <t xml:space="preserve">https://t.me/ukr_novosti_voina/5712 </t>
  </si>
  <si>
    <t>Aftermath of strike on civilian buildings</t>
  </si>
  <si>
    <t>https://twitter.com/L_ThinkTank/status/1499348154130616321</t>
  </si>
  <si>
    <t>UW1225</t>
  </si>
  <si>
    <t>https://bellingcat-archive.nyc3.cdn.digitaloceanspaces.com/Ukraine_Witness_Datasheet/Worksheet/telegram_cc6d0be274.mp4</t>
  </si>
  <si>
    <t>2022-03-03T12:21:32.612780+00:00</t>
  </si>
  <si>
    <t>https://bellingcat-archive.nyc3.cdn.digitaloceanspaces.com/Ukraine_Witness_Datasheet/Worksheet/telegram__ukr_novosti_voina_5712 2022-03-03T12:20:09.608122.png</t>
  </si>
  <si>
    <t>5e90178e2eb14fdfd7fa8ef535714064ea4b12fb38232e612c1b465e073cbbda</t>
  </si>
  <si>
    <t>https://bellingcat-archive.nyc3.cdn.digitaloceanspaces.com/Ukraine_Witness_Datasheet/Worksheet/telegram_cc6d0be274/index.html</t>
  </si>
  <si>
    <t>2022-03-03T11:15:38+00:00</t>
  </si>
  <si>
    <t>https://twitter.com/nexta_tv/status/1499358871336460290</t>
  </si>
  <si>
    <t>Bombing of residential building</t>
  </si>
  <si>
    <t>UW1226</t>
  </si>
  <si>
    <t>https://bellingcat-archive.nyc3.cdn.digitaloceanspaces.com/Ukraine_Witness_Datasheet/Worksheet/youtube_dl_1499358871336460290.mp4</t>
  </si>
  <si>
    <t>2022-03-03T12:40:52.304616+00:00</t>
  </si>
  <si>
    <t>https://bellingcat-archive.nyc3.cdn.digitaloceanspaces.com/Ukraine_Witness_Datasheet/Worksheet/youtube_dl__nexta_tv_status_14993588713364602902022-03-03T12:40:38.717733.png</t>
  </si>
  <si>
    <t>be426460fa9f566eca722c1897393ca47ae4248efa805b506867fb668879001b</t>
  </si>
  <si>
    <t>https://bellingcat-archive.nyc3.cdn.digitaloceanspaces.com/Ukraine_Witness_Datasheet/Worksheet/youtube_dl_1499358871336460290/index.html</t>
  </si>
  <si>
    <t>NEXTA - #Chernigov. The rocket explosion was filmed by the car's dash cam.</t>
  </si>
  <si>
    <t>2022-03-03T12:19:46+00:00</t>
  </si>
  <si>
    <t>https://twitter.com/SputnikATO/status/1499364380441563147</t>
  </si>
  <si>
    <t>Destroyed Russian military convoy</t>
  </si>
  <si>
    <t>Vesele</t>
  </si>
  <si>
    <t>UW1227</t>
  </si>
  <si>
    <t>https://bellingcat-archive.nyc3.cdn.digitaloceanspaces.com/Ukraine_Witness_Datasheet/Worksheet/youtube_dl_1499364380441563147.mp4</t>
  </si>
  <si>
    <t>2022-03-03T12:50:25.660077+00:00</t>
  </si>
  <si>
    <t>https://bellingcat-archive.nyc3.cdn.digitaloceanspaces.com/Ukraine_Witness_Datasheet/Worksheet/youtube_dl__SputnikATO_status_14993643804415631472022-03-03T12:50:12.618325.png</t>
  </si>
  <si>
    <t>bf89abd8b041122bb2920eaf6a14dabf09eb665624d816679930e5e3836c127a</t>
  </si>
  <si>
    <t>https://bellingcat-archive.nyc3.cdn.digitaloceanspaces.com/Ukraine_Witness_Datasheet/Worksheet/youtube_dl_1499364380441563147/index.html</t>
  </si>
  <si>
    <t>Спутник News АТО - На Херсонщині місцеві жителі відзняли те, що лишилося від Шилової Балки.</t>
  </si>
  <si>
    <t>2022-03-03T12:41:39+00:00</t>
  </si>
  <si>
    <t>https://twitter.com/DNR_RU2021/status/1499366533625257989</t>
  </si>
  <si>
    <t>Large fire in Bucha</t>
  </si>
  <si>
    <t>50.542748, 30.20700345, Coordinates of where the video was likely recorded from. Local clothings repair shop visible in the first seconds of the video. Not clear what is on fire, perhaps the petrol station at the end of the road due to the intensity of the fire.</t>
  </si>
  <si>
    <t>UW1228</t>
  </si>
  <si>
    <t>Filmed from appartment</t>
  </si>
  <si>
    <t>https://bellingcat-archive.nyc3.cdn.digitaloceanspaces.com/Ukraine_Witness_Datasheet/Worksheet/youtube_dl_1499366533625257989.mp4</t>
  </si>
  <si>
    <t>2022-03-03T13:00:27.185586+00:00</t>
  </si>
  <si>
    <t>https://bellingcat-archive.nyc3.cdn.digitaloceanspaces.com/Ukraine_Witness_Datasheet/Worksheet/youtube_dl__DNR_RU2021_status_14993665336252579892022-03-03T13:00:15.625403.png</t>
  </si>
  <si>
    <t>63f600bcbac1be1c5fac78518b8c364fd554a0531380dc729cadfc3857eda2ff</t>
  </si>
  <si>
    <t>https://bellingcat-archive.nyc3.cdn.digitaloceanspaces.com/Ukraine_Witness_Datasheet/Worksheet/youtube_dl_1499366533625257989/index.html</t>
  </si>
  <si>
    <t>✯Sergej Rоdin - ‼️🔥Бои под Киевом продолжаются: Буча в дыму пожаров</t>
  </si>
  <si>
    <t>2022-03-03T12:50:13+00:00</t>
  </si>
  <si>
    <t>https://twitter.com/nexta_tv/status/1499372565957160964</t>
  </si>
  <si>
    <t>Civilian protests against Russian troops in Melitopol</t>
  </si>
  <si>
    <t>https://twitter.com/KyleJGlen/status/1499389120317059074</t>
  </si>
  <si>
    <t>UW1229</t>
  </si>
  <si>
    <t>Protest</t>
  </si>
  <si>
    <t>Filmed from perspective of protestor</t>
  </si>
  <si>
    <t>https://bellingcat-archive.nyc3.cdn.digitaloceanspaces.com/Ukraine_Witness_Datasheet/Worksheet/youtube_dl_1499372565957160964.mp4</t>
  </si>
  <si>
    <t>2022-03-03T13:20:26.101371+00:00</t>
  </si>
  <si>
    <t>https://bellingcat-archive.nyc3.cdn.digitaloceanspaces.com/Ukraine_Witness_Datasheet/Worksheet/youtube_dl__nexta_tv_status_14993725659571609642022-03-03T13:20:14.429405.png</t>
  </si>
  <si>
    <t>8de411fb55ad3956f3c95c78a3defeab834bfdf635018aa14fd98001fbc4b064</t>
  </si>
  <si>
    <t>https://bellingcat-archive.nyc3.cdn.digitaloceanspaces.com/Ukraine_Witness_Datasheet/Worksheet/youtube_dl_1499372565957160964/index.html</t>
  </si>
  <si>
    <t>NEXTA - This is how the occupiers are met in the #Metropol</t>
  </si>
  <si>
    <t>2022-03-03T13:14:11+00:00</t>
  </si>
  <si>
    <t>Aftermarth of Airstrike on Security Service Office in Kharkiv</t>
  </si>
  <si>
    <t>49.99765343, 36.2395949 coordinates of film location</t>
  </si>
  <si>
    <t>UW1230</t>
  </si>
  <si>
    <t>2022-03-03T13:30:28.541664+00:00</t>
  </si>
  <si>
    <t>https://bellingcat-archive.nyc3.cdn.digitaloceanspaces.com/Ukraine_Witness_Datasheet/Worksheet/youtube_dl__nexta_tv_status_14989065719165911102022-03-03T13:30:16.894077.png</t>
  </si>
  <si>
    <t>https://twitter.com/GirkinGirkin/status/1499373208918712322</t>
  </si>
  <si>
    <t xml:space="preserve">Destroyed civilian infrastructure </t>
  </si>
  <si>
    <t>UW1231</t>
  </si>
  <si>
    <t>https://bellingcat-archive.nyc3.cdn.digitaloceanspaces.com/Ukraine_Witness_Datasheet/Worksheet/twitter__GirkinGirkin_status_1499373208918712322.html</t>
  </si>
  <si>
    <t>2022-03-03T13:35:21.375076+00:00</t>
  </si>
  <si>
    <t>https://bellingcat-archive.nyc3.cdn.digitaloceanspaces.com/Ukraine_Witness_Datasheet/Worksheet/twitter__GirkinGirkin_status_14993732089187123222022-03-03T13:35:12.133979.png</t>
  </si>
  <si>
    <t>daa4da2c8e5dd15e55121e2ef3c6d2b7ed61229838c62bcd1c7286b0e6461b80</t>
  </si>
  <si>
    <t>2022-03-03T13:16:44+00:00</t>
  </si>
  <si>
    <t>https://twitter.com/MarQs__/status/1499374386968674314</t>
  </si>
  <si>
    <t>UW1232</t>
  </si>
  <si>
    <t>https://bellingcat-archive.nyc3.cdn.digitaloceanspaces.com/Ukraine_Witness_Datasheet/Worksheet/youtube_dl_1499374386968674314.mp4</t>
  </si>
  <si>
    <t>2022-03-03T13:40:23.020545+00:00</t>
  </si>
  <si>
    <t>https://bellingcat-archive.nyc3.cdn.digitaloceanspaces.com/Ukraine_Witness_Datasheet/Worksheet/youtube_dl__MarQs___status_14993743869686743142022-03-03T13:40:11.878344.png</t>
  </si>
  <si>
    <t>e650923611be2918ce57b83626a589cb4d867752972da3105bb4096df8e16353</t>
  </si>
  <si>
    <t>https://bellingcat-archive.nyc3.cdn.digitaloceanspaces.com/Ukraine_Witness_Datasheet/Worksheet/youtube_dl_1499374386968674314/index.html</t>
  </si>
  <si>
    <t>marqs - Bucha, #Kyiv</t>
  </si>
  <si>
    <t>2022-03-03T13:21:25+00:00</t>
  </si>
  <si>
    <t>https://t.me/voyna_novost/17036</t>
  </si>
  <si>
    <t>CIV0144</t>
  </si>
  <si>
    <t>Russian army air-strike on Kyiv TV-Center tower and facilities.</t>
  </si>
  <si>
    <t>UW1233</t>
  </si>
  <si>
    <t>https://bellingcat-archive.nyc3.cdn.digitaloceanspaces.com/Ukraine_Witness_Datasheet/Worksheet/telegram_8b95d41fd4.mp4</t>
  </si>
  <si>
    <t>2022-03-03T14:05:50.856469+00:00</t>
  </si>
  <si>
    <t>https://bellingcat-archive.nyc3.cdn.digitaloceanspaces.com/Ukraine_Witness_Datasheet/Worksheet/telegram__voyna_novost_170362022-03-03T14:05:10.284768.png</t>
  </si>
  <si>
    <t>433801e23a7fc1053d4c9576806d012b371989e307c917043f31e85b83f072a4</t>
  </si>
  <si>
    <t>https://bellingcat-archive.nyc3.cdn.digitaloceanspaces.com/Ukraine_Witness_Datasheet/Worksheet/telegram_8b95d41fd4/index.html</t>
  </si>
  <si>
    <t>2022-03-01T15:15:45+00:00</t>
  </si>
  <si>
    <t>https://t.me/truexanewsua/27415</t>
  </si>
  <si>
    <t>CIV0145</t>
  </si>
  <si>
    <t>Primary school #75 in Kharkiv shelled.</t>
  </si>
  <si>
    <t>UW1234</t>
  </si>
  <si>
    <t>https://bellingcat-archive.nyc3.cdn.digitaloceanspaces.com/Ukraine_Witness_Datasheet/Worksheet/telegram_f5d71ac551.mp4</t>
  </si>
  <si>
    <t>2022-03-03T14:07:25.390510+00:00</t>
  </si>
  <si>
    <t>https://bellingcat-archive.nyc3.cdn.digitaloceanspaces.com/Ukraine_Witness_Datasheet/Worksheet/telegram__truexanewsua_274152022-03-03T14:05:51.987265.png</t>
  </si>
  <si>
    <t>8e840cea5a7f1708bfce3f9d0701423d5cd9b093f80ba829050e2e5e94920b78</t>
  </si>
  <si>
    <t>https://bellingcat-archive.nyc3.cdn.digitaloceanspaces.com/Ukraine_Witness_Datasheet/Worksheet/telegram_f5d71ac551/index.html</t>
  </si>
  <si>
    <t>2022-03-02T06:47:38+00:00</t>
  </si>
  <si>
    <t>https://t.me/truexanewsua/27406</t>
  </si>
  <si>
    <t>CIV0146</t>
  </si>
  <si>
    <t>Headquarters of the National Police and Security Service of Ukraine, and the building of the Faculty of Economics of Kharkiv National University are on fire aftermath the strike.</t>
  </si>
  <si>
    <t>UW1235</t>
  </si>
  <si>
    <t>https://bellingcat-archive.nyc3.cdn.digitaloceanspaces.com/Ukraine_Witness_Datasheet/Worksheet/telegram_33e2a12b65.mp4</t>
  </si>
  <si>
    <t>2022-03-03T14:07:59.718838+00:00</t>
  </si>
  <si>
    <t>https://bellingcat-archive.nyc3.cdn.digitaloceanspaces.com/Ukraine_Witness_Datasheet/Worksheet/telegram__truexanewsua_274062022-03-03T14:07:26.125128.png</t>
  </si>
  <si>
    <t>d92bdc3d3e4c62d876e88caa186e742cb628c487fbc6e7d2f04833ee16df660a</t>
  </si>
  <si>
    <t>https://bellingcat-archive.nyc3.cdn.digitaloceanspaces.com/Ukraine_Witness_Datasheet/Worksheet/telegram_33e2a12b65/index.html</t>
  </si>
  <si>
    <t>2022-03-02T06:37:17+00:00</t>
  </si>
  <si>
    <t>https://t.me/truexanewsua/27411</t>
  </si>
  <si>
    <t>CIV0147</t>
  </si>
  <si>
    <t>Primary school #118 in Kharkiv shelled.</t>
  </si>
  <si>
    <t>UW1236</t>
  </si>
  <si>
    <t>https://bellingcat-archive.nyc3.cdn.digitaloceanspaces.com/Ukraine_Witness_Datasheet/Worksheet/telegram_807c07766a.mp4</t>
  </si>
  <si>
    <t>2022-03-03T14:09:01.822346+00:00</t>
  </si>
  <si>
    <t>https://bellingcat-archive.nyc3.cdn.digitaloceanspaces.com/Ukraine_Witness_Datasheet/Worksheet/telegram__truexanewsua_274112022-03-03T14:08:00.415770.png</t>
  </si>
  <si>
    <t>2ac050d0535abcc6aaea4077772d85a70ba2bd37047190bfd22fa4009838ee68</t>
  </si>
  <si>
    <t>https://bellingcat-archive.nyc3.cdn.digitaloceanspaces.com/Ukraine_Witness_Datasheet/Worksheet/telegram_807c07766a/index.html</t>
  </si>
  <si>
    <t>2022-03-02T06:43:38+00:00</t>
  </si>
  <si>
    <t>https://twitter.com/bura_tinko/status/1498896758641987584?s=20&amp;t=kQifLc_CQ24buOz5a_aKIw</t>
  </si>
  <si>
    <t>CIV0148</t>
  </si>
  <si>
    <t>Strike in what appear to be a residential area.</t>
  </si>
  <si>
    <t>UW1237</t>
  </si>
  <si>
    <t>https://bellingcat-archive.nyc3.cdn.digitaloceanspaces.com/Ukraine_Witness_Datasheet/Worksheet/youtube_dl_1498896758641987584.mp4</t>
  </si>
  <si>
    <t>2022-03-03T14:09:17.553599+00:00</t>
  </si>
  <si>
    <t>https://bellingcat-archive.nyc3.cdn.digitaloceanspaces.com/Ukraine_Witness_Datasheet/Worksheet/youtube_dl__bura_tinko_status_14988967586419875842022-03-03T14:09:05.656538.png</t>
  </si>
  <si>
    <t>8c826307187406ef7452fad56981b5cb6afc32b15ce26821920c1e6cafd6aefd</t>
  </si>
  <si>
    <t>https://bellingcat-archive.nyc3.cdn.digitaloceanspaces.com/Ukraine_Witness_Datasheet/Worksheet/youtube_dl_1498896758641987584/index.html</t>
  </si>
  <si>
    <t>CHIPOLLINO - Харьков</t>
  </si>
  <si>
    <t>2022-03-02T05:43:30+00:00</t>
  </si>
  <si>
    <t>49.935265</t>
  </si>
  <si>
    <t>https://twitter.com/OstapYarysh/status/1498906055534952449?s=20&amp;t=nh-3TluT3CgbI6JJUmXgbQ</t>
  </si>
  <si>
    <t>CIV0149</t>
  </si>
  <si>
    <t>Strike in residential area.</t>
  </si>
  <si>
    <t>UW1238</t>
  </si>
  <si>
    <t>https://bellingcat-archive.nyc3.cdn.digitaloceanspaces.com/Ukraine_Witness_Datasheet/Worksheet/youtube_dl_1498906055534952449.mp4</t>
  </si>
  <si>
    <t>2022-03-03T14:09:35.545212+00:00</t>
  </si>
  <si>
    <t>https://bellingcat-archive.nyc3.cdn.digitaloceanspaces.com/Ukraine_Witness_Datasheet/Worksheet/youtube_dl__OstapYarysh_status_14989060555349524492022-03-03T14:09:22.276122.png</t>
  </si>
  <si>
    <t>f803799049e4b7981395ffd139990aa37a53017de858020836d3a1ba698ae00b</t>
  </si>
  <si>
    <t>https://bellingcat-archive.nyc3.cdn.digitaloceanspaces.com/Ukraine_Witness_Datasheet/Worksheet/youtube_dl_1498906055534952449/index.html</t>
  </si>
  <si>
    <t>Ostap Yarysh - Morning in Kharkiv, the largest city in Eastern #Ukraine with predominantly Russian-speaking population. This is what happens when Putin comes to “protect” you. Make no mistake, #Russia is targeting Ukrainian civilians and their homes.</t>
  </si>
  <si>
    <t>2022-03-02T06:20:26+00:00</t>
  </si>
  <si>
    <t>https://drive.google.com/drive/folders/1zq72lYRP-5eHZueeOL4XkRZXaJKECChI</t>
  </si>
  <si>
    <t>CIV0150</t>
  </si>
  <si>
    <t xml:space="preserve">Potentially use of cluster munitions at night. </t>
  </si>
  <si>
    <t>UW1239</t>
  </si>
  <si>
    <t>https://bellingcat-archive.nyc3.cdn.digitaloceanspaces.com/Ukraine_Witness_Datasheet/Worksheet/youtube_dl_1zq72lYRP-5eHZueeOL4XkRZXaJKECChI.unknown_video</t>
  </si>
  <si>
    <t>2022-03-03T14:09:46.817678+00:00</t>
  </si>
  <si>
    <t>https://bellingcat-archive.nyc3.cdn.digitaloceanspaces.com/Ukraine_Witness_Datasheet/Worksheet/youtube_dl__drive_folders_1zq72lYRP-5eHZueeOL4XkRZXaJKECChI2022-03-03T14:09:39.122695.png</t>
  </si>
  <si>
    <t>Google Drive: inloggen</t>
  </si>
  <si>
    <t>https://twitter.com/DAlperovitch/status/1498914132225048576?s=20&amp;t=7MfqlqMPDmEAzllsrvkpOg</t>
  </si>
  <si>
    <t>REPEAT OF CIV0146</t>
  </si>
  <si>
    <t>Economics Department of Kharkiv National University hit. SBU building reportedly on the other side of the street was targeted.</t>
  </si>
  <si>
    <t>UW1240</t>
  </si>
  <si>
    <t>WRONG BUILDING?</t>
  </si>
  <si>
    <t>Filmed from perspective of passerby/local resident</t>
  </si>
  <si>
    <t>2022-03-03T14:10:00.472211+00:00</t>
  </si>
  <si>
    <t>https://bellingcat-archive.nyc3.cdn.digitaloceanspaces.com/Ukraine_Witness_Datasheet/Worksheet/youtube_dl__DAlperovitch_status_14989141322250485762022-03-03T14:09:48.822928.png</t>
  </si>
  <si>
    <t>wrong building</t>
  </si>
  <si>
    <t>https://twitter.com/AS7404542949/status/1498662465919504393?s=20&amp;t=7MfqlqMPDmEAzllsrvkpOg</t>
  </si>
  <si>
    <t>CIV0152</t>
  </si>
  <si>
    <t xml:space="preserve">Allegedly a hospital &amp; residential buildings hit by strike. </t>
  </si>
  <si>
    <t>UW1241</t>
  </si>
  <si>
    <t>Filmed from resident home</t>
  </si>
  <si>
    <t>https://bellingcat-archive.nyc3.cdn.digitaloceanspaces.com/Ukraine_Witness_Datasheet/Worksheet/youtube_dl_1498662465919504393.mp4</t>
  </si>
  <si>
    <t>2022-03-03T14:10:15.650062+00:00</t>
  </si>
  <si>
    <t>https://bellingcat-archive.nyc3.cdn.digitaloceanspaces.com/Ukraine_Witness_Datasheet/Worksheet/youtube_dl__AS7404542949_status_14986624659195043932022-03-03T14:10:02.876679.png</t>
  </si>
  <si>
    <t>d2ca9dd3f85ad7d24cfcf9d0a0354495dd3fda5bf1cb8969c7b165ad1ebea67f</t>
  </si>
  <si>
    <t>https://bellingcat-archive.nyc3.cdn.digitaloceanspaces.com/Ukraine_Witness_Datasheet/Worksheet/youtube_dl_1498662465919504393/index.html</t>
  </si>
  <si>
    <t>AS74🇱🇹🇺🇦 - Больница в Харькове. Российские военные преступники, вам не привыкать бомбить больницы. Ни намека на военный объект</t>
  </si>
  <si>
    <t>2022-03-01T14:12:30+00:00</t>
  </si>
  <si>
    <t>https://twitter.com/ua_industrial/status/1498992797998854146?s=20&amp;t=mywWeVgKyNlqWBLmET-yRg</t>
  </si>
  <si>
    <t>REPEAT OF CIV0159</t>
  </si>
  <si>
    <t xml:space="preserve">Reportedly a school hit, appears to have been direct fire. </t>
  </si>
  <si>
    <t>UW1242</t>
  </si>
  <si>
    <t>https://bellingcat-archive.nyc3.cdn.digitaloceanspaces.com/Ukraine_Witness_Datasheet/Worksheet/twitter__ua_industrial_status_1498992797998854146.html</t>
  </si>
  <si>
    <t>2022-03-03T14:10:26.957006+00:00</t>
  </si>
  <si>
    <t>https://bellingcat-archive.nyc3.cdn.digitaloceanspaces.com/Ukraine_Witness_Datasheet/Worksheet/twitter__ua_industrial_status_14989927979988541462022-03-03T14:10:18.295782.png</t>
  </si>
  <si>
    <t>aaed443875f9a2a88e6d6d810c8b38cf9e84dbbdfd3815cd507eeb08127d6dad</t>
  </si>
  <si>
    <t>2022-03-02T12:05:07+00:00</t>
  </si>
  <si>
    <t>https://twitter.com/Nat_anest/status/1498978704524992516?s=20&amp;t=mywWeVgKyNlqWBLmET-yRg</t>
  </si>
  <si>
    <t>CIV0156</t>
  </si>
  <si>
    <t>Fire and residential destruction in Borodyanka after shelling</t>
  </si>
  <si>
    <t>UW1243</t>
  </si>
  <si>
    <t>Filmed by resident</t>
  </si>
  <si>
    <t>https://bellingcat-archive.nyc3.cdn.digitaloceanspaces.com/Ukraine_Witness_Datasheet/Worksheet/youtube_dl_1498978704524992516.mp4</t>
  </si>
  <si>
    <t>2022-03-03T14:15:25.449174+00:00</t>
  </si>
  <si>
    <t>https://bellingcat-archive.nyc3.cdn.digitaloceanspaces.com/Ukraine_Witness_Datasheet/Worksheet/youtube_dl__Nat_anest_status_14989787045249925162022-03-03T14:15:13.404039.png</t>
  </si>
  <si>
    <t>6ea14ba91842d55ad822f5ed278693644f6bd7a57f816fa9b9571dbe264ccb29</t>
  </si>
  <si>
    <t>https://bellingcat-archive.nyc3.cdn.digitaloceanspaces.com/Ukraine_Witness_Datasheet/Worksheet/youtube_dl_1498978704524992516/index.html</t>
  </si>
  <si>
    <t>do not resuscitate - Borodyanka. Small place in 20 km from my town, where my daughter's teacher lives. Or lived</t>
  </si>
  <si>
    <t>2022-03-02T11:09:07+00:00</t>
  </si>
  <si>
    <t>https://twitter.com/michaelh992/status/1498998147636502532?s=20&amp;t=vfj9GwN5xa5SK6ZXZmP2_Q</t>
  </si>
  <si>
    <t>CIV0157</t>
  </si>
  <si>
    <t>Residential building destroyed in Kharkiv</t>
  </si>
  <si>
    <t>UW1244</t>
  </si>
  <si>
    <t>https://bellingcat-archive.nyc3.cdn.digitaloceanspaces.com/Ukraine_Witness_Datasheet/Worksheet/twitter__michaelh992_status_1498998147636502532.html</t>
  </si>
  <si>
    <t>2022-03-03T14:15:37.600838+00:00</t>
  </si>
  <si>
    <t>https://bellingcat-archive.nyc3.cdn.digitaloceanspaces.com/Ukraine_Witness_Datasheet/Worksheet/twitter__michaelh992_status_14989981476365025322022-03-03T14:15:28.638956.png</t>
  </si>
  <si>
    <t>c22931009cf02a24219f88bc4bb385c8e5239ba5a2e56294f03f1f9b43902e78</t>
  </si>
  <si>
    <t>2022-03-02T12:26:23+00:00</t>
  </si>
  <si>
    <t>https://twitter.com/Liveuamap/status/1498986355749232640?s=20&amp;t=vfj9GwN5xa5SK6ZXZmP2_Q</t>
  </si>
  <si>
    <t>REPEAT OF CIV0157</t>
  </si>
  <si>
    <t>Fire in residential building</t>
  </si>
  <si>
    <t>UW1245</t>
  </si>
  <si>
    <t>https://bellingcat-archive.nyc3.cdn.digitaloceanspaces.com/Ukraine_Witness_Datasheet/Worksheet/twitter__Liveuamap_status_1498986355749232640.html</t>
  </si>
  <si>
    <t>2022-03-03T14:15:50.434951+00:00</t>
  </si>
  <si>
    <t>https://bellingcat-archive.nyc3.cdn.digitaloceanspaces.com/Ukraine_Witness_Datasheet/Worksheet/twitter__Liveuamap_status_14989863557492326402022-03-03T14:15:41.466741.png</t>
  </si>
  <si>
    <t>a3d20643b341083f6ddcd5694486e4e9bcaec5a7a6b368f465dd6f7cba2753d0</t>
  </si>
  <si>
    <t>2022-03-02T11:39:31+00:00</t>
  </si>
  <si>
    <t>https://twitter.com/nexta_tv/status/1498994384880209925?s=20&amp;t=PX8T6lrqKTaPzsuOSUoeYw</t>
  </si>
  <si>
    <t>Shelling of a school</t>
  </si>
  <si>
    <t>UW1246</t>
  </si>
  <si>
    <t>2022-03-03T14:16:01.912106+00:00</t>
  </si>
  <si>
    <t>https://bellingcat-archive.nyc3.cdn.digitaloceanspaces.com/Ukraine_Witness_Datasheet/Worksheet/twitter__nexta_tv_status_14989943848802099252022-03-03T14:15:53.251113.png</t>
  </si>
  <si>
    <t>a78c5c4212640445529d9fcf6a4cc6e176f5d0ec652e66e4a1528c604c01bd80</t>
  </si>
  <si>
    <t>https://twitter.com/GirkinGirkin/status/1498999782861377538</t>
  </si>
  <si>
    <t>CIV0160</t>
  </si>
  <si>
    <t>Shelling of a residential building</t>
  </si>
  <si>
    <t>UW1247</t>
  </si>
  <si>
    <t>https://bellingcat-archive.nyc3.cdn.digitaloceanspaces.com/Ukraine_Witness_Datasheet/Worksheet/twitter__GirkinGirkin_status_1498999782861377538.html</t>
  </si>
  <si>
    <t>2022-03-03T14:16:14.103669+00:00</t>
  </si>
  <si>
    <t>https://bellingcat-archive.nyc3.cdn.digitaloceanspaces.com/Ukraine_Witness_Datasheet/Worksheet/twitter__GirkinGirkin_status_14989997828613775382022-03-03T14:16:05.135785.png</t>
  </si>
  <si>
    <t>b4a583c5674d5ce3abe36a46f01067ae63d231e877db7ab1e78f9ede590d2fd0</t>
  </si>
  <si>
    <t>2022-03-02T12:32:52+00:00</t>
  </si>
  <si>
    <t>https://twitter.com/GirkinGirkin/status/1496854488933715972</t>
  </si>
  <si>
    <t>CIV0161</t>
  </si>
  <si>
    <t>Video shows fighter aircraft firing in civilian area in Ukraine</t>
  </si>
  <si>
    <t>UW1248</t>
  </si>
  <si>
    <t>https://bellingcat-archive.nyc3.cdn.digitaloceanspaces.com/Ukraine_Witness_Datasheet/Worksheet/youtube_dl_1496854488933715972.mp4</t>
  </si>
  <si>
    <t>2022-03-03T14:16:27.496002+00:00</t>
  </si>
  <si>
    <t>https://bellingcat-archive.nyc3.cdn.digitaloceanspaces.com/Ukraine_Witness_Datasheet/Worksheet/youtube_dl__GirkinGirkin_status_14968544889337159722022-03-03T14:16:16.128732.png</t>
  </si>
  <si>
    <t>983ed78fadb147654811dc104b1e2f15ac2113fc909e9accdd46c261972c819c</t>
  </si>
  <si>
    <t>https://bellingcat-archive.nyc3.cdn.digitaloceanspaces.com/Ukraine_Witness_Datasheet/Worksheet/youtube_dl_1496854488933715972/index.html</t>
  </si>
  <si>
    <t>IgorGirkin - no comments</t>
  </si>
  <si>
    <t>2022-02-24T14:28:15+00:00</t>
  </si>
  <si>
    <t>48.335082</t>
  </si>
  <si>
    <t>38.082349</t>
  </si>
  <si>
    <t>https://t.me/nm_dnr/6395</t>
  </si>
  <si>
    <t>CIV0162</t>
  </si>
  <si>
    <t>Reportedly, one civilian was killed and 6 injured in a shelling by the Ukrainian armed forces in Gorlovka, DPR</t>
  </si>
  <si>
    <t>UW1249</t>
  </si>
  <si>
    <t>https://bellingcat-archive.nyc3.cdn.digitaloceanspaces.com/Ukraine_Witness_Datasheet/Worksheet/telegram__nm_dnr_6395.html</t>
  </si>
  <si>
    <t>2022-03-03T14:16:37.580323+00:00</t>
  </si>
  <si>
    <t>https://bellingcat-archive.nyc3.cdn.digitaloceanspaces.com/Ukraine_Witness_Datasheet/Worksheet/telegram__nm_dnr_63952022-03-03T14:16:28.148822.png</t>
  </si>
  <si>
    <t>b51da0c8cfb3d578edf334e81652f057326082a597c75d487b98224c7d267883</t>
  </si>
  <si>
    <t>46.757458</t>
  </si>
  <si>
    <t>33.370035</t>
  </si>
  <si>
    <t>https://twitter.com/GraniTweet/status/1497149587215298571</t>
  </si>
  <si>
    <t>CIV0163</t>
  </si>
  <si>
    <t>Russian grad attack</t>
  </si>
  <si>
    <t>Nova Khakhovka</t>
  </si>
  <si>
    <t>UW1250</t>
  </si>
  <si>
    <t xml:space="preserve">Filmed from perspective of local resident/passerby </t>
  </si>
  <si>
    <t>https://bellingcat-archive.nyc3.cdn.digitaloceanspaces.com/Ukraine_Witness_Datasheet/Worksheet/youtube_dl_1497149587215298571.mp4</t>
  </si>
  <si>
    <t>2022-03-03T14:16:50.758196+00:00</t>
  </si>
  <si>
    <t>https://bellingcat-archive.nyc3.cdn.digitaloceanspaces.com/Ukraine_Witness_Datasheet/Worksheet/youtube_dl__GraniTweet_status_14971495872152985712022-03-03T14:16:39.736225.png</t>
  </si>
  <si>
    <t>de24eca3de35936e89340f6feed68be72929c647cdfc6ab7899335ed29b75def</t>
  </si>
  <si>
    <t>https://bellingcat-archive.nyc3.cdn.digitaloceanspaces.com/Ukraine_Witness_Datasheet/Worksheet/youtube_dl_1497149587215298571/index.html</t>
  </si>
  <si>
    <t>Грани.Ру - Оккупанты наносят удар из "Града" по Новой Каховке.</t>
  </si>
  <si>
    <t>2022-02-25T10:00:51+00:00</t>
  </si>
  <si>
    <t>https://twitter.com/ctrscr/status/1497910542429794305</t>
  </si>
  <si>
    <t>CIV0164</t>
  </si>
  <si>
    <t>Alleged Sabatouer shot dead</t>
  </si>
  <si>
    <t>Ukraine Oblast</t>
  </si>
  <si>
    <t>UW1251</t>
  </si>
  <si>
    <t>Fillmed from house resident</t>
  </si>
  <si>
    <t>https://bellingcat-archive.nyc3.cdn.digitaloceanspaces.com/Ukraine_Witness_Datasheet/Worksheet/youtube_dl_1497910542429794305.mp4</t>
  </si>
  <si>
    <t>2022-03-03T14:17:05.412994+00:00</t>
  </si>
  <si>
    <t>https://bellingcat-archive.nyc3.cdn.digitaloceanspaces.com/Ukraine_Witness_Datasheet/Worksheet/youtube_dl__ctrscr_status_14979105424297943052022-03-03T14:16:53.041401.png</t>
  </si>
  <si>
    <t>dd921a1dbbe25036111b33d71545d670a65ccca39c5a9d2aa2ee7e916de14e3e</t>
  </si>
  <si>
    <t>https://bellingcat-archive.nyc3.cdn.digitaloceanspaces.com/Ukraine_Witness_Datasheet/Worksheet/youtube_dl_1497910542429794305/index.html</t>
  </si>
  <si>
    <t>Cеntral Sсrutinizer - Київ. Микільська Слобідка. Приземлили диверсанта</t>
  </si>
  <si>
    <t>2022-02-27T12:24:37+00:00</t>
  </si>
  <si>
    <t xml:space="preserve">https://t.me/dvish_alive/8578 </t>
  </si>
  <si>
    <t>CIV0165</t>
  </si>
  <si>
    <t>Explosiove projectile inpacts civillian protesters blocking Russian forces. At least 1 x casualty. Likely IVO 47.477235, 34.64389</t>
  </si>
  <si>
    <t>UW1252</t>
  </si>
  <si>
    <t>https://bellingcat-archive.nyc3.cdn.digitaloceanspaces.com/Ukraine_Witness_Datasheet/Worksheet/telegram_929470ee1a.mp4</t>
  </si>
  <si>
    <t>2022-03-03T14:17:38.992354+00:00</t>
  </si>
  <si>
    <t>https://bellingcat-archive.nyc3.cdn.digitaloceanspaces.com/Ukraine_Witness_Datasheet/Worksheet/telegram__dvish_alive_8578 2022-03-03T14:17:06.160984.png</t>
  </si>
  <si>
    <t>e2ee82f1127c673128967f9479daddf7289901c8d5af6676849c95b0bebdccf7</t>
  </si>
  <si>
    <t>https://bellingcat-archive.nyc3.cdn.digitaloceanspaces.com/Ukraine_Witness_Datasheet/Worksheet/telegram_929470ee1a/index.html</t>
  </si>
  <si>
    <t>2022-03-02T14:40:38+00:00</t>
  </si>
  <si>
    <t xml:space="preserve">https://t.me/pavlokyrylenko_donoda/2471 </t>
  </si>
  <si>
    <t>CIV0166</t>
  </si>
  <si>
    <t>Cargo warhead and cluster subminitions in Ukrainian civilian area.</t>
  </si>
  <si>
    <t>UW1253</t>
  </si>
  <si>
    <t>https://bellingcat-archive.nyc3.cdn.digitaloceanspaces.com/Ukraine_Witness_Datasheet/Worksheet/telegram__pavlokyrylenko_donoda_2471 .html</t>
  </si>
  <si>
    <t>2022-03-03T14:17:55.220789+00:00</t>
  </si>
  <si>
    <t>https://bellingcat-archive.nyc3.cdn.digitaloceanspaces.com/Ukraine_Witness_Datasheet/Worksheet/telegram__pavlokyrylenko_donoda_2471 2022-03-03T14:17:39.739737.png</t>
  </si>
  <si>
    <t>f456ac8ab7cc774766520a4bb2dd8599d708ca5a4c82f3198847ec707c2f7b6f</t>
  </si>
  <si>
    <t>2022-03-02T14:52:13+00:00</t>
  </si>
  <si>
    <t>48.6478606</t>
  </si>
  <si>
    <t>38.3668592</t>
  </si>
  <si>
    <t>https://twitter.com/loogunda/status/1499025191523037201?s=20&amp;t=eqvfYOpQrEv3V22KDYvwXg</t>
  </si>
  <si>
    <t>CIV0167</t>
  </si>
  <si>
    <t>Explosions of grads in Luhansk Oblast</t>
  </si>
  <si>
    <t>Popasna</t>
  </si>
  <si>
    <t>UW1254</t>
  </si>
  <si>
    <t>some image filmed from perspective of resident</t>
  </si>
  <si>
    <t>https://bellingcat-archive.nyc3.cdn.digitaloceanspaces.com/Ukraine_Witness_Datasheet/Worksheet/twitter__loogunda_status_1499025191523037201.html</t>
  </si>
  <si>
    <t>2022-03-03T14:18:07.751699+00:00</t>
  </si>
  <si>
    <t>https://bellingcat-archive.nyc3.cdn.digitaloceanspaces.com/Ukraine_Witness_Datasheet/Worksheet/twitter__loogunda_status_14990251915230372012022-03-03T14:17:58.947809.png</t>
  </si>
  <si>
    <t>b5ee5b892d791d64c3d7db2146e26f2df82bdb93538becfeee7a7df8a7f61fe0</t>
  </si>
  <si>
    <t>2022-03-02T14:13:50+00:00</t>
  </si>
  <si>
    <t>Duplicate</t>
  </si>
  <si>
    <t>49.19025877</t>
  </si>
  <si>
    <t>37.27789237</t>
  </si>
  <si>
    <t>https://t.me/nexta_live/19279</t>
  </si>
  <si>
    <t>CIV0168</t>
  </si>
  <si>
    <t>UW1255</t>
  </si>
  <si>
    <t>https://bellingcat-archive.nyc3.cdn.digitaloceanspaces.com/Ukraine_Witness_Datasheet/Worksheet/telegram__nexta_live_19279.html</t>
  </si>
  <si>
    <t>2022-03-03T14:18:16.147120+00:00</t>
  </si>
  <si>
    <t>https://bellingcat-archive.nyc3.cdn.digitaloceanspaces.com/Ukraine_Witness_Datasheet/Worksheet/telegram__nexta_live_192792022-03-03T14:18:08.565065.png</t>
  </si>
  <si>
    <t>0ed0b73d4eaaf80c3f7a77f94ef758b58ecb333ba59ca9822a8294134a27c75e</t>
  </si>
  <si>
    <t>2022-03-02T23:07:52+00:00</t>
  </si>
  <si>
    <t>https://t.me/nexta_live/19303</t>
  </si>
  <si>
    <t>CIV0169</t>
  </si>
  <si>
    <t>Destruction of residential building</t>
  </si>
  <si>
    <t>UW1256</t>
  </si>
  <si>
    <t>https://bellingcat-archive.nyc3.cdn.digitaloceanspaces.com/Ukraine_Witness_Datasheet/Worksheet/telegram__nexta_live_19303.html</t>
  </si>
  <si>
    <t>2022-03-03T14:18:24.629294+00:00</t>
  </si>
  <si>
    <t>https://bellingcat-archive.nyc3.cdn.digitaloceanspaces.com/Ukraine_Witness_Datasheet/Worksheet/telegram__nexta_live_193032022-03-03T14:18:16.797775.png</t>
  </si>
  <si>
    <t>807c109dab007450080db6f9a843799af398630c7ac9e381481240d456130641</t>
  </si>
  <si>
    <t>49.1899901</t>
  </si>
  <si>
    <t>37.27794522</t>
  </si>
  <si>
    <t>https://t.me/nexta_live/19314</t>
  </si>
  <si>
    <t>CIV0170</t>
  </si>
  <si>
    <t>Destruction of residential areas</t>
  </si>
  <si>
    <t>UW1257</t>
  </si>
  <si>
    <t>filmed from perspective of local resident</t>
  </si>
  <si>
    <t>https://bellingcat-archive.nyc3.cdn.digitaloceanspaces.com/Ukraine_Witness_Datasheet/Worksheet/telegram_7bf08cb0ee.mp4</t>
  </si>
  <si>
    <t>2022-03-03T14:19:52.492230+00:00</t>
  </si>
  <si>
    <t>https://bellingcat-archive.nyc3.cdn.digitaloceanspaces.com/Ukraine_Witness_Datasheet/Worksheet/telegram__nexta_live_193142022-03-03T14:18:25.323551.png</t>
  </si>
  <si>
    <t>12d4eb64c3e34a79f13b48d07273801e20ec77ff4077d82b8bfd4b20b31e66a3</t>
  </si>
  <si>
    <t>https://bellingcat-archive.nyc3.cdn.digitaloceanspaces.com/Ukraine_Witness_Datasheet/Worksheet/telegram_7bf08cb0ee/index.html</t>
  </si>
  <si>
    <t>2022-03-03T04:57:54+00:00</t>
  </si>
  <si>
    <t>49.19023088</t>
  </si>
  <si>
    <t>37.27716383</t>
  </si>
  <si>
    <t>https://t.me/Pravda_Gerashchenko/1609</t>
  </si>
  <si>
    <t>CIV0171</t>
  </si>
  <si>
    <t>Destruction of residetial areas</t>
  </si>
  <si>
    <t>UW1258</t>
  </si>
  <si>
    <t xml:space="preserve">Yes </t>
  </si>
  <si>
    <t>https://bellingcat-archive.nyc3.cdn.digitaloceanspaces.com/Ukraine_Witness_Datasheet/Worksheet/telegram_00988246b3.mp4</t>
  </si>
  <si>
    <t>2022-03-03T14:21:46.289001+00:00</t>
  </si>
  <si>
    <t>https://bellingcat-archive.nyc3.cdn.digitaloceanspaces.com/Ukraine_Witness_Datasheet/Worksheet/telegram__Pravda_Gerashchenko_16092022-03-03T14:19:53.151385.png</t>
  </si>
  <si>
    <t>2c7fd91002a747aa5c9eafbbf3ee18a71592bec93dc4f028157618b4cac5995e</t>
  </si>
  <si>
    <t>https://bellingcat-archive.nyc3.cdn.digitaloceanspaces.com/Ukraine_Witness_Datasheet/Worksheet/telegram_00988246b3/index.html</t>
  </si>
  <si>
    <t>2022-03-03T06:50:23+00:00</t>
  </si>
  <si>
    <t>49.990053</t>
  </si>
  <si>
    <t>36.232864</t>
  </si>
  <si>
    <t>https://t.me/hueviykharkov/47710</t>
  </si>
  <si>
    <t>CIV0172</t>
  </si>
  <si>
    <t>Widespread damage to civilian buildings and strees in bombing/shelling</t>
  </si>
  <si>
    <t>UW1259</t>
  </si>
  <si>
    <t>https://bellingcat-archive.nyc3.cdn.digitaloceanspaces.com/Ukraine_Witness_Datasheet/Worksheet/telegram__hueviykharkov_47710.html</t>
  </si>
  <si>
    <t>2022-03-03T14:21:54.322559+00:00</t>
  </si>
  <si>
    <t>https://bellingcat-archive.nyc3.cdn.digitaloceanspaces.com/Ukraine_Witness_Datasheet/Worksheet/telegram__hueviykharkov_477102022-03-03T14:21:47.044099.png</t>
  </si>
  <si>
    <t>e87c447c66afa13b1c32efd6527ee77748155026d0958e91695328a2e44c11c2</t>
  </si>
  <si>
    <t>DATE?</t>
  </si>
  <si>
    <t>https://t.me/nexta_live/19327</t>
  </si>
  <si>
    <t>CIV0173</t>
  </si>
  <si>
    <t>destruction of residential building</t>
  </si>
  <si>
    <t>UW1260</t>
  </si>
  <si>
    <t>https://bellingcat-archive.nyc3.cdn.digitaloceanspaces.com/Ukraine_Witness_Datasheet/Worksheet/telegram_2351919712.mp4</t>
  </si>
  <si>
    <t>2022-03-03T14:22:16.471390+00:00</t>
  </si>
  <si>
    <t>https://bellingcat-archive.nyc3.cdn.digitaloceanspaces.com/Ukraine_Witness_Datasheet/Worksheet/telegram__nexta_live_193272022-03-03T14:21:54.968896.png</t>
  </si>
  <si>
    <t>15b3571552bacf85e49c7795a47a65c89814b9fd035f6d987f61f4ee9c47ea23</t>
  </si>
  <si>
    <t>https://bellingcat-archive.nyc3.cdn.digitaloceanspaces.com/Ukraine_Witness_Datasheet/Worksheet/telegram_2351919712/index.html</t>
  </si>
  <si>
    <t>2022-03-03T07:19:04+00:00</t>
  </si>
  <si>
    <t>50.184706</t>
  </si>
  <si>
    <t>36.119724</t>
  </si>
  <si>
    <t>https://t.me/truexanewsua/24341</t>
  </si>
  <si>
    <t>CIV0174</t>
  </si>
  <si>
    <t>Dead civilian and abandoned Russian equipment</t>
  </si>
  <si>
    <t>Bezruky</t>
  </si>
  <si>
    <t>UW1261</t>
  </si>
  <si>
    <t>https://bellingcat-archive.nyc3.cdn.digitaloceanspaces.com/Ukraine_Witness_Datasheet/Worksheet/telegram_d4ef02f786.mp4</t>
  </si>
  <si>
    <t>2022-03-03T14:23:44.448267+00:00</t>
  </si>
  <si>
    <t>https://bellingcat-archive.nyc3.cdn.digitaloceanspaces.com/Ukraine_Witness_Datasheet/Worksheet/telegram__truexanewsua_243412022-03-03T14:22:17.320324.png</t>
  </si>
  <si>
    <t>34f8e101e7636e16c3a5f8fb0b763c6780800ea56c25a8146b1bb4d6185d6962</t>
  </si>
  <si>
    <t>https://bellingcat-archive.nyc3.cdn.digitaloceanspaces.com/Ukraine_Witness_Datasheet/Worksheet/telegram_d4ef02f786/index.html</t>
  </si>
  <si>
    <t>2022-02-26T15:20:31+00:00</t>
  </si>
  <si>
    <t>https://t.me/operativnoZSU/10317</t>
  </si>
  <si>
    <t xml:space="preserve">image </t>
  </si>
  <si>
    <t>CIV0175</t>
  </si>
  <si>
    <t>UW1262</t>
  </si>
  <si>
    <t>https://bellingcat-archive.nyc3.cdn.digitaloceanspaces.com/Ukraine_Witness_Datasheet/Worksheet/telegram__operativnoZSU_10317.html</t>
  </si>
  <si>
    <t>2022-03-03T14:23:55.968541+00:00</t>
  </si>
  <si>
    <t>https://bellingcat-archive.nyc3.cdn.digitaloceanspaces.com/Ukraine_Witness_Datasheet/Worksheet/telegram__operativnoZSU_103172022-03-03T14:23:45.098776.png</t>
  </si>
  <si>
    <t>6a8839ea58091aaba251ee40872ead1aa2774fa4a8acd49945d83f0715258cbd</t>
  </si>
  <si>
    <t>2022-03-02T12:55:52+00:00</t>
  </si>
  <si>
    <t>CIV0176</t>
  </si>
  <si>
    <t>UW1263</t>
  </si>
  <si>
    <t>49.949881</t>
  </si>
  <si>
    <t>36.1561796</t>
  </si>
  <si>
    <t>https://twitter.com/UkraineWhat/status/1499051939333644300</t>
  </si>
  <si>
    <t>CIV0177</t>
  </si>
  <si>
    <t>Aftermath of shelling of a residential area; civilian casualties</t>
  </si>
  <si>
    <t>UW1264</t>
  </si>
  <si>
    <t>https://bellingcat-archive.nyc3.cdn.digitaloceanspaces.com/Ukraine_Witness_Datasheet/Worksheet/youtube_dl_1499051939333644300.mp4</t>
  </si>
  <si>
    <t>2022-03-03T14:24:12.016468+00:00</t>
  </si>
  <si>
    <t>https://bellingcat-archive.nyc3.cdn.digitaloceanspaces.com/Ukraine_Witness_Datasheet/Worksheet/youtube_dl__UkraineWhat_status_14990519393336443002022-03-03T14:23:58.798110.png</t>
  </si>
  <si>
    <t>c5732fc4e3170381febb7d02959f6a0cb8f3461d9e85e2cb3900a572ff2bc69d</t>
  </si>
  <si>
    <t>https://bellingcat-archive.nyc3.cdn.digitaloceanspaces.com/Ukraine_Witness_Datasheet/Worksheet/youtube_dl_1499051939333644300/index.html</t>
  </si>
  <si>
    <t>What_is_Ukraine - 🔞 Still believe in “peaceful” Putin? Civilians die! After today’s bombing in Ukraine  🇺🇦 Repost pls, world must know about Putin’s crimes #UkraineWar #Ukraine #RussianUkrainianWar #StopPutinNOW #bombing #UkraineRussianWar #PutinIsaWarCriminal</t>
  </si>
  <si>
    <t>2022-03-02T16:00:08+00:00</t>
  </si>
  <si>
    <t>https://t.me/truexanewsua/27910</t>
  </si>
  <si>
    <t>CIV0178</t>
  </si>
  <si>
    <t>Destruction of boarding school</t>
  </si>
  <si>
    <t>Kharkiv Obalst</t>
  </si>
  <si>
    <t>UW1265</t>
  </si>
  <si>
    <t>https://bellingcat-archive.nyc3.cdn.digitaloceanspaces.com/Ukraine_Witness_Datasheet/Worksheet/telegram__truexanewsua_27910.html</t>
  </si>
  <si>
    <t>2022-03-03T14:24:20.089596+00:00</t>
  </si>
  <si>
    <t>https://bellingcat-archive.nyc3.cdn.digitaloceanspaces.com/Ukraine_Witness_Datasheet/Worksheet/telegram__truexanewsua_279102022-03-03T14:24:12.667247.png</t>
  </si>
  <si>
    <t>99a21668145022444368b5e4677f7faa275c31d9b33c353221bed8a9edc89fa8</t>
  </si>
  <si>
    <t>https://twitter.com/EmineDzheppar/status/1498932785100333064</t>
  </si>
  <si>
    <t>CIV0179</t>
  </si>
  <si>
    <t>Irpin'</t>
  </si>
  <si>
    <t>UW1266</t>
  </si>
  <si>
    <t>filmed from perspective of local resident/passerby</t>
  </si>
  <si>
    <t>https://bellingcat-archive.nyc3.cdn.digitaloceanspaces.com/Ukraine_Witness_Datasheet/Worksheet/youtube_dl_1498932785100333064.mp4</t>
  </si>
  <si>
    <t>2022-03-03T14:24:33.497938+00:00</t>
  </si>
  <si>
    <t>https://bellingcat-archive.nyc3.cdn.digitaloceanspaces.com/Ukraine_Witness_Datasheet/Worksheet/youtube_dl__EmineDzheppar_status_14989327851003330642022-03-03T14:24:22.507762.png</t>
  </si>
  <si>
    <t>b9c0e716bfb43d5d4a03141ede782aeef44342048d65440ffb1668e685d0b2ca</t>
  </si>
  <si>
    <t>https://bellingcat-archive.nyc3.cdn.digitaloceanspaces.com/Ukraine_Witness_Datasheet/Worksheet/youtube_dl_1498932785100333064/index.html</t>
  </si>
  <si>
    <t>Emine Dzheppar - #Irpin Town located 25 km. from Kyiv. Ukrainian towns &amp;amp; cities can not be captured without fighting, so Russian barbarians want to turn them into ruins.  #StandWithUkraine #StopRussianAgression</t>
  </si>
  <si>
    <t>2022-03-02T08:06:39+00:00</t>
  </si>
  <si>
    <t>36.410086</t>
  </si>
  <si>
    <t>https://twitter.com/UkraineWhat/status/1498917615389057028</t>
  </si>
  <si>
    <t>CIV0180</t>
  </si>
  <si>
    <t>Damaged residental buildings</t>
  </si>
  <si>
    <t>UW1267</t>
  </si>
  <si>
    <t>https://bellingcat-archive.nyc3.cdn.digitaloceanspaces.com/Ukraine_Witness_Datasheet/Worksheet/youtube_dl_1498917615389057028.mp4</t>
  </si>
  <si>
    <t>2022-03-03T14:24:48.490312+00:00</t>
  </si>
  <si>
    <t>https://bellingcat-archive.nyc3.cdn.digitaloceanspaces.com/Ukraine_Witness_Datasheet/Worksheet/youtube_dl__UkraineWhat_status_14989176153890570282022-03-03T14:24:36.336974.png</t>
  </si>
  <si>
    <t>f22bdf6d0aabaee14c2039ad5c355e665d84861ebe5ebd4211926b34cc7f83fb</t>
  </si>
  <si>
    <t>https://bellingcat-archive.nyc3.cdn.digitaloceanspaces.com/Ukraine_Witness_Datasheet/Worksheet/youtube_dl_1498917615389057028/index.html</t>
  </si>
  <si>
    <t>What_is_Ukraine - “Good” morning in Kharkiv after bombing at night #Kharkiv #UkraineRussiaWar #Ukriane #StopPutinNOW #WARINUKRAINE</t>
  </si>
  <si>
    <t>2022-03-02T07:06:22+00:00</t>
  </si>
  <si>
    <t>https://t.me/truexanewsua/27949</t>
  </si>
  <si>
    <t>CIV0181</t>
  </si>
  <si>
    <t>destruction of residential areas</t>
  </si>
  <si>
    <t>UW1268</t>
  </si>
  <si>
    <t>https://bellingcat-archive.nyc3.cdn.digitaloceanspaces.com/Ukraine_Witness_Datasheet/Worksheet/telegram_0bb9272665.mp4</t>
  </si>
  <si>
    <t>2022-03-03T14:26:00.520912+00:00</t>
  </si>
  <si>
    <t>https://bellingcat-archive.nyc3.cdn.digitaloceanspaces.com/Ukraine_Witness_Datasheet/Worksheet/telegram__truexanewsua_279492022-03-03T14:24:49.263751.png</t>
  </si>
  <si>
    <t>af8a4439bff5c3d707531b823d5db08fb68c5bf9cde3af57a31da905c37d6e14</t>
  </si>
  <si>
    <t>https://bellingcat-archive.nyc3.cdn.digitaloceanspaces.com/Ukraine_Witness_Datasheet/Worksheet/telegram_0bb9272665/index.html</t>
  </si>
  <si>
    <t>2022-03-02T16:31:29+00:00</t>
  </si>
  <si>
    <t>https://t.me/voyna_novost/17753</t>
  </si>
  <si>
    <t>CIV0182</t>
  </si>
  <si>
    <t>UW1269</t>
  </si>
  <si>
    <t>https://bellingcat-archive.nyc3.cdn.digitaloceanspaces.com/Ukraine_Witness_Datasheet/Worksheet/telegram_b3c7347aea.mp4</t>
  </si>
  <si>
    <t>2022-03-03T14:27:57.965357+00:00</t>
  </si>
  <si>
    <t>https://bellingcat-archive.nyc3.cdn.digitaloceanspaces.com/Ukraine_Witness_Datasheet/Worksheet/telegram__voyna_novost_177532022-03-03T14:26:01.263032.png</t>
  </si>
  <si>
    <t>f1631f2b58677f59d84267e26e1a510c3cc81d49b79d30b527dde4ca5120e757</t>
  </si>
  <si>
    <t>https://bellingcat-archive.nyc3.cdn.digitaloceanspaces.com/Ukraine_Witness_Datasheet/Worksheet/telegram_b3c7347aea/index.html</t>
  </si>
  <si>
    <t>2022-03-03T05:59:46+00:00</t>
  </si>
  <si>
    <t>https://twitter.com/GirkinGirkin/status/1499356252396269573</t>
  </si>
  <si>
    <t>Russian convoy in Belgorod</t>
  </si>
  <si>
    <t>https://twitter.com/gfusfus/status/1499390620569382913</t>
  </si>
  <si>
    <t>Belgorodskaya oblast</t>
  </si>
  <si>
    <t>UW1270</t>
  </si>
  <si>
    <t>https://bellingcat-archive.nyc3.cdn.digitaloceanspaces.com/Ukraine_Witness_Datasheet/Worksheet/youtube_dl_1499356252396269573.mp4</t>
  </si>
  <si>
    <t>2022-03-03T14:30:33.322954+00:00</t>
  </si>
  <si>
    <t>https://bellingcat-archive.nyc3.cdn.digitaloceanspaces.com/Ukraine_Witness_Datasheet/Worksheet/youtube_dl__GirkinGirkin_status_14993562523962695732022-03-03T14:30:13.795608.png</t>
  </si>
  <si>
    <t>d88eefd1ad697bb519152f241f0a9360d069fd8076891b696955925494a716fe</t>
  </si>
  <si>
    <t>https://bellingcat-archive.nyc3.cdn.digitaloceanspaces.com/Ukraine_Witness_Datasheet/Worksheet/youtube_dl_1499356252396269573/index.html</t>
  </si>
  <si>
    <t>IgorGirkin - Белгород, 3 марта</t>
  </si>
  <si>
    <t>2022-03-03T12:09:21+00:00</t>
  </si>
  <si>
    <t>https://twitter.com/RALee85/status/1499400552664371209</t>
  </si>
  <si>
    <t>Damaged civilian residential infrastructure after Russian bombing in Chernihiv</t>
  </si>
  <si>
    <t>UW1271</t>
  </si>
  <si>
    <t>Civilian infrastructure losses</t>
  </si>
  <si>
    <t>Filmed by a passerby/local resident</t>
  </si>
  <si>
    <t>https://bellingcat-archive.nyc3.cdn.digitaloceanspaces.com/Ukraine_Witness_Datasheet/Worksheet/youtube_dl_1499400552664371209.mp4</t>
  </si>
  <si>
    <t>2022-03-03T15:15:23.195857+00:00</t>
  </si>
  <si>
    <t>https://bellingcat-archive.nyc3.cdn.digitaloceanspaces.com/Ukraine_Witness_Datasheet/Worksheet/youtube_dl__RALee85_status_14994005526643712092022-03-03T15:15:12.002202.png</t>
  </si>
  <si>
    <t>033d703d6de18e8aeea3c060f8284afbbfe434d7b3227333780ca2f5d00f7128</t>
  </si>
  <si>
    <t>https://bellingcat-archive.nyc3.cdn.digitaloceanspaces.com/Ukraine_Witness_Datasheet/Worksheet/youtube_dl_1499400552664371209/index.html</t>
  </si>
  <si>
    <t>Rob Lee - Video of Chernihiv.</t>
  </si>
  <si>
    <t>2022-03-03T15:05:23+00:00</t>
  </si>
  <si>
    <t>https://twitter.com/SputnikATO/status/1499390793001226243</t>
  </si>
  <si>
    <t>Big fire in building</t>
  </si>
  <si>
    <t>Chaiky</t>
  </si>
  <si>
    <t xml:space="preserve">50.44018448, 30.28378498 Coordinates from where the video was possibly recorded from. visible the football field and big white roof structure next to it. </t>
  </si>
  <si>
    <t>UW1272</t>
  </si>
  <si>
    <t>https://bellingcat-archive.nyc3.cdn.digitaloceanspaces.com/Ukraine_Witness_Datasheet/Worksheet/youtube_dl_1499390793001226243.mp4</t>
  </si>
  <si>
    <t>2022-03-03T15:50:22.069271+00:00</t>
  </si>
  <si>
    <t>https://bellingcat-archive.nyc3.cdn.digitaloceanspaces.com/Ukraine_Witness_Datasheet/Worksheet/youtube_dl__SputnikATO_status_14993907930012262432022-03-03T15:50:11.527138.png</t>
  </si>
  <si>
    <t>32b05fcc2a956216a46b4ed9e84e940011789419c5d0bd486c63361f646adf90</t>
  </si>
  <si>
    <t>https://bellingcat-archive.nyc3.cdn.digitaloceanspaces.com/Ukraine_Witness_Datasheet/Worksheet/youtube_dl_1499390793001226243/index.html</t>
  </si>
  <si>
    <t>Спутник News АТО - В Киеве подымаются огромные клубы дыма</t>
  </si>
  <si>
    <t>2022-03-03T14:26:37+00:00</t>
  </si>
  <si>
    <t>https://twitter.com/UAWeapons/status/1499413121634549765/photo/1</t>
  </si>
  <si>
    <t>Ukrainian "Osa" SAM system destroyed by Russian air raid in aeroclub's</t>
  </si>
  <si>
    <t>New Korotich</t>
  </si>
  <si>
    <t>Google maps has local photo of the aerodrom where the structure with the blue doors/gates that burned down is visible.</t>
  </si>
  <si>
    <t>UW1273</t>
  </si>
  <si>
    <t>https://bellingcat-archive.nyc3.cdn.digitaloceanspaces.com/Ukraine_Witness_Datasheet/Worksheet/twitter__UAWeapons_status_1499413121634549765_photo_1.html</t>
  </si>
  <si>
    <t>2022-03-03T16:00:21.104625+00:00</t>
  </si>
  <si>
    <t>https://bellingcat-archive.nyc3.cdn.digitaloceanspaces.com/Ukraine_Witness_Datasheet/Worksheet/twitter__UAWeapons_status_1499413121634549765_photo_12022-03-03T16:00:12.271508.png</t>
  </si>
  <si>
    <t>8e9ae514f393b801c8a1c4fe89891c3f2189f4e014eadcb4f9aac8a77a2945da</t>
  </si>
  <si>
    <t>2022-03-03T15:55:20+00:00</t>
  </si>
  <si>
    <t>https://twitter.com/CasusBellii/status/1499413841729531904</t>
  </si>
  <si>
    <t>UW1274</t>
  </si>
  <si>
    <t>https://bellingcat-archive.nyc3.cdn.digitaloceanspaces.com/Ukraine_Witness_Datasheet/Worksheet/youtube_dl_1499417437204267010.mp4</t>
  </si>
  <si>
    <t>2022-03-03T16:20:23.477486+00:00</t>
  </si>
  <si>
    <t>https://bellingcat-archive.nyc3.cdn.digitaloceanspaces.com/Ukraine_Witness_Datasheet/Worksheet/youtube_dl__L_ThinkTank_status_14994174372042670102022-03-03T16:20:12.930052.png</t>
  </si>
  <si>
    <t>0f90d0052b15a5ba6eb94f21a9c89dc0c5725b23ef2bbfcce6c725205ea8a651</t>
  </si>
  <si>
    <t>https://bellingcat-archive.nyc3.cdn.digitaloceanspaces.com/Ukraine_Witness_Datasheet/Worksheet/youtube_dl_1499417437204267010/index.html</t>
  </si>
  <si>
    <t>(Little) Think Tank - [ 🇷🇺 RUSSIE | 🇺🇦 UKRAINE ]  🔸 Vidéo des dégâts importants à Tchernihiv.</t>
  </si>
  <si>
    <t>2022-03-03T16:12:29+00:00</t>
  </si>
  <si>
    <t>https://twitter.com/nexta_tv/status/1499405555206705153</t>
  </si>
  <si>
    <t>Russian missile hitting a power plant in Okhtyrka</t>
  </si>
  <si>
    <t>Visible in google street view the big tower with red and white stripes and the power line next to it. Coordinates from where I believe the video was filmed although Im not quite sure on the angle as street view is limited and some structures are not visible on satellite view.</t>
  </si>
  <si>
    <t>UW1275</t>
  </si>
  <si>
    <t>shows the film takers face</t>
  </si>
  <si>
    <t>https://bellingcat-archive.nyc3.cdn.digitaloceanspaces.com/Ukraine_Witness_Datasheet/Worksheet/youtube_dl_1499405555206705153.mp4</t>
  </si>
  <si>
    <t>2022-03-03T16:25:24.542482+00:00</t>
  </si>
  <si>
    <t>https://bellingcat-archive.nyc3.cdn.digitaloceanspaces.com/Ukraine_Witness_Datasheet/Worksheet/youtube_dl__nexta_tv_status_14994055552067051532022-03-03T16:25:13.536611.png</t>
  </si>
  <si>
    <t>67d01d06aa20e5134c3a2cbb156f0550a7eff528758d4f9ee4ce206adca44080</t>
  </si>
  <si>
    <t>https://bellingcat-archive.nyc3.cdn.digitaloceanspaces.com/Ukraine_Witness_Datasheet/Worksheet/youtube_dl_1499405555206705153/index.html</t>
  </si>
  <si>
    <t>NEXTA - In #Akhtyrka, a #Russian bomb hit a thermal power plant.</t>
  </si>
  <si>
    <t>2022-03-03T15:25:16+00:00</t>
  </si>
  <si>
    <t>https://twitter.com/nexta_tv/status/1499404517439426563</t>
  </si>
  <si>
    <t xml:space="preserve">Fire in a forest near Zaporizhzhia as a result of shelling </t>
  </si>
  <si>
    <t>Zaporizhzhia</t>
  </si>
  <si>
    <t>UW1276</t>
  </si>
  <si>
    <t>https://bellingcat-archive.nyc3.cdn.digitaloceanspaces.com/Ukraine_Witness_Datasheet/Worksheet/youtube_dl_1499404517439426563.mp4</t>
  </si>
  <si>
    <t>2022-03-03T16:30:29.470589+00:00</t>
  </si>
  <si>
    <t>https://bellingcat-archive.nyc3.cdn.digitaloceanspaces.com/Ukraine_Witness_Datasheet/Worksheet/youtube_dl__nexta_tv_status_14994045174394265632022-03-03T16:30:14.570920.png</t>
  </si>
  <si>
    <t>47ad297590a30b59b1501f3f899c5bfd964e5d3d10bcad376c0b8ce163bfa3f8</t>
  </si>
  <si>
    <t>https://bellingcat-archive.nyc3.cdn.digitaloceanspaces.com/Ukraine_Witness_Datasheet/Worksheet/youtube_dl_1499404517439426563/index.html</t>
  </si>
  <si>
    <t>NEXTA - A convoy of occupants breaks through to Energodar. A fire near the #Zaporizhzhya NPP. A siren is heard.</t>
  </si>
  <si>
    <t>2022-03-03T15:21:09+00:00</t>
  </si>
  <si>
    <t>https://twitter.com/GirkinGirkin/status/1499418602642063370</t>
  </si>
  <si>
    <t>Remainings of a missile</t>
  </si>
  <si>
    <t>https://twitter.com/gfusfus/status/1499422189442977797</t>
  </si>
  <si>
    <t>UW1277</t>
  </si>
  <si>
    <t>https://bellingcat-archive.nyc3.cdn.digitaloceanspaces.com/Ukraine_Witness_Datasheet/Worksheet/twitter__GirkinGirkin_status_1499418602642063370.html</t>
  </si>
  <si>
    <t>2022-03-03T16:35:20.266049+00:00</t>
  </si>
  <si>
    <t>https://bellingcat-archive.nyc3.cdn.digitaloceanspaces.com/Ukraine_Witness_Datasheet/Worksheet/twitter__GirkinGirkin_status_14994186026420633702022-03-03T16:35:11.999311.png</t>
  </si>
  <si>
    <t>38f6cac935eccdb1d775eeb2f7569b16909739cd53fa3d3427d8d2f5c47b18bb</t>
  </si>
  <si>
    <t>2022-03-03T16:17:07+00:00</t>
  </si>
  <si>
    <t>https://twitter.com/RussiaUkraineW3/status/1498682172957691904</t>
  </si>
  <si>
    <t>UW1278</t>
  </si>
  <si>
    <t>https://bellingcat-archive.nyc3.cdn.digitaloceanspaces.com/Ukraine_Witness_Datasheet/Worksheet/twitter__RussiaUkraineW3_status_1498682172957691904.html</t>
  </si>
  <si>
    <t>2022-03-03T16:55:20.620100+00:00</t>
  </si>
  <si>
    <t>https://bellingcat-archive.nyc3.cdn.digitaloceanspaces.com/Ukraine_Witness_Datasheet/Worksheet/twitter__RussiaUkraineW3_status_14986821729576919042022-03-03T16:55:12.553488.png</t>
  </si>
  <si>
    <t>11d74317e2bbca6fb7763fe904307faffb946ccfddc4f660d67f2663d1917417</t>
  </si>
  <si>
    <t>2022-03-01T15:30:48+00:00</t>
  </si>
  <si>
    <t>https://twitter.com/aldin_ww/status/1498728726066081792</t>
  </si>
  <si>
    <t>INV0007</t>
  </si>
  <si>
    <t>Missile landed on roof</t>
  </si>
  <si>
    <t>9M79 "Tochka"</t>
  </si>
  <si>
    <t>UW1279</t>
  </si>
  <si>
    <t>https://bellingcat-archive.nyc3.cdn.digitaloceanspaces.com/Ukraine_Witness_Datasheet/Worksheet/twitter__aldin_ww_status_1498728726066081792.html</t>
  </si>
  <si>
    <t>2022-03-03T16:55:32.037578+00:00</t>
  </si>
  <si>
    <t>https://bellingcat-archive.nyc3.cdn.digitaloceanspaces.com/Ukraine_Witness_Datasheet/Worksheet/twitter__aldin_ww_status_14987287260660817922022-03-03T16:55:23.197902.png</t>
  </si>
  <si>
    <t>744003a1f3e6ea9add0ccab057ff47e0d30ec06ec06044f52b66af7795a91add</t>
  </si>
  <si>
    <t>2022-03-01T18:35:47+00:00</t>
  </si>
  <si>
    <t>https://twitter.com/TpyxaNews/status/1499417383982833668</t>
  </si>
  <si>
    <t>Gunfire and fire visable</t>
  </si>
  <si>
    <t>Enerhodar</t>
  </si>
  <si>
    <t>UW1280</t>
  </si>
  <si>
    <t>https://bellingcat-archive.nyc3.cdn.digitaloceanspaces.com/Ukraine_Witness_Datasheet/Worksheet/youtube_dl_1499417383982833668.mp4</t>
  </si>
  <si>
    <t>2022-03-03T16:55:45.950266+00:00</t>
  </si>
  <si>
    <t>https://bellingcat-archive.nyc3.cdn.digitaloceanspaces.com/Ukraine_Witness_Datasheet/Worksheet/youtube_dl__TpyxaNews_status_14994173839828336682022-03-03T16:55:34.269883.png</t>
  </si>
  <si>
    <t>171a71cbdf132cd54cadb6fcb697a4b0e18fab2762f7791370caa64f5550673a</t>
  </si>
  <si>
    <t>https://bellingcat-archive.nyc3.cdn.digitaloceanspaces.com/Ukraine_Witness_Datasheet/Worksheet/youtube_dl_1499417383982833668/index.html</t>
  </si>
  <si>
    <t>ТРУХА⚡️English - Energodar.  #Ukraine #Russia #Kyiv #Odessa #Kharkiv #ТРУХА #ТРУХАEnglish</t>
  </si>
  <si>
    <t>2022-03-03T16:12:16+00:00</t>
  </si>
  <si>
    <t>https://twitter.com/MarQs__/status/1499420543723921409</t>
  </si>
  <si>
    <t>Civilian roadblock attacked by Russian forces</t>
  </si>
  <si>
    <t>UW1281</t>
  </si>
  <si>
    <t>https://bellingcat-archive.nyc3.cdn.digitaloceanspaces.com/Ukraine_Witness_Datasheet/Worksheet/youtube_dl_1499420543723921409.mp4</t>
  </si>
  <si>
    <t>2022-03-03T16:55:59.649606+00:00</t>
  </si>
  <si>
    <t>https://bellingcat-archive.nyc3.cdn.digitaloceanspaces.com/Ukraine_Witness_Datasheet/Worksheet/youtube_dl__MarQs___status_14994205437239214092022-03-03T16:55:48.529219.png</t>
  </si>
  <si>
    <t>2de8b462975d210fe738eda68d14bafe83703e0c088efb0490180f0530428376</t>
  </si>
  <si>
    <t>https://bellingcat-archive.nyc3.cdn.digitaloceanspaces.com/Ukraine_Witness_Datasheet/Worksheet/youtube_dl_1499420543723921409/index.html</t>
  </si>
  <si>
    <t>marqs - #Enerhodar: Russian troops attacked road blocks at the entry of the city. Multiple videos showed civilians building barricades on this street yesterday.</t>
  </si>
  <si>
    <t>2022-03-03T16:24:50+00:00</t>
  </si>
  <si>
    <t>https://twitter.com/MotolkoHelp/status/1499399672284151808</t>
  </si>
  <si>
    <t>https://twitter.com/gfusfus/status/1499412968282460160</t>
  </si>
  <si>
    <t>Energiya</t>
  </si>
  <si>
    <t>Video contains two parts, only the first part geolocated</t>
  </si>
  <si>
    <t>UW1282</t>
  </si>
  <si>
    <t>https://bellingcat-archive.nyc3.cdn.digitaloceanspaces.com/Ukraine_Witness_Datasheet/Worksheet/youtube_dl_1499399672284151808.mp4</t>
  </si>
  <si>
    <t>2022-03-03T17:05:28.911069+00:00</t>
  </si>
  <si>
    <t>https://bellingcat-archive.nyc3.cdn.digitaloceanspaces.com/Ukraine_Witness_Datasheet/Worksheet/youtube_dl__MotolkoHelp_status_14993996722841518082022-03-03T17:05:13.127065.png</t>
  </si>
  <si>
    <t>cb45aba0f08e5366aecdd3c9253c7d84f5e7601ca5a453df66c0a5b263926eee</t>
  </si>
  <si>
    <t>https://bellingcat-archive.nyc3.cdn.digitaloceanspaces.com/Ukraine_Witness_Datasheet/Worksheet/youtube_dl_1499399672284151808/index.html</t>
  </si>
  <si>
    <t>MotolkoHelp - A video of the movement of the column with missiles for the “Iskander” missile system.</t>
  </si>
  <si>
    <t>2022-03-03T15:01:54+00:00</t>
  </si>
  <si>
    <t>https://twitter.com/aldin_ww/status/1499431262276227080</t>
  </si>
  <si>
    <t>Russian occupied Melitopol. Military distributing something to population in queues.</t>
  </si>
  <si>
    <t>Big bronze statue of Taras Shevchenko</t>
  </si>
  <si>
    <t>UW1283</t>
  </si>
  <si>
    <t>https://bellingcat-archive.nyc3.cdn.digitaloceanspaces.com/Ukraine_Witness_Datasheet/Worksheet/youtube_dl_1499431262276227080.mp4</t>
  </si>
  <si>
    <t>2022-03-03T17:15:25.134384+00:00</t>
  </si>
  <si>
    <t>https://bellingcat-archive.nyc3.cdn.digitaloceanspaces.com/Ukraine_Witness_Datasheet/Worksheet/youtube_dl__aldin_ww_status_14994312622762270802022-03-03T17:15:12.497815.png</t>
  </si>
  <si>
    <t>bf91669ce917c1a20cfa7399f47db99df96b96b2059506f59603f8ef07a28e18</t>
  </si>
  <si>
    <t>https://bellingcat-archive.nyc3.cdn.digitaloceanspaces.com/Ukraine_Witness_Datasheet/Worksheet/youtube_dl_1499431262276227080/index.html</t>
  </si>
  <si>
    <t>Aldin 🇧🇦 - Russsian occupied Melitopol today.</t>
  </si>
  <si>
    <t>2022-03-03T17:07:25+00:00</t>
  </si>
  <si>
    <t>https://t.me/istorijaoruzija/38808</t>
  </si>
  <si>
    <t>Remnants of a missile in middle of road by Bridge and bus station in South East Kyiv.</t>
  </si>
  <si>
    <t xml:space="preserve">Kyiv Oblast </t>
  </si>
  <si>
    <t xml:space="preserve">Pattern on bridge and road consistent with image as well as the bus stops visible and the extended curb. </t>
  </si>
  <si>
    <t>UW1284</t>
  </si>
  <si>
    <t>Munition</t>
  </si>
  <si>
    <t>https://bellingcat-archive.nyc3.cdn.digitaloceanspaces.com/Ukraine_Witness_Datasheet/Worksheet/telegram__istorijaoruzija_38808.html</t>
  </si>
  <si>
    <t>2022-03-03T17:05:38.527787+00:00</t>
  </si>
  <si>
    <t>https://bellingcat-archive.nyc3.cdn.digitaloceanspaces.com/Ukraine_Witness_Datasheet/Worksheet/telegram__istorijaoruzija_388082022-03-03T17:05:29.739610.png</t>
  </si>
  <si>
    <t>d79f0db7a295ac5cd5975a596dc9fc1e51b9e1276bc927591bb85bcbe2ebb4b1</t>
  </si>
  <si>
    <t>2022-03-03T16:50:47+00:00</t>
  </si>
  <si>
    <t>https://t.me/warjournaltg/12044</t>
  </si>
  <si>
    <t>Damage at Korotych Airfield in Kharkiv</t>
  </si>
  <si>
    <t xml:space="preserve">Streetview from airfield consistent with blue hangers and outbuildings shown in the images with damage. </t>
  </si>
  <si>
    <t>UW1285</t>
  </si>
  <si>
    <t>Image taken from Airfield, open space</t>
  </si>
  <si>
    <t>https://bellingcat-archive.nyc3.cdn.digitaloceanspaces.com/Ukraine_Witness_Datasheet/Worksheet/telegram__warjournaltg_12044.html</t>
  </si>
  <si>
    <t>2022-03-03T17:20:20.563232+00:00</t>
  </si>
  <si>
    <t>https://bellingcat-archive.nyc3.cdn.digitaloceanspaces.com/Ukraine_Witness_Datasheet/Worksheet/telegram__warjournaltg_120442022-03-03T17:20:10.248029.png</t>
  </si>
  <si>
    <t>06da8423db1e9b1ee2f740825231ac0f8acf54c753ab22abf1e4a1b3ba7cdcb7</t>
  </si>
  <si>
    <t>2022-03-03T14:42:07+00:00</t>
  </si>
  <si>
    <t>https://twitter.com/KyivIndependent/status/1499431817996345356?s=20&amp;t=jabnJrzEaEMDBGl-ZnD3Ug</t>
  </si>
  <si>
    <t>State Emergency Service video showing the aftermath on an airstrike in a residential area in Chernihiv.</t>
  </si>
  <si>
    <t xml:space="preserve">Large residential high-rise white building visible on Google maps and streetview  </t>
  </si>
  <si>
    <t>UW1286</t>
  </si>
  <si>
    <t>https://bellingcat-archive.nyc3.cdn.digitaloceanspaces.com/Ukraine_Witness_Datasheet/Worksheet/youtube_dl_1499431817996345356.mp4</t>
  </si>
  <si>
    <t>2022-03-03T17:40:25.108562+00:00</t>
  </si>
  <si>
    <t>https://bellingcat-archive.nyc3.cdn.digitaloceanspaces.com/Ukraine_Witness_Datasheet/Worksheet/youtube_dl__KyivIndependent_status_14994318179963453562022-03-03T17:40:12.409410.png</t>
  </si>
  <si>
    <t>2421a4ebc85e17f50e383e64b2fc0f78536b3ff3e40b047e3d6ac8c70629918f</t>
  </si>
  <si>
    <t>https://bellingcat-archive.nyc3.cdn.digitaloceanspaces.com/Ukraine_Witness_Datasheet/Worksheet/youtube_dl_1499431817996345356/index.html</t>
  </si>
  <si>
    <t>The Kyiv Independent - ⚡️33 people dead, 18 injured as of 6:20 p.m. after Russia conducts air strikes on Chernihiv residential areas, the Stare Emergency Service reports.  Video: State Emergency Service</t>
  </si>
  <si>
    <t>2022-03-03T17:09:38+00:00</t>
  </si>
  <si>
    <t>https://twitter.com/michaelh992/status/1499418195488346116?s=20&amp;t=brM54OiXfXHPB52TQYLEuqv0MrztCKOAa2RDc2kY-vo</t>
  </si>
  <si>
    <t>Sirens and smoke in Enerhodar</t>
  </si>
  <si>
    <t>Distinct Bohoyavlensʹka Tserkva Church visible in video</t>
  </si>
  <si>
    <t>UW1287</t>
  </si>
  <si>
    <t>https://bellingcat-archive.nyc3.cdn.digitaloceanspaces.com/Ukraine_Witness_Datasheet/Worksheet/youtube_dl_1499418195488346116.mp4</t>
  </si>
  <si>
    <t>2022-03-03T17:55:25.052065+00:00</t>
  </si>
  <si>
    <t>https://bellingcat-archive.nyc3.cdn.digitaloceanspaces.com/Ukraine_Witness_Datasheet/Worksheet/youtube_dl__michaelh992_status_14994181954883461162022-03-03T17:55:13.633923.png</t>
  </si>
  <si>
    <t>0c0d9399e13fede2ad57350df1eed710b33b9f8b8d2fda0caca9485268ebc8c4</t>
  </si>
  <si>
    <t>https://bellingcat-archive.nyc3.cdn.digitaloceanspaces.com/Ukraine_Witness_Datasheet/Worksheet/youtube_dl_1499418195488346116/index.html</t>
  </si>
  <si>
    <t>Michael A. Horowitz - Another video of the sirens in Enerhodar as Russian forces are approaching the city</t>
  </si>
  <si>
    <t>2022-03-03T16:15:30+00:00</t>
  </si>
  <si>
    <t>https://twitter.com/olehbatkovych/status/1499437391328821251?s=20&amp;t=brM54OiXfXHPB52TQYLEuqv0MrztCKOAa2RDc2kY-vo</t>
  </si>
  <si>
    <t>Fire visible behind Church in Enerhodar</t>
  </si>
  <si>
    <t>UW1288</t>
  </si>
  <si>
    <t>https://bellingcat-archive.nyc3.cdn.digitaloceanspaces.com/Ukraine_Witness_Datasheet/Worksheet/youtube_dl_1499437391328821251.mp4</t>
  </si>
  <si>
    <t>2022-03-03T17:55:38.936199+00:00</t>
  </si>
  <si>
    <t>https://bellingcat-archive.nyc3.cdn.digitaloceanspaces.com/Ukraine_Witness_Datasheet/Worksheet/youtube_dl__olehbatkovych_status_14994373913288212512022-03-03T17:55:27.289374.png</t>
  </si>
  <si>
    <t>b07f2fce382c4c355ee04209a2ac35189b32443f8572f961337017646a958b9e</t>
  </si>
  <si>
    <t>https://bellingcat-archive.nyc3.cdn.digitaloceanspaces.com/Ukraine_Witness_Datasheet/Worksheet/youtube_dl_1499437391328821251/index.html</t>
  </si>
  <si>
    <t>Oleh Novikov 🇺🇦 - Explosion in Enerhodar, Zaporyzhzhya region. Mayor says, no water in the city, no electricity in some districts, Russian saboteurs inside the city.</t>
  </si>
  <si>
    <t>2022-03-03T17:31:46+00:00</t>
  </si>
  <si>
    <t>https://t.me/milinfolive/77807</t>
  </si>
  <si>
    <t>Shopping Mall on fire in Mariupol</t>
  </si>
  <si>
    <t>Mall Logo and yellow building both present in streetview on google maps</t>
  </si>
  <si>
    <t>UW1289</t>
  </si>
  <si>
    <t>https://bellingcat-archive.nyc3.cdn.digitaloceanspaces.com/Ukraine_Witness_Datasheet/Worksheet/telegram__milinfolive_77807.html</t>
  </si>
  <si>
    <t>2022-03-03T18:30:18.537701+00:00</t>
  </si>
  <si>
    <t>https://bellingcat-archive.nyc3.cdn.digitaloceanspaces.com/Ukraine_Witness_Datasheet/Worksheet/telegram__milinfolive_778072022-03-03T18:30:10.258891.png</t>
  </si>
  <si>
    <t>be02a1ffed5223b2fb5e8f57cf954b0b0050b4a0e555048d707b91842cff3822</t>
  </si>
  <si>
    <t>2022-03-03T09:53:31+00:00</t>
  </si>
  <si>
    <t>https://twitter.com/Mariia_Zolkina/status/1499424930978582533?s=20&amp;t=DJGMyt8LnnGli6J_kYxJyA</t>
  </si>
  <si>
    <t>Smoke visible in background over Enerhodar as sirens and gunfire blast in background</t>
  </si>
  <si>
    <t>Fence around school in google streetview matches fence seen in video as well as the school buildings and surrounding area.</t>
  </si>
  <si>
    <t>UW1290</t>
  </si>
  <si>
    <t>https://bellingcat-archive.nyc3.cdn.digitaloceanspaces.com/Ukraine_Witness_Datasheet/Worksheet/youtube_dl_1499424930978582533.mp4</t>
  </si>
  <si>
    <t>2022-03-03T18:55:23.722590+00:00</t>
  </si>
  <si>
    <t>https://bellingcat-archive.nyc3.cdn.digitaloceanspaces.com/Ukraine_Witness_Datasheet/Worksheet/youtube_dl__Mariia_Zolkina_status_14994249309785825332022-03-03T18:55:12.775087.png</t>
  </si>
  <si>
    <t>9a5e7f8dfaea8643fbcc006a061b0b162e9f3470b21c63767c8eeb3467c0d2cd</t>
  </si>
  <si>
    <t>https://bellingcat-archive.nyc3.cdn.digitaloceanspaces.com/Ukraine_Witness_Datasheet/Worksheet/youtube_dl_1499424930978582533/index.html</t>
  </si>
  <si>
    <t>Maria Zolkina - Energodar is being shelled by RU artillery. #Russia is nuclear terrorist. There is the biggest in Europe nuclear power plans in this city. Still no fear from the West? Still no readiness for #NoFlyZoneOverUkraine?</t>
  </si>
  <si>
    <t>2022-03-03T16:42:16+00:00</t>
  </si>
  <si>
    <t>https://twitter.com/MarQs__/status/1499418106002825224?s=20&amp;t=Qx1VkfCrUDAj1m9gpQYmzg</t>
  </si>
  <si>
    <t>Sirens and fire visible in Enerhodar with Enerhodar City Council visible in the line of sight.</t>
  </si>
  <si>
    <t>Enehodar</t>
  </si>
  <si>
    <t>Enerhodar City Council and cluster of buildings</t>
  </si>
  <si>
    <t>UW1291</t>
  </si>
  <si>
    <t>https://bellingcat-archive.nyc3.cdn.digitaloceanspaces.com/Ukraine_Witness_Datasheet/Worksheet/youtube_dl_1499418106002825224.mp4</t>
  </si>
  <si>
    <t>2022-03-03T19:05:24.404128+00:00</t>
  </si>
  <si>
    <t>https://bellingcat-archive.nyc3.cdn.digitaloceanspaces.com/Ukraine_Witness_Datasheet/Worksheet/youtube_dl__MarQs___status_14994181060028252242022-03-03T19:05:13.164174.png</t>
  </si>
  <si>
    <t>6724cf360ec777109bb40ff74f93f0708591ff80490f110ff53d0a7266855cc5</t>
  </si>
  <si>
    <t>https://bellingcat-archive.nyc3.cdn.digitaloceanspaces.com/Ukraine_Witness_Datasheet/Worksheet/youtube_dl_1499418106002825224/index.html</t>
  </si>
  <si>
    <t>marqs - #Enerhodar under attack. Russian troops reportedly entered parts of the city.</t>
  </si>
  <si>
    <t>2022-03-03T16:15:08+00:00</t>
  </si>
  <si>
    <t>https://twitter.com/stefsiohan/status/1499464651381383172?s=20&amp;t=FhC-wMh55y_Zm9zrXbz3UA</t>
  </si>
  <si>
    <t>Missile remnant across from the Babyn Yar Memorial</t>
  </si>
  <si>
    <t>Both Kyiv TV tower and the Fitness Club are visibile in the images.</t>
  </si>
  <si>
    <t>UW1292</t>
  </si>
  <si>
    <t>https://bellingcat-archive.nyc3.cdn.digitaloceanspaces.com/Ukraine_Witness_Datasheet/Worksheet/twitter__stefsiohan_status_1499464651381383172.html</t>
  </si>
  <si>
    <t>2022-03-03T19:25:20.593078+00:00</t>
  </si>
  <si>
    <t>https://bellingcat-archive.nyc3.cdn.digitaloceanspaces.com/Ukraine_Witness_Datasheet/Worksheet/twitter__stefsiohan_status_14994646513813831722022-03-03T19:25:12.434653.png</t>
  </si>
  <si>
    <t>cce33c96d8b276d2cbd447b9981303a5fe33bae9494a451c7bd1d84e86eef10a</t>
  </si>
  <si>
    <t>2022-03-03T19:20:06+00:00</t>
  </si>
  <si>
    <t>https://twitter.com/NotWoofers/status/1499450783749845001</t>
  </si>
  <si>
    <t>Destroyed Russian military convoy and widespread destruction</t>
  </si>
  <si>
    <t>UW1293</t>
  </si>
  <si>
    <t>https://bellingcat-archive.nyc3.cdn.digitaloceanspaces.com/Ukraine_Witness_Datasheet/Worksheet/youtube_dl_1499450783749845001.mp4</t>
  </si>
  <si>
    <t>2022-03-03T19:20:26.037553+00:00</t>
  </si>
  <si>
    <t>https://bellingcat-archive.nyc3.cdn.digitaloceanspaces.com/Ukraine_Witness_Datasheet/Worksheet/youtube_dl__NotWoofers_status_14994507837498450012022-03-03T19:20:12.237201.png</t>
  </si>
  <si>
    <t>ff4cfa61514379a86b1f4beaa085a381bcfd8cee5d263b017a1e88c4651e493c</t>
  </si>
  <si>
    <t>https://bellingcat-archive.nyc3.cdn.digitaloceanspaces.com/Ukraine_Witness_Datasheet/Worksheet/youtube_dl_1499450783749845001/index.html</t>
  </si>
  <si>
    <t>Woofers - Massive destruction of civilian homes and military vehicles in Borodyanka as seen by a BBC drone.</t>
  </si>
  <si>
    <t>2022-03-03T18:24:59+00:00</t>
  </si>
  <si>
    <t>https://t.me/istorijaoruzija/39065</t>
  </si>
  <si>
    <t xml:space="preserve">Aftermath of attack on civilian blockade of advancing Russian forces in Enerhodar. </t>
  </si>
  <si>
    <t>Fenced area visible in video also visible in streetview. Both street lamps and roading consistent with that seen in video.</t>
  </si>
  <si>
    <t>UW1294</t>
  </si>
  <si>
    <t>https://bellingcat-archive.nyc3.cdn.digitaloceanspaces.com/Ukraine_Witness_Datasheet/Worksheet/telegram_23ec035868.mp4</t>
  </si>
  <si>
    <t>2022-03-04T09:26:32.683969+00:00</t>
  </si>
  <si>
    <t>https://bellingcat-archive.nyc3.cdn.digitaloceanspaces.com/Ukraine_Witness_Datasheet/Worksheet/telegram__istorijaoruzija_390652022-03-04T09:25:09.852749.png</t>
  </si>
  <si>
    <t>9ac1504a71a5736ea03710088b349ff89da34fb10c5d72b2997ae0cee61bc480</t>
  </si>
  <si>
    <t>https://bellingcat-archive.nyc3.cdn.digitaloceanspaces.com/Ukraine_Witness_Datasheet/Worksheet/telegram_23ec035868/index.html</t>
  </si>
  <si>
    <t>2022-03-04T08:49:01+00:00</t>
  </si>
  <si>
    <t>https://t.me/istorijaoruzija/39072</t>
  </si>
  <si>
    <t xml:space="preserve">Russian convoy in Kherson </t>
  </si>
  <si>
    <t>UW1295</t>
  </si>
  <si>
    <t>Russian Military Movement</t>
  </si>
  <si>
    <t>https://bellingcat-archive.nyc3.cdn.digitaloceanspaces.com/Ukraine_Witness_Datasheet/Worksheet/telegram_7de523d268.mp4</t>
  </si>
  <si>
    <t>2022-03-04T09:52:04.112039+00:00</t>
  </si>
  <si>
    <t>https://bellingcat-archive.nyc3.cdn.digitaloceanspaces.com/Ukraine_Witness_Datasheet/Worksheet/telegram__istorijaoruzija_390722022-03-04T09:50:09.710851.png</t>
  </si>
  <si>
    <t>6b5265e56ec7e841185d1b1e6b4ee8715177bac59c5a32cfc14186794ea5ff09</t>
  </si>
  <si>
    <t>https://bellingcat-archive.nyc3.cdn.digitaloceanspaces.com/Ukraine_Witness_Datasheet/Worksheet/telegram_7de523d268/index.html</t>
  </si>
  <si>
    <t>2022-03-04T09:01:17+00:00</t>
  </si>
  <si>
    <t>04/03/2022</t>
  </si>
  <si>
    <t>https://t.me/rybar/27241</t>
  </si>
  <si>
    <t>Russian Units in Bucha</t>
  </si>
  <si>
    <t>UW1296</t>
  </si>
  <si>
    <t>https://bellingcat-archive.nyc3.cdn.digitaloceanspaces.com/Ukraine_Witness_Datasheet/Worksheet/telegram_f101c4e59f.mp4</t>
  </si>
  <si>
    <t>2022-03-04T09:56:56.186664+00:00</t>
  </si>
  <si>
    <t>https://bellingcat-archive.nyc3.cdn.digitaloceanspaces.com/Ukraine_Witness_Datasheet/Worksheet/telegram__rybar_272412022-03-04T09:55:09.063628.png</t>
  </si>
  <si>
    <t>203e0440ef4eb9fc0d58f2d9d03cb992d7b06c0df10ab2d1ca1bb2125f921c3a</t>
  </si>
  <si>
    <t>https://bellingcat-archive.nyc3.cdn.digitaloceanspaces.com/Ukraine_Witness_Datasheet/Worksheet/telegram_f101c4e59f/index.html</t>
  </si>
  <si>
    <t>2022-03-04T08:35:41+00:00</t>
  </si>
  <si>
    <t>https://t.me/Pravda_Gerashchenko/1749</t>
  </si>
  <si>
    <t>Bombing on the city of Enerhodar, where the nuclear power plant Saporischschja is located.</t>
  </si>
  <si>
    <t>Saporischschja Oblast</t>
  </si>
  <si>
    <t>check sat image+ street view for the building and also the roof detail visible at 01s   47.492119, 34.655323</t>
  </si>
  <si>
    <t>UW1297</t>
  </si>
  <si>
    <t>https://bellingcat-archive.nyc3.cdn.digitaloceanspaces.com/Ukraine_Witness_Datasheet/Worksheet/telegram_40058464b2.mp4</t>
  </si>
  <si>
    <t>2022-03-03T20:15:36.162869+00:00</t>
  </si>
  <si>
    <t>https://bellingcat-archive.nyc3.cdn.digitaloceanspaces.com/Ukraine_Witness_Datasheet/Worksheet/telegram__Pravda_Gerashchenko_17492022-03-03T20:15:09.320927.png</t>
  </si>
  <si>
    <t>c7c3555071d5dd7657da8f56a77e53dfffcbafe214daaaea908469b857da8372</t>
  </si>
  <si>
    <t>https://bellingcat-archive.nyc3.cdn.digitaloceanspaces.com/Ukraine_Witness_Datasheet/Worksheet/telegram_40058464b2/index.html</t>
  </si>
  <si>
    <t>2022-03-03T17:40:36+00:00</t>
  </si>
  <si>
    <t>https://t.me/Pravda_Gerashchenko/1757?single</t>
  </si>
  <si>
    <t>Multiple bodies resulting from bombing in Chernihiv.</t>
  </si>
  <si>
    <t>https://youtu.be/BdSzxUYvaSU</t>
  </si>
  <si>
    <t>UW1298</t>
  </si>
  <si>
    <t>wayback: Internet Archive failed: {'resources': ['https://t.me/Pravda_Gerashchenko/1757?single', 'https://fonts.googleapis.com/css?family=Roboto:400,700', 'https://telegram.org/css/bootstrap.min.css?3', 'https://telegram.org/js/tgwallpaper.min.js?3', 'https://telegram.org/css/telegram.css?219', 'https://telegram.org/js/telegram-widget.js?16', 'https://t.me/Pravda_Gerashchenko/1757?embed=1&amp;tme_mode=1&amp;single=1', 'https://telegram.org/img/tgme/pattern.svg', 'https://fonts.gstatic.com/s/roboto/v29/KFOlCnqEu92Fr1MmWUlfBBc4.woff2', 'https://fonts.gstatic.com/s/roboto/v29/KFOmCnqEu92Fr1Mu4mxK.woff2', 'https://fonts.googleapis.com/css?family=Roboto:400,500', 'https://telegram.org/css/widget-frame.css?55', 'https://fonts.gstatic.com/s/roboto/v29/KFOmCnqEu92Fr1Mu4mxK.woff2', 'https://fonts.gstatic.com/s/roboto/v29/KFOlCnqEu92Fr1MmEU9fBBc4.woff2', 'https://oauth.tg.dev/js/telegram-widget.js?16', 'https://telegram.org/js/widget-frame.js?56', 'https://cdn4.telesco.pe/file/sWIdgqRw1m63CeIIhCi70Mp07QuSqyD1gCX5sTZr0Tur_veCu0VeqE4chYGonB5wvuODJNtTD-IZ0VMQdOPjf1joc5lxpN3koi7DRvPiqTzGv5MEE0H5YwFPYlho_0PPB7EEMANoiC-0aF0OzQh-FLI7sexTtH0zfs7Zw-sCbS-xNEaM5u8CW1_pJ06J_loCPttCo5SUuKFYeOWXsu78pq5_gFIit2y6-Vcu-EiqEsxK1nekEqR-1CAXy8IeJbyKDiifWl04TM5sAorzh7EJq2j2Q0ruCc76TsbGyEjnCLP-rdLzrgZcSdo6wnamHxMRmgZP9wPJvO2dzrRQtgP5CA', 'https://cdn4.telesco.pe/file/MiDU-sNCnuZZ2XJZAUlah8f0uOjR3K9WBZftIGteUHbDOQcMpltXmu5sVSeeMO2hH5OokDqL5Poo2zxs2pdOEFJFzfANC1Z8mtSce9GrI03cVoOFUlCwSUq_t-kz92aehAjlJ8gVaxXWBY1vKHYC82zuuLgD3O3u-k-1ny9CC3l8I7LAB3n0UBDHcivZVqNegGaWo0q1ADrKfTr4U511FcaUw9HkL3oChWpZ_CaChOw0xcQU7ECEcGhYkj4hpsQ9-pdcXttIc4TwAVw2LOJ8InpN9Lk8ar_oew9ravZKmGudkendSU-cYTdmoYQ5dLNHMHDrMu0a-iVbCmNOQD6DAw.jpg', 'https://cdn4.telesco.pe/file/bef4f3c50e.mp4?token=fVGplTogjVyCj0eIjG-RZ2YFupdx4BJQMrKGv28fXwkdtFk8yxAUqp46xjNItlhQDRO2haZ1bMyQnVHiLGFjqZRQNjm43rM33rFSv2rCt1oAF9Q9ZD82VbUbNCGgkjqe6Lo3NCRH-DFQ2P2fvoiNAoTQtt5_9RUK9bGHVt6OgQWKSDug0oe1z6uSqPwh_79m-IOJBxLKLN59CLI-AKuRjw0ZSWleFKMvujIZfeqsLRNyS8ecJhm2VkCR0gM-aETNGZMZjE8rLuPVyXAx7En96yMjH4tw2Jh8SycXvBHpaGTC-CAdm9Q1qqgNxDQAY-gUkQ-ivlXv-TkIq1LTyH5h9w', 'https://t.me/Pravda_Gerashchenko/1757?embed=1&amp;tme_mode=1&amp;single=1', 'https://cdn4.telesco.pe/file/bef4f3c50e.mp4?token=fVGplTogjVyCj0eIjG-RZ2YFupdx4BJQMrKGv28fXwkdtFk8yxAUqp46xjNItlhQDRO2haZ1bMyQnVHiLGFjqZRQNjm43rM33rFSv2rCt1oAF9Q9ZD82VbUbNCGgkjqe6Lo3NCRH-DFQ2P2fvoiNAoTQtt5_9RUK9bGHVt6OgQWKSDug0oe1z6uSqPwh_79m-IOJBxLKLN59CLI-AKuRjw0ZSWleFKMvujIZfeqsLRNyS8ecJhm2VkCR0gM-aETNGZMZjE8rLuPVyXAx7En96yMjH4tw2Jh8SycXvBHpaGTC-CAdm9Q1qqgNxDQAY-gUkQ-ivlXv-TkIq1LTyH5h9w', 'https://cdn4.telesco.pe/file/bef4f3c50e.mp4?token=fVGplTogjVyCj0eIjG-RZ2YFupdx4BJQMrKGv28fXwkdtFk8yxAUqp46xjNItlhQDRO2haZ1bMyQnVHiLGFjqZRQNjm43rM33rFSv2rCt1oAF9Q9ZD82VbUbNCGgkjqe6Lo3NCRH-DFQ2P2fvoiNAoTQtt5_9RUK9bGHVt6OgQWKSDug0oe1z6uSqPwh_79m-IOJBxLKLN59CLI-AKuRjw0ZSWleFKMvujIZfeqsLRNyS8ecJhm2VkCR0gM-aETNGZMZjE8rLuPVyXAx7En96yMjH4tw2Jh8SycXvBHpaGTC-CAdm9Q1qqgNxDQAY-gUkQ-ivlXv-TkIq1LTyH5h9w', 'https://cdn4.telesco.pe/file/bef4f3c50e.mp4?token=fVGplTogjVyCj0eIjG-RZ2YFupdx4BJQMrKGv28fXwkdtFk8yxAUqp46xjNItlhQDRO2haZ1bMyQnVHiLGFjqZRQNjm43rM33rFSv2rCt1oAF9Q9ZD82VbUbNCGgkjqe6Lo3NCRH-DFQ2P2fvoiNAoTQtt5_9RUK9bGHVt6OgQWKSDug0oe1z6uSqPwh_79m-IOJBxLKLN59CLI-AKuRjw0ZSWleFKMvujIZfeqsLRNyS8ecJhm2VkCR0gM-aETNGZMZjE8rLuPVyXAx7En96yMjH4tw2Jh8SycXvBHpaGTC-CAdm9Q1qqgNxDQAY-gUkQ-ivlXv-TkIq1LTyH5h9w', 'https://cdn4.telesco.pe/file/bef4f3c50e.mp4?token=fVGplTogjVyCj0eIjG-RZ2YFupdx4BJQMrKGv28fXwkdtFk8yxAUqp46xjNItlhQDRO2haZ1bMyQnVHiLGFjqZRQNjm43rM33rFSv2rCt1oAF9Q9ZD82VbUbNCGgkjqe6Lo3NCRH-DFQ2P2fvoiNAoTQtt5_9RUK9bGHVt6OgQWKSDug0oe1z6uSqPwh_79m-IOJBxLKLN59CLI-AKuRjw0ZSWleFKMvujIZfeqsLRNyS8ecJhm2VkCR0gM-aETNGZMZjE8rLuPVyXAx7En96yMjH4tw2Jh8SycXvBHpaGTC-CAdm9Q1qqgNxDQAY-gUkQ-ivlXv-TkIq1LTyH5h9w'], 'job_id': 'spn2-0e1e14d81194c7e79c8b00fd46bbbb05243149d7-06262e58', 'status': 'pending'}</t>
  </si>
  <si>
    <t>2022-03-03T20:27:16.318503+00:00</t>
  </si>
  <si>
    <t>https://twitter.com/aldin_ww/status/1499441751987310596</t>
  </si>
  <si>
    <t>Damaged Russian military equipment and bodys</t>
  </si>
  <si>
    <t>https://twitter.com/GeoConfirmed/status/1499458098083340290</t>
  </si>
  <si>
    <t>UW1299</t>
  </si>
  <si>
    <t>https://bellingcat-archive.nyc3.cdn.digitaloceanspaces.com/Ukraine_Witness_Datasheet/Worksheet/youtube_dl_1499441751987310596.mp4</t>
  </si>
  <si>
    <t>2022-03-03T20:27:29.522176+00:00</t>
  </si>
  <si>
    <t>https://bellingcat-archive.nyc3.cdn.digitaloceanspaces.com/Ukraine_Witness_Datasheet/Worksheet/youtube_dl__aldin_ww_status_14994417519873105962022-03-03T20:27:18.719960.png</t>
  </si>
  <si>
    <t>cce7d9783b1bb46570c68ead2daf7881986182d55b9c5c84e268a9afb1351173</t>
  </si>
  <si>
    <t>https://bellingcat-archive.nyc3.cdn.digitaloceanspaces.com/Ukraine_Witness_Datasheet/Worksheet/youtube_dl_1499441751987310596/index.html</t>
  </si>
  <si>
    <t>Aldin 🇧🇦 - Destroyed Russian Assault group in Irpin, #Kyiv</t>
  </si>
  <si>
    <t>2022-03-03T17:49:06+00:00</t>
  </si>
  <si>
    <t>https://twitter.com/GrangerE04117/status/1499448469794488325</t>
  </si>
  <si>
    <t>photo</t>
  </si>
  <si>
    <t>U 130 Hetman Sahaidachny scuttled in Harbour</t>
  </si>
  <si>
    <t>https://twitter.com/joshspatial/status/1499471257452138505</t>
  </si>
  <si>
    <t>Щастя</t>
  </si>
  <si>
    <t>Ship was in Dry dock for refit, matches ship on images and dock layout</t>
  </si>
  <si>
    <t>U-130 Hetman Sahaidachny sunk</t>
  </si>
  <si>
    <t>UW1300</t>
  </si>
  <si>
    <t>Ukranian Military Loss</t>
  </si>
  <si>
    <t>https://bellingcat-archive.nyc3.cdn.digitaloceanspaces.com/Ukraine_Witness_Datasheet/Worksheet/twitter__GrangerE04117_status_1499448469794488325.html</t>
  </si>
  <si>
    <t>2022-03-03T21:05:20.263267+00:00</t>
  </si>
  <si>
    <t>https://bellingcat-archive.nyc3.cdn.digitaloceanspaces.com/Ukraine_Witness_Datasheet/Worksheet/twitter__GrangerE04117_status_14994484697944883252022-03-03T21:05:11.913801.png</t>
  </si>
  <si>
    <t>43437c6a2c407abdde29696291a660a6270bd8bfb1066552a0c63bd58a10a8a1</t>
  </si>
  <si>
    <t>2022-03-03T18:15:48+00:00</t>
  </si>
  <si>
    <t>https://twitter.com/9ujP8WuRi6A19RU/status/1499484926026125318</t>
  </si>
  <si>
    <t>Russian troops distributing packages in Peremohy Sq</t>
  </si>
  <si>
    <t>Can see Hotel Melitopol in background</t>
  </si>
  <si>
    <t>UW1301</t>
  </si>
  <si>
    <t>https://bellingcat-archive.nyc3.cdn.digitaloceanspaces.com/Ukraine_Witness_Datasheet/Worksheet/youtube_dl_1499484926026125318.mp4</t>
  </si>
  <si>
    <t>2022-03-03T22:40:22.638215+00:00</t>
  </si>
  <si>
    <t>https://bellingcat-archive.nyc3.cdn.digitaloceanspaces.com/Ukraine_Witness_Datasheet/Worksheet/youtube_dl__9ujP8WuRi6A19RU_status_14994849260261253182022-03-03T22:40:11.714879.png</t>
  </si>
  <si>
    <t>72bc7ea7db48b5bd2f7b99251f05f4c76b0419f8cda373d504091eed0a889cff</t>
  </si>
  <si>
    <t>https://bellingcat-archive.nyc3.cdn.digitaloceanspaces.com/Ukraine_Witness_Datasheet/Worksheet/youtube_dl_1499484926026125318/index.html</t>
  </si>
  <si>
    <t>Радистка Кэт - Мелитополь.Раздача гуманитарной помощи ВС РФ</t>
  </si>
  <si>
    <t>2022-03-03T20:40:40+00:00</t>
  </si>
  <si>
    <t>https://twitter.com/CasusBellii/status/1499423856540409865</t>
  </si>
  <si>
    <t>Explosions and fires on the outskirts of Enerhodar</t>
  </si>
  <si>
    <t>https://twitter.com/CasusBellii/status/1499428549429714944</t>
  </si>
  <si>
    <t>Bohoyavlensʹka Tserkva on Horizon and see from reverse angle consistent with google earth</t>
  </si>
  <si>
    <t>UW1302</t>
  </si>
  <si>
    <t>https://bellingcat-archive.nyc3.cdn.digitaloceanspaces.com/Ukraine_Witness_Datasheet/Worksheet/youtube_dl_1499423856540409865.mp4</t>
  </si>
  <si>
    <t>2022-03-03T23:15:21.166591+00:00</t>
  </si>
  <si>
    <t>https://bellingcat-archive.nyc3.cdn.digitaloceanspaces.com/Ukraine_Witness_Datasheet/Worksheet/youtube_dl__CasusBellii_status_14994238565404098652022-03-03T23:15:11.007098.png</t>
  </si>
  <si>
    <t>65ac2fe40c364e5b18b382ae622b53aeba5c7322064b425d93a12f02ce319c56</t>
  </si>
  <si>
    <t>https://bellingcat-archive.nyc3.cdn.digitaloceanspaces.com/Ukraine_Witness_Datasheet/Worksheet/youtube_dl_1499423856540409865/index.html</t>
  </si>
  <si>
    <t>Casus Belli - 🇷🇺🇺🇦🚨| Another footage of Enerhodar  Fire location seems like to be checkpoint :   47.4784653, 34.6433389  I also can confirm heavy clashes and russian forces entering the city now</t>
  </si>
  <si>
    <t>2022-03-03T16:38:00+00:00</t>
  </si>
  <si>
    <t>https://twitter.com/UAWeapons/status/1499479184342757391/photo/2</t>
  </si>
  <si>
    <t xml:space="preserve">Tank destroyed (T-72) near Rusaniv </t>
  </si>
  <si>
    <t>Rusaniv</t>
  </si>
  <si>
    <t>Can see the name "Броварська СІЧ" on bus shelter" consistent with google maps imagery</t>
  </si>
  <si>
    <t>T-72</t>
  </si>
  <si>
    <t>UW1303</t>
  </si>
  <si>
    <t>https://bellingcat-archive.nyc3.cdn.digitaloceanspaces.com/Ukraine_Witness_Datasheet/Worksheet/twitter__UAWeapons_status_1499479184342757391_photo_2.html</t>
  </si>
  <si>
    <t>2022-03-03T23:45:20.762422+00:00</t>
  </si>
  <si>
    <t>https://bellingcat-archive.nyc3.cdn.digitaloceanspaces.com/Ukraine_Witness_Datasheet/Worksheet/twitter__UAWeapons_status_1499479184342757391_photo_22022-03-03T23:45:12.696894.png</t>
  </si>
  <si>
    <t>7b1b24bd37ebbc3ea5b23bacdcf5ccdd00f9683e356baa61fece331f451786eb</t>
  </si>
  <si>
    <t>2022-03-03T20:17:51+00:00</t>
  </si>
  <si>
    <t>https://twitter.com/666_mancer/status/1499494388187254784</t>
  </si>
  <si>
    <t>Destroyed russian convoy</t>
  </si>
  <si>
    <t>UW1304</t>
  </si>
  <si>
    <t>https://bellingcat-archive.nyc3.cdn.digitaloceanspaces.com/Ukraine_Witness_Datasheet/Worksheet/twitter__666_mancer_status_1499494388187254784.html</t>
  </si>
  <si>
    <t>2022-03-04T05:40:23.496130+00:00</t>
  </si>
  <si>
    <t>https://bellingcat-archive.nyc3.cdn.digitaloceanspaces.com/Ukraine_Witness_Datasheet/Worksheet/twitter__666_mancer_status_14994943881872547842022-03-04T05:40:15.385224.png</t>
  </si>
  <si>
    <t>d934c461a2245b4300501980bafa8b4444a8a7f411988665af6b47f954150647</t>
  </si>
  <si>
    <t>2022-03-03T21:18:16+00:00</t>
  </si>
  <si>
    <t>https://t.me/voynareal/12350</t>
  </si>
  <si>
    <t>Russian troops blocking roads in Kherson, civilians shopping</t>
  </si>
  <si>
    <t>The video was published on 4/03, but could have theoretically also been filmed on 3/03.</t>
  </si>
  <si>
    <t>UW1305</t>
  </si>
  <si>
    <t>https://bellingcat-archive.nyc3.cdn.digitaloceanspaces.com/Ukraine_Witness_Datasheet/Worksheet/telegram_e3507a3454.mp4</t>
  </si>
  <si>
    <t>2022-03-04T08:41:02.857868+00:00</t>
  </si>
  <si>
    <t>https://bellingcat-archive.nyc3.cdn.digitaloceanspaces.com/Ukraine_Witness_Datasheet/Worksheet/telegram__voynareal_123502022-03-04T08:40:09.138810.png</t>
  </si>
  <si>
    <t>e451260db9985a28b8dccb4c7376684e6b0131b8e62bac0238757bec8eba2195</t>
  </si>
  <si>
    <t>https://bellingcat-archive.nyc3.cdn.digitaloceanspaces.com/Ukraine_Witness_Datasheet/Worksheet/telegram_e3507a3454/index.html</t>
  </si>
  <si>
    <t>2022-03-04T08:17:00+00:00</t>
  </si>
  <si>
    <t>https://t.me/voynareal/12352</t>
  </si>
  <si>
    <t>Aftermath of fighing at Enerhodar nuclear plant</t>
  </si>
  <si>
    <t>UW1306</t>
  </si>
  <si>
    <t>https://bellingcat-archive.nyc3.cdn.digitaloceanspaces.com/Ukraine_Witness_Datasheet/Worksheet/telegram_106bb7b9bb.mp4</t>
  </si>
  <si>
    <t>2022-03-04T08:56:38.175959+00:00</t>
  </si>
  <si>
    <t>https://bellingcat-archive.nyc3.cdn.digitaloceanspaces.com/Ukraine_Witness_Datasheet/Worksheet/telegram__voynareal_123522022-03-04T08:55:09.267574.png</t>
  </si>
  <si>
    <t>eb6aa8c8f94542dca19f90717bfd4272c788df98610e580b9d1cf81fab0ec415</t>
  </si>
  <si>
    <t>https://bellingcat-archive.nyc3.cdn.digitaloceanspaces.com/Ukraine_Witness_Datasheet/Worksheet/telegram_106bb7b9bb/index.html</t>
  </si>
  <si>
    <t>2022-03-04T08:33:02+00:00</t>
  </si>
  <si>
    <t>https://twitter.com/golub/status/1499677165415247874</t>
  </si>
  <si>
    <t>Burning wreckage of Russian Su-25 attack jet</t>
  </si>
  <si>
    <t>UW1307</t>
  </si>
  <si>
    <t>https://bellingcat-archive.nyc3.cdn.digitaloceanspaces.com/Ukraine_Witness_Datasheet/Worksheet/twitter__golub_status_1499677165415247874.html</t>
  </si>
  <si>
    <t>2022-03-04T09:30:19.286192+00:00</t>
  </si>
  <si>
    <t>https://bellingcat-archive.nyc3.cdn.digitaloceanspaces.com/Ukraine_Witness_Datasheet/Worksheet/twitter__golub_status_14996771654152478742022-03-04T09:30:11.440821.png</t>
  </si>
  <si>
    <t>5bd32c40f36cfe63a5ac4d64e812b5ca9e00221b5bf4e6bda6fc600d5d628403</t>
  </si>
  <si>
    <t>2022-03-04T09:24:33+00:00</t>
  </si>
  <si>
    <t>https://twitter.com/nexta_tv/status/1499675892519522305</t>
  </si>
  <si>
    <t>Aftermath of shelling of residential building in Enerhodar</t>
  </si>
  <si>
    <t>UW1308</t>
  </si>
  <si>
    <t>https://bellingcat-archive.nyc3.cdn.digitaloceanspaces.com/Ukraine_Witness_Datasheet/Worksheet/twitter__nexta_tv_status_1499675892519522305.html</t>
  </si>
  <si>
    <t>2022-03-04T09:45:20.091837+00:00</t>
  </si>
  <si>
    <t>https://bellingcat-archive.nyc3.cdn.digitaloceanspaces.com/Ukraine_Witness_Datasheet/Worksheet/twitter__nexta_tv_status_14996758925195223052022-03-04T09:45:11.836121.png</t>
  </si>
  <si>
    <t>6f0b07888e72dc77afe349e4dd7ec4daf0cb10ec456ad62990c4c37914c8d3cb</t>
  </si>
  <si>
    <t>2022-03-04T09:19:30+00:00</t>
  </si>
  <si>
    <t>https://twitter.com/nexta_tv/status/1499679371635970049</t>
  </si>
  <si>
    <t>Aftermath of shelling of local school in Zhytomyr</t>
  </si>
  <si>
    <t>UW1309</t>
  </si>
  <si>
    <t>https://bellingcat-archive.nyc3.cdn.digitaloceanspaces.com/Ukraine_Witness_Datasheet/Worksheet/twitter__nexta_tv_status_1499679371635970049.html</t>
  </si>
  <si>
    <t>2022-03-04T09:57:07.161601+00:00</t>
  </si>
  <si>
    <t>https://bellingcat-archive.nyc3.cdn.digitaloceanspaces.com/Ukraine_Witness_Datasheet/Worksheet/twitter__nexta_tv_status_14996793716359700492022-03-04T09:56:59.182246.png</t>
  </si>
  <si>
    <t>9cefc236e640da3cc3f7ecc68ff9abd5cd0eb7f5830f6ba56c28263674810c85</t>
  </si>
  <si>
    <t>2022-03-04T09:33:19+00:00</t>
  </si>
  <si>
    <t>https://twitter.com/no_itsmyturn/status/1499675601346641922</t>
  </si>
  <si>
    <t>Russian military casualtys</t>
  </si>
  <si>
    <t>UW1310</t>
  </si>
  <si>
    <t>https://bellingcat-archive.nyc3.cdn.digitaloceanspaces.com/Ukraine_Witness_Datasheet/Worksheet/youtube_dl_1499675601346641922.mp4</t>
  </si>
  <si>
    <t>2022-03-04T10:00:34.053453+00:00</t>
  </si>
  <si>
    <t>https://bellingcat-archive.nyc3.cdn.digitaloceanspaces.com/Ukraine_Witness_Datasheet/Worksheet/youtube_dl__no_itsmyturn_status_14996756013466419222022-03-04T10:00:14.215640.png</t>
  </si>
  <si>
    <t>3ece57311a4b128c46be1807b8ee987b86247273c15dfa11d891ce8dc6197e19</t>
  </si>
  <si>
    <t>https://bellingcat-archive.nyc3.cdn.digitaloceanspaces.com/Ukraine_Witness_Datasheet/Worksheet/youtube_dl_1499675601346641922/index.html</t>
  </si>
  <si>
    <t>Aleph א #IStandWithUkraine 🇺🇦 - 🚨 EXTREMELY GRAPHIC 🚨 Hostomel,  Kyiv oblast,  #Ukraine 🇺🇦</t>
  </si>
  <si>
    <t>2022-03-04T09:18:20+00:00</t>
  </si>
  <si>
    <t>https://twitter.com/nexta_tv/status/1499664726002970627</t>
  </si>
  <si>
    <t>Destroyed civilian residences</t>
  </si>
  <si>
    <t xml:space="preserve"> </t>
  </si>
  <si>
    <t>UW1311</t>
  </si>
  <si>
    <t>https://bellingcat-archive.nyc3.cdn.digitaloceanspaces.com/Ukraine_Witness_Datasheet/Worksheet/twitter__nexta_tv_status_1499664726002970627.html</t>
  </si>
  <si>
    <t>2022-03-04T10:00:46.171349+00:00</t>
  </si>
  <si>
    <t>https://bellingcat-archive.nyc3.cdn.digitaloceanspaces.com/Ukraine_Witness_Datasheet/Worksheet/twitter__nexta_tv_status_14996647260029706272022-03-04T10:00:36.299033.png</t>
  </si>
  <si>
    <t>35d940883f616e7bcfccd59c48f46f6ebda4043727998dbd7bda0016d08922d1</t>
  </si>
  <si>
    <t>2022-03-04T08:35:07+00:00</t>
  </si>
  <si>
    <t>https://twitter.com/UAWeapons/status/1499683365263446020</t>
  </si>
  <si>
    <t>Captured Russian T-72B3M, T-90A tanks, UR-77 mine clearing vehicle</t>
  </si>
  <si>
    <t>UW1312</t>
  </si>
  <si>
    <t>https://bellingcat-archive.nyc3.cdn.digitaloceanspaces.com/Ukraine_Witness_Datasheet/Worksheet/twitter__UAWeapons_status_1499683365263446020.html</t>
  </si>
  <si>
    <t>2022-03-04T10:05:23.122879+00:00</t>
  </si>
  <si>
    <t>https://bellingcat-archive.nyc3.cdn.digitaloceanspaces.com/Ukraine_Witness_Datasheet/Worksheet/twitter__UAWeapons_status_14996833652634460202022-03-04T10:05:13.943366.png</t>
  </si>
  <si>
    <t>4478e5ed9c6c126c4e735f03fd20a1696a13765a06136943ac9398d626d9e855</t>
  </si>
  <si>
    <t>2022-03-04T09:49:11+00:00</t>
  </si>
  <si>
    <t>https://www.tiktok.com/@chechenec329/video/7070602235977239809?is_copy_url=1&amp;is_from_webapp=v1</t>
  </si>
  <si>
    <t>Chechen Fighters in a convoy</t>
  </si>
  <si>
    <t>UW1313</t>
  </si>
  <si>
    <t>https://bellingcat-archive.nyc3.cdn.digitaloceanspaces.com/Ukraine_Witness_Datasheet/Worksheet/youtube_dl_7070602235977239809.mp4</t>
  </si>
  <si>
    <t>2022-03-04T10:17:15.098232+00:00</t>
  </si>
  <si>
    <t>https://bellingcat-archive.nyc3.cdn.digitaloceanspaces.com/Ukraine_Witness_Datasheet/Worksheet/youtube_dl__@chechenec329_video_70706022359772398092022-03-04T10:17:03.266961.png</t>
  </si>
  <si>
    <t>2f0ccbe6b950d6d2505e3427226c14eb17d3e9a95b6a6e718e533b9285ef9959</t>
  </si>
  <si>
    <t>https://bellingcat-archive.nyc3.cdn.digitaloceanspaces.com/Ukraine_Witness_Datasheet/Worksheet/youtube_dl_7070602235977239809/index.html</t>
  </si>
  <si>
    <t>TikTok video #7070602235977239809</t>
  </si>
  <si>
    <t>2022-03-02T20:27:51+00:00</t>
  </si>
  <si>
    <t>https://twitter.com/MotolkoHelp/status/1499676078616592386</t>
  </si>
  <si>
    <t>UW1314</t>
  </si>
  <si>
    <t>https://bellingcat-archive.nyc3.cdn.digitaloceanspaces.com/Ukraine_Witness_Datasheet/Worksheet/youtube_dl_1499676078616592386.mp4</t>
  </si>
  <si>
    <t>2022-03-04T10:20:24.088335+00:00</t>
  </si>
  <si>
    <t>https://bellingcat-archive.nyc3.cdn.digitaloceanspaces.com/Ukraine_Witness_Datasheet/Worksheet/youtube_dl__MotolkoHelp_status_14996760786165923862022-03-04T10:20:12.980892.png</t>
  </si>
  <si>
    <t>0e0448d0ed9a0a880b0516b36591a5007a7c8f63fc8a71e07b466eddafb3c8e8</t>
  </si>
  <si>
    <t>https://bellingcat-archive.nyc3.cdn.digitaloceanspaces.com/Ukraine_Witness_Datasheet/Worksheet/youtube_dl_1499676078616592386/index.html</t>
  </si>
  <si>
    <t>MotolkoHelp - 11:39 (Minsk time)  Artillerymen of the 120th Guards Mechanized Brigade of the Armed Forces of Belarus were spotted in Minsk. There was 1V12 “Mashina-S” fire control automation system. It is notable that this equipment is unlikely to reach the border on its own wheels.</t>
  </si>
  <si>
    <t>2022-03-04T09:20:14+00:00</t>
  </si>
  <si>
    <t>https://twitter.com/vezhlivo/status/1499688891758125057</t>
  </si>
  <si>
    <t>UW1315</t>
  </si>
  <si>
    <t>Taken from residence overlooking Russian forces' positions</t>
  </si>
  <si>
    <t>https://bellingcat-archive.nyc3.cdn.digitaloceanspaces.com/Ukraine_Witness_Datasheet/Worksheet/twitter__vezhlivo_status_1499688891758125057.html</t>
  </si>
  <si>
    <t>2022-03-04T10:20:35.277832+00:00</t>
  </si>
  <si>
    <t>https://bellingcat-archive.nyc3.cdn.digitaloceanspaces.com/Ukraine_Witness_Datasheet/Worksheet/twitter__vezhlivo_status_14996888917581250572022-03-04T10:20:26.375465.png</t>
  </si>
  <si>
    <t>c3a4af8563dbdd0ef72e41d88216bb3a08cc9aad17ada0288fcab10ba5d11a94</t>
  </si>
  <si>
    <t>2022-03-04T10:11:09+00:00</t>
  </si>
  <si>
    <t>https://twitter.com/StratcomCentre/status/1499673714807431170</t>
  </si>
  <si>
    <t>UW1316</t>
  </si>
  <si>
    <t>https://bellingcat-archive.nyc3.cdn.digitaloceanspaces.com/Ukraine_Witness_Datasheet/Worksheet/twitter__StratcomCentre_status_1499673714807431170.html</t>
  </si>
  <si>
    <t>2022-03-04T10:20:45.699394+00:00</t>
  </si>
  <si>
    <t>https://bellingcat-archive.nyc3.cdn.digitaloceanspaces.com/Ukraine_Witness_Datasheet/Worksheet/twitter__StratcomCentre_status_14996737148074311702022-03-04T10:20:37.102272.png</t>
  </si>
  <si>
    <t>830ffde966eb23e8269d41e290b2f7de140685252d9518c742bde529d9a2148a</t>
  </si>
  <si>
    <t>2022-03-04T09:10:50+00:00</t>
  </si>
  <si>
    <t>28/03/2022</t>
  </si>
  <si>
    <t xml:space="preserve">https://vm.tiktok.com/ZMLDVnFHW/ </t>
  </si>
  <si>
    <t>Chechen flag being raised on Ukranian Building by Chechen soldiers</t>
  </si>
  <si>
    <t>UW1317</t>
  </si>
  <si>
    <t>https://bellingcat-archive.nyc3.cdn.digitaloceanspaces.com/Ukraine_Witness_Datasheet/Worksheet/tiktok_7069000165452942593.mp4</t>
  </si>
  <si>
    <t>2022-03-04T10:21:05.840046+00:00</t>
  </si>
  <si>
    <t>https://bellingcat-archive.nyc3.cdn.digitaloceanspaces.com/Ukraine_Witness_Datasheet/Worksheet/tiktok__ZMLDVnFHW_ 2022-03-04T10:20:57.239255.png</t>
  </si>
  <si>
    <t>ee398a54c5013296fb2453c6cc7a9712342455a637ab6f221eefe1b0d708ebfe</t>
  </si>
  <si>
    <t>https://bellingcat-archive.nyc3.cdn.digitaloceanspaces.com/Ukraine_Witness_Datasheet/Worksheet/tiktok_7069000165452942593/index.html</t>
  </si>
  <si>
    <t>https://t.me/milinfolive/77917</t>
  </si>
  <si>
    <t>Abandoned Ukranian Military equipment at at the Zaporizhia Nuclear Power Plant</t>
  </si>
  <si>
    <t>Building pattern consistent with the main Power plant building. The exact location matching the image is clear on Satelite imagery as a side entrance to the Powerplant. Both tree and security entrance are visible on Sat Imagery.</t>
  </si>
  <si>
    <t>UW1318</t>
  </si>
  <si>
    <t>https://bellingcat-archive.nyc3.cdn.digitaloceanspaces.com/Ukraine_Witness_Datasheet/Worksheet/telegram__milinfolive_77917.html</t>
  </si>
  <si>
    <t>2022-03-04T10:45:21.244689+00:00</t>
  </si>
  <si>
    <t>https://bellingcat-archive.nyc3.cdn.digitaloceanspaces.com/Ukraine_Witness_Datasheet/Worksheet/telegram__milinfolive_779172022-03-04T10:45:10.330269.png</t>
  </si>
  <si>
    <t>d3202300814d4dd0ad6d59b9e148041e14b28942592c05d6fd5a5e29ff7eb07d</t>
  </si>
  <si>
    <t>2022-03-04T10:43:35+00:00</t>
  </si>
  <si>
    <t>https://twitter.com/nexta_tv/status/1499654589766946820</t>
  </si>
  <si>
    <t>UW1319</t>
  </si>
  <si>
    <t>https://bellingcat-archive.nyc3.cdn.digitaloceanspaces.com/Ukraine_Witness_Datasheet/Worksheet/youtube_dl_1499654589766946820.mp4</t>
  </si>
  <si>
    <t>2022-03-04T10:21:19.208942+00:00</t>
  </si>
  <si>
    <t>https://bellingcat-archive.nyc3.cdn.digitaloceanspaces.com/Ukraine_Witness_Datasheet/Worksheet/youtube_dl__nexta_tv_status_14996545897669468202022-03-04T10:21:07.874995.png</t>
  </si>
  <si>
    <t>f0d53a5d4969aeeeee240d638ad207f717b7f572b799f5aff7a69f5c854162af</t>
  </si>
  <si>
    <t>https://bellingcat-archive.nyc3.cdn.digitaloceanspaces.com/Ukraine_Witness_Datasheet/Worksheet/youtube_dl_1499654589766946820/index.html</t>
  </si>
  <si>
    <t>NEXTA - Devastation in #Zhytomyr</t>
  </si>
  <si>
    <t>2022-03-04T07:54:51+00:00</t>
  </si>
  <si>
    <t>https://twitter.com/GirkinGirkin/status/1499608984562515971</t>
  </si>
  <si>
    <t>Taganrog</t>
  </si>
  <si>
    <t>UW1320</t>
  </si>
  <si>
    <t>filmed from house</t>
  </si>
  <si>
    <t>https://bellingcat-archive.nyc3.cdn.digitaloceanspaces.com/Ukraine_Witness_Datasheet/Worksheet/youtube_dl_1499608984562515971.mp4</t>
  </si>
  <si>
    <t>2022-03-04T10:25:28.656156+00:00</t>
  </si>
  <si>
    <t>https://bellingcat-archive.nyc3.cdn.digitaloceanspaces.com/Ukraine_Witness_Datasheet/Worksheet/youtube_dl__GirkinGirkin_status_14996089845625159712022-03-04T10:25:15.030780.png</t>
  </si>
  <si>
    <t>22cc122f16e9a84fbc7bb4b04e35d69114412fa155d1ff5162e3818168da542b</t>
  </si>
  <si>
    <t>https://bellingcat-archive.nyc3.cdn.digitaloceanspaces.com/Ukraine_Witness_Datasheet/Worksheet/youtube_dl_1499608984562515971/index.html</t>
  </si>
  <si>
    <t>IgorGirkin - Таганрог, 12 ч назад</t>
  </si>
  <si>
    <t>2022-03-04T04:53:37+00:00</t>
  </si>
  <si>
    <t>https://twitter.com/UAWeapons/status/1499479184342757391</t>
  </si>
  <si>
    <t>Destroyed Russian T-72B3</t>
  </si>
  <si>
    <t>https://twitter.com/grad_harrison/status/1499483874757386246</t>
  </si>
  <si>
    <t>UW1321</t>
  </si>
  <si>
    <t>https://bellingcat-archive.nyc3.cdn.digitaloceanspaces.com/Ukraine_Witness_Datasheet/Worksheet/twitter__UAWeapons_status_1499479184342757391.html</t>
  </si>
  <si>
    <t>2022-03-04T10:25:40.220404+00:00</t>
  </si>
  <si>
    <t>https://bellingcat-archive.nyc3.cdn.digitaloceanspaces.com/Ukraine_Witness_Datasheet/Worksheet/twitter__UAWeapons_status_14994791843427573912022-03-04T10:25:31.582837.png</t>
  </si>
  <si>
    <t>623a700d7a0c65fb6a0cc08f87daeaf90faf153ed1746128f3157378af1fafed</t>
  </si>
  <si>
    <t>https://t.me/pravdaGerashchenko_en/861</t>
  </si>
  <si>
    <t>Video footage of the shelling from a webcam at the Zaporizhia Nuclear Power Plant (Enerhodar).</t>
  </si>
  <si>
    <t xml:space="preserve">Zaporizhia </t>
  </si>
  <si>
    <t>UW1322</t>
  </si>
  <si>
    <t>https://bellingcat-archive.nyc3.cdn.digitaloceanspaces.com/Ukraine_Witness_Datasheet/Worksheet/telegram_c45af1fb49.mp4</t>
  </si>
  <si>
    <t>2022-03-04T11:11:56.693715+00:00</t>
  </si>
  <si>
    <t>https://bellingcat-archive.nyc3.cdn.digitaloceanspaces.com/Ukraine_Witness_Datasheet/Worksheet/telegram__pravdaGerashchenko_en_8612022-03-04T11:10:09.888792.png</t>
  </si>
  <si>
    <t>be646171c2148270b0c07de23fe5db2e90e75ac75040b9c58778feb068b27014</t>
  </si>
  <si>
    <t>https://bellingcat-archive.nyc3.cdn.digitaloceanspaces.com/Ukraine_Witness_Datasheet/Worksheet/telegram_c45af1fb49/index.html</t>
  </si>
  <si>
    <t>2022-03-04T04:02:22+00:00</t>
  </si>
  <si>
    <t>https://t.me/pravdaGerashchenko_en/870</t>
  </si>
  <si>
    <t>Morning video from Hostomel where russian troops were knocked out on 03/03/2022. Destroyed, the equipment of Russian Federation and many corpses next to it.</t>
  </si>
  <si>
    <t>https://www.google.de/maps/place/%D0%90%D0%BF%D1%82%D0%B5%D0%BA%D0%B0+%D0%94%D0%BE%D0%B1%D1%80%D0%BE%D0%B3%D0%BE+%D0%94%D0%BD%D1%8F/@50.5037871,30.3486526,17531m/data=!3m1!1e3!4m9!1m2!2m1!1shostomel+apteka+dobrogo!3m5!1s0x472b2e03e994f9fd:0xd4d3dba0bf6d596f!8m2!3d50.5649251!4d30.2702741!15sChdob3N0b21lbCBhcHRla2EgZG9icm9nb1oZIhdob3N0b21lbCBhcHRla2EgZG9icm9nb5IBCHBoYXJtYWN5!5m1!1e4</t>
  </si>
  <si>
    <t>UW1323</t>
  </si>
  <si>
    <t>https://bellingcat-archive.nyc3.cdn.digitaloceanspaces.com/Ukraine_Witness_Datasheet/Worksheet/telegram_949e425d59.mp4</t>
  </si>
  <si>
    <t>2022-03-04T10:32:09.213519+00:00</t>
  </si>
  <si>
    <t>https://bellingcat-archive.nyc3.cdn.digitaloceanspaces.com/Ukraine_Witness_Datasheet/Worksheet/telegram__pravdaGerashchenko_en_8702022-03-04T10:30:09.952744.png</t>
  </si>
  <si>
    <t>185e3c7c263c6588acbbcbcc2232f3c63fc15d9cd0d3df19a1af7166b3def3e7</t>
  </si>
  <si>
    <t>https://bellingcat-archive.nyc3.cdn.digitaloceanspaces.com/Ukraine_Witness_Datasheet/Worksheet/telegram_949e425d59/index.html</t>
  </si>
  <si>
    <t>2022-03-04T07:04:47+00:00</t>
  </si>
  <si>
    <t>https://t.me/suspilnekharkiv/8646</t>
  </si>
  <si>
    <t>https://twitter.com/Michael1Sheldon/status/1499487118816600074</t>
  </si>
  <si>
    <t>UW1324</t>
  </si>
  <si>
    <t>https://bellingcat-archive.nyc3.cdn.digitaloceanspaces.com/Ukraine_Witness_Datasheet/Worksheet/telegram__suspilnekharkiv_8646.html</t>
  </si>
  <si>
    <t>2022-03-04T10:32:17.476737+00:00</t>
  </si>
  <si>
    <t>https://bellingcat-archive.nyc3.cdn.digitaloceanspaces.com/Ukraine_Witness_Datasheet/Worksheet/telegram__suspilnekharkiv_86462022-03-04T10:32:09.956346.png</t>
  </si>
  <si>
    <t>1b441525d76c92591314c0e34dbaf86c1fa6c5de17e2d77e070020a9b7792488</t>
  </si>
  <si>
    <t>2022-03-03T14:17:59+00:00</t>
  </si>
  <si>
    <t>https://twitter.com/KyivIndependent/status/1499012433943437314?s=20&amp;t=1Z_ZbeQuhLAK26lu8_4lzQ</t>
  </si>
  <si>
    <t>Significant Damage to Irpin Bridge</t>
  </si>
  <si>
    <t>Streetview and birdseye camera present on google maps that shows buildings present in the horizon of the video. Railings shape and colour also consistent with that found in video.</t>
  </si>
  <si>
    <t>UW1325</t>
  </si>
  <si>
    <t>https://bellingcat-archive.nyc3.cdn.digitaloceanspaces.com/Ukraine_Witness_Datasheet/Worksheet/youtube_dl_1499012433943437314.mp4</t>
  </si>
  <si>
    <t>2022-03-04T10:32:32.181051+00:00</t>
  </si>
  <si>
    <t>https://bellingcat-archive.nyc3.cdn.digitaloceanspaces.com/Ukraine_Witness_Datasheet/Worksheet/youtube_dl__KyivIndependent_status_14990124339434373142022-03-04T10:32:20.272612.png</t>
  </si>
  <si>
    <t>44f5cf1a72483cd76494b506e591e3263696a9f2be2ff46905c8c4554f7d60c5</t>
  </si>
  <si>
    <t>https://bellingcat-archive.nyc3.cdn.digitaloceanspaces.com/Ukraine_Witness_Datasheet/Worksheet/youtube_dl_1499012433943437314/index.html</t>
  </si>
  <si>
    <t>The Kyiv Independent - Irpin, a satellite city on the western outskirts of Kyiv, has suffered multiple Russian attacks since the beginning of the full-scale offensive.   A bridge that connects the city to Kyiv was blown up by the Ukrainian forces to block Russian troops.  Video: Illia Ponomarenko</t>
  </si>
  <si>
    <t>2022-03-02T13:23:09+00:00</t>
  </si>
  <si>
    <t>https://twitter.com/YWNReporter/status/1499693084237570052</t>
  </si>
  <si>
    <t>Russian forces entering the city</t>
  </si>
  <si>
    <t>UW1326</t>
  </si>
  <si>
    <t>https://bellingcat-archive.nyc3.cdn.digitaloceanspaces.com/Ukraine_Witness_Datasheet/Worksheet/youtube_dl_1499693084237570052.mp4</t>
  </si>
  <si>
    <t>2022-03-04T10:40:23.296399+00:00</t>
  </si>
  <si>
    <t>https://bellingcat-archive.nyc3.cdn.digitaloceanspaces.com/Ukraine_Witness_Datasheet/Worksheet/youtube_dl__YWNReporter_status_14996930842375700522022-03-04T10:40:12.212928.png</t>
  </si>
  <si>
    <t>e55a2a8b4d6310d6f1bd22d2ed43f3b5ea09a1b9484c9f0a1f10e187870c8c50</t>
  </si>
  <si>
    <t>https://bellingcat-archive.nyc3.cdn.digitaloceanspaces.com/Ukraine_Witness_Datasheet/Worksheet/youtube_dl_1499693084237570052/index.html</t>
  </si>
  <si>
    <t>Moshe Schwartz - Russian forces pour into the Zaporizhzhia Nuclear Power Plant area.</t>
  </si>
  <si>
    <t>2022-03-04T10:27:48+00:00</t>
  </si>
  <si>
    <t>https://twitter.com/YWNReporter/status/1499692570720587777</t>
  </si>
  <si>
    <t>Aftermath of fighting and shelling at Nuclear power plant</t>
  </si>
  <si>
    <t>UW1327</t>
  </si>
  <si>
    <t>https://bellingcat-archive.nyc3.cdn.digitaloceanspaces.com/Ukraine_Witness_Datasheet/Worksheet/twitter__YWNReporter_status_1499692570720587777.html</t>
  </si>
  <si>
    <t>2022-03-04T10:40:34.643811+00:00</t>
  </si>
  <si>
    <t>https://bellingcat-archive.nyc3.cdn.digitaloceanspaces.com/Ukraine_Witness_Datasheet/Worksheet/twitter__YWNReporter_status_14996925707205877772022-03-04T10:40:26.028470.png</t>
  </si>
  <si>
    <t>419190545993694a3e944663f6454976248d2fc5a96e9b6e37111e78f9dbfcc1</t>
  </si>
  <si>
    <t>2022-03-04T10:25:46+00:00</t>
  </si>
  <si>
    <t>https://twitter.com/hengenahm/status/1499542895954522113</t>
  </si>
  <si>
    <t>Fighting and shelling at Nuclear power plant</t>
  </si>
  <si>
    <t>UW1328</t>
  </si>
  <si>
    <t>Fighting</t>
  </si>
  <si>
    <t>https://bellingcat-archive.nyc3.cdn.digitaloceanspaces.com/Ukraine_Witness_Datasheet/Worksheet/youtube_dl_1499542895954522113.mp4</t>
  </si>
  <si>
    <t>2022-03-04T10:40:48.475800+00:00</t>
  </si>
  <si>
    <t>https://bellingcat-archive.nyc3.cdn.digitaloceanspaces.com/Ukraine_Witness_Datasheet/Worksheet/youtube_dl__hengenahm_status_14995428959545221132022-03-04T10:40:36.876083.png</t>
  </si>
  <si>
    <t>c90deb60e908719c8f08bfb1119465883d744214e6cf9162e590693c696150ba</t>
  </si>
  <si>
    <t>https://bellingcat-archive.nyc3.cdn.digitaloceanspaces.com/Ukraine_Witness_Datasheet/Worksheet/youtube_dl_1499542895954522113/index.html</t>
  </si>
  <si>
    <t>Benjamin - Footage of livestream showing shelling of, and fighting at, Zaporozhye nuclear power plant</t>
  </si>
  <si>
    <t>2022-03-04T00:31:01+00:00</t>
  </si>
  <si>
    <t>https://twitter.com/MarQs__/status/1499704184471494656</t>
  </si>
  <si>
    <t>UW1329</t>
  </si>
  <si>
    <t>taken from residence in area controlled by Russian forces</t>
  </si>
  <si>
    <t>https://bellingcat-archive.nyc3.cdn.digitaloceanspaces.com/Ukraine_Witness_Datasheet/Worksheet/twitter__MarQs___status_1499704184471494656.html</t>
  </si>
  <si>
    <t>2022-03-04T11:15:20.826897+00:00</t>
  </si>
  <si>
    <t>https://bellingcat-archive.nyc3.cdn.digitaloceanspaces.com/Ukraine_Witness_Datasheet/Worksheet/twitter__MarQs___status_14997041844714946562022-03-04T11:15:12.606409.png</t>
  </si>
  <si>
    <t>d3ddf3f647a7935389129d00d26660959c5021debaf232b600f1c91b888261b1</t>
  </si>
  <si>
    <t>2022-03-04T11:11:55+00:00</t>
  </si>
  <si>
    <t>https://twitter.com/Caucasuswar/status/1499700120291581953</t>
  </si>
  <si>
    <t>UW1330</t>
  </si>
  <si>
    <t>https://bellingcat-archive.nyc3.cdn.digitaloceanspaces.com/Ukraine_Witness_Datasheet/Worksheet/youtube_dl_1499700120291581953.mp4</t>
  </si>
  <si>
    <t>2022-03-04T11:20:31.752135+00:00</t>
  </si>
  <si>
    <t>https://bellingcat-archive.nyc3.cdn.digitaloceanspaces.com/Ukraine_Witness_Datasheet/Worksheet/youtube_dl__Caucasuswar_status_14997001202915819532022-03-04T11:20:12.687575.png</t>
  </si>
  <si>
    <t>1a5427d0b9b2a744943176b3303b8100d2ef586535a5612ece65112643ed4585</t>
  </si>
  <si>
    <t>https://bellingcat-archive.nyc3.cdn.digitaloceanspaces.com/Ukraine_Witness_Datasheet/Worksheet/youtube_dl_1499700120291581953/index.html</t>
  </si>
  <si>
    <t>CaucasusWarReport - Battle for Volnovakha city as Russian forces entered a part of the city. Ukrainians forces are still present in the area. WW2 era style.</t>
  </si>
  <si>
    <t>2022-03-04T10:55:46+00:00</t>
  </si>
  <si>
    <t>https://t.me/rybar/27263</t>
  </si>
  <si>
    <t xml:space="preserve">Russian Forces grouping across from Erenhodar City Council </t>
  </si>
  <si>
    <t>Enerhodar City Council present in both images and streetview.</t>
  </si>
  <si>
    <t>UW1331</t>
  </si>
  <si>
    <t>Taken from residence in a Russian controlled town</t>
  </si>
  <si>
    <t>https://bellingcat-archive.nyc3.cdn.digitaloceanspaces.com/Ukraine_Witness_Datasheet/Worksheet/telegram__rybar_27263.html</t>
  </si>
  <si>
    <t>2022-03-04T11:25:22.613666+00:00</t>
  </si>
  <si>
    <t>https://bellingcat-archive.nyc3.cdn.digitaloceanspaces.com/Ukraine_Witness_Datasheet/Worksheet/telegram__rybar_272632022-03-04T11:25:09.328522.png</t>
  </si>
  <si>
    <t>bce9c992d7a8c646a961d6e83af8f52db134310e59687159c2e8b0ca5009e5c5</t>
  </si>
  <si>
    <t>2022-03-04T11:14:46+00:00</t>
  </si>
  <si>
    <t>https://twitter.com/Osinttechnical/status/1499698448416886785</t>
  </si>
  <si>
    <t>UW1332</t>
  </si>
  <si>
    <t>https://bellingcat-archive.nyc3.cdn.digitaloceanspaces.com/Ukraine_Witness_Datasheet/Worksheet/twitter__Osinttechnical_status_1499698448416886785.html</t>
  </si>
  <si>
    <t>2022-03-04T11:35:21.111428+00:00</t>
  </si>
  <si>
    <t>https://bellingcat-archive.nyc3.cdn.digitaloceanspaces.com/Ukraine_Witness_Datasheet/Worksheet/twitter__Osinttechnical_status_14996984484168867852022-03-04T11:35:11.844680.png</t>
  </si>
  <si>
    <t>25beb9bc182ee970e9140ae827e9dd0805e7eab868b8ab2d18f129d5cdee3f34</t>
  </si>
  <si>
    <t>2022-03-04T10:49:07+00:00</t>
  </si>
  <si>
    <t>04/03/22</t>
  </si>
  <si>
    <t>https://twitter.com/nabihbulos/status/1499712171873222656</t>
  </si>
  <si>
    <t>Smoke Plume rising in distance on the outskirts of Irpin</t>
  </si>
  <si>
    <t>Power lines &amp; topography match, OSM search on power lines in relation to petrol station narrowed search</t>
  </si>
  <si>
    <t>UW1333</t>
  </si>
  <si>
    <t>Bombing. shelling, explosion</t>
  </si>
  <si>
    <t>https://bellingcat-archive.nyc3.cdn.digitaloceanspaces.com/Ukraine_Witness_Datasheet/Worksheet/youtube_dl_1499712171873222656.mp4</t>
  </si>
  <si>
    <t>2022-03-04T11:50:40.702741+00:00</t>
  </si>
  <si>
    <t>https://bellingcat-archive.nyc3.cdn.digitaloceanspaces.com/Ukraine_Witness_Datasheet/Worksheet/youtube_dl__nabihbulos_status_14997121718732226562022-03-04T11:50:25.762886.png</t>
  </si>
  <si>
    <t>0e77766574143c600acba3eaf9cf63aa989e8f50b7f79dda9d8d60ca5ef16178</t>
  </si>
  <si>
    <t>https://bellingcat-archive.nyc3.cdn.digitaloceanspaces.com/Ukraine_Witness_Datasheet/Worksheet/youtube_dl_1499712171873222656/index.html</t>
  </si>
  <si>
    <t>Nabih - On the outskirts of #Irpin, not far from #Kyiv. #Ukraine</t>
  </si>
  <si>
    <t>2022-03-04T11:43:39+00:00</t>
  </si>
  <si>
    <t>https://twitter.com/StateOfUkraine/status/1499712419513630721</t>
  </si>
  <si>
    <t>UW1334</t>
  </si>
  <si>
    <t>https://bellingcat-archive.nyc3.cdn.digitaloceanspaces.com/Ukraine_Witness_Datasheet/Worksheet/youtube_dl_1499712419513630721.mp4</t>
  </si>
  <si>
    <t>2022-03-04T11:50:56.491226+00:00</t>
  </si>
  <si>
    <t>https://bellingcat-archive.nyc3.cdn.digitaloceanspaces.com/Ukraine_Witness_Datasheet/Worksheet/youtube_dl__StateOfUkraine_status_14997124195136307212022-03-04T11:50:43.731150.png</t>
  </si>
  <si>
    <t>64bb08a19e52cd7add17edb9e6c825d410dbd943497ab74dc8c841863dac4159</t>
  </si>
  <si>
    <t>https://bellingcat-archive.nyc3.cdn.digitaloceanspaces.com/Ukraine_Witness_Datasheet/Worksheet/youtube_dl_1499712419513630721/index.html</t>
  </si>
  <si>
    <t>Ukraine Reporter - This is what partisan warfare against an allegedly superior army looks like. Ukrainian forces in SUVs ambushed a Russian convoy, capturing another $15 million Pantsir S-1 anti-aircraft system near Mykolaiv (southern #Ukraine).</t>
  </si>
  <si>
    <t>2022-03-04T11:44:38+00:00</t>
  </si>
  <si>
    <t>https://t.me/rybar/27270</t>
  </si>
  <si>
    <t xml:space="preserve">Man being flogged in street by men who identify themselves to be Ukranian territorial support group. </t>
  </si>
  <si>
    <t>UW1335</t>
  </si>
  <si>
    <t>https://bellingcat-archive.nyc3.cdn.digitaloceanspaces.com/Ukraine_Witness_Datasheet/Worksheet/telegram_aa9c1ae33c.mp4</t>
  </si>
  <si>
    <t>2022-03-04T12:16:03.158238+00:00</t>
  </si>
  <si>
    <t>https://bellingcat-archive.nyc3.cdn.digitaloceanspaces.com/Ukraine_Witness_Datasheet/Worksheet/telegram__rybar_272702022-03-04T12:15:11.070774.png</t>
  </si>
  <si>
    <t>669b57d90be35d9326c02368d1e236739d8db4e91447a659fef1c5cb77912972</t>
  </si>
  <si>
    <t>https://bellingcat-archive.nyc3.cdn.digitaloceanspaces.com/Ukraine_Witness_Datasheet/Worksheet/telegram_aa9c1ae33c/index.html</t>
  </si>
  <si>
    <t>2022-03-04T11:44:49+00:00</t>
  </si>
  <si>
    <t>https://t.me/rybar/27267</t>
  </si>
  <si>
    <t>UW1336</t>
  </si>
  <si>
    <t>https://bellingcat-archive.nyc3.cdn.digitaloceanspaces.com/Ukraine_Witness_Datasheet/Worksheet/telegram_0314bee945.mp4</t>
  </si>
  <si>
    <t>2022-03-04T12:16:29.116788+00:00</t>
  </si>
  <si>
    <t>https://bellingcat-archive.nyc3.cdn.digitaloceanspaces.com/Ukraine_Witness_Datasheet/Worksheet/telegram__rybar_272672022-03-04T12:16:04.067825.png</t>
  </si>
  <si>
    <t>73263684190caa66810a99a35da5be31cbf7bd577a9ff492478ed9a331cc29cc</t>
  </si>
  <si>
    <t>https://bellingcat-archive.nyc3.cdn.digitaloceanspaces.com/Ukraine_Witness_Datasheet/Worksheet/telegram_0314bee945/index.html</t>
  </si>
  <si>
    <t>2022-03-04T11:28:30+00:00</t>
  </si>
  <si>
    <t>https://t.me/istorijaoruzija/39171</t>
  </si>
  <si>
    <t>Video filmed from balcony showing people queue at a Station in Irpin. Smoke seen in the distance.</t>
  </si>
  <si>
    <t>Google maps confirmation through sign for Lex Hotel as well as the gazebo area in</t>
  </si>
  <si>
    <t>UW1337</t>
  </si>
  <si>
    <t>Building and apartment from where this was filmed can be easily geolocated. This might be a risk if Irpin is taken by Russian forces.</t>
  </si>
  <si>
    <t>https://bellingcat-archive.nyc3.cdn.digitaloceanspaces.com/Ukraine_Witness_Datasheet/Worksheet/telegram_d7ce4e53d3.mp4</t>
  </si>
  <si>
    <t>2022-03-04T12:26:04.287826+00:00</t>
  </si>
  <si>
    <t>https://bellingcat-archive.nyc3.cdn.digitaloceanspaces.com/Ukraine_Witness_Datasheet/Worksheet/telegram__istorijaoruzija_391712022-03-04T12:25:09.627737.png</t>
  </si>
  <si>
    <t>fac316f3f0b714547c0c0fd298fad7c5837e20f861a1ef47f30fa39912c00b8b</t>
  </si>
  <si>
    <t>https://bellingcat-archive.nyc3.cdn.digitaloceanspaces.com/Ukraine_Witness_Datasheet/Worksheet/telegram_d7ce4e53d3/index.html</t>
  </si>
  <si>
    <t>2022-03-04T11:44:22+00:00</t>
  </si>
  <si>
    <t>https://twitter.com/nabihbulos/status/1499135383338201088?s=20&amp;t=-_DhKih3n5FUZHsuOUnuFw</t>
  </si>
  <si>
    <t>Aftermath of strike on Kyiv TV Tower</t>
  </si>
  <si>
    <t>Kyiv TV Tower can be seen in the video as well as the fitness centre across from the TV Tower.</t>
  </si>
  <si>
    <t>UW1338</t>
  </si>
  <si>
    <t>https://web.archive.org/web/20220304122609/https://twitter.com/nabihbulos</t>
  </si>
  <si>
    <t>2022-03-04T12:26:35.848214+00:00</t>
  </si>
  <si>
    <t>https://bellingcat-archive.nyc3.cdn.digitaloceanspaces.com/Ukraine_Witness_Datasheet/Worksheet/wayback__nabihbulos2022-03-04T12:26:27.066622.png</t>
  </si>
  <si>
    <t>Nabih (@nabihbulos) / Twitter</t>
  </si>
  <si>
    <t>https://t.me/istorijaoruzija/39228</t>
  </si>
  <si>
    <t xml:space="preserve">Russian Forces with trucks labelled Z filmed in the city of Erenhodar near the buildings of the Tax inspectors office and departments of internal affairs. </t>
  </si>
  <si>
    <t xml:space="preserve">Blue bench, large building as well as red fence seen in video match the location found on streetview.  </t>
  </si>
  <si>
    <t>UW1339</t>
  </si>
  <si>
    <t>https://bellingcat-archive.nyc3.cdn.digitaloceanspaces.com/Ukraine_Witness_Datasheet/Worksheet/telegram_44031904e9.mp4</t>
  </si>
  <si>
    <t>2022-03-04T13:25:34.924505+00:00</t>
  </si>
  <si>
    <t>https://bellingcat-archive.nyc3.cdn.digitaloceanspaces.com/Ukraine_Witness_Datasheet/Worksheet/telegram__istorijaoruzija_392282022-03-04T13:25:09.799963.png</t>
  </si>
  <si>
    <t>fccba5a482c223b76c9eff48e83a114cb1abbd51e5c8e1a82d36dd3bec8e356c</t>
  </si>
  <si>
    <t>https://bellingcat-archive.nyc3.cdn.digitaloceanspaces.com/Ukraine_Witness_Datasheet/Worksheet/telegram_44031904e9/index.html</t>
  </si>
  <si>
    <t>2022-03-04T13:19:33+00:00</t>
  </si>
  <si>
    <t>https://t.me/istorijaoruzija/39224</t>
  </si>
  <si>
    <t xml:space="preserve">Russian Forces with trucks labelled Z photographed in the city of Erenhodar near the buildings of the Tax inspectors office and departments of internal affairs. </t>
  </si>
  <si>
    <t>UW1340</t>
  </si>
  <si>
    <t>https://bellingcat-archive.nyc3.cdn.digitaloceanspaces.com/Ukraine_Witness_Datasheet/Worksheet/telegram__istorijaoruzija_39224.html</t>
  </si>
  <si>
    <t>2022-03-04T13:25:43.428876+00:00</t>
  </si>
  <si>
    <t>https://bellingcat-archive.nyc3.cdn.digitaloceanspaces.com/Ukraine_Witness_Datasheet/Worksheet/telegram__istorijaoruzija_392242022-03-04T13:25:35.798848.png</t>
  </si>
  <si>
    <t>43952c3ce1bdd0828740f8b8e8ffeb90d8ae4c6af839f2e265c7a410bbbe94b5</t>
  </si>
  <si>
    <t>2022-03-04T13:13:10+00:00</t>
  </si>
  <si>
    <t>https://twitter.com/markito0171/status/1499737718162608134</t>
  </si>
  <si>
    <t>shelling of buildings</t>
  </si>
  <si>
    <t>Kozarovychi</t>
  </si>
  <si>
    <t>UW1341</t>
  </si>
  <si>
    <t>https://bellingcat-archive.nyc3.cdn.digitaloceanspaces.com/Ukraine_Witness_Datasheet/Worksheet/youtube_dl_1499737718162608134.mp4</t>
  </si>
  <si>
    <t>2022-03-04T13:45:25.528969+00:00</t>
  </si>
  <si>
    <t>https://bellingcat-archive.nyc3.cdn.digitaloceanspaces.com/Ukraine_Witness_Datasheet/Worksheet/youtube_dl__markito0171_status_14997377181626081342022-03-04T13:45:13.036091.png</t>
  </si>
  <si>
    <t>e4870c2b4ad04134f6169831d7ad3c0d1982360186f1b8b478a5749a0441af2c</t>
  </si>
  <si>
    <t>https://bellingcat-archive.nyc3.cdn.digitaloceanspaces.com/Ukraine_Witness_Datasheet/Worksheet/youtube_dl_1499737718162608134/index.html</t>
  </si>
  <si>
    <t>C4H10FO2P - #Ukraine artillery shelling base of the #Russia'n paratroopers near the village of Kozarovichi north of #Kyiv</t>
  </si>
  <si>
    <t>2022-03-04T13:25:10+00:00</t>
  </si>
  <si>
    <t>https://twitter.com/no_itsmyturn/status/1499707927669743619</t>
  </si>
  <si>
    <t>Aftermath of russian shelling</t>
  </si>
  <si>
    <t>UW1342</t>
  </si>
  <si>
    <t>https://bellingcat-archive.nyc3.cdn.digitaloceanspaces.com/Ukraine_Witness_Datasheet/Worksheet/youtube_dl_1499707927669743619.mp4</t>
  </si>
  <si>
    <t>2022-03-04T13:50:28.084015+00:00</t>
  </si>
  <si>
    <t>https://bellingcat-archive.nyc3.cdn.digitaloceanspaces.com/Ukraine_Witness_Datasheet/Worksheet/youtube_dl__no_itsmyturn_status_14997079276697436192022-03-04T13:50:13.278484.png</t>
  </si>
  <si>
    <t>1d6c18c0a98220e6b55ce89e0245a8cd868c3889a5025f6600cf81576a3ea965</t>
  </si>
  <si>
    <t>https://bellingcat-archive.nyc3.cdn.digitaloceanspaces.com/Ukraine_Witness_Datasheet/Worksheet/youtube_dl_1499707927669743619/index.html</t>
  </si>
  <si>
    <t>Aleph א #IStandWithUkraine 🇺🇦 - Aftermath of Russian shelling in Irpin,  Kyiv oblast Geolocation: 50.52077, 30.20819 #Ukraine 🇺🇦</t>
  </si>
  <si>
    <t>2022-03-04T11:26:47+00:00</t>
  </si>
  <si>
    <t>https://twitter.com/no_itsmyturn/status/1499711951362039820</t>
  </si>
  <si>
    <t xml:space="preserve">Aftermath of russian bombing </t>
  </si>
  <si>
    <t>UW1343</t>
  </si>
  <si>
    <t>https://bellingcat-archive.nyc3.cdn.digitaloceanspaces.com/Ukraine_Witness_Datasheet/Worksheet/twitter__no_itsmyturn_status_1499711951362039820.html</t>
  </si>
  <si>
    <t>2022-03-04T13:50:40.336956+00:00</t>
  </si>
  <si>
    <t>https://bellingcat-archive.nyc3.cdn.digitaloceanspaces.com/Ukraine_Witness_Datasheet/Worksheet/twitter__no_itsmyturn_status_14997119513620398202022-03-04T13:50:31.306897.png</t>
  </si>
  <si>
    <t>cbdefe54b864034e3057d87b4f2e3d895928676ef543b2e36505ea33c0078653</t>
  </si>
  <si>
    <t>2022-03-04T11:42:47+00:00</t>
  </si>
  <si>
    <t>https://t.me/ukraina24tv/17333</t>
  </si>
  <si>
    <t xml:space="preserve">Smoke plume rising near the UTA Business Centre in Kyiv </t>
  </si>
  <si>
    <t>Large white Building confirmed to be the UTA Centre. Green fencing consistent with that seen on Street view.</t>
  </si>
  <si>
    <t>UW1344</t>
  </si>
  <si>
    <t>https://bellingcat-archive.nyc3.cdn.digitaloceanspaces.com/Ukraine_Witness_Datasheet/Worksheet/telegram_bf305d70d2.mp4</t>
  </si>
  <si>
    <t>2022-03-04T13:57:27.300600+00:00</t>
  </si>
  <si>
    <t>https://bellingcat-archive.nyc3.cdn.digitaloceanspaces.com/Ukraine_Witness_Datasheet/Worksheet/telegram__ukraina24tv_173332022-03-04T13:55:10.432135.png</t>
  </si>
  <si>
    <t>1d89c3391cbb2dea24ef53aa57c9b615c1ccb68b932c6735d8a470856328a55d</t>
  </si>
  <si>
    <t>https://bellingcat-archive.nyc3.cdn.digitaloceanspaces.com/Ukraine_Witness_Datasheet/Worksheet/telegram_bf305d70d2/index.html</t>
  </si>
  <si>
    <t>https://twitter.com/MilitaryAgentt/status/1499387467564212228?s=20&amp;t=Z6nKUvctyVBcN_EgbwJ3qAhttps://twitter.com/MilitaryAgentt/status/1499387467564212228?s=20&amp;t=Z6nKUvctyVBcN_EgbwJ3qA</t>
  </si>
  <si>
    <t>UW1345</t>
  </si>
  <si>
    <t>https://bellingcat-archive.nyc3.cdn.digitaloceanspaces.com/Ukraine_Witness_Datasheet/Worksheet/youtube_dl_1499387467564212228.mp4</t>
  </si>
  <si>
    <t>2022-03-04T13:57:40.584323+00:00</t>
  </si>
  <si>
    <t>https://bellingcat-archive.nyc3.cdn.digitaloceanspaces.com/Ukraine_Witness_Datasheet/Worksheet/youtube_dl__MilitaryAgentt_status_14993874675642122282022-03-04T13:57:30.069408.png</t>
  </si>
  <si>
    <t>08f9f11c9fefac1e849c39788e85619a9b9ff0ed2bbb9790b9a06fbd72545e25</t>
  </si>
  <si>
    <t>https://bellingcat-archive.nyc3.cdn.digitaloceanspaces.com/Ukraine_Witness_Datasheet/Worksheet/youtube_dl_1499387467564212228/index.html</t>
  </si>
  <si>
    <t>Military Agent - 🇷🇺🇺🇦🔥 Huge clouds of black smoke over Kiev. The airfield Chaika is on fire.  #Ukriane #Ukraine #UkraineRussia #UkraineWar #UkraineUnderAttack #UkraineUnderAttack #Ukrainian #RussianUkrainianWar #RussiaUkraine #RussianArmy #BREAKING</t>
  </si>
  <si>
    <t>2022-03-03T14:13:24+00:00</t>
  </si>
  <si>
    <t>https://twitter.com/ICTV_Fakty/status/1499435535819067394?s=20&amp;t=Z6nKUvctyVBcN_EgbwJ3qA</t>
  </si>
  <si>
    <t>UW1346</t>
  </si>
  <si>
    <t>https://bellingcat-archive.nyc3.cdn.digitaloceanspaces.com/Ukraine_Witness_Datasheet/Worksheet/twitter__ICTV_Fakty_status_1499435535819067394.html</t>
  </si>
  <si>
    <t>2022-03-04T14:10:21.276178+00:00</t>
  </si>
  <si>
    <t>https://bellingcat-archive.nyc3.cdn.digitaloceanspaces.com/Ukraine_Witness_Datasheet/Worksheet/twitter__ICTV_Fakty_status_14994355358190673942022-03-04T14:10:13.162965.png</t>
  </si>
  <si>
    <t>5ad1e639735da72d78d16d19020bcc2b393ff6ceb47557d9ef884552ede8a1d3</t>
  </si>
  <si>
    <t>2022-03-03T17:24:24+00:00</t>
  </si>
  <si>
    <t>https://twitter.com/Ukropo4kA/status/1499745823835529228?s=20&amp;t=NlFEhZUM-w1ySXn_90k1Ww</t>
  </si>
  <si>
    <t>Residential building hit multiple times in Hostomel</t>
  </si>
  <si>
    <t>UW1347</t>
  </si>
  <si>
    <t>https://bellingcat-archive.nyc3.cdn.digitaloceanspaces.com/Ukraine_Witness_Datasheet/Worksheet/youtube_dl_1499745823835529228.mp4</t>
  </si>
  <si>
    <t>2022-03-04T14:40:26.065787+00:00</t>
  </si>
  <si>
    <t>https://bellingcat-archive.nyc3.cdn.digitaloceanspaces.com/Ukraine_Witness_Datasheet/Worksheet/youtube_dl__Ukropo4kA_status_14997458238355292282022-03-04T14:40:14.520647.png</t>
  </si>
  <si>
    <t>46ccf96e4c08e0d514d4897cf6eebb84d6a7bdfceb124a0d72e714cc565763d8</t>
  </si>
  <si>
    <t>https://bellingcat-archive.nyc3.cdn.digitaloceanspaces.com/Ukraine_Witness_Datasheet/Worksheet/youtube_dl_1499745823835529228/index.html</t>
  </si>
  <si>
    <t>Viktoria - #Hostomel, #Kyiv region: #Russia “demilitarized” the apartment house…   #Ukraine #war #Russia</t>
  </si>
  <si>
    <t>2022-03-04T13:57:22+00:00</t>
  </si>
  <si>
    <t>https://t.me/khersonmasternews/49651</t>
  </si>
  <si>
    <t>approx. 11:00 am, a column of vehicles marked "Z" passed through the center of Cherson.</t>
  </si>
  <si>
    <t>Cherson Oblast</t>
  </si>
  <si>
    <t>Cherson</t>
  </si>
  <si>
    <t>UW1348</t>
  </si>
  <si>
    <t>https://bellingcat-archive.nyc3.cdn.digitaloceanspaces.com/Ukraine_Witness_Datasheet/Worksheet/telegram__khersonmasternews_49651.html</t>
  </si>
  <si>
    <t>2022-03-04T14:50:23.517116+00:00</t>
  </si>
  <si>
    <t>https://bellingcat-archive.nyc3.cdn.digitaloceanspaces.com/Ukraine_Witness_Datasheet/Worksheet/telegram__khersonmasternews_496512022-03-04T14:50:09.569122.png</t>
  </si>
  <si>
    <t>84475cfe1529305890d92d5b144f389b85d009bb7f7e6df7dbc98f38b0e8b8fb</t>
  </si>
  <si>
    <t>https://t.me/khersonmasternews/49658</t>
  </si>
  <si>
    <t>A column of white trucks on Svobody Square (Freedom Square).</t>
  </si>
  <si>
    <t>UW1349</t>
  </si>
  <si>
    <t>https://bellingcat-archive.nyc3.cdn.digitaloceanspaces.com/Ukraine_Witness_Datasheet/Worksheet/telegram_da54f45a38.mp4</t>
  </si>
  <si>
    <t>2022-03-04T15:07:13.798623+00:00</t>
  </si>
  <si>
    <t>https://bellingcat-archive.nyc3.cdn.digitaloceanspaces.com/Ukraine_Witness_Datasheet/Worksheet/telegram__khersonmasternews_496582022-03-04T15:00:11.054377.png</t>
  </si>
  <si>
    <t>ffb6153fe5841e06f7265ef4bca3469ae2f0280b72ee0e224b1e3eef21e7b6f8</t>
  </si>
  <si>
    <t>https://bellingcat-archive.nyc3.cdn.digitaloceanspaces.com/Ukraine_Witness_Datasheet/Worksheet/telegram_da54f45a38/index.html</t>
  </si>
  <si>
    <t>2022-03-04T11:37:09+00:00</t>
  </si>
  <si>
    <t>https://t.me/Pravda_Gerashchenko/1943</t>
  </si>
  <si>
    <t>In Hostomel, Pokrovsky was shelled - a residential area without any hint of military infrastructure.</t>
  </si>
  <si>
    <t>UW1350</t>
  </si>
  <si>
    <t>https://bellingcat-archive.nyc3.cdn.digitaloceanspaces.com/Ukraine_Witness_Datasheet/Worksheet/telegram_f6f73132f2.mp4</t>
  </si>
  <si>
    <t>2022-03-04T15:10:43.210335+00:00</t>
  </si>
  <si>
    <t>https://bellingcat-archive.nyc3.cdn.digitaloceanspaces.com/Ukraine_Witness_Datasheet/Worksheet/telegram__Pravda_Gerashchenko_19432022-03-04T15:10:10.763292.png</t>
  </si>
  <si>
    <t>92d3d10f145074f6e3e552c3d9447708179f7fe801809fdd9e66b1ac22f9e737</t>
  </si>
  <si>
    <t>https://bellingcat-archive.nyc3.cdn.digitaloceanspaces.com/Ukraine_Witness_Datasheet/Worksheet/telegram_f6f73132f2/index.html</t>
  </si>
  <si>
    <t>2022-03-04T14:11:20+00:00</t>
  </si>
  <si>
    <t>https://t.me/insiderUKR/23709</t>
  </si>
  <si>
    <t>Reuters Drone footage of the damage sustained in Borodyanka</t>
  </si>
  <si>
    <t>UW1351</t>
  </si>
  <si>
    <t>https://bellingcat-archive.nyc3.cdn.digitaloceanspaces.com/Ukraine_Witness_Datasheet/Worksheet/telegram_d6b627e7e1.mp4</t>
  </si>
  <si>
    <t>2022-03-04T16:45:57.374676+00:00</t>
  </si>
  <si>
    <t>https://bellingcat-archive.nyc3.cdn.digitaloceanspaces.com/Ukraine_Witness_Datasheet/Worksheet/telegram__insiderUKR_237092022-03-04T16:45:09.229255.png</t>
  </si>
  <si>
    <t>dc88d7277dedfb55c493af16134ddeec76bb4c7223f584d172eebba641f5abd1</t>
  </si>
  <si>
    <t>https://bellingcat-archive.nyc3.cdn.digitaloceanspaces.com/Ukraine_Witness_Datasheet/Worksheet/telegram_d6b627e7e1/index.html</t>
  </si>
  <si>
    <t>2022-03-04T05:40:53+00:00</t>
  </si>
  <si>
    <t>UW1352</t>
  </si>
  <si>
    <t>https://twitter.com/markito0171/status/1499787486758936577</t>
  </si>
  <si>
    <t xml:space="preserve">Bridge destroyed near border with Moldova </t>
  </si>
  <si>
    <t>https://twitter.com/markito0171/status/1499787580816171010</t>
  </si>
  <si>
    <t>Pavlivka</t>
  </si>
  <si>
    <t>UW1353</t>
  </si>
  <si>
    <t>https://bellingcat-archive.nyc3.cdn.digitaloceanspaces.com/Ukraine_Witness_Datasheet/Worksheet/youtube_dl_1499787486758936577.mp4</t>
  </si>
  <si>
    <t>2022-03-04T17:10:24.977430+00:00</t>
  </si>
  <si>
    <t>https://bellingcat-archive.nyc3.cdn.digitaloceanspaces.com/Ukraine_Witness_Datasheet/Worksheet/youtube_dl__markito0171_status_14997874867589365772022-03-04T17:10:12.794315.png</t>
  </si>
  <si>
    <t>1b27b3dc085c83c12cac9ba3e704f1362abfb8e582f8a4d03583c0f5bb2823c7</t>
  </si>
  <si>
    <t>https://bellingcat-archive.nyc3.cdn.digitaloceanspaces.com/Ukraine_Witness_Datasheet/Worksheet/youtube_dl_1499787486758936577/index.html</t>
  </si>
  <si>
    <t>C4H10FO2P - #Ukraine forces blow up bridge at border to #Transnistria</t>
  </si>
  <si>
    <t>2022-03-04T16:42:56+00:00</t>
  </si>
  <si>
    <t>https://twitter.com/666_mancer/status/1499820585035173894</t>
  </si>
  <si>
    <t>Russian army column</t>
  </si>
  <si>
    <t>UW1354</t>
  </si>
  <si>
    <t>https://bellingcat-archive.nyc3.cdn.digitaloceanspaces.com/Ukraine_Witness_Datasheet/Worksheet/youtube_dl_1499820585035173894.mp4</t>
  </si>
  <si>
    <t>2022-03-04T19:25:33.252998+00:00</t>
  </si>
  <si>
    <t>https://bellingcat-archive.nyc3.cdn.digitaloceanspaces.com/Ukraine_Witness_Datasheet/Worksheet/youtube_dl__666_mancer_status_14998205850351738942022-03-04T19:25:16.496612.png</t>
  </si>
  <si>
    <t>d0a6846a5ab2ca4f06b5f35da2fd239a220de358438caeff63f70fabb882a398</t>
  </si>
  <si>
    <t>https://bellingcat-archive.nyc3.cdn.digitaloceanspaces.com/Ukraine_Witness_Datasheet/Worksheet/youtube_dl_1499820585035173894/index.html</t>
  </si>
  <si>
    <t>Necro Mancer - #Буча, Киевская обл., работают "глазки" #Азов'а (ближе к концу красивое) #RussiaUkraineWar</t>
  </si>
  <si>
    <t>2022-03-04T18:54:27+00:00</t>
  </si>
  <si>
    <t>https://twitter.com/666_mancer/status/1499852708471259143</t>
  </si>
  <si>
    <t>images</t>
  </si>
  <si>
    <t>russian troops assault</t>
  </si>
  <si>
    <t>UW1355</t>
  </si>
  <si>
    <t>https://bellingcat-archive.nyc3.cdn.digitaloceanspaces.com/Ukraine_Witness_Datasheet/Worksheet/twitter__666_mancer_status_1499852708471259143.html</t>
  </si>
  <si>
    <t>2022-03-04T21:10:25.183702+00:00</t>
  </si>
  <si>
    <t>https://bellingcat-archive.nyc3.cdn.digitaloceanspaces.com/Ukraine_Witness_Datasheet/Worksheet/twitter__666_mancer_status_14998527084712591432022-03-04T21:10:16.841804.png</t>
  </si>
  <si>
    <t>265aca4209b9a6892d7d29b4e541f8e04d2ccbd599f569546dec8ca550e172df</t>
  </si>
  <si>
    <t>2022-03-04T21:02:06+00:00</t>
  </si>
  <si>
    <t>https://twitter.com/markito0171/status/1499693727744417793</t>
  </si>
  <si>
    <t>Russian troop casualties</t>
  </si>
  <si>
    <t>50.565559, 30.270714</t>
  </si>
  <si>
    <t>UW1356</t>
  </si>
  <si>
    <t>https://bellingcat-archive.nyc3.cdn.digitaloceanspaces.com/Ukraine_Witness_Datasheet/Worksheet/twitter__markito0171_status_1499693727744417793.html</t>
  </si>
  <si>
    <t>2022-03-04T21:20:23.391513+00:00</t>
  </si>
  <si>
    <t>https://bellingcat-archive.nyc3.cdn.digitaloceanspaces.com/Ukraine_Witness_Datasheet/Worksheet/twitter__markito0171_status_14996937277444177932022-03-04T21:20:13.801013.png</t>
  </si>
  <si>
    <t>9a64fd1606bff81c6cc04dd1577f08dc4fe7daafebe79707df5f3f720bc7615f</t>
  </si>
  <si>
    <t>2022-03-04T10:30:22+00:00</t>
  </si>
  <si>
    <t>https://twitter.com/RALee85/status/1499794198328922114</t>
  </si>
  <si>
    <t>Russian troops moving around city, using drone</t>
  </si>
  <si>
    <t>https://twitter.com/john_marquee/status/1499800683536551937</t>
  </si>
  <si>
    <t>UW1357</t>
  </si>
  <si>
    <t>https://bellingcat-archive.nyc3.cdn.digitaloceanspaces.com/Ukraine_Witness_Datasheet/Worksheet/youtube_dl_1499794198328922114.mp4</t>
  </si>
  <si>
    <t>2022-03-04T21:30:33.401661+00:00</t>
  </si>
  <si>
    <t>https://bellingcat-archive.nyc3.cdn.digitaloceanspaces.com/Ukraine_Witness_Datasheet/Worksheet/youtube_dl__RALee85_status_14997941983289221142022-03-04T21:30:13.286409.png</t>
  </si>
  <si>
    <t>18f61aad0875985c0f94c28db0506c9e5d437c6944aeb5d2115fac7e424e351b</t>
  </si>
  <si>
    <t>https://bellingcat-archive.nyc3.cdn.digitaloceanspaces.com/Ukraine_Witness_Datasheet/Worksheet/youtube_dl_1499794198328922114/index.html</t>
  </si>
  <si>
    <t>Rob Lee - Video of Russian or Russian-backed forces moving into Volnovakha.</t>
  </si>
  <si>
    <t>2022-03-04T17:09:36+00:00</t>
  </si>
  <si>
    <t>https://twitter.com/RALee85/status/1499855040328130561</t>
  </si>
  <si>
    <t>TOS-1A thermobaric MLRS system on the move</t>
  </si>
  <si>
    <t>TOS-1A thermobaric MLRS system</t>
  </si>
  <si>
    <t>UW1358</t>
  </si>
  <si>
    <t>https://bellingcat-archive.nyc3.cdn.digitaloceanspaces.com/Ukraine_Witness_Datasheet/Worksheet/twitter__RALee85_status_1499855040328130561.html</t>
  </si>
  <si>
    <t>2022-03-04T22:00:23.760669+00:00</t>
  </si>
  <si>
    <t>https://bellingcat-archive.nyc3.cdn.digitaloceanspaces.com/Ukraine_Witness_Datasheet/Worksheet/twitter__RALee85_status_14998550403281305612022-03-04T22:00:14.623937.png</t>
  </si>
  <si>
    <t>5ad6a38f859183d3e1a4345a548b390c8c83080e35e5c1568bc6815d5ddc368a</t>
  </si>
  <si>
    <t>2022-03-04T21:11:22+00:00</t>
  </si>
  <si>
    <t>05/03/2022</t>
  </si>
  <si>
    <t>https://twitter.com/RALee85/status/1499969151619715073</t>
  </si>
  <si>
    <t>vdv bmd-2 on the move</t>
  </si>
  <si>
    <t>Chornobaivka</t>
  </si>
  <si>
    <t>UW1359</t>
  </si>
  <si>
    <t>https://bellingcat-archive.nyc3.cdn.digitaloceanspaces.com/Ukraine_Witness_Datasheet/Worksheet/youtube_dl_1499967573735227402.mp4</t>
  </si>
  <si>
    <t>2022-03-05T06:35:23.044064+00:00</t>
  </si>
  <si>
    <t>https://bellingcat-archive.nyc3.cdn.digitaloceanspaces.com/Ukraine_Witness_Datasheet/Worksheet/youtube_dl__RALee85_status_14999691516197150732022-03-05T06:35:12.044052.png</t>
  </si>
  <si>
    <t>082d146f0a22aaae57eee1f7b65c3a896c62407e88c146aeb6d58bef717e2b70</t>
  </si>
  <si>
    <t>https://bellingcat-archive.nyc3.cdn.digitaloceanspaces.com/Ukraine_Witness_Datasheet/Worksheet/youtube_dl_1499967573735227402/index.html</t>
  </si>
  <si>
    <t>IgorGirkin - Чернобаевка, 4 марта</t>
  </si>
  <si>
    <t>2022-03-05T04:38:32+00:00</t>
  </si>
  <si>
    <t>51.500056</t>
  </si>
  <si>
    <t>31.27828</t>
  </si>
  <si>
    <t>https://t.me/uniannet/34755</t>
  </si>
  <si>
    <t>CIV0189</t>
  </si>
  <si>
    <t>Residential building destroyed in airstrike, voice notes that a pharmacy has also been hit. Multiple munitions observed in the air in dashcam source; civilian casualties visible at the end of the video. Reports of 30 fatalities.</t>
  </si>
  <si>
    <t>UW1360</t>
  </si>
  <si>
    <t>https://bellingcat-archive.nyc3.cdn.digitaloceanspaces.com/Ukraine_Witness_Datasheet/Worksheet/telegram_6b19088f23.mp4</t>
  </si>
  <si>
    <t>2022-03-05T08:30:49.496691+00:00</t>
  </si>
  <si>
    <t>https://bellingcat-archive.nyc3.cdn.digitaloceanspaces.com/Ukraine_Witness_Datasheet/Worksheet/telegram__uniannet_347552022-03-05T08:30:09.371278.png</t>
  </si>
  <si>
    <t>47fb7a7e9e133dde0017632accae70a8f985de9c117bca209c6ab0deb3dc7d02</t>
  </si>
  <si>
    <t>https://bellingcat-archive.nyc3.cdn.digitaloceanspaces.com/Ukraine_Witness_Datasheet/Worksheet/telegram_6b19088f23/index.html</t>
  </si>
  <si>
    <t>2022-03-03T18:38:27+00:00</t>
  </si>
  <si>
    <t>https://twitter.com/Ukropo4kA/status/1499355556045328386</t>
  </si>
  <si>
    <t>Aftermath of strikes on civilian buildings</t>
  </si>
  <si>
    <t>UW1361</t>
  </si>
  <si>
    <t>https://bellingcat-archive.nyc3.cdn.digitaloceanspaces.com/Ukraine_Witness_Datasheet/Worksheet/youtube_dl_1499355556045328386.mp4</t>
  </si>
  <si>
    <t>2022-03-05T08:35:21.689150+00:00</t>
  </si>
  <si>
    <t>https://bellingcat-archive.nyc3.cdn.digitaloceanspaces.com/Ukraine_Witness_Datasheet/Worksheet/youtube_dl__Ukropo4kA_status_14993555560453283862022-03-05T08:35:11.550522.png</t>
  </si>
  <si>
    <t>63a9e1fd2cfee8316e983e65d0b4f42515e7596108df5e7a2e238a0bc69d9ef9</t>
  </si>
  <si>
    <t>https://bellingcat-archive.nyc3.cdn.digitaloceanspaces.com/Ukraine_Witness_Datasheet/Worksheet/youtube_dl_1499355556045328386/index.html</t>
  </si>
  <si>
    <t>Viktoria - #Chernihiv today… #Russia “liberators”again attacked civilians.  THERE ARE NO ANY MILITARY FACILITIES IN THIS AREA OF THE CITY!  #Ukraine #war</t>
  </si>
  <si>
    <t>2022-03-03T12:06:35+00:00</t>
  </si>
  <si>
    <t>https://twitter.com/InnaSovsun/status/1499455753282899974?s=20&amp;t=Wh5EKtipOmCbQoH-oB2OJQ</t>
  </si>
  <si>
    <t xml:space="preserve">Civilian Casualties </t>
  </si>
  <si>
    <t>UW1362</t>
  </si>
  <si>
    <t>https://bellingcat-archive.nyc3.cdn.digitaloceanspaces.com/Ukraine_Witness_Datasheet/Worksheet/youtube_dl_1499455753282899974.mp4</t>
  </si>
  <si>
    <t>2022-03-05T08:35:36.563924+00:00</t>
  </si>
  <si>
    <t>https://bellingcat-archive.nyc3.cdn.digitaloceanspaces.com/Ukraine_Witness_Datasheet/Worksheet/youtube_dl__InnaSovsun_status_14994557532828999742022-03-05T08:35:24.167395.png</t>
  </si>
  <si>
    <t>6443e665726722935fde1158f8c38699413b82d8ab2fe36ddd6c6d5b1d35e788</t>
  </si>
  <si>
    <t>https://bellingcat-archive.nyc3.cdn.digitaloceanspaces.com/Ukraine_Witness_Datasheet/Worksheet/youtube_dl_1499455753282899974/index.html</t>
  </si>
  <si>
    <t>Inna Sovsun - 33 people killed in a missile strike in Chernihiv, just hours ago. Why is everyone in the West pretending not seeing these horrors?!</t>
  </si>
  <si>
    <t>2022-03-03T18:44:44+00:00</t>
  </si>
  <si>
    <t>https://twitter.com/i_army_org/status/1499343075377926144?s=20&amp;t=c6PFJKWMwoMMFaz5pkqgDg</t>
  </si>
  <si>
    <t>UW1363</t>
  </si>
  <si>
    <t>https://bellingcat-archive.nyc3.cdn.digitaloceanspaces.com/Ukraine_Witness_Datasheet/Worksheet/twitter__i_army_org_status_1499343075377926144.html</t>
  </si>
  <si>
    <t>2022-03-05T08:35:48.261328+00:00</t>
  </si>
  <si>
    <t>https://bellingcat-archive.nyc3.cdn.digitaloceanspaces.com/Ukraine_Witness_Datasheet/Worksheet/twitter__i_army_org_status_14993430753779261442022-03-05T08:35:39.636870.png</t>
  </si>
  <si>
    <t>b43848fe67196a94a138bc55852f359d072d8fdc00f2d6b81f82147e9ced78c1</t>
  </si>
  <si>
    <t>2022-03-03T11:17:00+00:00</t>
  </si>
  <si>
    <t>https://twitter.com/TWMCLtd/status/1499349949158416384</t>
  </si>
  <si>
    <t>Strike on civilian buildings</t>
  </si>
  <si>
    <t>UW1364</t>
  </si>
  <si>
    <t>https://bellingcat-archive.nyc3.cdn.digitaloceanspaces.com/Ukraine_Witness_Datasheet/Worksheet/youtube_dl_1499349949158416384.mp4</t>
  </si>
  <si>
    <t>2022-03-05T08:36:04.994032+00:00</t>
  </si>
  <si>
    <t>https://bellingcat-archive.nyc3.cdn.digitaloceanspaces.com/Ukraine_Witness_Datasheet/Worksheet/youtube_dl__TWMCLtd_status_14993499491584163842022-03-05T08:35:50.852844.png</t>
  </si>
  <si>
    <t>8cf19c893fc6599db0564c4cf9da6b95835e5b25adc9338bc642b68310c9e23f</t>
  </si>
  <si>
    <t>https://bellingcat-archive.nyc3.cdn.digitaloceanspaces.com/Ukraine_Witness_Datasheet/Worksheet/youtube_dl_1499349949158416384/index.html</t>
  </si>
  <si>
    <t>Tim White - #Chernihiv - video verified 90 minutes ago in the northern Ukrainian city this happened:  * warning swearing in Russian *</t>
  </si>
  <si>
    <t>2022-03-03T11:44:19+00:00</t>
  </si>
  <si>
    <t>https://twitter.com/ArmedForcesUkr/status/1499728883180093441?s=20&amp;t=sOdD2Q-L9YGH1GRnp-msyw</t>
  </si>
  <si>
    <t>UW1365</t>
  </si>
  <si>
    <t>https://bellingcat-archive.nyc3.cdn.digitaloceanspaces.com/Ukraine_Witness_Datasheet/Worksheet/twitter__ArmedForcesUkr_status_1499728883180093441.html</t>
  </si>
  <si>
    <t>2022-03-05T08:36:16.122038+00:00</t>
  </si>
  <si>
    <t>https://bellingcat-archive.nyc3.cdn.digitaloceanspaces.com/Ukraine_Witness_Datasheet/Worksheet/twitter__ArmedForcesUkr_status_14997288831800934412022-03-05T08:36:07.224446.png</t>
  </si>
  <si>
    <t>ebd170fca84ccace94058e1c06ec65c906283726e3057ebd99ef5b0d955859d8</t>
  </si>
  <si>
    <t>2022-03-04T12:50:04+00:00</t>
  </si>
  <si>
    <t>https://t.me/suspilnenews/7037</t>
  </si>
  <si>
    <t>CIV0199</t>
  </si>
  <si>
    <t>RBK-500 air-dropped cluster munition remnant and multiple dud PTAB-1Ms in residential area. Reportedly an RBK 250 also recovered (source 3)</t>
  </si>
  <si>
    <t>UW1366</t>
  </si>
  <si>
    <t>https://bellingcat-archive.nyc3.cdn.digitaloceanspaces.com/Ukraine_Witness_Datasheet/Worksheet/telegram__suspilnenews_7037.html</t>
  </si>
  <si>
    <t>2022-03-05T08:36:27.434693+00:00</t>
  </si>
  <si>
    <t>https://bellingcat-archive.nyc3.cdn.digitaloceanspaces.com/Ukraine_Witness_Datasheet/Worksheet/telegram__suspilnenews_70372022-03-05T08:36:16.825034.png</t>
  </si>
  <si>
    <t>fc79fd8643fc36d15c5b1b57ee1f61a15595bb068b547afe926fa4af2ec6fb10</t>
  </si>
  <si>
    <t>2022-03-03T13:42:07+00:00</t>
  </si>
  <si>
    <t>https://www.ukrinform.es/rubric-ato/3419144-el-enemigo-dispara-contra-zatoka-en-la-region-de-odesa.html</t>
  </si>
  <si>
    <t>UW1367</t>
  </si>
  <si>
    <t>https://web.archive.org/web/20220305083633/https://www.ukrinform.es/rubric-ato/3419144-el-enemigo-dispara-contra-zatoka-en-la-region-de-odesa.html</t>
  </si>
  <si>
    <t>2022-03-05T08:37:28.924795+00:00</t>
  </si>
  <si>
    <t>https://bellingcat-archive.nyc3.cdn.digitaloceanspaces.com/Ukraine_Witness_Datasheet/Worksheet/wayback__rubric-ato_3419144-el-enemigo-dispara-contra-zatoka-en-la-region-de-odesa.html2022-03-05T08:37:09.967779.png</t>
  </si>
  <si>
    <t>https://www.facebook.com/DSNSODE/videos/287010830206212</t>
  </si>
  <si>
    <t>UW1368</t>
  </si>
  <si>
    <t>https://bellingcat-archive.nyc3.cdn.digitaloceanspaces.com/Ukraine_Witness_Datasheet/Worksheet/youtube_dl_287010830206212.mkv</t>
  </si>
  <si>
    <t>2022-03-05T08:37:50.777524+00:00</t>
  </si>
  <si>
    <t>https://bellingcat-archive.nyc3.cdn.digitaloceanspaces.com/Ukraine_Witness_Datasheet/Worksheet/youtube_dl__DSNSODE_videos_2870108302062122022-03-05T08:37:34.800896.png</t>
  </si>
  <si>
    <t>c7ee392dc164d8858427103e7b3429e4069e5adf7f495908faf5761291277c75</t>
  </si>
  <si>
    <t>https://bellingcat-archive.nyc3.cdn.digitaloceanspaces.com/Ukraine_Witness_Datasheet/Worksheet/youtube_dl_287010830206212/index.html</t>
  </si>
  <si>
    <t>4 березня групою піротехнічних робіт Аварійно-рятувального загону спецпризначення ГУ ДСНС в Одеській області на території с. Біленьке та смт Затока Білгород-Дністровського району вилучено та знищено протитанкові касетні елементи ПТАБ -1М (253 од.), 1 авіабомбу ОСАБ-250 та 1 авіабомбу ОСАБ-500 (залишки боєприпасів після авіаудару 3 березня) .</t>
  </si>
  <si>
    <t>2022-03-04T17:42:19+00:00</t>
  </si>
  <si>
    <t>https://www.facebook.com/DSNSODE/photos/7282992991743344</t>
  </si>
  <si>
    <t>UW1369</t>
  </si>
  <si>
    <t>https://web.archive.org/web/20220305083755/https://www.facebook.com/DSNSODE/photos/7282992991743344</t>
  </si>
  <si>
    <t>2022-03-05T08:38:11.907824+00:00</t>
  </si>
  <si>
    <t>https://bellingcat-archive.nyc3.cdn.digitaloceanspaces.com/Ukraine_Witness_Datasheet/Worksheet/wayback__DSNSODE_photos_72829929917433442022-03-05T08:38:03.653896.png</t>
  </si>
  <si>
    <t>https://www.facebook.com/DSNSODE/photos/7282992968410013</t>
  </si>
  <si>
    <t>UW1370</t>
  </si>
  <si>
    <t>https://web.archive.org/web/20220305083815/https://www.facebook.com/DSNSODE/photos/7282992968410013</t>
  </si>
  <si>
    <t>2022-03-05T08:38:31.270177+00:00</t>
  </si>
  <si>
    <t>https://bellingcat-archive.nyc3.cdn.digitaloceanspaces.com/Ukraine_Witness_Datasheet/Worksheet/wayback__DSNSODE_photos_72829929684100132022-03-05T08:38:23.553231.png</t>
  </si>
  <si>
    <t>t.me/mariupol/3562</t>
  </si>
  <si>
    <t>CIV0139</t>
  </si>
  <si>
    <t xml:space="preserve">Damaged civilian vehicles </t>
  </si>
  <si>
    <t>UW1371</t>
  </si>
  <si>
    <t>failed: no archiver</t>
  </si>
  <si>
    <t>t.me/milinfolive/77531</t>
  </si>
  <si>
    <t>Cluster strike on residential area near playground and school.</t>
  </si>
  <si>
    <t>UW1372</t>
  </si>
  <si>
    <t>https://www.facebook.com/mariupolrada.gov.ua/posts/3177453432580777?__cft__[0]=AZV1dXzA949shp6ZXL3vKIzOeAL5a-CdSeJZzxNWQgEWAmCNHJGT1hONw1oxLR6z6cbbpxDnP7ZpZfG8w1gce_aco-03ng1eFRp_GIPesUXeTlqsugNcUSxKBN8cSdptQNklGTWDOJy2B46-HqfrtUjS&amp;__tn__=%2CO%2CP-R</t>
  </si>
  <si>
    <t>UW1373</t>
  </si>
  <si>
    <t>https://web.archive.org/web/20220305084206/https://www.facebook.com/login/?next=https%3A%2F%2Fwww.facebook.com%2Fmariupolrada.gov.ua%2Fposts%2F3177453432580777%3F__cft__%255B0%255D%3DAZV1dXzA949shp6ZXL3vKIzOeAL5a-CdSeJZzxNWQgEWAmCNHJGT1hONw1oxLR6z6cbbpxDnP7ZpZfG8w1gce_aco-03ng1eFRp_GIPesUXeTlqsugNcUSxKBN8cSdptQNklGTWDOJy2B46-HqfrtUjS%26__tn__%3D%252CO%252CP-R</t>
  </si>
  <si>
    <t>2022-03-05T08:42:25.982066+00:00</t>
  </si>
  <si>
    <t>https://bellingcat-archive.nyc3.cdn.digitaloceanspaces.com/Ukraine_Witness_Datasheet/Worksheet/wayback__mariupolrada.gov.ua_posts_31774534325807772022-03-05T08:42:17.903502.png</t>
  </si>
  <si>
    <t>https://t.me/mariupol/3581</t>
  </si>
  <si>
    <t>UW1374</t>
  </si>
  <si>
    <t>https://bellingcat-archive.nyc3.cdn.digitaloceanspaces.com/Ukraine_Witness_Datasheet/Worksheet/telegram__mariupol_3581.html</t>
  </si>
  <si>
    <t>2022-03-05T08:42:40.840598+00:00</t>
  </si>
  <si>
    <t>https://bellingcat-archive.nyc3.cdn.digitaloceanspaces.com/Ukraine_Witness_Datasheet/Worksheet/telegram__mariupol_35812022-03-05T08:42:26.712681.png</t>
  </si>
  <si>
    <t>da38683c76d96d5823a435e675c340b29b7c6f996bec18e1d546cfdca074b319</t>
  </si>
  <si>
    <t>2022-03-01T18:31:07+00:00</t>
  </si>
  <si>
    <t>https://t.me/vorposte/14610</t>
  </si>
  <si>
    <t>UW1375</t>
  </si>
  <si>
    <t>https://bellingcat-archive.nyc3.cdn.digitaloceanspaces.com/Ukraine_Witness_Datasheet/Worksheet/telegram__vorposte_14610.html</t>
  </si>
  <si>
    <t>2022-03-05T08:42:56.055132+00:00</t>
  </si>
  <si>
    <t>https://bellingcat-archive.nyc3.cdn.digitaloceanspaces.com/Ukraine_Witness_Datasheet/Worksheet/telegram__vorposte_146102022-03-05T08:42:41.654863.png</t>
  </si>
  <si>
    <t>4f5bc49ca374f2a8acba92cbeadcbc426a92da60b4efcc6a35e00ca03681a4ea</t>
  </si>
  <si>
    <t>2022-03-01T17:48:34+00:00</t>
  </si>
  <si>
    <t>Jake G.</t>
  </si>
  <si>
    <t>47.110111</t>
  </si>
  <si>
    <t>37.553005</t>
  </si>
  <si>
    <t>https://www.facebook.com/mariupolrada.gov.ua/posts/3178160222510098?__cft__[0]=AZX34Suv1_eEJhZ5zBCzCLbwSfj1EKFB3UYysiUe2LQvzrVgzh-9lRiJzeg4TuYnrseq6l2AXbaI49_2Vb1HrScyPoeorvoFEMteh3ZQ8yFfBBAfB2E4asnmydzFqZvCuJ4bOORVbdF4SpUYtdQ6m5pq&amp;__tn__=%2CO%2CP-R</t>
  </si>
  <si>
    <t>UW1376</t>
  </si>
  <si>
    <t>https://web.archive.org/web/20220305084300/https://www.facebook.com/login/?next=https%3A%2F%2Fwww.facebook.com%2Fmariupolrada.gov.ua%2Fposts%2F3178160222510098%3F__cft__%255B0%255D%3DAZX34Suv1_eEJhZ5zBCzCLbwSfj1EKFB3UYysiUe2LQvzrVgzh-9lRiJzeg4TuYnrseq6l2AXbaI49_2Vb1HrScyPoeorvoFEMteh3ZQ8yFfBBAfB2E4asnmydzFqZvCuJ4bOORVbdF4SpUYtdQ6m5pq%26__tn__%3D%252CO%252CP-R</t>
  </si>
  <si>
    <t>2022-03-05T08:43:13.941336+00:00</t>
  </si>
  <si>
    <t>https://bellingcat-archive.nyc3.cdn.digitaloceanspaces.com/Ukraine_Witness_Datasheet/Worksheet/wayback__mariupolrada.gov.ua_posts_31781602225100982022-03-05T08:43:06.027711.png</t>
  </si>
  <si>
    <t>https://twitter.com/SputnikATO/status/1497834319569633283</t>
  </si>
  <si>
    <t>Artillery firing from residential area.</t>
  </si>
  <si>
    <t>UW1377</t>
  </si>
  <si>
    <t>https://web.archive.org/web/20220305083608/https://twitter.com/SputnikATO/status/1497834319569633283</t>
  </si>
  <si>
    <t>2022-03-05T08:45:48.445497+00:00</t>
  </si>
  <si>
    <t>https://bellingcat-archive.nyc3.cdn.digitaloceanspaces.com/Ukraine_Witness_Datasheet/Worksheet/wayback__SputnikATO_status_14978343195696332832022-03-05T08:45:40.483474.png</t>
  </si>
  <si>
    <t>Twitter / ?</t>
  </si>
  <si>
    <t>https://t.me/voynareal/10908</t>
  </si>
  <si>
    <t xml:space="preserve">Artillery strike on Kharkiv. Multiple civillian casualties. Possibly Горизонт. </t>
  </si>
  <si>
    <t>UW1378</t>
  </si>
  <si>
    <t>https://bellingcat-archive.nyc3.cdn.digitaloceanspaces.com/Ukraine_Witness_Datasheet/Worksheet/telegram_3b85770531.mp4</t>
  </si>
  <si>
    <t>2022-03-05T08:47:27.359329+00:00</t>
  </si>
  <si>
    <t>https://bellingcat-archive.nyc3.cdn.digitaloceanspaces.com/Ukraine_Witness_Datasheet/Worksheet/telegram__voynareal_109082022-03-05T08:45:49.242550.png</t>
  </si>
  <si>
    <t>https://bellingcat-archive.nyc3.cdn.digitaloceanspaces.com/Ukraine_Witness_Datasheet/Worksheet/telegram_3b85770531/index.html</t>
  </si>
  <si>
    <t>2022-02-28T11:34:09+00:00</t>
  </si>
  <si>
    <t>https://twitter.com/RFERL/status/1499494506344890374?s=20&amp;t=iVneCtdYzEzJRq-k1MiNoA</t>
  </si>
  <si>
    <t>Civilians and dogs killed in shooting incident in vehicle outside Ivankiv. Second source includes shooting itself.</t>
  </si>
  <si>
    <t>UW1379</t>
  </si>
  <si>
    <t>https://bellingcat-archive.nyc3.cdn.digitaloceanspaces.com/Ukraine_Witness_Datasheet/Worksheet/youtube_dl_1499494506344890374.mp4</t>
  </si>
  <si>
    <t>2022-03-05T08:47:49.071023+00:00</t>
  </si>
  <si>
    <t>https://bellingcat-archive.nyc3.cdn.digitaloceanspaces.com/Ukraine_Witness_Datasheet/Worksheet/youtube_dl__RFERL_status_14994945063448903742022-03-05T08:47:30.126556.png</t>
  </si>
  <si>
    <t>09a1104cb1968b26e55485f552c1cc7b4943fdf773f0876131f532b24ba897ff</t>
  </si>
  <si>
    <t>https://bellingcat-archive.nyc3.cdn.digitaloceanspaces.com/Ukraine_Witness_Datasheet/Worksheet/youtube_dl_1499494506344890374/index.html</t>
  </si>
  <si>
    <t>Radio Free Europe/Radio Liberty - Dad, please don't die!': A harrowing video has emerged from Ukraine that captures a deadly Russian attack on a father and son attempting to evacuate from the town of Ivankiv in the Kyiv region.</t>
  </si>
  <si>
    <t>2022-03-03T21:18:44+00:00</t>
  </si>
  <si>
    <t>https://www.facebook.com/permalink.php?story_fbid=488704459506573&amp;id=100051010689288</t>
  </si>
  <si>
    <t>Civilian fatality from artillery inside residential home.</t>
  </si>
  <si>
    <t>UW1380</t>
  </si>
  <si>
    <t>https://web.archive.org/web/20220305084832/https://www.facebook.com/login/?next=https%3A%2F%2Fwww.facebook.com%2Fpermalink.php%3Fstory_fbid%3D488704459506573%26id%3D100051010689288</t>
  </si>
  <si>
    <t>2022-03-05T08:49:30.457320+00:00</t>
  </si>
  <si>
    <t>https://bellingcat-archive.nyc3.cdn.digitaloceanspaces.com/Ukraine_Witness_Datasheet/Worksheet/wayback__permalink.php2022-03-05T08:49:22.110304.png</t>
  </si>
  <si>
    <t>https://twitter.com/BNONews/status/1498560544931987466</t>
  </si>
  <si>
    <t>Destruction of the inside and outside of the Kharkiv Regional State Administration</t>
  </si>
  <si>
    <t>Beginning of video shows surrounding area.</t>
  </si>
  <si>
    <t>UW1381</t>
  </si>
  <si>
    <t>Hmmm</t>
  </si>
  <si>
    <t>filmed from home (well russians bomb the house so i dont really see what privacy or not will make of a difference here :/...)</t>
  </si>
  <si>
    <t>https://bellingcat-archive.nyc3.cdn.digitaloceanspaces.com/Ukraine_Witness_Datasheet/Worksheet/youtube_dl_1498560544931987466.mp4</t>
  </si>
  <si>
    <t>2022-03-05T08:49:45.398543+00:00</t>
  </si>
  <si>
    <t>https://bellingcat-archive.nyc3.cdn.digitaloceanspaces.com/Ukraine_Witness_Datasheet/Worksheet/youtube_dl__BNONews_status_14985605449319874662022-03-05T08:49:32.852126.png</t>
  </si>
  <si>
    <t>ecd51dc3c127bdbb8a41f54d66444fb4a245322daedd7e623f2b73852df8560b</t>
  </si>
  <si>
    <t>https://bellingcat-archive.nyc3.cdn.digitaloceanspaces.com/Ukraine_Witness_Datasheet/Worksheet/youtube_dl_1498560544931987466/index.html</t>
  </si>
  <si>
    <t>BNO News - WATCH: Significant damage after Kharkiv government headquarters in eastern Ukraine is hit by missile</t>
  </si>
  <si>
    <t>2022-03-01T07:27:30+00:00</t>
  </si>
  <si>
    <t>50.004</t>
  </si>
  <si>
    <t>36.23609</t>
  </si>
  <si>
    <t>https://twitter.com/KevinRothrock/status/1498577232272441345?t=m2_hq0I_D8jWtbS_fCa9qQ&amp;s=19</t>
  </si>
  <si>
    <t>UW1382</t>
  </si>
  <si>
    <t>https://bellingcat-archive.nyc3.cdn.digitaloceanspaces.com/Ukraine_Witness_Datasheet/Worksheet/youtube_dl_3151539225101332.mkv</t>
  </si>
  <si>
    <t>2022-03-05T08:50:02.039573+00:00</t>
  </si>
  <si>
    <t>https://bellingcat-archive.nyc3.cdn.digitaloceanspaces.com/Ukraine_Witness_Datasheet/Worksheet/youtube_dl__KevinRothrock_status_14985772322724413452022-03-05T08:49:50.458550.png</t>
  </si>
  <si>
    <t>b4a2dea3f316ddfbf8c1f03921638bade2b6ba9c8748289cbb9182312138660d</t>
  </si>
  <si>
    <t>https://bellingcat-archive.nyc3.cdn.digitaloceanspaces.com/Ukraine_Witness_Datasheet/Worksheet/youtube_dl_3151539225101332/index.html</t>
  </si>
  <si>
    <t>Facebook video #3151539225101332</t>
  </si>
  <si>
    <t>2022-03-01T07:56:27+00:00</t>
  </si>
  <si>
    <t>https://twitter.com/markmackinnon/status/1498629146615816197?s=20&amp;t=l4pmXCdLhimD0FXCeAqsDA</t>
  </si>
  <si>
    <t>Missile strike hits city administration, theater buildings.</t>
  </si>
  <si>
    <t>UW1383</t>
  </si>
  <si>
    <t>https://web.archive.org/web/20220305085039/https://twitter.com/markmackinnon/status/1498629146615816197?s=20&amp;t=l4pmXCdLhimD0FXCeAqsDA</t>
  </si>
  <si>
    <t>2022-03-05T08:51:03.817692+00:00</t>
  </si>
  <si>
    <t>https://bellingcat-archive.nyc3.cdn.digitaloceanspaces.com/Ukraine_Witness_Datasheet/Worksheet/wayback__markmackinnon_status_14986291466158161972022-03-05T08:50:54.777671.png</t>
  </si>
  <si>
    <t>https://www.facebook.com/photo/?fbid=323872019780694&amp;set=pcb.323872166447346</t>
  </si>
  <si>
    <t>Photo of a damaged vehicle and government building</t>
  </si>
  <si>
    <t>Visible the  3 darker brown door frames and big columns of the Kharkiv Regional State Administration front entrance.</t>
  </si>
  <si>
    <t>UW1384</t>
  </si>
  <si>
    <t>https://web.archive.org/web/20220305085138/https://www.facebook.com/photo/?fbid=323872019780694&amp;set=pcb.323872166447346</t>
  </si>
  <si>
    <t>2022-03-05T08:51:54.838542+00:00</t>
  </si>
  <si>
    <t>https://bellingcat-archive.nyc3.cdn.digitaloceanspaces.com/Ukraine_Witness_Datasheet/Worksheet/wayback__photo_2022-03-05T08:51:47.078427.png</t>
  </si>
  <si>
    <t>https://www.facebook.com/100064736946785/videos/pcb.323872166447346/301724298728303</t>
  </si>
  <si>
    <t>Destruction of the Kharkiv Regional State Administration</t>
  </si>
  <si>
    <t>At the beginning of the video it's visible the distict entrance to the building (big institute) next to it.</t>
  </si>
  <si>
    <t>UW1385</t>
  </si>
  <si>
    <t>https://web.archive.org/web/20220305085218/https://www.facebook.com/100064736946785/videos/pcb.323872166447346/301724298728303</t>
  </si>
  <si>
    <t>2022-03-05T08:52:35.042622+00:00</t>
  </si>
  <si>
    <t>https://bellingcat-archive.nyc3.cdn.digitaloceanspaces.com/Ukraine_Witness_Datasheet/Worksheet/wayback__100064736946785_videos_pcb.323872166447346_3017242987283032022-03-05T08:52:27.219869.png</t>
  </si>
  <si>
    <t>https://www.facebook.com/100064736946785/videos/pcb.323872166447346/3151539225101332</t>
  </si>
  <si>
    <t>Video showing a person being taken down the stairs in a destroyed building</t>
  </si>
  <si>
    <t>In a youtube video you can see firefigthers taking a person down the same stairs (https://www.youtube.com/watch?v=u8JJ0FD4sv0). It's a different set of people but the shape, texture and overall look of the stairs match. The title of the video and rest of the content confirm that it was recorded in the Kharkiv regional state administration</t>
  </si>
  <si>
    <t>UW1386</t>
  </si>
  <si>
    <t>2022-03-05T08:52:53.386097+00:00</t>
  </si>
  <si>
    <t>https://bellingcat-archive.nyc3.cdn.digitaloceanspaces.com/Ukraine_Witness_Datasheet/Worksheet/youtube_dl__100064736946785_videos_pcb.323872166447346_31515392251013322022-03-05T08:52:40.858964.png</t>
  </si>
  <si>
    <t>2ffa55701021595a15b2910193fd5994fe99c27bd01f27b991bb31247f7e85ca</t>
  </si>
  <si>
    <t>https://www.facebook.com/photo/?fbid=323872056447357&amp;set=pcb.323872166447346</t>
  </si>
  <si>
    <t>Photo of the destruction of a civilian infrastructure</t>
  </si>
  <si>
    <t>Visible the distinctive door of the Institute for design of enterprises, next to the Kharkiv Regional State Administration</t>
  </si>
  <si>
    <t>UW1387</t>
  </si>
  <si>
    <t>https://web.archive.org/web/20220305085328/https://www.facebook.com/photo/?fbid=323872056447357&amp;set=pcb.323872166447346</t>
  </si>
  <si>
    <t>2022-03-05T08:53:47.814566+00:00</t>
  </si>
  <si>
    <t>https://bellingcat-archive.nyc3.cdn.digitaloceanspaces.com/Ukraine_Witness_Datasheet/Worksheet/wayback__photo_2022-03-05T08:53:40.049897.png</t>
  </si>
  <si>
    <t>https://www.facebook.com/100064736946785/videos/pcb.323872166447346/694009415075055</t>
  </si>
  <si>
    <t>Video of the destruction of civilian infrastructure</t>
  </si>
  <si>
    <t>Video of the same area as done above.</t>
  </si>
  <si>
    <t>UW1388</t>
  </si>
  <si>
    <t>https://bellingcat-archive.nyc3.cdn.digitaloceanspaces.com/Ukraine_Witness_Datasheet/Worksheet/youtube_dl_694009415075055.mkv</t>
  </si>
  <si>
    <t>2022-03-05T08:54:02.453352+00:00</t>
  </si>
  <si>
    <t>https://bellingcat-archive.nyc3.cdn.digitaloceanspaces.com/Ukraine_Witness_Datasheet/Worksheet/youtube_dl__100064736946785_videos_pcb.323872166447346_6940094150750552022-03-05T08:53:51.446516.png</t>
  </si>
  <si>
    <t>fb73784434db345a402ee6e22613bbb4960033646d1c2720c6f9785e7d6a269f</t>
  </si>
  <si>
    <t>https://bellingcat-archive.nyc3.cdn.digitaloceanspaces.com/Ukraine_Witness_Datasheet/Worksheet/youtube_dl_694009415075055/index.html</t>
  </si>
  <si>
    <t>Facebook video #694009415075055</t>
  </si>
  <si>
    <t>https://www.facebook.com/100064736946785/videos/pcb.323872166447346/720735669307600</t>
  </si>
  <si>
    <t>UW1389</t>
  </si>
  <si>
    <t>https://bellingcat-archive.nyc3.cdn.digitaloceanspaces.com/Ukraine_Witness_Datasheet/Worksheet/youtube_dl_720735669307600.mkv</t>
  </si>
  <si>
    <t>2022-03-05T08:54:15.871393+00:00</t>
  </si>
  <si>
    <t>https://bellingcat-archive.nyc3.cdn.digitaloceanspaces.com/Ukraine_Witness_Datasheet/Worksheet/youtube_dl__100064736946785_videos_pcb.323872166447346_7207356693076002022-03-05T08:54:05.493960.png</t>
  </si>
  <si>
    <t>bb594f4e705c5f8093e6b5eee23586656282540b9d971a0d94397beb0652cf75</t>
  </si>
  <si>
    <t>https://bellingcat-archive.nyc3.cdn.digitaloceanspaces.com/Ukraine_Witness_Datasheet/Worksheet/youtube_dl_720735669307600/index.html</t>
  </si>
  <si>
    <t>Facebook video #720735669307600</t>
  </si>
  <si>
    <t>https://www.facebook.com/photo?fbid=323871956447367&amp;set=pcb.323872166447346</t>
  </si>
  <si>
    <t>UW1390</t>
  </si>
  <si>
    <t>https://web.archive.org/web/20220305085419/https://www.facebook.com/photo?fbid=323871956447367&amp;set=pcb.323872166447346</t>
  </si>
  <si>
    <t>2022-03-05T08:54:34.926395+00:00</t>
  </si>
  <si>
    <t>https://bellingcat-archive.nyc3.cdn.digitaloceanspaces.com/Ukraine_Witness_Datasheet/Worksheet/wayback__photo2022-03-05T08:54:27.448035.png</t>
  </si>
  <si>
    <t>https://www.facebook.com/photo?fbid=323871983114031&amp;set=pcb.323872166447346</t>
  </si>
  <si>
    <t>UW1391</t>
  </si>
  <si>
    <t>https://web.archive.org/web/20220305085446/https://www.facebook.com/photo?fbid=323871983114031&amp;set=pcb.323872166447346</t>
  </si>
  <si>
    <t>2022-03-05T08:55:01.267390+00:00</t>
  </si>
  <si>
    <t>https://bellingcat-archive.nyc3.cdn.digitaloceanspaces.com/Ukraine_Witness_Datasheet/Worksheet/wayback__photo2022-03-05T08:54:53.723542.png</t>
  </si>
  <si>
    <t>https://twitter.com/grimcultzero/status/1498549712869371906</t>
  </si>
  <si>
    <t>Video of damaged civilian infrastructure in Kharkiv</t>
  </si>
  <si>
    <t>Video similar to the ones above. Visible the Kharkiv Regional State Administration on the left.</t>
  </si>
  <si>
    <t>UW1392</t>
  </si>
  <si>
    <t>https://bellingcat-archive.nyc3.cdn.digitaloceanspaces.com/Ukraine_Witness_Datasheet/Worksheet/youtube_dl_1498549712869371906.mp4</t>
  </si>
  <si>
    <t>2022-03-05T08:55:16.753725+00:00</t>
  </si>
  <si>
    <t>https://bellingcat-archive.nyc3.cdn.digitaloceanspaces.com/Ukraine_Witness_Datasheet/Worksheet/youtube_dl__grimcultzero_status_14985497128693719062022-03-05T08:55:04.089295.png</t>
  </si>
  <si>
    <t>084ee73a3c30745e5d147dfeb24867f472dc836f5803aa5bb7c034604510aca7</t>
  </si>
  <si>
    <t>https://bellingcat-archive.nyc3.cdn.digitaloceanspaces.com/Ukraine_Witness_Datasheet/Worksheet/youtube_dl_1498549712869371906/index.html</t>
  </si>
  <si>
    <t>DZENGA - They realized, that they cannot fight us. They decided to wipe us from the face of the earth with bombs. Cowards. They are not humans</t>
  </si>
  <si>
    <t>2022-03-01T06:44:27+00:00</t>
  </si>
  <si>
    <t>https://twitter.com/maria_avdv/status/1498544825062375434</t>
  </si>
  <si>
    <t>UW1393</t>
  </si>
  <si>
    <t>https://bellingcat-archive.nyc3.cdn.digitaloceanspaces.com/Ukraine_Witness_Datasheet/Worksheet/youtube_dl_1498544825062375434.mp4</t>
  </si>
  <si>
    <t>2022-03-05T08:55:30.574631+00:00</t>
  </si>
  <si>
    <t>https://bellingcat-archive.nyc3.cdn.digitaloceanspaces.com/Ukraine_Witness_Datasheet/Worksheet/youtube_dl__maria_avdv_status_14985448250623754342022-03-05T08:55:18.952526.png</t>
  </si>
  <si>
    <t>b7ace0eac55a2781db06706b7c5aa999489b5de3c511d7d5febe3b235369d7e6</t>
  </si>
  <si>
    <t>https://bellingcat-archive.nyc3.cdn.digitaloceanspaces.com/Ukraine_Witness_Datasheet/Worksheet/youtube_dl_1498544825062375434/index.html</t>
  </si>
  <si>
    <t>Maria Avdeeva - Missile attack on the Kharkiv regional administration, Sumska 64. Grad shelling at residential areas. Putin now in total war with Ukraine.</t>
  </si>
  <si>
    <t>2022-03-01T06:25:02+00:00</t>
  </si>
  <si>
    <t>https://twitter.com/aldin_ww/status/1498605869755510786</t>
  </si>
  <si>
    <t>Similar video to the ones above, this time from Svobody Street.</t>
  </si>
  <si>
    <t>UW1394</t>
  </si>
  <si>
    <t>https://bellingcat-archive.nyc3.cdn.digitaloceanspaces.com/Ukraine_Witness_Datasheet/Worksheet/youtube_dl_1498605869755510786.mp4</t>
  </si>
  <si>
    <t>2022-03-05T08:55:44.570029+00:00</t>
  </si>
  <si>
    <t>https://bellingcat-archive.nyc3.cdn.digitaloceanspaces.com/Ukraine_Witness_Datasheet/Worksheet/youtube_dl__aldin_ww_status_14986058697555107862022-03-05T08:55:33.034640.png</t>
  </si>
  <si>
    <t>36084b6a30db4f286d6414d0e98b4903cf882fae8a3796656c33156e9b85e529</t>
  </si>
  <si>
    <t>https://bellingcat-archive.nyc3.cdn.digitaloceanspaces.com/Ukraine_Witness_Datasheet/Worksheet/youtube_dl_1498605869755510786/index.html</t>
  </si>
  <si>
    <t>Aldin 🇧🇦 - More footage from Kharkiv Regional Administration building after a Russian strike this morning.</t>
  </si>
  <si>
    <t>2022-03-01T10:27:36+00:00</t>
  </si>
  <si>
    <t>https://twitter.com/loogunda/status/1498603231202664449</t>
  </si>
  <si>
    <t>UW1395</t>
  </si>
  <si>
    <t>https://bellingcat-archive.nyc3.cdn.digitaloceanspaces.com/Ukraine_Witness_Datasheet/Worksheet/youtube_dl_1498603231202664449.mp4</t>
  </si>
  <si>
    <t>2022-03-05T08:55:58.563822+00:00</t>
  </si>
  <si>
    <t>https://bellingcat-archive.nyc3.cdn.digitaloceanspaces.com/Ukraine_Witness_Datasheet/Worksheet/youtube_dl__loogunda_status_14986032312026644492022-03-05T08:55:46.745386.png</t>
  </si>
  <si>
    <t>647ae9ddaac86c1c0191ddbf01dbf9dcab7166744941a6af987953a6ffe2c4bc</t>
  </si>
  <si>
    <t>https://bellingcat-archive.nyc3.cdn.digitaloceanspaces.com/Ukraine_Witness_Datasheet/Worksheet/youtube_dl_1498603231202664449/index.html</t>
  </si>
  <si>
    <t>English Luhansk - Kharkiv: The  moment of the strike on Ploshcha Svobody (Freedom Sq) - reportedly MLRS, but might be a missile</t>
  </si>
  <si>
    <t>2022-03-01T10:17:07+00:00</t>
  </si>
  <si>
    <t>https://twitter.com/EremNews/status/1498607642037858304?s=20&amp;t=hcr1ApTHUaDPWdhndnjZLA</t>
  </si>
  <si>
    <t>Video similar to the ones above. Visible the Kharkiv Regional State Administration in front.</t>
  </si>
  <si>
    <t>UW1396</t>
  </si>
  <si>
    <t>https://bellingcat-archive.nyc3.cdn.digitaloceanspaces.com/Ukraine_Witness_Datasheet/Worksheet/youtube_dl_1498607642037858304.mp4</t>
  </si>
  <si>
    <t>2022-03-05T08:56:27.371412+00:00</t>
  </si>
  <si>
    <t>https://bellingcat-archive.nyc3.cdn.digitaloceanspaces.com/Ukraine_Witness_Datasheet/Worksheet/youtube_dl__EremNews_status_14986076420378583042022-03-05T08:56:11.349410.png</t>
  </si>
  <si>
    <t>fd3086fb702f3a40b808754c11d7ddf371acdab3c52f47348d1d696c963e4974</t>
  </si>
  <si>
    <t>https://bellingcat-archive.nyc3.cdn.digitaloceanspaces.com/Ukraine_Witness_Datasheet/Worksheet/youtube_dl_1498607642037858304/index.html</t>
  </si>
  <si>
    <t>إرم نيوز - مشاهد لآثار الدمار جراء ما قيل إنه قصف صاروخي روسي على وسط مدينة #خاركيف  #إرم_نيوز #أوكرانيا #روسيا #Ukraine #Russia #Kharkiv #UkraineRussiaWar</t>
  </si>
  <si>
    <t>2022-03-01T10:34:39+00:00</t>
  </si>
  <si>
    <t>https://t.me/milinfolive/77533</t>
  </si>
  <si>
    <t>Missile remnant damages roof of civilian house.</t>
  </si>
  <si>
    <t>UW1397</t>
  </si>
  <si>
    <t>https://bellingcat-archive.nyc3.cdn.digitaloceanspaces.com/Ukraine_Witness_Datasheet/Worksheet/telegram__milinfolive_77533.html</t>
  </si>
  <si>
    <t>2022-03-05T08:56:37.413527+00:00</t>
  </si>
  <si>
    <t>https://bellingcat-archive.nyc3.cdn.digitaloceanspaces.com/Ukraine_Witness_Datasheet/Worksheet/telegram__milinfolive_775332022-03-05T08:56:28.042116.png</t>
  </si>
  <si>
    <t>93312a309d8d82c6296ee8230444c8a359d87c85e1af112a7d79dfdf4499ec46</t>
  </si>
  <si>
    <t>2022-03-01T14:44:40+00:00</t>
  </si>
  <si>
    <t>DUPLICATE</t>
  </si>
  <si>
    <t>https://twitter.com/Elisonext/status/1498654294807035905</t>
  </si>
  <si>
    <t>CIV0130</t>
  </si>
  <si>
    <t>Video of Russian troops allegedly stealing from the nearby shopping mall.</t>
  </si>
  <si>
    <t>Coordinates from where the video was likely recorded. Visible the road, roudabout and the shopping mal with bright red colour.</t>
  </si>
  <si>
    <t>UW1398</t>
  </si>
  <si>
    <t>https://bellingcat-archive.nyc3.cdn.digitaloceanspaces.com/Ukraine_Witness_Datasheet/Worksheet/youtube_dl_1498654294807035905.mp4</t>
  </si>
  <si>
    <t>2022-03-05T08:56:51.531423+00:00</t>
  </si>
  <si>
    <t>https://bellingcat-archive.nyc3.cdn.digitaloceanspaces.com/Ukraine_Witness_Datasheet/Worksheet/youtube_dl__Elisonext_status_14986542948070359052022-03-05T08:56:40.099534.png</t>
  </si>
  <si>
    <t>d661b6f189bf04b20775597a36e0d95a7d785e29f99524abc7731ec6fc203db2</t>
  </si>
  <si>
    <t>https://bellingcat-archive.nyc3.cdn.digitaloceanspaces.com/Ukraine_Witness_Datasheet/Worksheet/youtube_dl_1498654294807035905/index.html</t>
  </si>
  <si>
    <t>Elisonext - Окупанты грабят торговый центр "Европорт". Херсон</t>
  </si>
  <si>
    <t>2022-03-01T13:40:02+00:00</t>
  </si>
  <si>
    <t>https://twitter.com/EMaloletka/status/1497988226711273476</t>
  </si>
  <si>
    <t>Deceased child. Blood.</t>
  </si>
  <si>
    <t>UW1399</t>
  </si>
  <si>
    <t>https://bellingcat-archive.nyc3.cdn.digitaloceanspaces.com/Ukraine_Witness_Datasheet/Worksheet/twitter__EMaloletka_status_1497988226711273476.html</t>
  </si>
  <si>
    <t>2022-03-05T08:57:02.596030+00:00</t>
  </si>
  <si>
    <t>https://bellingcat-archive.nyc3.cdn.digitaloceanspaces.com/Ukraine_Witness_Datasheet/Worksheet/twitter__EMaloletka_status_14979882267112734762022-03-05T08:56:53.857864.png</t>
  </si>
  <si>
    <t>a484e9a173a3f8703f2a2f0ece509457bf87f6da7cf2561f537c17b823172ac4</t>
  </si>
  <si>
    <t>2022-02-27T17:33:19+00:00</t>
  </si>
  <si>
    <t>https://twitter.com/UkraineWhat/status/1499051939333644300?s=20&amp;t=hfCOP-19SL9bQPnhci0LXw</t>
  </si>
  <si>
    <t>Deceased person. Blood</t>
  </si>
  <si>
    <t>UW1400</t>
  </si>
  <si>
    <t>2022-03-05T08:57:16.955489+00:00</t>
  </si>
  <si>
    <t>https://bellingcat-archive.nyc3.cdn.digitaloceanspaces.com/Ukraine_Witness_Datasheet/Worksheet/youtube_dl__UkraineWhat_status_14990519393336443002022-03-05T08:57:04.104892.png</t>
  </si>
  <si>
    <t>50.02616176</t>
  </si>
  <si>
    <t>36.25862712</t>
  </si>
  <si>
    <t>https://t.me/hueviykharkov/47292</t>
  </si>
  <si>
    <t>CIV0135</t>
  </si>
  <si>
    <t xml:space="preserve">Damage to hospital and other civilian structures.  Building located in the Kharkiv State Aircraft Manufacturing Company complex. Most likely not a hospital. Entrance to nearby undergroung entrance also damaged. Can't confirm casualties. </t>
  </si>
  <si>
    <t>UW1401</t>
  </si>
  <si>
    <t>https://bellingcat-archive.nyc3.cdn.digitaloceanspaces.com/Ukraine_Witness_Datasheet/Worksheet/telegram_b545e1b819.mp4</t>
  </si>
  <si>
    <t>2022-03-05T08:57:58.568513+00:00</t>
  </si>
  <si>
    <t>https://bellingcat-archive.nyc3.cdn.digitaloceanspaces.com/Ukraine_Witness_Datasheet/Worksheet/telegram__hueviykharkov_472922022-03-05T08:57:17.622757.png</t>
  </si>
  <si>
    <t>e7670669e6243289880bea90ced9b8e620abb7138480a84927bc44c36b59b146</t>
  </si>
  <si>
    <t>https://bellingcat-archive.nyc3.cdn.digitaloceanspaces.com/Ukraine_Witness_Datasheet/Worksheet/telegram_b545e1b819/index.html</t>
  </si>
  <si>
    <t>2022-03-01T14:47:27+00:00</t>
  </si>
  <si>
    <t>https://www.youtube.com/watch?app=desktop&amp;v=hVgp4yrUIJw</t>
  </si>
  <si>
    <t>CIV0138</t>
  </si>
  <si>
    <t>Russian tank shooting towards residential building</t>
  </si>
  <si>
    <t>Coordinates are of where the video was recorded. Found a drone view of the city (https://www.youtube.com/watch?v=Aie4fozygug). On time 2:36 you can see the blue roof building and the red roof (pointy) building. On 3:10 it's approaching the area where the video was recorded. Coordinates of where the tank was at the time of the video: 50.64508, 29.93821</t>
  </si>
  <si>
    <t>UW1402</t>
  </si>
  <si>
    <t>https://bellingcat-archive.nyc3.cdn.digitaloceanspaces.com/Ukraine_Witness_Datasheet/Worksheet/youtube_dl_hVgp4yrUIJw.webm</t>
  </si>
  <si>
    <t>2022-03-05T09:00:30.597334+00:00</t>
  </si>
  <si>
    <t>https://bellingcat-archive.nyc3.cdn.digitaloceanspaces.com/Ukraine_Witness_Datasheet/Worksheet/youtube_dl__watch2022-03-05T09:00:15.312412.png</t>
  </si>
  <si>
    <t>6685f3797bdd38b7b916fada73a6beac798fb23d8a13e220d2c3eae5fbca9968</t>
  </si>
  <si>
    <t>https://bellingcat-archive.nyc3.cdn.digitaloceanspaces.com/Ukraine_Witness_Datasheet/Worksheet/youtube_dl_hVgp4yrUIJw/index.html</t>
  </si>
  <si>
    <t>Окупанти не припиняють обстріли: у Бородянці потужний вибух</t>
  </si>
  <si>
    <t>50.64195834</t>
  </si>
  <si>
    <t>29.92848437</t>
  </si>
  <si>
    <t>https://twitter.com/ELINTNews/status/1498702380271083520</t>
  </si>
  <si>
    <t>Tank opens fire on residential building.</t>
  </si>
  <si>
    <t>UW1403</t>
  </si>
  <si>
    <t>https://bellingcat-archive.nyc3.cdn.digitaloceanspaces.com/Ukraine_Witness_Datasheet/Worksheet/youtube_dl_1498702380271083520.mp4</t>
  </si>
  <si>
    <t>2022-03-05T09:00:50.653664+00:00</t>
  </si>
  <si>
    <t>https://bellingcat-archive.nyc3.cdn.digitaloceanspaces.com/Ukraine_Witness_Datasheet/Worksheet/youtube_dl__ELINTNews_status_14987023802710835202022-03-05T09:00:33.878114.png</t>
  </si>
  <si>
    <t>https://bellingcat-archive.nyc3.cdn.digitaloceanspaces.com/Ukraine_Witness_Datasheet/Worksheet/youtube_dl_1498702380271083520/index.html</t>
  </si>
  <si>
    <t>ELINT News - During battles in Borodianka a Russian tank seemingly targets a Ukrainian man filming, who appears fairly unfazed</t>
  </si>
  <si>
    <t>2022-03-01T16:51:06+00:00</t>
  </si>
  <si>
    <t>https://twitter.com/RALee85/status/1498720233598734337?s=20&amp;t=MvVjkfxO22qslA-u9zpV_Q</t>
  </si>
  <si>
    <t>CIV0140</t>
  </si>
  <si>
    <t>Clear example of cluster munition strike at night.</t>
  </si>
  <si>
    <t>UW1404</t>
  </si>
  <si>
    <t>https://bellingcat-archive.nyc3.cdn.digitaloceanspaces.com/Ukraine_Witness_Datasheet/Worksheet/youtube_dl_1498720233598734337.mp4</t>
  </si>
  <si>
    <t>2022-03-05T09:01:07.815115+00:00</t>
  </si>
  <si>
    <t>https://bellingcat-archive.nyc3.cdn.digitaloceanspaces.com/Ukraine_Witness_Datasheet/Worksheet/youtube_dl__RALee85_status_14987202335987343372022-03-05T09:00:53.035591.png</t>
  </si>
  <si>
    <t>ad967d47bd03f6941f75b6ce12391831528c636080801b2840e34b739a7d3b1a</t>
  </si>
  <si>
    <t>https://bellingcat-archive.nyc3.cdn.digitaloceanspaces.com/Ukraine_Witness_Datasheet/Worksheet/youtube_dl_1498720233598734337/index.html</t>
  </si>
  <si>
    <t>Rob Lee - Kharkiv tonight. Looks like heavy MLRS fire possibly with cluster munitions.</t>
  </si>
  <si>
    <t>2022-03-01T18:02:03+00:00</t>
  </si>
  <si>
    <t>50.541962</t>
  </si>
  <si>
    <t>30.26439</t>
  </si>
  <si>
    <t>https://t.me/Tsaplienko/1543</t>
  </si>
  <si>
    <t>CIV0142</t>
  </si>
  <si>
    <t>Airstrike/artillery damage to residential area.</t>
  </si>
  <si>
    <t>UW1405</t>
  </si>
  <si>
    <t>https://bellingcat-archive.nyc3.cdn.digitaloceanspaces.com/Ukraine_Witness_Datasheet/Worksheet/telegram__Tsaplienko_1543.html</t>
  </si>
  <si>
    <t>2022-03-05T09:01:16.309399+00:00</t>
  </si>
  <si>
    <t>https://bellingcat-archive.nyc3.cdn.digitaloceanspaces.com/Ukraine_Witness_Datasheet/Worksheet/telegram__Tsaplienko_15432022-03-05T09:01:08.618118.png</t>
  </si>
  <si>
    <t>574209da854ea12440d23da4ad73493d70800a994ae0f145db55f93acdde9e68</t>
  </si>
  <si>
    <t>https://twitter.com/Den_2042/status/1498924276128305154?s=20&amp;t=Ttn1cbGQ2md02mL9Qkx6gA</t>
  </si>
  <si>
    <t>UW1406</t>
  </si>
  <si>
    <t>https://bellingcat-archive.nyc3.cdn.digitaloceanspaces.com/Ukraine_Witness_Datasheet/Worksheet/youtube_dl_1498924276128305154.mp4</t>
  </si>
  <si>
    <t>2022-03-05T09:01:31.374544+00:00</t>
  </si>
  <si>
    <t>https://bellingcat-archive.nyc3.cdn.digitaloceanspaces.com/Ukraine_Witness_Datasheet/Worksheet/youtube_dl__Den_2042_status_14989242761283051542022-03-05T09:01:18.640244.png</t>
  </si>
  <si>
    <t>31312ed39bdd6eb5796b743068ae453f160ea1f6c7ecb1b022d01c4f181202d0</t>
  </si>
  <si>
    <t>https://bellingcat-archive.nyc3.cdn.digitaloceanspaces.com/Ukraine_Witness_Datasheet/Worksheet/youtube_dl_1498924276128305154/index.html</t>
  </si>
  <si>
    <t>Denis Kazakiewicz - Irpin', northwest outskirts of Kyiv this morning after Russian strikes</t>
  </si>
  <si>
    <t>2022-03-02T07:32:50+00:00</t>
  </si>
  <si>
    <t>https://mil.in.ua/uk/news/rosiyany-bombarduvaly-kyyivskyj-teletsentr-suspilnogo-na-dorogozhychah/</t>
  </si>
  <si>
    <t>Article with videos and photos of the fire surrounding the Kyiv TV Centre Tower.</t>
  </si>
  <si>
    <t>Coordinates are of the tv tower visible in the videos in the article</t>
  </si>
  <si>
    <t>UW1407</t>
  </si>
  <si>
    <t>https://web.archive.org/web/20220305090139/https://mil.in.ua/uk/news/rosiyany-bombarduvaly-kyyivskyj-teletsentr-suspilnogo-na-dorogozhychah/</t>
  </si>
  <si>
    <t>2022-03-05T09:02:16.368402+00:00</t>
  </si>
  <si>
    <t>https://bellingcat-archive.nyc3.cdn.digitaloceanspaces.com/Ukraine_Witness_Datasheet/Worksheet/wayback__uk_news_rosiyany-bombarduvaly-kyyivskyj-teletsentr-suspilnogo-na-dorogozhychah_2022-03-05T09:02:06.198287.png</t>
  </si>
  <si>
    <t>E</t>
  </si>
  <si>
    <t>https://t.me/voyna_novost/17041</t>
  </si>
  <si>
    <t>UW1408</t>
  </si>
  <si>
    <t>https://bellingcat-archive.nyc3.cdn.digitaloceanspaces.com/Ukraine_Witness_Datasheet/Worksheet/telegram_fb9ddffa7c.mp4</t>
  </si>
  <si>
    <t>2022-03-05T09:02:33.876228+00:00</t>
  </si>
  <si>
    <t>https://bellingcat-archive.nyc3.cdn.digitaloceanspaces.com/Ukraine_Witness_Datasheet/Worksheet/telegram__voyna_novost_170412022-03-05T09:02:16.990583.png</t>
  </si>
  <si>
    <t>43c28ef2b156467e9b8d512e5ae4fc3f275ef134b7b11d6510b638eef2841caa</t>
  </si>
  <si>
    <t>https://bellingcat-archive.nyc3.cdn.digitaloceanspaces.com/Ukraine_Witness_Datasheet/Worksheet/telegram_fb9ddffa7c/index.html</t>
  </si>
  <si>
    <t>2022-03-01T15:20:22+00:00</t>
  </si>
  <si>
    <t>49.99929</t>
  </si>
  <si>
    <t>36.23671</t>
  </si>
  <si>
    <t>https://t.me/rivne_1283/2311</t>
  </si>
  <si>
    <t>UW1409</t>
  </si>
  <si>
    <t>https://bellingcat-archive.nyc3.cdn.digitaloceanspaces.com/Ukraine_Witness_Datasheet/Worksheet/telegram_1744a888fb.mp4</t>
  </si>
  <si>
    <t>2022-03-05T09:02:57.326240+00:00</t>
  </si>
  <si>
    <t>https://bellingcat-archive.nyc3.cdn.digitaloceanspaces.com/Ukraine_Witness_Datasheet/Worksheet/telegram__rivne_1283_23112022-03-05T09:02:34.561870.png</t>
  </si>
  <si>
    <t>de10f98432c6020399d1cbf078888ccb7926e67c0d665244f885a05dcb35e738</t>
  </si>
  <si>
    <t>https://bellingcat-archive.nyc3.cdn.digitaloceanspaces.com/Ukraine_Witness_Datasheet/Worksheet/telegram_1744a888fb/index.html</t>
  </si>
  <si>
    <t>2022-03-02T06:39:56+00:00</t>
  </si>
  <si>
    <t>https://t.me/truexanewsua/27456</t>
  </si>
  <si>
    <t>UW1410</t>
  </si>
  <si>
    <t>https://bellingcat-archive.nyc3.cdn.digitaloceanspaces.com/Ukraine_Witness_Datasheet/Worksheet/telegram__truexanewsua_27456.html</t>
  </si>
  <si>
    <t>2022-03-05T09:03:14.230677+00:00</t>
  </si>
  <si>
    <t>https://bellingcat-archive.nyc3.cdn.digitaloceanspaces.com/Ukraine_Witness_Datasheet/Worksheet/telegram__truexanewsua_274562022-03-05T09:02:57.998514.png</t>
  </si>
  <si>
    <t>a51e66a01901a913effa4c20a92f02fb7c06b08fed9b207c96ef0337dd40fdf8</t>
  </si>
  <si>
    <t>2022-03-02T07:30:23+00:00</t>
  </si>
  <si>
    <t>https://twitter.com/ELINTNews/status/1499375631653556224?s=20&amp;t=HMP9xE2tNdag1l4FJ9ZN0g</t>
  </si>
  <si>
    <t>Russian cruise missile strike in Kharkiv residential area</t>
  </si>
  <si>
    <t>Coordinates of where the missile might have hit. At the bottom of the video you can spot a mcdonalds. Used that to triangulate with the Church of the Holy Myrrh-Bearing Women visible on the left. Coordinates of where the video was probably recorded from: 49.99744780143528, 36.23959232112485</t>
  </si>
  <si>
    <t>UW1411</t>
  </si>
  <si>
    <t>https://bellingcat-archive.nyc3.cdn.digitaloceanspaces.com/Ukraine_Witness_Datasheet/Worksheet/youtube_dl_1499375631653556224.mp4</t>
  </si>
  <si>
    <t>2022-03-05T09:03:28.090093+00:00</t>
  </si>
  <si>
    <t>https://bellingcat-archive.nyc3.cdn.digitaloceanspaces.com/Ukraine_Witness_Datasheet/Worksheet/youtube_dl__ELINTNews_status_14993756316535562242022-03-05T09:03:16.430401.png</t>
  </si>
  <si>
    <t>e3baf21eca99e1df254a24d8dc16e68aba6beae65235e5b0eb3a9593e2a9acc5</t>
  </si>
  <si>
    <t>https://bellingcat-archive.nyc3.cdn.digitaloceanspaces.com/Ukraine_Witness_Datasheet/Worksheet/youtube_dl_1499375631653556224/index.html</t>
  </si>
  <si>
    <t>ELINT News - Video reportedly showing a Russian cruise missile strike (either Iskander-K or Kalibr) in Kharkiv</t>
  </si>
  <si>
    <t>2022-03-03T13:26:22+00:00</t>
  </si>
  <si>
    <t>https://twitter.com/DAlperovitch/status/1498917790845177859?s=20&amp;t=7MfqlqMPDmEAzllsrvkpOg</t>
  </si>
  <si>
    <t>Damage of university building</t>
  </si>
  <si>
    <t>The tweet shows the before and after, I just searched the exact coordinates.</t>
  </si>
  <si>
    <t>UW1412</t>
  </si>
  <si>
    <t>2022-03-05T09:03:42.241573+00:00</t>
  </si>
  <si>
    <t>https://bellingcat-archive.nyc3.cdn.digitaloceanspaces.com/Ukraine_Witness_Datasheet/Worksheet/youtube_dl__DAlperovitch_status_14989177908451778592022-03-05T09:03:29.880005.png</t>
  </si>
  <si>
    <t xml:space="preserve">https://t.me/uniannet/34161 </t>
  </si>
  <si>
    <t>UW1413</t>
  </si>
  <si>
    <t>https://bellingcat-archive.nyc3.cdn.digitaloceanspaces.com/Ukraine_Witness_Datasheet/Worksheet/telegram_f326895ad0.mp4</t>
  </si>
  <si>
    <t>2022-03-05T09:04:20.649518+00:00</t>
  </si>
  <si>
    <t>https://bellingcat-archive.nyc3.cdn.digitaloceanspaces.com/Ukraine_Witness_Datasheet/Worksheet/telegram__uniannet_34161 2022-03-05T09:03:42.873126.png</t>
  </si>
  <si>
    <t>90891a67d265049b73d71475ae53781dfaa8031291a5b6540063cde909c5773e</t>
  </si>
  <si>
    <t>https://bellingcat-archive.nyc3.cdn.digitaloceanspaces.com/Ukraine_Witness_Datasheet/Worksheet/telegram_f326895ad0/index.html</t>
  </si>
  <si>
    <t>2022-03-02T06:32:46+00:00</t>
  </si>
  <si>
    <t>https://twitter.com/maria_avdv/status/1498945600754274304?s=20&amp;t=mywWeVgKyNlqWBLmET-yRg</t>
  </si>
  <si>
    <t>Damage of civilian infrastructure</t>
  </si>
  <si>
    <t>Video of the same area as above. Building on left with a black/dark bottom frame, building on right with lighter bottom frame. Central area of the building on the left has extra windows at the middle top.</t>
  </si>
  <si>
    <t>UW1414</t>
  </si>
  <si>
    <t>https://bellingcat-archive.nyc3.cdn.digitaloceanspaces.com/Ukraine_Witness_Datasheet/Worksheet/youtube_dl_1498945600754274304.mp4</t>
  </si>
  <si>
    <t>2022-03-05T09:04:51.891797+00:00</t>
  </si>
  <si>
    <t>https://bellingcat-archive.nyc3.cdn.digitaloceanspaces.com/Ukraine_Witness_Datasheet/Worksheet/youtube_dl__maria_avdv_status_14989456007542743042022-03-05T09:04:31.777447.png</t>
  </si>
  <si>
    <t>9aacb2d852caa7dc4b00228603839434a01e4af6677294ffea38a8d00c2ec749</t>
  </si>
  <si>
    <t>https://bellingcat-archive.nyc3.cdn.digitaloceanspaces.com/Ukraine_Witness_Datasheet/Worksheet/youtube_dl_1498945600754274304/index.html</t>
  </si>
  <si>
    <t>Maria Avdeeva - Terrible day for Kharkiv. Russian planes dropped bombs all night and all morning on the historical center of Kharkiv and residential areas in the downtown. This is a war crime.</t>
  </si>
  <si>
    <t>2022-03-02T08:57:34+00:00</t>
  </si>
  <si>
    <t>https://twitter.com/RALee85/status/1499073503902973964?s=20&amp;t=2HKJRUPKmMU0_U7TfV-53A</t>
  </si>
  <si>
    <t>Residents of Energodar block the road to stop the Russian forces from entering the city</t>
  </si>
  <si>
    <t>Train tracks on the left, long road ahead. The footage starts with 2 street lights in a row with 2 "heads", followed by a row of "single-headed" streetlights.</t>
  </si>
  <si>
    <t>UW1415</t>
  </si>
  <si>
    <t>https://bellingcat-archive.nyc3.cdn.digitaloceanspaces.com/Ukraine_Witness_Datasheet/Worksheet/youtube_dl_1499073503902973964.mp4</t>
  </si>
  <si>
    <t>2022-03-05T09:05:06.451410+00:00</t>
  </si>
  <si>
    <t>https://bellingcat-archive.nyc3.cdn.digitaloceanspaces.com/Ukraine_Witness_Datasheet/Worksheet/youtube_dl__RALee85_status_14990735039029739642022-03-05T09:04:54.097686.png</t>
  </si>
  <si>
    <t>7a9371519dbfa4cb332482e753baa31b24acc69e7b26b4973fc7b585dd0273cc</t>
  </si>
  <si>
    <t>https://bellingcat-archive.nyc3.cdn.digitaloceanspaces.com/Ukraine_Witness_Datasheet/Worksheet/youtube_dl_1499073503902973964/index.html</t>
  </si>
  <si>
    <t>Rob Lee - Residents of Energodar have blocked the road for Russian forces to the city.</t>
  </si>
  <si>
    <t>2022-03-02T17:25:49+00:00</t>
  </si>
  <si>
    <t>https://twitter.com/666_mancer/status/1499039079077457927</t>
  </si>
  <si>
    <t>UW1416</t>
  </si>
  <si>
    <t>https://bellingcat-archive.nyc3.cdn.digitaloceanspaces.com/Ukraine_Witness_Datasheet/Worksheet/twitter__666_mancer_status_1499039079077457927.html</t>
  </si>
  <si>
    <t>2022-03-05T09:05:18.588123+00:00</t>
  </si>
  <si>
    <t>https://bellingcat-archive.nyc3.cdn.digitaloceanspaces.com/Ukraine_Witness_Datasheet/Worksheet/twitter__666_mancer_status_14990390790774579272022-03-05T09:05:09.390634.png</t>
  </si>
  <si>
    <t>dfef62de2f5935c090bd770b2c208376e4a5b531811a7eff942a0a1e1bc42115</t>
  </si>
  <si>
    <t>2022-03-02T15:09:01+00:00</t>
  </si>
  <si>
    <t>https://twitter.com/AlertaNews24/status/1499369411001602050?s=20&amp;t=VVvWp6UGyo3FW-i6JOgEFw</t>
  </si>
  <si>
    <t>Damaged residential area in Irpin</t>
  </si>
  <si>
    <t>Video shows a big ad on one of the buildings. Also visible in google street view.</t>
  </si>
  <si>
    <t>UW1417</t>
  </si>
  <si>
    <t>https://bellingcat-archive.nyc3.cdn.digitaloceanspaces.com/Ukraine_Witness_Datasheet/Worksheet/youtube_dl_1499369411001602050.mp4</t>
  </si>
  <si>
    <t>2022-03-05T09:10:26.589251+00:00</t>
  </si>
  <si>
    <t>https://bellingcat-archive.nyc3.cdn.digitaloceanspaces.com/Ukraine_Witness_Datasheet/Worksheet/youtube_dl__AlertaNews24_status_14993694110016020502022-03-05T09:10:15.237861.png</t>
  </si>
  <si>
    <t>03fb0fb5aff53779de631ae377684adb563e71ea4076bdf86ea410bd735fded1</t>
  </si>
  <si>
    <t>https://bellingcat-archive.nyc3.cdn.digitaloceanspaces.com/Ukraine_Witness_Datasheet/Worksheet/youtube_dl_1499369411001602050/index.html</t>
  </si>
  <si>
    <t>Alerta News 24 - 🇺🇦🇷🇺 | GUERRA UCRANIA-RUSIA: Irvin, Ucrania:</t>
  </si>
  <si>
    <t>2022-03-03T13:01:39+00:00</t>
  </si>
  <si>
    <t>50.54191119</t>
  </si>
  <si>
    <t>30.26403692</t>
  </si>
  <si>
    <t>https://t.me/nexta_live/19338</t>
  </si>
  <si>
    <t>Widespread damage to civilian buildings</t>
  </si>
  <si>
    <t>UW1418</t>
  </si>
  <si>
    <t>https://bellingcat-archive.nyc3.cdn.digitaloceanspaces.com/Ukraine_Witness_Datasheet/Worksheet/telegram_44e62da264.mp4</t>
  </si>
  <si>
    <t>2022-03-05T09:11:46.593567+00:00</t>
  </si>
  <si>
    <t>https://bellingcat-archive.nyc3.cdn.digitaloceanspaces.com/Ukraine_Witness_Datasheet/Worksheet/telegram__nexta_live_193382022-03-05T09:10:27.519091.png</t>
  </si>
  <si>
    <t>b4b53702962955a44527ef61ed069dac7445e2b9db5684e444ac13c64094e7bc</t>
  </si>
  <si>
    <t>https://bellingcat-archive.nyc3.cdn.digitaloceanspaces.com/Ukraine_Witness_Datasheet/Worksheet/telegram_44e62da264/index.html</t>
  </si>
  <si>
    <t>2022-03-03T08:03:12+00:00</t>
  </si>
  <si>
    <t>https://t.me/hueviykharkov/47735</t>
  </si>
  <si>
    <t>UW1419</t>
  </si>
  <si>
    <t>https://bellingcat-archive.nyc3.cdn.digitaloceanspaces.com/Ukraine_Witness_Datasheet/Worksheet/telegram__hueviykharkov_47735.html</t>
  </si>
  <si>
    <t>2022-03-05T09:11:58.675069+00:00</t>
  </si>
  <si>
    <t>https://bellingcat-archive.nyc3.cdn.digitaloceanspaces.com/Ukraine_Witness_Datasheet/Worksheet/telegram__hueviykharkov_477352022-03-05T09:11:47.316915.png</t>
  </si>
  <si>
    <t>f37dfb24b58421f5ac559e1b49d386c107531faaf9d9509bbc8c0235acf4c5c4</t>
  </si>
  <si>
    <t>2022-03-03T08:19:18+00:00</t>
  </si>
  <si>
    <t>https://t.me/truexanewsua/27293</t>
  </si>
  <si>
    <t>Abandoned Russian army armoured vehicles and woman killed.</t>
  </si>
  <si>
    <t>UW1420</t>
  </si>
  <si>
    <t>https://bellingcat-archive.nyc3.cdn.digitaloceanspaces.com/Ukraine_Witness_Datasheet/Worksheet/telegram__truexanewsua_27293.html</t>
  </si>
  <si>
    <t>2022-03-05T09:12:13.391643+00:00</t>
  </si>
  <si>
    <t>https://bellingcat-archive.nyc3.cdn.digitaloceanspaces.com/Ukraine_Witness_Datasheet/Worksheet/telegram__truexanewsua_272932022-03-05T09:11:59.323499.png</t>
  </si>
  <si>
    <t>9a67fc4f88bd3e861c40fdd0da4afee8ee19fe5e39b15123fbbe661c7c373a8a</t>
  </si>
  <si>
    <t>2022-03-02T04:35:47+00:00</t>
  </si>
  <si>
    <t>48.86243</t>
  </si>
  <si>
    <t>38.478374</t>
  </si>
  <si>
    <t>https://www.facebook.com/sergey.gaidai.loga/posts/133329415873117</t>
  </si>
  <si>
    <t>CIV0184</t>
  </si>
  <si>
    <t>Damage to residential buildings in 1st mikrorayon</t>
  </si>
  <si>
    <t>UW1421</t>
  </si>
  <si>
    <t>https://web.archive.org/web/20220305091218/https://www.facebook.com/sergey.gaidai.loga/posts/133329415873117</t>
  </si>
  <si>
    <t>2022-03-05T09:12:36.925979+00:00</t>
  </si>
  <si>
    <t>https://bellingcat-archive.nyc3.cdn.digitaloceanspaces.com/Ukraine_Witness_Datasheet/Worksheet/wayback__sergey.gaidai.loga_posts_1333294158731172022-03-05T09:12:29.191360.png</t>
  </si>
  <si>
    <t>50.3678658</t>
  </si>
  <si>
    <t>30.3943869</t>
  </si>
  <si>
    <t>https://twitter.com/OsintTv/status/1499326903941050370</t>
  </si>
  <si>
    <t>CIV0185</t>
  </si>
  <si>
    <t>Homes damaged by bombing/shelling</t>
  </si>
  <si>
    <t>UW1422</t>
  </si>
  <si>
    <t>wayback: Internet Archive failed: {'status': 'error', 'duration_sec': 5.597, 'status_ext': 'error:not-found', 'message': 'The server cannot find the requested resource https://twitter.com/OsintTv/status/1499326903941050370 (HTTP status=404).', 'resources': [], 'job_id': 'spn2-50404ebd2114b4804555396898ea6ff3c06045fa-a9d1afc5'}</t>
  </si>
  <si>
    <t>2022-03-05T09:13:05.424247+00:00</t>
  </si>
  <si>
    <t>51.5004861</t>
  </si>
  <si>
    <t>31.24703098</t>
  </si>
  <si>
    <t>https://news.obozrevatel.com/society/v-chernigove-rossijskaya-aviatsiya-atakovala-dve-shkolyi-i-chastnyie-doma-pogibli-9-chelovek-chetvero-ranenyi-foto-i-video.htm</t>
  </si>
  <si>
    <t>CIV0186</t>
  </si>
  <si>
    <t>Two schools and residential buildings attacked, governor Chaus says nine deaths</t>
  </si>
  <si>
    <t>UW1423</t>
  </si>
  <si>
    <t>https://bellingcat-archive.nyc3.cdn.digitaloceanspaces.com/Ukraine_Witness_Datasheet/Worksheet/youtube_dl_Yi9701_goo0.webm</t>
  </si>
  <si>
    <t>2022-03-05T09:13:20.287746+00:00</t>
  </si>
  <si>
    <t>https://bellingcat-archive.nyc3.cdn.digitaloceanspaces.com/Ukraine_Witness_Datasheet/Worksheet/youtube_dl_-aviatsiya-atakovala-dve-shkolyi-i-chastnyie-doma-pogibli-9-chelovek-chetvero-ranenyi-foto-i-video.htm2022-03-05T09:13:09.198587.png</t>
  </si>
  <si>
    <t>7c4a0f2fd253446ab89e363be5a0697a080dd091c7038b3d2850011cf2927089</t>
  </si>
  <si>
    <t>https://bellingcat-archive.nyc3.cdn.digitaloceanspaces.com/Ukraine_Witness_Datasheet/Worksheet/youtube_dl_Yi9701_goo0/index.html</t>
  </si>
  <si>
    <t>Наслідки російського авіаудару по Чернігову 3 березня</t>
  </si>
  <si>
    <t>2022-03-03T00:00:00+00:00</t>
  </si>
  <si>
    <t>https://twitter.com/avalaina/status/1499472543312404484?s=20&amp;t=Pn5C64ICPWKI1rgvXu7BCA</t>
  </si>
  <si>
    <t>UW1424</t>
  </si>
  <si>
    <t>https://bellingcat-archive.nyc3.cdn.digitaloceanspaces.com/Ukraine_Witness_Datasheet/Worksheet/youtube_dl_1499472543312404484.mp4</t>
  </si>
  <si>
    <t>2022-03-05T09:13:35.718897+00:00</t>
  </si>
  <si>
    <t>https://bellingcat-archive.nyc3.cdn.digitaloceanspaces.com/Ukraine_Witness_Datasheet/Worksheet/youtube_dl__avalaina_status_14994725433124044842022-03-05T09:13:22.701589.png</t>
  </si>
  <si>
    <t>9e0c035ecc580b9953c196b96cabe01b5f2d3b65fbd82aa0bad4a64053cd4b14</t>
  </si>
  <si>
    <t>https://bellingcat-archive.nyc3.cdn.digitaloceanspaces.com/Ukraine_Witness_Datasheet/Worksheet/youtube_dl_1499472543312404484/index.html</t>
  </si>
  <si>
    <t>Oleksandra Matviichuk - Ukrainian girl after Russian shelling on her schools number 21 in Chernigiv. Just to remind that delibarate attack to  civilian objects is a war crime.  #StandWithUkraine️</t>
  </si>
  <si>
    <t>2022-03-03T19:51:27+00:00</t>
  </si>
  <si>
    <t>https://twitter.com/KyleJGlen/status/1499336508364492801?s=20&amp;t=wQbcvAgAVgQ6A8oWjLPbXg</t>
  </si>
  <si>
    <t>UW1425</t>
  </si>
  <si>
    <t>https://bellingcat-archive.nyc3.cdn.digitaloceanspaces.com/Ukraine_Witness_Datasheet/Worksheet/youtube_dl_1499336508364492801.mp4</t>
  </si>
  <si>
    <t>2022-03-05T09:13:49.670377+00:00</t>
  </si>
  <si>
    <t>https://bellingcat-archive.nyc3.cdn.digitaloceanspaces.com/Ukraine_Witness_Datasheet/Worksheet/youtube_dl__KyleJGlen_status_14993365083644928012022-03-05T09:13:37.987214.png</t>
  </si>
  <si>
    <t>913c1e3cb01bcd2ad766ccf55013392428ace3789bdacfc5858c37c71995f39b</t>
  </si>
  <si>
    <t>https://bellingcat-archive.nyc3.cdn.digitaloceanspaces.com/Ukraine_Witness_Datasheet/Worksheet/youtube_dl_1499336508364492801/index.html</t>
  </si>
  <si>
    <t>Kyle Glen - Kharkiv is being shelled again this morning. There's going to be nothing left of the city. Horrific to watch.</t>
  </si>
  <si>
    <t>2022-03-03T10:50:54+00:00</t>
  </si>
  <si>
    <t>50.64332</t>
  </si>
  <si>
    <t>29.933402</t>
  </si>
  <si>
    <t>https://twitter.com/mariabarabash/status/1499372340412620801?s=20&amp;t=u-LTUYYFyPOmbH1B2qNY6w</t>
  </si>
  <si>
    <t>CIV0191</t>
  </si>
  <si>
    <t>Catastrophic damage to what appears to be a residential building.</t>
  </si>
  <si>
    <t>UW1426</t>
  </si>
  <si>
    <t>https://bellingcat-archive.nyc3.cdn.digitaloceanspaces.com/Ukraine_Witness_Datasheet/Worksheet/twitter__mariabarabash_status_1499372340412620801.html</t>
  </si>
  <si>
    <t>2022-03-05T09:14:00.551661+00:00</t>
  </si>
  <si>
    <t>https://bellingcat-archive.nyc3.cdn.digitaloceanspaces.com/Ukraine_Witness_Datasheet/Worksheet/twitter__mariabarabash_status_14993723404126208012022-03-05T09:13:51.558540.png</t>
  </si>
  <si>
    <t>90e83b28e1ef01560a898586d720b18c4bd13bcc4795616dca113e7433d91ddb</t>
  </si>
  <si>
    <t>2022-03-03T13:13:17+00:00</t>
  </si>
  <si>
    <t>https://twitter.com/ua_industrial/status/1499366332147638277?s=20&amp;t=u-LTUYYFyPOmbH1B2qNY6w</t>
  </si>
  <si>
    <t>UW1427</t>
  </si>
  <si>
    <t>https://bellingcat-archive.nyc3.cdn.digitaloceanspaces.com/Ukraine_Witness_Datasheet/Worksheet/twitter__ua_industrial_status_1499366332147638277.html</t>
  </si>
  <si>
    <t>2022-03-05T09:14:12.725226+00:00</t>
  </si>
  <si>
    <t>https://bellingcat-archive.nyc3.cdn.digitaloceanspaces.com/Ukraine_Witness_Datasheet/Worksheet/twitter__ua_industrial_status_14993663321476382772022-03-05T09:14:03.192701.png</t>
  </si>
  <si>
    <t>345f74a20e14fbc93c4ebfb91e18de4eba08afe2e466d132907ff241b846b8d9</t>
  </si>
  <si>
    <t>2022-03-03T12:49:25+00:00</t>
  </si>
  <si>
    <t>https://t.me/bbcrussian/23840</t>
  </si>
  <si>
    <t>UW1428</t>
  </si>
  <si>
    <t>https://bellingcat-archive.nyc3.cdn.digitaloceanspaces.com/Ukraine_Witness_Datasheet/Worksheet/telegram_b171fdd7af.mp4</t>
  </si>
  <si>
    <t>2022-03-05T09:16:14.475392+00:00</t>
  </si>
  <si>
    <t>https://bellingcat-archive.nyc3.cdn.digitaloceanspaces.com/Ukraine_Witness_Datasheet/Worksheet/telegram__bbcrussian_238402022-03-05T09:14:13.367843.png</t>
  </si>
  <si>
    <t>66c2d2875308605da072a3a00f7e4366af9e88d43aaa90ecfa463bc9829b9a9f</t>
  </si>
  <si>
    <t>https://bellingcat-archive.nyc3.cdn.digitaloceanspaces.com/Ukraine_Witness_Datasheet/Worksheet/telegram_b171fdd7af/index.html</t>
  </si>
  <si>
    <t>2022-03-03T17:21:50+00:00</t>
  </si>
  <si>
    <t>https://twitter.com/michaelh992/status/1499334866571300866?s=20&amp;t=8s47q6MCvigV0XNxlUvZxA</t>
  </si>
  <si>
    <t>CIV0188</t>
  </si>
  <si>
    <t>Damage to what appears to be residential areas.</t>
  </si>
  <si>
    <t>UW1429</t>
  </si>
  <si>
    <t>https://bellingcat-archive.nyc3.cdn.digitaloceanspaces.com/Ukraine_Witness_Datasheet/Worksheet/twitter__michaelh992_status_1499334866571300866.html</t>
  </si>
  <si>
    <t>2022-03-05T09:16:26.220703+00:00</t>
  </si>
  <si>
    <t>https://bellingcat-archive.nyc3.cdn.digitaloceanspaces.com/Ukraine_Witness_Datasheet/Worksheet/twitter__michaelh992_status_14993348665713008662022-03-05T09:16:16.977992.png</t>
  </si>
  <si>
    <t>3d5ef9b12e384dc2d97b5ca968fb2144c1605d1456ca4bbfe024027d6ede38a1</t>
  </si>
  <si>
    <t>2022-03-03T10:44:23+00:00</t>
  </si>
  <si>
    <t>47.97764</t>
  </si>
  <si>
    <t>37.698898</t>
  </si>
  <si>
    <t>https://twitter.com/DNR_online_/status/1497495576618934272?s=20&amp;t=gn_00P9gSmU2JkmsNup8Cg</t>
  </si>
  <si>
    <t>CIV0192</t>
  </si>
  <si>
    <t>Tochka remnants at oil depot. Possibly in city of Kirovske?</t>
  </si>
  <si>
    <t>UW1430</t>
  </si>
  <si>
    <t>https://bellingcat-archive.nyc3.cdn.digitaloceanspaces.com/Ukraine_Witness_Datasheet/Worksheet/twitter__DNR_online__status_1497495576618934272.html</t>
  </si>
  <si>
    <t>2022-03-05T09:16:37.551802+00:00</t>
  </si>
  <si>
    <t>https://bellingcat-archive.nyc3.cdn.digitaloceanspaces.com/Ukraine_Witness_Datasheet/Worksheet/twitter__DNR_online__status_14974955766189342722022-03-05T09:16:28.541038.png</t>
  </si>
  <si>
    <t>773f04510cb2bf255e9503b5fb1acdd12885541d9a380079f2acb6676a861779</t>
  </si>
  <si>
    <t>2022-02-26T08:55:42+00:00</t>
  </si>
  <si>
    <t>https://t.co/zsZpxL4yc1</t>
  </si>
  <si>
    <t>CIV0193</t>
  </si>
  <si>
    <t>Airstrike. Possibly same incident as CIV0189.</t>
  </si>
  <si>
    <t>UW1431</t>
  </si>
  <si>
    <t>https://bellingcat-archive.nyc3.cdn.digitaloceanspaces.com/Ukraine_Witness_Datasheet/Worksheet/telegram_29f658ed51.mp4</t>
  </si>
  <si>
    <t>2022-03-05T09:21:23.235222+00:00</t>
  </si>
  <si>
    <t>https://bellingcat-archive.nyc3.cdn.digitaloceanspaces.com/Ukraine_Witness_Datasheet/Worksheet/telegram__faceofwar_163952022-03-05T09:20:10.973592.png</t>
  </si>
  <si>
    <t>2a9fe19f168d778f717f2820fa6c2a9f7f97e275f1a819eeafa18272d00d3208</t>
  </si>
  <si>
    <t>https://bellingcat-archive.nyc3.cdn.digitaloceanspaces.com/Ukraine_Witness_Datasheet/Worksheet/telegram_29f658ed51/index.html</t>
  </si>
  <si>
    <t>https://t.me/faceofwar/16395</t>
  </si>
  <si>
    <t>2022-03-03T12:30:35+00:00</t>
  </si>
  <si>
    <t>49.471219</t>
  </si>
  <si>
    <t>28.511239</t>
  </si>
  <si>
    <t>https://twitter.com/ua_industrial/status/1499439701152907265</t>
  </si>
  <si>
    <t>CIV0194</t>
  </si>
  <si>
    <t>FAB 500, air dropped dumb bomb reportedly impacted house. Reportedly same incident as CIV0189, however Second source indicates this was in fact in Kalinovka in Kyiv.</t>
  </si>
  <si>
    <t>UW1432</t>
  </si>
  <si>
    <t>https://bellingcat-archive.nyc3.cdn.digitaloceanspaces.com/Ukraine_Witness_Datasheet/Worksheet/twitter__ua_industrial_status_1499439701152907265.html</t>
  </si>
  <si>
    <t>2022-03-05T09:21:35.339430+00:00</t>
  </si>
  <si>
    <t>https://bellingcat-archive.nyc3.cdn.digitaloceanspaces.com/Ukraine_Witness_Datasheet/Worksheet/twitter__ua_industrial_status_14994397011529072652022-03-05T09:21:27.095562.png</t>
  </si>
  <si>
    <t>57d3e0689e5a7b745ce2101ab453b64192d95a4a993f1bc821572a6f92e316a5</t>
  </si>
  <si>
    <t>2022-03-03T17:40:57+00:00</t>
  </si>
  <si>
    <t>https://twitter.com/raging545/status/1499484741430611977</t>
  </si>
  <si>
    <t>UW1433</t>
  </si>
  <si>
    <t>https://bellingcat-archive.nyc3.cdn.digitaloceanspaces.com/Ukraine_Witness_Datasheet/Worksheet/twitter__raging545_status_1499484741430611977.html</t>
  </si>
  <si>
    <t>2022-03-05T09:21:46.452503+00:00</t>
  </si>
  <si>
    <t>https://bellingcat-archive.nyc3.cdn.digitaloceanspaces.com/Ukraine_Witness_Datasheet/Worksheet/twitter__raging545_status_14994847414306119772022-03-05T09:21:37.687306.png</t>
  </si>
  <si>
    <t>ffc3f85bf0684253260606d75a0153906fad119933b43defe3f827bf48e09aed</t>
  </si>
  <si>
    <t>2022-03-03T20:39:56+00:00</t>
  </si>
  <si>
    <t>UW1434</t>
  </si>
  <si>
    <t>2022-03-05T09:21:57.529324+00:00</t>
  </si>
  <si>
    <t>https://bellingcat-archive.nyc3.cdn.digitaloceanspaces.com/Ukraine_Witness_Datasheet/Worksheet/twitter__raging545_status_14994847414306119772022-03-05T09:21:48.879049.png</t>
  </si>
  <si>
    <t>50.031615</t>
  </si>
  <si>
    <t>36.253763</t>
  </si>
  <si>
    <t>https://twitter.com/EmmettLesterSan/status/1499444045164138501?s=20&amp;t=tobBaKGYkLF2Br2cClyorw</t>
  </si>
  <si>
    <t>CIV0195</t>
  </si>
  <si>
    <t>Cluster munition attack in residential area of Kharkiv near to the airport. CCTV states attack took place at 10:21 Local.</t>
  </si>
  <si>
    <t>UW1435</t>
  </si>
  <si>
    <t>https://bellingcat-archive.nyc3.cdn.digitaloceanspaces.com/Ukraine_Witness_Datasheet/Worksheet/youtube_dl_1499444045164138501.mp4</t>
  </si>
  <si>
    <t>2022-03-05T09:22:11.588921+00:00</t>
  </si>
  <si>
    <t>https://bellingcat-archive.nyc3.cdn.digitaloceanspaces.com/Ukraine_Witness_Datasheet/Worksheet/youtube_dl__EmmettLesterSan_status_14994440451641385012022-03-05T09:21:59.803144.png</t>
  </si>
  <si>
    <t>2c04555da55ae828f4171e59724a0a9ae311169f95e4147a2b37b166414a88c7</t>
  </si>
  <si>
    <t>https://bellingcat-archive.nyc3.cdn.digitaloceanspaces.com/Ukraine_Witness_Datasheet/Worksheet/youtube_dl_1499444045164138501/index.html</t>
  </si>
  <si>
    <t>🇺🇦 The Ukraine War 🇺🇦 - Residential area in Kharkiv being bombed  #UkraineRussianWar #UkraineRussiaWar #Ukraine</t>
  </si>
  <si>
    <t>2022-03-03T17:58:13+00:00</t>
  </si>
  <si>
    <t>50.017078</t>
  </si>
  <si>
    <t>36.355044</t>
  </si>
  <si>
    <t>https://t.me/truexanewsua/28905</t>
  </si>
  <si>
    <t>CIV0196</t>
  </si>
  <si>
    <t>Impact from what may be artillery in car park in residential area.</t>
  </si>
  <si>
    <t>UW1436</t>
  </si>
  <si>
    <t>https://bellingcat-archive.nyc3.cdn.digitaloceanspaces.com/Ukraine_Witness_Datasheet/Worksheet/telegram__truexanewsua_28905.html</t>
  </si>
  <si>
    <t>2022-03-05T09:22:19.738926+00:00</t>
  </si>
  <si>
    <t>https://bellingcat-archive.nyc3.cdn.digitaloceanspaces.com/Ukraine_Witness_Datasheet/Worksheet/telegram__truexanewsua_289052022-03-05T09:22:12.267418.png</t>
  </si>
  <si>
    <t>dbe6a8bd46cc467acff8e84d3eeaf1949cae76da56491348149facf4a83c519a</t>
  </si>
  <si>
    <t>50.2515</t>
  </si>
  <si>
    <t>28.664056</t>
  </si>
  <si>
    <t>https://t.me/suspilnenews/7092</t>
  </si>
  <si>
    <t>CIV0197</t>
  </si>
  <si>
    <t>Buildings destroyed in shelling/bombing, including heavy damage to a school.</t>
  </si>
  <si>
    <t>UW1437</t>
  </si>
  <si>
    <t>https://bellingcat-archive.nyc3.cdn.digitaloceanspaces.com/Ukraine_Witness_Datasheet/Worksheet/telegram_5b709409f3.mp4</t>
  </si>
  <si>
    <t>2022-03-05T09:22:40.772756+00:00</t>
  </si>
  <si>
    <t>https://bellingcat-archive.nyc3.cdn.digitaloceanspaces.com/Ukraine_Witness_Datasheet/Worksheet/telegram__suspilnenews_70922022-03-05T09:22:20.396680.png</t>
  </si>
  <si>
    <t>d1cbb26823777c9cea705c2d34aed9c53b25ec68916e92d833f910f923e9bf9c</t>
  </si>
  <si>
    <t>https://bellingcat-archive.nyc3.cdn.digitaloceanspaces.com/Ukraine_Witness_Datasheet/Worksheet/telegram_5b709409f3/index.html</t>
  </si>
  <si>
    <t>2022-03-04T07:50:32+00:00</t>
  </si>
  <si>
    <t>https://twitter.com/EmineDzheppar/status/1499665706291544066?s=20&amp;t=jGA8xiOIjP1NQENkftSPZQ</t>
  </si>
  <si>
    <t>UW1438</t>
  </si>
  <si>
    <t>https://bellingcat-archive.nyc3.cdn.digitaloceanspaces.com/Ukraine_Witness_Datasheet/Worksheet/twitter__EmineDzheppar_status_1499665706291544066.html</t>
  </si>
  <si>
    <t>2022-03-05T09:22:51.620313+00:00</t>
  </si>
  <si>
    <t>https://bellingcat-archive.nyc3.cdn.digitaloceanspaces.com/Ukraine_Witness_Datasheet/Worksheet/twitter__EmineDzheppar_status_14996657062915440662022-03-05T09:22:42.676997.png</t>
  </si>
  <si>
    <t>a455ad38424c761342e464f2f79b92414ea7fed316a2fb79eea2b8b282fdd75e</t>
  </si>
  <si>
    <t>2022-03-04T08:39:01+00:00</t>
  </si>
  <si>
    <t>https://t.me/suspilnenews/7009</t>
  </si>
  <si>
    <t>CIV0198</t>
  </si>
  <si>
    <t>UW1439</t>
  </si>
  <si>
    <t>https://bellingcat-archive.nyc3.cdn.digitaloceanspaces.com/Ukraine_Witness_Datasheet/Worksheet/telegram__suspilnenews_7009.html</t>
  </si>
  <si>
    <t>2022-03-05T09:22:59.740222+00:00</t>
  </si>
  <si>
    <t>https://bellingcat-archive.nyc3.cdn.digitaloceanspaces.com/Ukraine_Witness_Datasheet/Worksheet/telegram__suspilnenews_70092022-03-05T09:22:52.272404.png</t>
  </si>
  <si>
    <t>1f1dc924fb91b0da2d726ae2012beda340734fef06fc5c6dc437469f41ea8ff4</t>
  </si>
  <si>
    <t>50.004164</t>
  </si>
  <si>
    <t>36.23756</t>
  </si>
  <si>
    <t>https://twitter.com/SputnikATO/status/1499719758652088320</t>
  </si>
  <si>
    <t>CIV0200</t>
  </si>
  <si>
    <t>Heavy damage, likely from artillery, to administrative area.</t>
  </si>
  <si>
    <t>UW1440</t>
  </si>
  <si>
    <t>https://bellingcat-archive.nyc3.cdn.digitaloceanspaces.com/Ukraine_Witness_Datasheet/Worksheet/twitter__SputnikATO_status_1499719758652088320.html</t>
  </si>
  <si>
    <t>2022-03-05T09:23:11.026341+00:00</t>
  </si>
  <si>
    <t>https://bellingcat-archive.nyc3.cdn.digitaloceanspaces.com/Ukraine_Witness_Datasheet/Worksheet/twitter__SputnikATO_status_14997197586520883202022-03-05T09:23:02.238202.png</t>
  </si>
  <si>
    <t>08cd81de0c5a2a9733ca17849d53d42bc65cc7ac5e2a264988227f428b723416</t>
  </si>
  <si>
    <t>2022-03-04T12:13:48+00:00</t>
  </si>
  <si>
    <t>48.9417383,38.4937351</t>
  </si>
  <si>
    <t>38.4937351</t>
  </si>
  <si>
    <t>https://www.facebook.com/permalink.php?story_fbid=1360344624402586&amp;id=100012811830489</t>
  </si>
  <si>
    <t>CIV0201</t>
  </si>
  <si>
    <t>Heavy damage to local tourism centre (which holds events for children) and surrounding civilian buildings</t>
  </si>
  <si>
    <t>UW1441</t>
  </si>
  <si>
    <t>https://web.archive.org/web/20220305092329/https://www.facebook.com/login/?next=https%3A%2F%2Fwww.facebook.com%2Fpermalink.php%3Fstory_fbid%3D1360344624402586%26id%3D100012811830489</t>
  </si>
  <si>
    <t>2022-03-05T09:23:57.266957+00:00</t>
  </si>
  <si>
    <t>https://bellingcat-archive.nyc3.cdn.digitaloceanspaces.com/Ukraine_Witness_Datasheet/Worksheet/wayback__permalink.php2022-03-05T09:23:49.497482.png</t>
  </si>
  <si>
    <t>https://dn.depo.ua/rus/severodonetsk/u-siverskodonetsku-zaginuli-shche-semero-lyudey-misto-bez-gazu-pidirvano-mist-202203041431356</t>
  </si>
  <si>
    <t>UW1442</t>
  </si>
  <si>
    <t>https://web.archive.org/web/20220305092409/https://dn.depo.ua/rus/severodonetsk/u-siverskodonetsku-zaginuli-shche-semero-lyudey-misto-bez-gazu-pidirvano-mist-202203041431356</t>
  </si>
  <si>
    <t>2022-03-05T09:24:42.903577+00:00</t>
  </si>
  <si>
    <t>https://bellingcat-archive.nyc3.cdn.digitaloceanspaces.com/Ukraine_Witness_Datasheet/Worksheet/wayback_odonetsk_u-siverskodonetsku-zaginuli-shche-semero-lyudey-misto-bez-gazu-pidirvano-mist-2022030414313562022-03-05T09:24:31.291297.png</t>
  </si>
  <si>
    <t>https://www.facebook.com/MNS.GOV.UA/posts/326078186226744</t>
  </si>
  <si>
    <t>CIV0202</t>
  </si>
  <si>
    <t>Residential buildings destroyed by shelling, five civilians dead (inc. three children)</t>
  </si>
  <si>
    <t>UW1443</t>
  </si>
  <si>
    <t>https://web.archive.org/web/20220305092512/https://www.facebook.com/MNS.GOV.UA/posts/326078186226744</t>
  </si>
  <si>
    <t>2022-03-05T09:25:27.724688+00:00</t>
  </si>
  <si>
    <t>https://bellingcat-archive.nyc3.cdn.digitaloceanspaces.com/Ukraine_Witness_Datasheet/Worksheet/wayback__MNS.GOV.UA_posts_3260781862267442022-03-05T09:25:19.623360.png</t>
  </si>
  <si>
    <t>50.02395643</t>
  </si>
  <si>
    <t>36.36090475</t>
  </si>
  <si>
    <t>https://twitter.com/no_itsmyturn/status/1499655936918671360?s=20&amp;t=jGA8xiOIjP1NQENkftSPZQ</t>
  </si>
  <si>
    <t>CIV0203</t>
  </si>
  <si>
    <t>Damage to residential buildings by explosive weapon.</t>
  </si>
  <si>
    <t>UW1444</t>
  </si>
  <si>
    <t>https://bellingcat-archive.nyc3.cdn.digitaloceanspaces.com/Ukraine_Witness_Datasheet/Worksheet/youtube_dl_1499655936918671360.mp4</t>
  </si>
  <si>
    <t>2022-03-05T09:25:56.333230+00:00</t>
  </si>
  <si>
    <t>https://bellingcat-archive.nyc3.cdn.digitaloceanspaces.com/Ukraine_Witness_Datasheet/Worksheet/youtube_dl__no_itsmyturn_status_14996559369186713602022-03-05T09:25:38.932741.png</t>
  </si>
  <si>
    <t>a511b2023b246ab9f556e9ab5123bb5dbb14adb789bd4afbc23cb973ca2f7b6f</t>
  </si>
  <si>
    <t>https://bellingcat-archive.nyc3.cdn.digitaloceanspaces.com/Ukraine_Witness_Datasheet/Worksheet/youtube_dl_1499655936918671360/index.html</t>
  </si>
  <si>
    <t>Aleph א #IStandWithUkraine 🇺🇦 - Aftermath or Russian strike on a residential area in Pivnichna Saltivka Kharkiv oblast 1/2 #Ukraine 🇺🇦</t>
  </si>
  <si>
    <t>2022-03-04T08:00:12+00:00</t>
  </si>
  <si>
    <t>https://twitter.com/no_itsmyturn/status/1499655951116390404?s=20&amp;t=PwHY_JPYEGn_wsdvdJg7Nw</t>
  </si>
  <si>
    <t>UW1445</t>
  </si>
  <si>
    <t>https://bellingcat-archive.nyc3.cdn.digitaloceanspaces.com/Ukraine_Witness_Datasheet/Worksheet/twitter__no_itsmyturn_status_1499655951116390404.html</t>
  </si>
  <si>
    <t>2022-03-05T09:26:09.049460+00:00</t>
  </si>
  <si>
    <t>https://bellingcat-archive.nyc3.cdn.digitaloceanspaces.com/Ukraine_Witness_Datasheet/Worksheet/twitter__no_itsmyturn_status_14996559511163904042022-03-05T09:25:59.388811.png</t>
  </si>
  <si>
    <t>61892d03e1430e18d60567b9b69b5aac687265d70126fbef97049fd0d76479a0</t>
  </si>
  <si>
    <t>2022-03-04T08:00:15+00:00</t>
  </si>
  <si>
    <t>https://twitter.com/GirkinGirkin/status/1499655677203128321?s=20&amp;t=2n52Zjxi_VKRUXIWNBmWPg</t>
  </si>
  <si>
    <t>CIV0204</t>
  </si>
  <si>
    <t>Damage to residential &amp; commercial areas</t>
  </si>
  <si>
    <t>UW1446</t>
  </si>
  <si>
    <t>https://bellingcat-archive.nyc3.cdn.digitaloceanspaces.com/Ukraine_Witness_Datasheet/Worksheet/twitter__GirkinGirkin_status_1499655677203128321.html</t>
  </si>
  <si>
    <t>2022-03-05T09:26:20.767386+00:00</t>
  </si>
  <si>
    <t>https://bellingcat-archive.nyc3.cdn.digitaloceanspaces.com/Ukraine_Witness_Datasheet/Worksheet/twitter__GirkinGirkin_status_14996556772031283212022-03-05T09:26:11.972078.png</t>
  </si>
  <si>
    <t>008f2a9678331a9a2e25486ac3def7d430159bc528ed26c0211dbc9b6f93723e</t>
  </si>
  <si>
    <t>2022-03-04T07:59:10+00:00</t>
  </si>
  <si>
    <t>50.02848</t>
  </si>
  <si>
    <t>36.34526</t>
  </si>
  <si>
    <t>https://twitter.com/MarQs__/status/1499696196016820228?s=20&amp;t=yQKJ65UQuiOZeeIkorHogw</t>
  </si>
  <si>
    <t>CIV0205</t>
  </si>
  <si>
    <t>Report of shelling of residential area.</t>
  </si>
  <si>
    <t>UW1447</t>
  </si>
  <si>
    <t>https://bellingcat-archive.nyc3.cdn.digitaloceanspaces.com/Ukraine_Witness_Datasheet/Worksheet/twitter__MarQs___status_1499696196016820228.html</t>
  </si>
  <si>
    <t>2022-03-05T09:26:32.514191+00:00</t>
  </si>
  <si>
    <t>https://bellingcat-archive.nyc3.cdn.digitaloceanspaces.com/Ukraine_Witness_Datasheet/Worksheet/twitter__MarQs___status_14996961960168202282022-03-05T09:26:23.167602.png</t>
  </si>
  <si>
    <t>36abd87cc8548f128e85813596f8474abb2a795aeafd10693f6e4aa8df3a8d00</t>
  </si>
  <si>
    <t>2022-03-04T10:40:10+00:00</t>
  </si>
  <si>
    <t>50.574463</t>
  </si>
  <si>
    <t>30.264053</t>
  </si>
  <si>
    <t>https://twitter.com/Ukropo4kA/status/1499745823835529228?s=20&amp;t=BUXToL9J3qwEog5Vs_GCiw</t>
  </si>
  <si>
    <t>CIV0206</t>
  </si>
  <si>
    <t>Residential block repeatedly struck by what appears to be a direct-fire weapon.</t>
  </si>
  <si>
    <t>UW1448</t>
  </si>
  <si>
    <t>2022-03-05T09:26:45.754223+00:00</t>
  </si>
  <si>
    <t>https://bellingcat-archive.nyc3.cdn.digitaloceanspaces.com/Ukraine_Witness_Datasheet/Worksheet/youtube_dl__Ukropo4kA_status_14997458238355292282022-03-05T09:26:34.058639.png</t>
  </si>
  <si>
    <t>https://twitter.com/nexta_tv/status/1499747981628739589?s=20&amp;t=lLpBlX0jsAeZxniKoQOxzQ</t>
  </si>
  <si>
    <t>UW1449</t>
  </si>
  <si>
    <t>https://bellingcat-archive.nyc3.cdn.digitaloceanspaces.com/Ukraine_Witness_Datasheet/Worksheet/youtube_dl_1499747981628739589.mp4</t>
  </si>
  <si>
    <t>2022-03-05T09:26:59.461105+00:00</t>
  </si>
  <si>
    <t>https://bellingcat-archive.nyc3.cdn.digitaloceanspaces.com/Ukraine_Witness_Datasheet/Worksheet/youtube_dl__nexta_tv_status_14997479816287395892022-03-05T09:26:47.955848.png</t>
  </si>
  <si>
    <t>46b05567ddd36d6e75e66afb5118c53682419fae59ddabd93e3c8bc76891630c</t>
  </si>
  <si>
    <t>https://bellingcat-archive.nyc3.cdn.digitaloceanspaces.com/Ukraine_Witness_Datasheet/Worksheet/youtube_dl_1499747981628739589/index.html</t>
  </si>
  <si>
    <t>NEXTA - #Irpen. The occupants attack a residential house.</t>
  </si>
  <si>
    <t>2022-03-04T14:05:57+00:00</t>
  </si>
  <si>
    <t>49.8052554</t>
  </si>
  <si>
    <t>30.0973527,</t>
  </si>
  <si>
    <t>https://twitter.com/police_kyiv_obl/status/1500029178443448324?s=20&amp;t=w5AvDOyFJZ_Dd-tDKq5xPA</t>
  </si>
  <si>
    <t>CIV0207</t>
  </si>
  <si>
    <t xml:space="preserve">20 houses reported to have been damaged by a strike, as well as further casualties. </t>
  </si>
  <si>
    <t>UW1450</t>
  </si>
  <si>
    <t>https://bellingcat-archive.nyc3.cdn.digitaloceanspaces.com/Ukraine_Witness_Datasheet/Worksheet/twitter__police_kyiv_obl_status_1500029178443448324.html</t>
  </si>
  <si>
    <t>2022-03-05T09:35:20.111553+00:00</t>
  </si>
  <si>
    <t>https://bellingcat-archive.nyc3.cdn.digitaloceanspaces.com/Ukraine_Witness_Datasheet/Worksheet/twitter__police_kyiv_obl_status_15000291784434483242022-03-05T09:35:12.061955.png</t>
  </si>
  <si>
    <t>cf51d5777b3222b092ae19edd2a61213c0108fc044de2391c042b4f8355fa8fa</t>
  </si>
  <si>
    <t>2022-03-05T08:43:19+00:00</t>
  </si>
  <si>
    <t>https://twitter.com/GirkinGirkin/status/1499983198868193281</t>
  </si>
  <si>
    <t>Train with Russian military equipment moving east</t>
  </si>
  <si>
    <t>https://twitter.com/ohsendit/status/1499993357090799621</t>
  </si>
  <si>
    <t>Pakino</t>
  </si>
  <si>
    <t>UW1451</t>
  </si>
  <si>
    <t>https://bellingcat-archive.nyc3.cdn.digitaloceanspaces.com/Ukraine_Witness_Datasheet/Worksheet/youtube_dl_1499983198868193281.mp4</t>
  </si>
  <si>
    <t>2022-03-05T09:45:25.952440+00:00</t>
  </si>
  <si>
    <t>https://bellingcat-archive.nyc3.cdn.digitaloceanspaces.com/Ukraine_Witness_Datasheet/Worksheet/youtube_dl__GirkinGirkin_status_14999831988681932812022-03-05T09:45:14.235787.png</t>
  </si>
  <si>
    <t>1083d66dcbfb163c8d73e98c3b10323c559fdb8014da4c4a95aa52ece34f7161</t>
  </si>
  <si>
    <t>https://bellingcat-archive.nyc3.cdn.digitaloceanspaces.com/Ukraine_Witness_Datasheet/Worksheet/youtube_dl_1499983198868193281/index.html</t>
  </si>
  <si>
    <t>IgorGirkin - Ковров, 4 марта</t>
  </si>
  <si>
    <t>2022-03-05T05:40:37+00:00</t>
  </si>
  <si>
    <t>https://twitter.com/Caucasuswar/status/1499873313694302211</t>
  </si>
  <si>
    <t>Convoy with military equipment heading towards the border</t>
  </si>
  <si>
    <t>https://twitter.com/HillridgeOSINT/status/1499873786887344128</t>
  </si>
  <si>
    <t>Dzhankoi</t>
  </si>
  <si>
    <t>UW1452</t>
  </si>
  <si>
    <t>https://bellingcat-archive.nyc3.cdn.digitaloceanspaces.com/Ukraine_Witness_Datasheet/Worksheet/youtube_dl_1499873313694302211.mp4</t>
  </si>
  <si>
    <t>2022-03-05T09:50:21.781622+00:00</t>
  </si>
  <si>
    <t>https://bellingcat-archive.nyc3.cdn.digitaloceanspaces.com/Ukraine_Witness_Datasheet/Worksheet/youtube_dl__Caucasuswar_status_14998733136943022112022-03-05T09:50:11.294381.png</t>
  </si>
  <si>
    <t>5977bca4c7dc82245f454af14b909917e71dc2e62fa81c40a7aeade840e60510</t>
  </si>
  <si>
    <t>https://bellingcat-archive.nyc3.cdn.digitaloceanspaces.com/Ukraine_Witness_Datasheet/Worksheet/youtube_dl_1499873313694302211/index.html</t>
  </si>
  <si>
    <t>CaucasusWarReport - As pointed out by our followers, this Russian convoy is reportedly in Dzhankoi town, in Crimea. Another huge build up of troops coming from the South axis towards Ukraine if geolocation is confirmed.</t>
  </si>
  <si>
    <t>2022-03-04T22:23:58+00:00</t>
  </si>
  <si>
    <t>https://twitter.com/TheDeadDistrict/status/1499730159712223233</t>
  </si>
  <si>
    <t>Shows same vehicles in UW0864</t>
  </si>
  <si>
    <t>UW1453</t>
  </si>
  <si>
    <t>https://bellingcat-archive.nyc3.cdn.digitaloceanspaces.com/Ukraine_Witness_Datasheet/Worksheet/youtube_dl_1499730159712223233.mp4</t>
  </si>
  <si>
    <t>2022-03-05T09:55:31.746131+00:00</t>
  </si>
  <si>
    <t>https://bellingcat-archive.nyc3.cdn.digitaloceanspaces.com/Ukraine_Witness_Datasheet/Worksheet/youtube_dl__TheDeadDistrict_status_14997301597122232332022-03-05T09:55:12.786076.png</t>
  </si>
  <si>
    <t>4f84bd75316819baaecc656ef2d103c484c110d8286afe86d06346b48a73d702</t>
  </si>
  <si>
    <t>https://bellingcat-archive.nyc3.cdn.digitaloceanspaces.com/Ukraine_Witness_Datasheet/Worksheet/youtube_dl_1499730159712223233/index.html</t>
  </si>
  <si>
    <t>𝔗𝔥𝔢 𝔇𝔢𝔞𝔡 𝔇𝔦𝔰𝔱𝔯𝔦𝔠𝔱 - Is this new one armored convoy or it's old one? 268/</t>
  </si>
  <si>
    <t>2022-03-04T12:55:08+00:00</t>
  </si>
  <si>
    <t>https://twitter.com/Osinttechnical/status/1499833640536182790</t>
  </si>
  <si>
    <t>Russian convoy guided by TOR M2</t>
  </si>
  <si>
    <t>https://twitter.com/MilitaryEmpire/status/1499870598859829256</t>
  </si>
  <si>
    <t>Oleshky</t>
  </si>
  <si>
    <t>TOR-M2</t>
  </si>
  <si>
    <t>UW1454</t>
  </si>
  <si>
    <t>https://bellingcat-archive.nyc3.cdn.digitaloceanspaces.com/Ukraine_Witness_Datasheet/Worksheet/youtube_dl_1499833640536182790.mp4</t>
  </si>
  <si>
    <t>2022-03-05T10:05:24.276795+00:00</t>
  </si>
  <si>
    <t>https://bellingcat-archive.nyc3.cdn.digitaloceanspaces.com/Ukraine_Witness_Datasheet/Worksheet/youtube_dl__Osinttechnical_status_14998336405361827902022-03-05T10:05:12.457197.png</t>
  </si>
  <si>
    <t>f30c76af16aa8870bfc69609f0ac726922c33515f0a26db27bd36dd8edabc665</t>
  </si>
  <si>
    <t>https://bellingcat-archive.nyc3.cdn.digitaloceanspaces.com/Ukraine_Witness_Datasheet/Worksheet/youtube_dl_1499833640536182790/index.html</t>
  </si>
  <si>
    <t>OSINTtechnical - TOR-M2 escorting a Russian convoy, radars active.</t>
  </si>
  <si>
    <t>2022-03-04T19:46:20+00:00</t>
  </si>
  <si>
    <t>https://twitter.com/markito0171/status/1499838283202899969</t>
  </si>
  <si>
    <t>0:00-0:11 Drone footage showing explosion</t>
  </si>
  <si>
    <t>UW1455</t>
  </si>
  <si>
    <t>https://bellingcat-archive.nyc3.cdn.digitaloceanspaces.com/Ukraine_Witness_Datasheet/Worksheet/youtube_dl_1499838283202899969.mp4</t>
  </si>
  <si>
    <t>2022-03-05T10:05:45.706940+00:00</t>
  </si>
  <si>
    <t>https://bellingcat-archive.nyc3.cdn.digitaloceanspaces.com/Ukraine_Witness_Datasheet/Worksheet/youtube_dl__markito0171_status_14998382832028999692022-03-05T10:05:28.078491.png</t>
  </si>
  <si>
    <t>82beeade74847f2a79f039c5d6dcb6a532936da89d3cd5f02e713e7cff40978c</t>
  </si>
  <si>
    <t>https://bellingcat-archive.nyc3.cdn.digitaloceanspaces.com/Ukraine_Witness_Datasheet/Worksheet/youtube_dl_1499838283202899969/index.html</t>
  </si>
  <si>
    <t>C4H10FO2P - Drone flight above Bucha battlefield NW of #Kyiv #Ukraine</t>
  </si>
  <si>
    <t>2022-03-04T20:04:47+00:00</t>
  </si>
  <si>
    <t>0:12-0:36 Drone footage showing explosions</t>
  </si>
  <si>
    <t>UW1456</t>
  </si>
  <si>
    <t>2022-03-05T10:10:28.369973+00:00</t>
  </si>
  <si>
    <t>https://bellingcat-archive.nyc3.cdn.digitaloceanspaces.com/Ukraine_Witness_Datasheet/Worksheet/youtube_dl__markito0171_status_14998382832028999692022-03-05T10:10:11.281978.png</t>
  </si>
  <si>
    <t>0:58-1:07 Drone footage Russian military movmenent</t>
  </si>
  <si>
    <t>UW1457</t>
  </si>
  <si>
    <t>2022-03-05T10:20:27.909822+00:00</t>
  </si>
  <si>
    <t>https://bellingcat-archive.nyc3.cdn.digitaloceanspaces.com/Ukraine_Witness_Datasheet/Worksheet/youtube_dl__markito0171_status_14998382832028999692022-03-05T10:20:11.219473.png</t>
  </si>
  <si>
    <t>1:20-1:21 Drone footage Russian military movmenent</t>
  </si>
  <si>
    <t>UW1458</t>
  </si>
  <si>
    <t>2022-03-05T10:30:27.802027+00:00</t>
  </si>
  <si>
    <t>https://bellingcat-archive.nyc3.cdn.digitaloceanspaces.com/Ukraine_Witness_Datasheet/Worksheet/youtube_dl__markito0171_status_14998382832028999692022-03-05T10:30:11.867792.png</t>
  </si>
  <si>
    <t>https://twitter.com/MarQs__/status/1500042641337167872</t>
  </si>
  <si>
    <t>Train hit by shell</t>
  </si>
  <si>
    <t>UW1459</t>
  </si>
  <si>
    <t>https://bellingcat-archive.nyc3.cdn.digitaloceanspaces.com/Ukraine_Witness_Datasheet/Worksheet/twitter__MarQs___status_1500042641337167872.html</t>
  </si>
  <si>
    <t>2022-03-05T10:40:21.586824+00:00</t>
  </si>
  <si>
    <t>https://bellingcat-archive.nyc3.cdn.digitaloceanspaces.com/Ukraine_Witness_Datasheet/Worksheet/twitter__MarQs___status_15000426413371678722022-03-05T10:40:12.881750.png</t>
  </si>
  <si>
    <t>1aa801fa7ce196acde8e6d37b3e023bb43ae83beef5168c1b6fcda0c43918431</t>
  </si>
  <si>
    <t>2022-03-05T09:36:49+00:00</t>
  </si>
  <si>
    <t>https://twitter.com/COUPSURE/status/1500057143256530948?s=20&amp;t=PSjawylprwv7XE_uu7momw</t>
  </si>
  <si>
    <t>Journalists under fire at the entrance to the city of Kyiv</t>
  </si>
  <si>
    <t>Stoyanka</t>
  </si>
  <si>
    <t>UW1460</t>
  </si>
  <si>
    <t>https://bellingcat-archive.nyc3.cdn.digitaloceanspaces.com/Ukraine_Witness_Datasheet/Worksheet/youtube_dl_1500057143256530948.mp4</t>
  </si>
  <si>
    <t>2022-03-05T11:10:34.735325+00:00</t>
  </si>
  <si>
    <t>https://bellingcat-archive.nyc3.cdn.digitaloceanspaces.com/Ukraine_Witness_Datasheet/Worksheet/youtube_dl__COUPSURE_status_15000571432565309482022-03-05T11:10:13.097638.png</t>
  </si>
  <si>
    <t>98866ae36af77805f769fe8c45bd088fa45c85acec5db63b11070d678fe76380</t>
  </si>
  <si>
    <t>https://bellingcat-archive.nyc3.cdn.digitaloceanspaces.com/Ukraine_Witness_Datasheet/Worksheet/youtube_dl_1500057143256530948/index.html</t>
  </si>
  <si>
    <t>C O U P S U R E - SkyNews reporters come under fire near Kyiv.   Full video here :</t>
  </si>
  <si>
    <t>2022-03-05T10:34:27+00:00</t>
  </si>
  <si>
    <t>https://twitter.com/L_ThinkTank/status/1500037873608843265?s=20&amp;t=mMgScZUFreNSHltUJfVvAQ</t>
  </si>
  <si>
    <t xml:space="preserve">Downed helicopter near kyiv </t>
  </si>
  <si>
    <t>https://twitter.com/L_ThinkTank/status/1500066552305102850?s=20&amp;t=mMgScZUFreNSHltUJfVvAQ</t>
  </si>
  <si>
    <t>UW1461</t>
  </si>
  <si>
    <t>https://bellingcat-archive.nyc3.cdn.digitaloceanspaces.com/Ukraine_Witness_Datasheet/Worksheet/youtube_dl_1500037873608843265.mp4</t>
  </si>
  <si>
    <t>2022-03-05T11:25:23.093549+00:00</t>
  </si>
  <si>
    <t>https://bellingcat-archive.nyc3.cdn.digitaloceanspaces.com/Ukraine_Witness_Datasheet/Worksheet/youtube_dl__L_ThinkTank_status_15000378736088432652022-03-05T11:25:12.197364.png</t>
  </si>
  <si>
    <t>f3d2bc374c09b97d2057b54f59bad828a7b263a4849d6e7dc00963cd46f4f695</t>
  </si>
  <si>
    <t>https://bellingcat-archive.nyc3.cdn.digitaloceanspaces.com/Ukraine_Witness_Datasheet/Worksheet/youtube_dl_1500037873608843265/index.html</t>
  </si>
  <si>
    <t>(Little) Think Tank - [ 🇷🇺 RUSSIE | 🇺🇦 UKRAINE ]  🔸 Vidéo montrant le moment où un hélicoptère russe (probablement un Mi-24/35) a été abattu par les forces ukrainiennes. La localisation est inconnue.</t>
  </si>
  <si>
    <t>2022-03-05T09:17:53+00:00</t>
  </si>
  <si>
    <t>https://twitter.com/Ukraine_AF/status/1500071608144257024?s=20&amp;t=mMgScZUFreNSHltUJfVvAQ</t>
  </si>
  <si>
    <t>Wreckage of the Russian fighter plane downed in Chernihiv</t>
  </si>
  <si>
    <t>https://twitter.com/COUPSURE/status/1500079696482086913?s=20&amp;t=mMgScZUFreNSHltUJfVvAQ</t>
  </si>
  <si>
    <t>UW1462</t>
  </si>
  <si>
    <t>https://bellingcat-archive.nyc3.cdn.digitaloceanspaces.com/Ukraine_Witness_Datasheet/Worksheet/twitter__Ukraine_AF_status_1500071608144257024.html</t>
  </si>
  <si>
    <t>2022-03-05T12:10:21.248312+00:00</t>
  </si>
  <si>
    <t>https://bellingcat-archive.nyc3.cdn.digitaloceanspaces.com/Ukraine_Witness_Datasheet/Worksheet/twitter__Ukraine_AF_status_15000716081442570242022-03-05T12:10:13.009325.png</t>
  </si>
  <si>
    <t>866529d57d0fb6d0b29a64287b250ad1b444b63bdf3dd0cbb918dc823fc1d625</t>
  </si>
  <si>
    <t>2022-03-05T11:31:56+00:00</t>
  </si>
  <si>
    <t>https://twitter.com/SESU_UA/status/1500069814240518144?s=20&amp;t=mMgScZUFreNSHltUJfVvAQ</t>
  </si>
  <si>
    <t>https://twitter.com/Gerjon_/status/1500077429985095685?s=20&amp;t=mMgScZUFreNSHltUJfVvAQ</t>
  </si>
  <si>
    <t>UW1463</t>
  </si>
  <si>
    <t>https://bellingcat-archive.nyc3.cdn.digitaloceanspaces.com/Ukraine_Witness_Datasheet/Worksheet/twitter__SESU_UA_status_1500069814240518144.html</t>
  </si>
  <si>
    <t>2022-03-05T12:15:21.621993+00:00</t>
  </si>
  <si>
    <t>https://bellingcat-archive.nyc3.cdn.digitaloceanspaces.com/Ukraine_Witness_Datasheet/Worksheet/twitter__SESU_UA_status_15000698142405181442022-03-05T12:15:13.324742.png</t>
  </si>
  <si>
    <t>291928dcdb316427f0a68b77d559f28faeb04c01dff6d5f324cd5e3898280f5a</t>
  </si>
  <si>
    <t>2022-03-05T11:24:48+00:00</t>
  </si>
  <si>
    <t>https://twitter.com/DmytroKuleba/status/1500080905297317889?s=20&amp;t=GuJooMuH6sjVRpBRYfi6bQ</t>
  </si>
  <si>
    <t>Civilians protesting in Kherson</t>
  </si>
  <si>
    <t>There are several videos coming in from the same location. This is one of the highest quality videos I've found</t>
  </si>
  <si>
    <t>UW1464</t>
  </si>
  <si>
    <t>https://bellingcat-archive.nyc3.cdn.digitaloceanspaces.com/Ukraine_Witness_Datasheet/Worksheet/youtube_dl_1500080905297317889.mp4</t>
  </si>
  <si>
    <t>2022-03-05T12:45:27.435271+00:00</t>
  </si>
  <si>
    <t>https://bellingcat-archive.nyc3.cdn.digitaloceanspaces.com/Ukraine_Witness_Datasheet/Worksheet/youtube_dl__DmytroKuleba_status_15000809052973178892022-03-05T12:45:15.531234.png</t>
  </si>
  <si>
    <t>cb8dc74012072a21d4deb642aa8c053a595b3f9d5fd3b54b4ba4ab49139e7b44</t>
  </si>
  <si>
    <t>https://bellingcat-archive.nyc3.cdn.digitaloceanspaces.com/Ukraine_Witness_Datasheet/Worksheet/youtube_dl_1500080905297317889/index.html</t>
  </si>
  <si>
    <t>Dmytro Kuleba - Courageous Kherson inspires Ukraine and the world! Thousands of peaceful Ukrainians protest Russian occupation in front of armed Russian soldiers. What a spirit. I call on everyone around the globe: express your support for the fearless Ukrainians in Kherson! #CourageousKherson</t>
  </si>
  <si>
    <t>2022-03-05T12:08:52+00:00</t>
  </si>
  <si>
    <t>https://t.me/lachentyp/474</t>
  </si>
  <si>
    <t>Coordinates from building in Svobody Square, opposite Foxtrot store</t>
  </si>
  <si>
    <t>UW1465</t>
  </si>
  <si>
    <t>YES, randomised location</t>
  </si>
  <si>
    <t>https://bellingcat-archive.nyc3.cdn.digitaloceanspaces.com/Ukraine_Witness_Datasheet/Worksheet/telegram_fd1912a45a.mp4</t>
  </si>
  <si>
    <t>2022-03-05T13:46:07.259054+00:00</t>
  </si>
  <si>
    <t>https://bellingcat-archive.nyc3.cdn.digitaloceanspaces.com/Ukraine_Witness_Datasheet/Worksheet/telegram__lachentyp_4742022-03-05T13:45:10.253201.png</t>
  </si>
  <si>
    <t>df3309695e6b44b659d111cef9023e0006a022fe0f59e05512abd9c1fbf75db5</t>
  </si>
  <si>
    <t>https://bellingcat-archive.nyc3.cdn.digitaloceanspaces.com/Ukraine_Witness_Datasheet/Worksheet/telegram_fd1912a45a/index.html</t>
  </si>
  <si>
    <t>2022-03-05T11:31:33+00:00</t>
  </si>
  <si>
    <t>https://twitter.com/Caucasuswar/status/1500101574869360642?s=20&amp;t=t4Dl1G4ba8WdbKgWRSWLFQ</t>
  </si>
  <si>
    <t>Abandoned Ukrainian base near Kherson is taken over by Russian forces</t>
  </si>
  <si>
    <t>UW1466</t>
  </si>
  <si>
    <t>https://bellingcat-archive.nyc3.cdn.digitaloceanspaces.com/Ukraine_Witness_Datasheet/Worksheet/youtube_dl_1500101574869360642.mp4</t>
  </si>
  <si>
    <t>2022-03-05T13:50:31.684320+00:00</t>
  </si>
  <si>
    <t>https://bellingcat-archive.nyc3.cdn.digitaloceanspaces.com/Ukraine_Witness_Datasheet/Worksheet/youtube_dl__Caucasuswar_status_15001015748693606422022-03-05T13:50:16.444866.png</t>
  </si>
  <si>
    <t>943bc8939fde13464e2d711a12e23e3a01ec65febe88b9706183778eb45a4206</t>
  </si>
  <si>
    <t>https://bellingcat-archive.nyc3.cdn.digitaloceanspaces.com/Ukraine_Witness_Datasheet/Worksheet/youtube_dl_1500101574869360642/index.html</t>
  </si>
  <si>
    <t>CaucasusWarReport - Abandoned Ukrainian base near Kherson is taken over by Russian forces. Multiple Ukrainian military vehicles and armaments captured by Russian troops.</t>
  </si>
  <si>
    <t>2022-03-05T13:31:00+00:00</t>
  </si>
  <si>
    <t>https://twitter.com/666_mancer/status/1500093865990275072?s=20&amp;t=AhMdQMdfbqNuxoX0Mvp7rQ</t>
  </si>
  <si>
    <t>Russian forces with vehicles showing 'Z' markings</t>
  </si>
  <si>
    <t>UW1467</t>
  </si>
  <si>
    <t>https://bellingcat-archive.nyc3.cdn.digitaloceanspaces.com/Ukraine_Witness_Datasheet/Worksheet/twitter__666_mancer_status_1500093865990275072.html</t>
  </si>
  <si>
    <t>2022-03-05T13:50:44.049704+00:00</t>
  </si>
  <si>
    <t>https://bellingcat-archive.nyc3.cdn.digitaloceanspaces.com/Ukraine_Witness_Datasheet/Worksheet/twitter__666_mancer_status_15000938659902750722022-03-05T13:50:35.013662.png</t>
  </si>
  <si>
    <t>15ff618d301a030c5925f12d6260dfa9a37b3f99ffde7b704f4ca87a311771fb</t>
  </si>
  <si>
    <t>2022-03-05T13:00:22+00:00</t>
  </si>
  <si>
    <t>https://twitter.com/kromark/status/1500078207374135300?s=20&amp;t=SvDtnjHwT9SUCrmDL7853g</t>
  </si>
  <si>
    <t>UW1468</t>
  </si>
  <si>
    <t>https://bellingcat-archive.nyc3.cdn.digitaloceanspaces.com/Ukraine_Witness_Datasheet/Worksheet/youtube_dl_1500078207374135300.mp4</t>
  </si>
  <si>
    <t>2022-03-05T13:55:24.433189+00:00</t>
  </si>
  <si>
    <t>https://bellingcat-archive.nyc3.cdn.digitaloceanspaces.com/Ukraine_Witness_Datasheet/Worksheet/youtube_dl__kromark_status_15000782073741353002022-03-05T13:55:13.267376.png</t>
  </si>
  <si>
    <t>0c9708f0df1c12a6024fd48886ffe83ac3d47678c2a786ab13f64796fb71e218</t>
  </si>
  <si>
    <t>https://bellingcat-archive.nyc3.cdn.digitaloceanspaces.com/Ukraine_Witness_Datasheet/Worksheet/youtube_dl_1500078207374135300/index.html</t>
  </si>
  <si>
    <t>Mark Krutov - 🧵How Russian MoD misinforms public about its "precise" air strikes. Today they published this Ka-52 video, claiming it shows "helicopter crews destroying armored vehicles of Ukrainian nationalists with anti-tank GUIDED missiles" (source:</t>
  </si>
  <si>
    <t>2022-03-05T11:58:09+00:00</t>
  </si>
  <si>
    <t>https://twitter.com/michaelh992/status/1500109042563301377?s=20&amp;t=U5fjLoT4qiyyl0D5R8UYCg</t>
  </si>
  <si>
    <t>Evacuation happening out of Irpin, fighting heard in the background.</t>
  </si>
  <si>
    <t>Street view here: https://www.google.com/maps/@50.4882432,30.2640215,3a,75y,317.55h,93.81t/data=!3m6!1e1!3m4!1sFrO8ir6PvpJRlnjPYLplrg!2e0!7i13312!8i6656</t>
  </si>
  <si>
    <t>UW1469</t>
  </si>
  <si>
    <t>https://bellingcat-archive.nyc3.cdn.digitaloceanspaces.com/Ukraine_Witness_Datasheet/Worksheet/youtube_dl_1500109042563301377.mp4</t>
  </si>
  <si>
    <t>2022-03-05T14:05:31.071807+00:00</t>
  </si>
  <si>
    <t>https://bellingcat-archive.nyc3.cdn.digitaloceanspaces.com/Ukraine_Witness_Datasheet/Worksheet/youtube_dl__michaelh992_status_15001090425633013772022-03-05T14:05:13.965983.png</t>
  </si>
  <si>
    <t>ce4d3df32f37579d5cc4ba47ebdf265cf8d715ebac61c017e1501b9ad339cf7f</t>
  </si>
  <si>
    <t>https://bellingcat-archive.nyc3.cdn.digitaloceanspaces.com/Ukraine_Witness_Datasheet/Worksheet/youtube_dl_1500109042563301377/index.html</t>
  </si>
  <si>
    <t>Michael A. Horowitz - Residents of Irpin were evacuated by car today, after Russian forces shelled the train tracks and damaged two train cars. You can hear the fighting in the background.</t>
  </si>
  <si>
    <t>2022-03-05T14:00:41+00:00</t>
  </si>
  <si>
    <t>https://twitter.com/200_zoka/status/1500108724681289746?s=20&amp;t=U5fjLoT4qiyyl0D5R8UYCg</t>
  </si>
  <si>
    <t>Russian troops on the move</t>
  </si>
  <si>
    <t>UW1470</t>
  </si>
  <si>
    <t>https://bellingcat-archive.nyc3.cdn.digitaloceanspaces.com/Ukraine_Witness_Datasheet/Worksheet/twitter__200_zoka_status_1500108724681289746.html</t>
  </si>
  <si>
    <t>2022-03-05T14:05:42.977479+00:00</t>
  </si>
  <si>
    <t>https://bellingcat-archive.nyc3.cdn.digitaloceanspaces.com/Ukraine_Witness_Datasheet/Worksheet/twitter__200_zoka_status_15001087246812897462022-03-05T14:05:33.501362.png</t>
  </si>
  <si>
    <t>3a5961659af1005b7c0f150e3b7be7808cd28b33f26a8122cc6616744b7c3f43</t>
  </si>
  <si>
    <t>2022-03-05T13:59:25+00:00</t>
  </si>
  <si>
    <t>https://twitter.com/TimGatt/status/1499861301241303045?s=20&amp;t=U5fjLoT4qiyyl0D5R8UYCg</t>
  </si>
  <si>
    <t>UW1471</t>
  </si>
  <si>
    <t>https://bellingcat-archive.nyc3.cdn.digitaloceanspaces.com/Ukraine_Witness_Datasheet/Worksheet/youtube_dl_1499861301241303045.mp4</t>
  </si>
  <si>
    <t>2022-03-05T14:06:08.617067+00:00</t>
  </si>
  <si>
    <t>https://bellingcat-archive.nyc3.cdn.digitaloceanspaces.com/Ukraine_Witness_Datasheet/Worksheet/youtube_dl__TimGatt_status_14998613012413030452022-03-05T14:05:45.788901.png</t>
  </si>
  <si>
    <t>9ccc2067f49ed54f37e85e1ca528953796c01b3ef888dc368b2b80559b51f4df</t>
  </si>
  <si>
    <t>https://bellingcat-archive.nyc3.cdn.digitaloceanspaces.com/Ukraine_Witness_Datasheet/Worksheet/youtube_dl_1499861301241303045/index.html</t>
  </si>
  <si>
    <t>Tim Gatt - This is absolutely terrifying - Stuart Ramsay and his Sky News team were targeted by a professional Russian hit squad in Ukraine.  Amazing that cameraman Richie Mockler managed to film this despite being under heavy gunfire.  They're safely back in the UK.</t>
  </si>
  <si>
    <t>2022-03-04T21:36:14+00:00</t>
  </si>
  <si>
    <t>https://twitter.com/shaunwalker7/status/1500059651546755073</t>
  </si>
  <si>
    <t>Residential area destroyed in Bila Tserkva</t>
  </si>
  <si>
    <t>https://twitter.com/MaximEdwards/status/1500074833283010564?s=20&amp;t=nc7QTtlQbGFT56wecLtn3g</t>
  </si>
  <si>
    <t>Bila Tserkva</t>
  </si>
  <si>
    <t>UW1472</t>
  </si>
  <si>
    <t>https://bellingcat-archive.nyc3.cdn.digitaloceanspaces.com/Ukraine_Witness_Datasheet/Worksheet/youtube_dl_1500059651546755073.mp4</t>
  </si>
  <si>
    <t>2022-03-05T15:00:26.890254+00:00</t>
  </si>
  <si>
    <t>https://bellingcat-archive.nyc3.cdn.digitaloceanspaces.com/Ukraine_Witness_Datasheet/Worksheet/youtube_dl__shaunwalker7_status_15000596515467550732022-03-05T15:00:13.707086.png</t>
  </si>
  <si>
    <t>b2e306f08492b3e77bb35ddf8f4da84afbe3283dd469e5a4cffdaae1af9602d0</t>
  </si>
  <si>
    <t>https://bellingcat-archive.nyc3.cdn.digitaloceanspaces.com/Ukraine_Witness_Datasheet/Worksheet/youtube_dl_1500059651546755073/index.html</t>
  </si>
  <si>
    <t>Shaun Walker - Spent the night in Bila Tserkva last night and left early this morning. It was quiet save for the occasional air raid siren. And then this happened, according to numerous sources. Looks like pure residential area.</t>
  </si>
  <si>
    <t>2022-03-05T10:44:25+00:00</t>
  </si>
  <si>
    <t>https://twitter.com/Militarylandnet/status/1500090236570849282?s=20&amp;t=WhGrONwa45Jn-mZZtAfQ7Q</t>
  </si>
  <si>
    <t>Used UW1466 for verification</t>
  </si>
  <si>
    <t>UW1473</t>
  </si>
  <si>
    <t>https://bellingcat-archive.nyc3.cdn.digitaloceanspaces.com/Ukraine_Witness_Datasheet/Worksheet/youtube_dl_1500090236570849282.mp4</t>
  </si>
  <si>
    <t>2022-03-05T15:05:44.396359+00:00</t>
  </si>
  <si>
    <t>https://bellingcat-archive.nyc3.cdn.digitaloceanspaces.com/Ukraine_Witness_Datasheet/Worksheet/youtube_dl__Militarylandnet_status_15000902365708492822022-03-05T15:05:22.815805.png</t>
  </si>
  <si>
    <t>ffc72477368aedd36bebed5cd6bb9f87cee3e2b0d39542ba73ad5c9ae42e9a05</t>
  </si>
  <si>
    <t>https://bellingcat-archive.nyc3.cdn.digitaloceanspaces.com/Ukraine_Witness_Datasheet/Worksheet/youtube_dl_1500090236570849282/index.html</t>
  </si>
  <si>
    <t>MilitaryLand.net - 📽️ More footage of the abandoned Ukrainian camp near Kherson. #Ukraine #UkraineRussiaWar</t>
  </si>
  <si>
    <t>2022-03-05T12:45:57+00:00</t>
  </si>
  <si>
    <t>https://twitter.com/spriter99880/status/1500090578826055682?s=20&amp;t=qhlqcxbu64fFGtH1G6Zx4Q</t>
  </si>
  <si>
    <t>UW1474</t>
  </si>
  <si>
    <t>https://bellingcat-archive.nyc3.cdn.digitaloceanspaces.com/Ukraine_Witness_Datasheet/Worksheet/youtube_dl_1500090578826055682.mp4</t>
  </si>
  <si>
    <t>2022-03-05T15:06:05.387886+00:00</t>
  </si>
  <si>
    <t>https://bellingcat-archive.nyc3.cdn.digitaloceanspaces.com/Ukraine_Witness_Datasheet/Worksheet/youtube_dl__spriter99880_status_15000905788260556822022-03-05T15:05:47.253932.png</t>
  </si>
  <si>
    <t>67f0814f5572d34ffe7ef3444a3bf2b475312e1641fc3c2ff1566ba6c0f9a669</t>
  </si>
  <si>
    <t>https://bellingcat-archive.nyc3.cdn.digitaloceanspaces.com/Ukraine_Witness_Datasheet/Worksheet/youtube_dl_1500090578826055682/index.html</t>
  </si>
  <si>
    <t>Spriter - abandoned base of the Ukrainian Forces in the Kherson region.The footage shows a large amount of abandoned military equipment:tanks,armored personnel carriers, infantry fighting vehicles.All these cars,are on the move. In addition, the ammunition depot remained intact.</t>
  </si>
  <si>
    <t>2022-03-05T12:47:18+00:00</t>
  </si>
  <si>
    <t>https://twitter.com/ntvru/status/1500090768194744325?s=20&amp;t=rk2sDq5Fd49akF6oIncs3A</t>
  </si>
  <si>
    <t>Bunker seen on GE next to treeline</t>
  </si>
  <si>
    <t>UW1475</t>
  </si>
  <si>
    <t>https://bellingcat-archive.nyc3.cdn.digitaloceanspaces.com/Ukraine_Witness_Datasheet/Worksheet/youtube_dl_1500090768194744325.mp4</t>
  </si>
  <si>
    <t>2022-03-05T15:10:26.696397+00:00</t>
  </si>
  <si>
    <t>https://bellingcat-archive.nyc3.cdn.digitaloceanspaces.com/Ukraine_Witness_Datasheet/Worksheet/youtube_dl__ntvru_status_15000907681947443252022-03-05T15:10:13.155936.png</t>
  </si>
  <si>
    <t>fd45d744043edef0f64532392db1a5875156c582641e8f72ff55c57e2657ee1d</t>
  </si>
  <si>
    <t>https://bellingcat-archive.nyc3.cdn.digitaloceanspaces.com/Ukraine_Witness_Datasheet/Worksheet/youtube_dl_1500090768194744325/index.html</t>
  </si>
  <si>
    <t>НТВ - Украинские военные бросили свою базу в 20 км от Херсона.   Оставили там арсенал на 4,5 тысяч тонн боеприпасов и 40 единиц бронетехники</t>
  </si>
  <si>
    <t>2022-03-05T12:48:04+00:00</t>
  </si>
  <si>
    <t>https://twitter.com/Blue_Sauron/status/1500105505511022594?s=20&amp;t=osVhP_ob1s7U-feIbwxF5A</t>
  </si>
  <si>
    <t>Powerline seen in footage runs down southern side of field. Hill seen on NW side of field.</t>
  </si>
  <si>
    <t>UW1476</t>
  </si>
  <si>
    <t>https://bellingcat-archive.nyc3.cdn.digitaloceanspaces.com/Ukraine_Witness_Datasheet/Worksheet/youtube_dl_1500105505511022594.mp4</t>
  </si>
  <si>
    <t>2022-03-05T15:10:51.545414+00:00</t>
  </si>
  <si>
    <t>https://bellingcat-archive.nyc3.cdn.digitaloceanspaces.com/Ukraine_Witness_Datasheet/Worksheet/youtube_dl__Blue_Sauron_status_15001055055110225942022-03-05T15:10:30.822118.png</t>
  </si>
  <si>
    <t>05bbfc78cb9b2c0da85755da6f379a1b47ae4742b414f093ec9c42302b30f7ae</t>
  </si>
  <si>
    <t>https://bellingcat-archive.nyc3.cdn.digitaloceanspaces.com/Ukraine_Witness_Datasheet/Worksheet/youtube_dl_1500105505511022594/index.html</t>
  </si>
  <si>
    <t>BlueSauron👁️ - Closer view for the abandoned Ukrainian equipment in the military base near Kherson. #Ukraine #Russia</t>
  </si>
  <si>
    <t>2022-03-05T13:46:37+00:00</t>
  </si>
  <si>
    <t>https://twitter.com/ASBMilitary/status/1500109908724924422</t>
  </si>
  <si>
    <t>UW1477</t>
  </si>
  <si>
    <t>https://bellingcat-archive.nyc3.cdn.digitaloceanspaces.com/Ukraine_Witness_Datasheet/Worksheet/youtube_dl_1500109908724924422.mp4</t>
  </si>
  <si>
    <t>2022-03-05T15:20:32.211732+00:00</t>
  </si>
  <si>
    <t>https://bellingcat-archive.nyc3.cdn.digitaloceanspaces.com/Ukraine_Witness_Datasheet/Worksheet/youtube_dl__ASBMilitary_status_15001099087249244222022-03-05T15:20:14.930993.png</t>
  </si>
  <si>
    <t>37537eb768eafed7bd2f00a09392a368a767eb6c1491cb6a44e34d3e9b552a3a</t>
  </si>
  <si>
    <t>https://bellingcat-archive.nyc3.cdn.digitaloceanspaces.com/Ukraine_Witness_Datasheet/Worksheet/youtube_dl_1500109908724924422/index.html</t>
  </si>
  <si>
    <t>ASB News / MILITARY〽️ - Russia releases footage of captured Ukrainian hardware — just in Kherson.</t>
  </si>
  <si>
    <t>2022-03-05T14:04:07+00:00</t>
  </si>
  <si>
    <t>https://twitter.com/MarQs__/status/1500042036598251523</t>
  </si>
  <si>
    <t>UW1478</t>
  </si>
  <si>
    <t>https://bellingcat-archive.nyc3.cdn.digitaloceanspaces.com/Ukraine_Witness_Datasheet/Worksheet/youtube_dl_1500108019606163460.mp4</t>
  </si>
  <si>
    <t>2022-03-05T15:25:26.163060+00:00</t>
  </si>
  <si>
    <t>https://bellingcat-archive.nyc3.cdn.digitaloceanspaces.com/Ukraine_Witness_Datasheet/Worksheet/youtube_dl__daxure_status_15001080196061634602022-03-05T15:25:14.919160.png</t>
  </si>
  <si>
    <t>17144ddf07995aa085af64e9dd0e443bdfd57612457401a8745050e10cfcdd1f</t>
  </si>
  <si>
    <t>https://bellingcat-archive.nyc3.cdn.digitaloceanspaces.com/Ukraine_Witness_Datasheet/Worksheet/youtube_dl_1500108019606163460/index.html</t>
  </si>
  <si>
    <t>daxure - #Bela_Tserkva Rocket assault of #Russian</t>
  </si>
  <si>
    <t>2022-03-05T13:56:37+00:00</t>
  </si>
  <si>
    <t>https://twitter.com/dkaleniuk/status/1500086309083402243</t>
  </si>
  <si>
    <t>UW1479</t>
  </si>
  <si>
    <t>https://bellingcat-archive.nyc3.cdn.digitaloceanspaces.com/Ukraine_Witness_Datasheet/Worksheet/twitter__dkaleniuk_status_1500086309083402243.html</t>
  </si>
  <si>
    <t>2022-03-05T15:35:22.262057+00:00</t>
  </si>
  <si>
    <t>https://bellingcat-archive.nyc3.cdn.digitaloceanspaces.com/Ukraine_Witness_Datasheet/Worksheet/twitter__dkaleniuk_status_15000863090834022432022-03-05T15:35:13.277748.png</t>
  </si>
  <si>
    <t>a945cca454ec1037484f90f9760690aee6fe508de1008c16181e84afaffbe610</t>
  </si>
  <si>
    <t>2022-03-05T12:30:20+00:00</t>
  </si>
  <si>
    <t>https://twitter.com/olex_scherba/status/1499979799917436930</t>
  </si>
  <si>
    <t>Russian military convoy in the city center</t>
  </si>
  <si>
    <t>UW1480</t>
  </si>
  <si>
    <t>https://bellingcat-archive.nyc3.cdn.digitaloceanspaces.com/Ukraine_Witness_Datasheet/Worksheet/youtube_dl_1499979799917436930.mp4</t>
  </si>
  <si>
    <t>2022-03-05T15:35:36.475399+00:00</t>
  </si>
  <si>
    <t>https://bellingcat-archive.nyc3.cdn.digitaloceanspaces.com/Ukraine_Witness_Datasheet/Worksheet/youtube_dl__olex_scherba_status_14999797999174369302022-03-05T15:35:24.693804.png</t>
  </si>
  <si>
    <t>d578f8dc702a2cffc30be804f3896c3e367e70fb60d68a07593d66180568ac61</t>
  </si>
  <si>
    <t>https://bellingcat-archive.nyc3.cdn.digitaloceanspaces.com/Ukraine_Witness_Datasheet/Worksheet/youtube_dl_1499979799917436930/index.html</t>
  </si>
  <si>
    <t>olexander scherba🇺🇦 - RU mil machinery in the occupied Melitopol. Locals: “Are they f-cking off? Already?”  #StandWithUkraine️ #PutinIsFalling</t>
  </si>
  <si>
    <t>2022-03-05T05:27:07+00:00</t>
  </si>
  <si>
    <t>UW1481</t>
  </si>
  <si>
    <t>https://twitter.com/DmytroKuleba/status/1500080905297317889?s=20&amp;t=x_HjsNNsR-f0-UdiQRDwOg</t>
  </si>
  <si>
    <t xml:space="preserve">Ukrainians protestors in in front of armed Russian soldiers. </t>
  </si>
  <si>
    <t>https://goo.gl/maps/GvvXuRMSMYcYDFiu5</t>
  </si>
  <si>
    <t>UW1482</t>
  </si>
  <si>
    <t>2022-03-05T15:50:23.880858+00:00</t>
  </si>
  <si>
    <t>https://bellingcat-archive.nyc3.cdn.digitaloceanspaces.com/Ukraine_Witness_Datasheet/Worksheet/youtube_dl__DmytroKuleba_status_15000809052973178892022-03-05T15:50:11.598831.png</t>
  </si>
  <si>
    <t>https://twitter.com/AlexKokcharov/status/1500067828245880833?s=20&amp;t=aop54n6Kb3f2c4VE_VywGQ</t>
  </si>
  <si>
    <t>UW1483</t>
  </si>
  <si>
    <t>https://bellingcat-archive.nyc3.cdn.digitaloceanspaces.com/Ukraine_Witness_Datasheet/Worksheet/youtube_dl_1500067828245880833.mp4</t>
  </si>
  <si>
    <t>2022-03-05T16:25:26.443137+00:00</t>
  </si>
  <si>
    <t>https://bellingcat-archive.nyc3.cdn.digitaloceanspaces.com/Ukraine_Witness_Datasheet/Worksheet/youtube_dl__AlexKokcharov_status_15000678282458808332022-03-05T16:25:13.696881.png</t>
  </si>
  <si>
    <t>b4b0fe73cd847c4268308c2196175c3c9098cf9d8bc6061bcad05a61e43b9a36</t>
  </si>
  <si>
    <t>https://bellingcat-archive.nyc3.cdn.digitaloceanspaces.com/Ukraine_Witness_Datasheet/Worksheet/youtube_dl_1500067828245880833/index.html</t>
  </si>
  <si>
    <t>Alex Kokcharov - One more video from #Kherson, south #Ukraine, where local residents are holding a protest rally against the #Russia|n invaders who occupied the city several days ago.   Extraordinary defiance of ordinary Ukrainians!!!</t>
  </si>
  <si>
    <t>2022-03-05T11:16:54+00:00</t>
  </si>
  <si>
    <t>https://t.me/kurilka_kahovka/1657</t>
  </si>
  <si>
    <t>Man jumps on a moving russian tank and waves with the Ukrainian flag.</t>
  </si>
  <si>
    <t>https://images.app.goo.gl/tpXnVua39C4qEFfp9</t>
  </si>
  <si>
    <t>https://www.google.com/maps/@46.637519,32.6156913,3a,75y,234.54h,94.35t/data=!3m8!1e1!3m6!1sAF1QipOB82onQErDs11pc0T655hxttyfz9I0PuWmrQNk!2e10!3e11!6shttps:%2F%2Flh5.googleusercontent.com%2Fp%2FAF1QipOB82onQErDs11pc0T655hxttyfz9I0PuWmrQNk%3Dw203-h100-k-no-pi22.413343-ya267.6694-ro-6.1150336-fo100!7i6720!8i3360</t>
  </si>
  <si>
    <t>UW1484</t>
  </si>
  <si>
    <t>https://bellingcat-archive.nyc3.cdn.digitaloceanspaces.com/Ukraine_Witness_Datasheet/Worksheet/telegram_eb419fd102.mp4</t>
  </si>
  <si>
    <t>2022-03-05T16:31:51.804387+00:00</t>
  </si>
  <si>
    <t>https://bellingcat-archive.nyc3.cdn.digitaloceanspaces.com/Ukraine_Witness_Datasheet/Worksheet/telegram__kurilka_kahovka_16572022-03-05T16:30:10.218355.png</t>
  </si>
  <si>
    <t>f9b6806f23f8a4d15c1a279d6b79a869c45f8a1fd8f30f65ec8630513287ff01</t>
  </si>
  <si>
    <t>https://bellingcat-archive.nyc3.cdn.digitaloceanspaces.com/Ukraine_Witness_Datasheet/Worksheet/telegram_eb419fd102/index.html</t>
  </si>
  <si>
    <t>2022-03-05T10:02:28+00:00</t>
  </si>
  <si>
    <t>https://t.me/uniannet/35313</t>
  </si>
  <si>
    <t>Probably Kherson, people trying to prevent military vehicles from movement, one can here shooting.</t>
  </si>
  <si>
    <t>UW1485</t>
  </si>
  <si>
    <t>https://bellingcat-archive.nyc3.cdn.digitaloceanspaces.com/Ukraine_Witness_Datasheet/Worksheet/telegram_c22ac785ae.mp4</t>
  </si>
  <si>
    <t>2022-03-05T16:56:49.509274+00:00</t>
  </si>
  <si>
    <t>https://bellingcat-archive.nyc3.cdn.digitaloceanspaces.com/Ukraine_Witness_Datasheet/Worksheet/telegram__uniannet_353132022-03-05T16:55:10.602146.png</t>
  </si>
  <si>
    <t>8a214c145f21ca1d3ab52e633b405626bb2cdf2b5c1cb603ffca40aadaa1dcac</t>
  </si>
  <si>
    <t>https://bellingcat-archive.nyc3.cdn.digitaloceanspaces.com/Ukraine_Witness_Datasheet/Worksheet/telegram_c22ac785ae/index.html</t>
  </si>
  <si>
    <t>2022-03-05T06:23:11+00:00</t>
  </si>
  <si>
    <t>https://twitter.com/AlexKokcharov/status/1500028423879733252?s=20&amp;t=HOpUqVBNhnBbbeXe8KYPsw</t>
  </si>
  <si>
    <t>Local residents are holding a protest rally against the Russian invaders.</t>
  </si>
  <si>
    <t>https://www.google.com/search?q=kherson+svobody&amp;rlz=1C1GCEV_enDE890DE890&amp;sxsrf=APq-WBuzFONLNFMCoJmGo4L-vrafB8fbVQ:1646499960793&amp;source=lnms&amp;tbm=isch&amp;sa=X&amp;ved=2ahUKEwiY-KOquq_2AhULSPEDHfKlC-EQ_AUoAnoECAEQBA&amp;biw=1600&amp;bih=722&amp;dpr=1.2</t>
  </si>
  <si>
    <t>UW1486</t>
  </si>
  <si>
    <t>https://bellingcat-archive.nyc3.cdn.digitaloceanspaces.com/Ukraine_Witness_Datasheet/Worksheet/youtube_dl_1500028423879733252.mp4</t>
  </si>
  <si>
    <t>2022-03-05T17:05:26.678824+00:00</t>
  </si>
  <si>
    <t>https://bellingcat-archive.nyc3.cdn.digitaloceanspaces.com/Ukraine_Witness_Datasheet/Worksheet/youtube_dl__AlexKokcharov_status_15000284238797332522022-03-05T17:05:13.570496.png</t>
  </si>
  <si>
    <t>9fd7b7b8927aab9fbc7c07884cbd95fc5cbebd595ba8330aebc3515776c84306</t>
  </si>
  <si>
    <t>https://bellingcat-archive.nyc3.cdn.digitaloceanspaces.com/Ukraine_Witness_Datasheet/Worksheet/youtube_dl_1500028423879733252/index.html</t>
  </si>
  <si>
    <t>Alex Kokcharov - In #Kherson, south #Ukraine, local residents are holding a protest rally against the #Russia|n invaders who occupied the city several days ago.   Amazing defiance. The Kremlin miscalculated about Ukraine very badly.</t>
  </si>
  <si>
    <t>2022-03-05T08:40:20+00:00</t>
  </si>
  <si>
    <t>https://twitter.com/AlexandruC4/status/1500145959375884289</t>
  </si>
  <si>
    <t>CIV0224</t>
  </si>
  <si>
    <t>Damaged residential building after strike</t>
  </si>
  <si>
    <t>UW1487</t>
  </si>
  <si>
    <t>https://bellingcat-archive.nyc3.cdn.digitaloceanspaces.com/Ukraine_Witness_Datasheet/Worksheet/twitter__AlexandruC4_status_1500145959375884289.html</t>
  </si>
  <si>
    <t>2022-03-05T16:40:21.715918+00:00</t>
  </si>
  <si>
    <t>https://bellingcat-archive.nyc3.cdn.digitaloceanspaces.com/Ukraine_Witness_Datasheet/Worksheet/twitter__AlexandruC4_status_15001459593758842892022-03-05T16:40:12.917801.png</t>
  </si>
  <si>
    <t>cd9cfc884921677d8259cac441da8e363ccc71523b1d69180b7f32d8666ff176</t>
  </si>
  <si>
    <t>2022-03-05T16:27:22+00:00</t>
  </si>
  <si>
    <t>https://twitter.com/dtcdonetskua/status/1499480960429142016</t>
  </si>
  <si>
    <t>Unexploded bomb removed from building on Vulytsya Pushkina, Kalynivka</t>
  </si>
  <si>
    <t>https://twitter.com/Oleksa_UA66/status/1499439853121032194</t>
  </si>
  <si>
    <t>Vinnytsia Oblast</t>
  </si>
  <si>
    <t>Kalinovka</t>
  </si>
  <si>
    <t>Unexploded Aerial Bomb, images from Ukranian Army</t>
  </si>
  <si>
    <t>UW1488</t>
  </si>
  <si>
    <t>https://bellingcat-archive.nyc3.cdn.digitaloceanspaces.com/Ukraine_Witness_Datasheet/Worksheet/twitter__dtcdonetskua_status_1499480960429142016.html</t>
  </si>
  <si>
    <t>2022-03-05T17:05:39.733433+00:00</t>
  </si>
  <si>
    <t>https://bellingcat-archive.nyc3.cdn.digitaloceanspaces.com/Ukraine_Witness_Datasheet/Worksheet/twitter__dtcdonetskua_status_14994809604291420162022-03-05T17:05:30.767795.png</t>
  </si>
  <si>
    <t>a5947065d98fb1853e3c83ef0a104c30c6b95cf2a7e63838538e9650ced962d2</t>
  </si>
  <si>
    <t>2022-03-03T20:24:54+00:00</t>
  </si>
  <si>
    <t>street is mentioned in the tweet but image location is not confirmed</t>
  </si>
  <si>
    <t>https://www.youtube.com/shorts/sKSlC9SOd5I</t>
  </si>
  <si>
    <t xml:space="preserve">Tank runs over a civilian vehicle with the driver inside. </t>
  </si>
  <si>
    <t>https://www.google.com/maps/place/Heroiv+Dnipra+St,+12,+Kyiv,+Ukraine,+02000/@50.5182413,30.4890825,17z/data=!3m1!4b1!4m5!3m4!1s0x40d4d2698b6fdad7:0xb63d45f305207fca!8m2!3d50.5182413!4d30.4912712</t>
  </si>
  <si>
    <t>In this video the street is named (opposite to Heroiv Dnipra St 12), and can be geolocated and varified exactly. You can also see the Stadt Kyiv licence plate AA 0372 IC(see from 17:48): https://www.youtube.com/watch?v=6BoT7ZG4NtU</t>
  </si>
  <si>
    <t>UW1489</t>
  </si>
  <si>
    <t>filmed form house</t>
  </si>
  <si>
    <t>https://bellingcat-archive.nyc3.cdn.digitaloceanspaces.com/Ukraine_Witness_Datasheet/Worksheet/youtube_dl_6hiVCh1sP6k.webm</t>
  </si>
  <si>
    <t>2022-03-05T17:10:39.587706+00:00</t>
  </si>
  <si>
    <t>https://bellingcat-archive.nyc3.cdn.digitaloceanspaces.com/Ukraine_Witness_Datasheet/Worksheet/youtube_dl__6hiVCh1sP6k2022-03-05T17:10:19.088229.png</t>
  </si>
  <si>
    <t>f89360b244fcb4c11fc9cca71d565ff086a53590dc4df4496b2336dc61a7ac5f</t>
  </si>
  <si>
    <t>https://bellingcat-archive.nyc3.cdn.digitaloceanspaces.com/Ukraine_Witness_Datasheet/Worksheet/youtube_dl_6hiVCh1sP6k/index.html</t>
  </si>
  <si>
    <t>Киев.Танк переехал авто, начало, слабонервным не смотреть.</t>
  </si>
  <si>
    <t>https://twitter.com/BackAndAlive/status/1499459468639223815</t>
  </si>
  <si>
    <t xml:space="preserve">Ukrainian Forces Destroy four armoured vehicles with number of dead russian service men near Vetropak Hostomelʹsʹkyy Sklozavod </t>
  </si>
  <si>
    <t>https://www.google.com/maps/@50.565379,30.2708128,3a,75y,61.88h,94.75t/data=!3m6!1e1!3m4!1sSy_4xOPClYOr1orPWHShNA!2e0!7i13312!8i6656</t>
  </si>
  <si>
    <t>UW1490</t>
  </si>
  <si>
    <t>https://bellingcat-archive.nyc3.cdn.digitaloceanspaces.com/Ukraine_Witness_Datasheet/Worksheet/youtube_dl_1499459468639223815.mp4</t>
  </si>
  <si>
    <t>2022-03-05T17:35:25.303858+00:00</t>
  </si>
  <si>
    <t>https://bellingcat-archive.nyc3.cdn.digitaloceanspaces.com/Ukraine_Witness_Datasheet/Worksheet/youtube_dl__BackAndAlive_status_14994594686392238152022-03-05T17:35:14.352595.png</t>
  </si>
  <si>
    <t>47fc9d5ff1d26aa80e3689c7bffa7adf2bae9837090cf7aa0ce3446c94da8d25</t>
  </si>
  <si>
    <t>https://bellingcat-archive.nyc3.cdn.digitaloceanspaces.com/Ukraine_Witness_Datasheet/Worksheet/youtube_dl_1499459468639223815/index.html</t>
  </si>
  <si>
    <t>Повернись живим - ⚔️У Гостомелі тривають бої. В районі місцевого склозаводу станом на 18.30 спецпризначенці @DI_Ukraine знищили вже 10 бойових машин десанту 🇷🇺окупантів.</t>
  </si>
  <si>
    <t>2022-03-03T18:59:30+00:00</t>
  </si>
  <si>
    <t>xx/02/2022</t>
  </si>
  <si>
    <t>https://youtu.be/XeNReBistO0</t>
  </si>
  <si>
    <t>Destroyed vehicle with 2 bodies inside, senior citizens, handicaped sign on the vehicle visible.</t>
  </si>
  <si>
    <t>Oblast Kyiv licence plate in the video: AI 8751 EM</t>
  </si>
  <si>
    <t>UW1491</t>
  </si>
  <si>
    <t>https://bellingcat-archive.nyc3.cdn.digitaloceanspaces.com/Ukraine_Witness_Datasheet/Worksheet/youtube_dl_XeNReBistO0.webm</t>
  </si>
  <si>
    <t>2022-03-05T18:10:34.099066+00:00</t>
  </si>
  <si>
    <t>https://bellingcat-archive.nyc3.cdn.digitaloceanspaces.com/Ukraine_Witness_Datasheet/Worksheet/youtube_dl__XeNReBistO02022-03-05T18:10:16.994251.png</t>
  </si>
  <si>
    <t>f61dfa01c3186c753b0d96aa6f5e59215069c74a28cd476fcc074661e30b4260</t>
  </si>
  <si>
    <t>https://bellingcat-archive.nyc3.cdn.digitaloceanspaces.com/Ukraine_Witness_Datasheet/Worksheet/youtube_dl_XeNReBistO0/index.html</t>
  </si>
  <si>
    <t>русские зольдаты расстреляли в упор стариков. Машина со знаком "Инвалид"</t>
  </si>
  <si>
    <t>https://twitter.com/christogrozev/status/1500166815376367616</t>
  </si>
  <si>
    <t>Explosion in Belgorod, reportedly near Vezel'skaya Ulitsa, claimed to be missles being shot down.</t>
  </si>
  <si>
    <t>https://twitter.com/L_Team10/status/1500161636350533633</t>
  </si>
  <si>
    <t>video seems to be taken from here:https://www.google.ie/maps/@50.5981828,36.5336221,3a,75y,349.94h,83.62t/data=!3m6!1e1!3m4!1sM9DIr1aYIXcjmpQ1Q2dY0Q!2e0!7i16384!8i8192</t>
  </si>
  <si>
    <t>UW1492</t>
  </si>
  <si>
    <t>https://bellingcat-archive.nyc3.cdn.digitaloceanspaces.com/Ukraine_Witness_Datasheet/Worksheet/youtube_dl_1500166815376367616.mp4</t>
  </si>
  <si>
    <t>2022-03-05T18:20:25.039368+00:00</t>
  </si>
  <si>
    <t>https://bellingcat-archive.nyc3.cdn.digitaloceanspaces.com/Ukraine_Witness_Datasheet/Worksheet/youtube_dl__christogrozev_status_15001668153763676162022-03-05T18:20:12.900655.png</t>
  </si>
  <si>
    <t>63f63c7d663bfa2f3002d9b90a851f25674f5c3269f572ac415b86d21507480b</t>
  </si>
  <si>
    <t>https://bellingcat-archive.nyc3.cdn.digitaloceanspaces.com/Ukraine_Witness_Datasheet/Worksheet/youtube_dl_1500166815376367616/index.html</t>
  </si>
  <si>
    <t>Christo Grozev - A loud bang and flash above Russia's Belgorod. Wonder what this might be</t>
  </si>
  <si>
    <t>2022-03-05T17:50:15+00:00</t>
  </si>
  <si>
    <t>area is mentioned in the tweet but video was not geolocated</t>
  </si>
  <si>
    <t>https://youtu.be/LQzs5HJuPnQ</t>
  </si>
  <si>
    <t>The military fired at a civilian car in Ukraine. Man and 2 dogs died.</t>
  </si>
  <si>
    <t>https://www.google.com/maps/place/Iwankiw,+Oblast+Kiew,+Ukraine,+07204/@50.9352692,29.8785658,14z/data=!4m13!1m7!3m6!1s0x472afca0b3831225:0xdc314274b8274099!2sIwankiw,+Oblast+Kiew,+Ukraine,+07204!3b1!8m2!3d50.9337376!4d29.9006139!3m4!1s0x472afca0b3831225:0xdc314274b8274099!8m2!3d50.9337376!4d29.9006139?hl=de</t>
  </si>
  <si>
    <t>Iwankiw</t>
  </si>
  <si>
    <t>At 2:54 and 3:11 you can see a Kyiv Oblast drivers licence plate: AI0098AA</t>
  </si>
  <si>
    <t>UW1493</t>
  </si>
  <si>
    <t>civilian casualty</t>
  </si>
  <si>
    <t>https://bellingcat-archive.nyc3.cdn.digitaloceanspaces.com/Ukraine_Witness_Datasheet/Worksheet/youtube_dl_LQzs5HJuPnQ.webm</t>
  </si>
  <si>
    <t>2022-03-05T18:25:43.846706+00:00</t>
  </si>
  <si>
    <t>https://bellingcat-archive.nyc3.cdn.digitaloceanspaces.com/Ukraine_Witness_Datasheet/Worksheet/youtube_dl__LQzs5HJuPnQ2022-03-05T18:25:15.743826.png</t>
  </si>
  <si>
    <t>3d8a90ddca3a61124dd0966ce3962ae81060d6d1762cdf039c5d8ebb900b4bb7</t>
  </si>
  <si>
    <t>https://bellingcat-archive.nyc3.cdn.digitaloceanspaces.com/Ukraine_Witness_Datasheet/Worksheet/youtube_dl_LQzs5HJuPnQ/index.html</t>
  </si>
  <si>
    <t>Военные РФ обстреляли гражданскую машину в Украине. Погиб человек и собаки</t>
  </si>
  <si>
    <t>https://twitter.com/OsintTv/status/1500172208584417283</t>
  </si>
  <si>
    <t>Explosion in Kramatorsk, possible attack on Airport</t>
  </si>
  <si>
    <t>https://www.google.ie/maps/dir/Palace+of+Culture+and+Technology,+Myru+Square,+Kramatorsk,+Donetsk+Oblast,+Ukraine/Aeroport+Kramators%CA%B9k,+Donetsk+Oblast,+Ukraine/@48.7217081,37.5822246,6051m/data=!3m2!1e3!4b1!4m13!4m12!1m5!1m1!1s0x40df970483202ee3:0xf0b6f98e6c1e07d9!2m2!1d37.586391!2d48.738402!1m5!1m1!1s0x40df97ac798b548b:0x819768615331e99c!2m2!1d37.6284158!2d48.7048401</t>
  </si>
  <si>
    <t>Kramators'k</t>
  </si>
  <si>
    <t>Explosion seen from the Palace of Culture and Technology, Myru Square, 1, Kramatorsk, Donetsk Oblast, Ukraine, 84300</t>
  </si>
  <si>
    <t>UW1494</t>
  </si>
  <si>
    <t>https://bellingcat-archive.nyc3.cdn.digitaloceanspaces.com/Ukraine_Witness_Datasheet/Worksheet/youtube_dl_1500172208584417283.mp4</t>
  </si>
  <si>
    <t>2022-03-05T18:40:23.528331+00:00</t>
  </si>
  <si>
    <t>https://bellingcat-archive.nyc3.cdn.digitaloceanspaces.com/Ukraine_Witness_Datasheet/Worksheet/youtube_dl__OsintTv_status_15001722085844172832022-03-05T18:40:12.847194.png</t>
  </si>
  <si>
    <t>4455c46be330b1eb209c5755f0378911c02d833e21116d41dbeee50ffddd0aed</t>
  </si>
  <si>
    <t>https://bellingcat-archive.nyc3.cdn.digitaloceanspaces.com/Ukraine_Witness_Datasheet/Worksheet/youtube_dl_1500172208584417283/index.html</t>
  </si>
  <si>
    <t>OsintTv - 🚨 Urgent;   A very powerful explsion reported in Kramatorsk, Ukr</t>
  </si>
  <si>
    <t>2022-03-05T18:11:41+00:00</t>
  </si>
  <si>
    <t>https://twitter.com/Militarylandnet/status/1500139357658832897</t>
  </si>
  <si>
    <t>Russian forces in Irpen - vehicles with 'V' mark</t>
  </si>
  <si>
    <t>https://twitter.com/alexwolte/status/1500145287934918656</t>
  </si>
  <si>
    <t>UW1495</t>
  </si>
  <si>
    <t>https://bellingcat-archive.nyc3.cdn.digitaloceanspaces.com/Ukraine_Witness_Datasheet/Worksheet/twitter__Militarylandnet_status_1500139357658832897.html</t>
  </si>
  <si>
    <t>2022-03-05T20:55:23.223453+00:00</t>
  </si>
  <si>
    <t>https://bellingcat-archive.nyc3.cdn.digitaloceanspaces.com/Ukraine_Witness_Datasheet/Worksheet/twitter__Militarylandnet_status_15001393576588328972022-03-05T20:55:13.603897.png</t>
  </si>
  <si>
    <t>d79de3b63021aceebbaefa4b3043c6be24c610e171b2f24b32d3663f4328e0ca</t>
  </si>
  <si>
    <t>2022-03-05T16:01:08+00:00</t>
  </si>
  <si>
    <t>UW1496</t>
  </si>
  <si>
    <t>https://twitter.com/GirkinGirkin/status/1500192445430181897</t>
  </si>
  <si>
    <t>Russian convoy</t>
  </si>
  <si>
    <t>https://twitter.com/zcjbrooker/status/1500198800597651463</t>
  </si>
  <si>
    <t>UW1497</t>
  </si>
  <si>
    <t>https://bellingcat-archive.nyc3.cdn.digitaloceanspaces.com/Ukraine_Witness_Datasheet/Worksheet/youtube_dl_1500192445430181897.mp4</t>
  </si>
  <si>
    <t>2022-03-05T21:10:30.140712+00:00</t>
  </si>
  <si>
    <t>https://bellingcat-archive.nyc3.cdn.digitaloceanspaces.com/Ukraine_Witness_Datasheet/Worksheet/youtube_dl__GirkinGirkin_status_15001924454301818972022-03-05T21:10:16.291769.png</t>
  </si>
  <si>
    <t>edb44771988a3f3d2f95d79ac0686c0f217d9694a02170af4032b38657099f22</t>
  </si>
  <si>
    <t>https://bellingcat-archive.nyc3.cdn.digitaloceanspaces.com/Ukraine_Witness_Datasheet/Worksheet/youtube_dl_1500192445430181897/index.html</t>
  </si>
  <si>
    <t>IgorGirkin - Белгород, 4 ч назад</t>
  </si>
  <si>
    <t>2022-03-05T19:32:05+00:00</t>
  </si>
  <si>
    <t>https://twitter.com/NotWoofers/status/1500170938243076101</t>
  </si>
  <si>
    <t>vidoe</t>
  </si>
  <si>
    <t>Interseption of missile</t>
  </si>
  <si>
    <t>https://twitter.com/bradyafr/status/1500174549387784196</t>
  </si>
  <si>
    <t>Kramatorsk</t>
  </si>
  <si>
    <t>UW1498</t>
  </si>
  <si>
    <t>filmed from app</t>
  </si>
  <si>
    <t>https://bellingcat-archive.nyc3.cdn.digitaloceanspaces.com/Ukraine_Witness_Datasheet/Worksheet/youtube_dl_1500170938243076101.mp4</t>
  </si>
  <si>
    <t>2022-03-05T21:10:43.328791+00:00</t>
  </si>
  <si>
    <t>https://bellingcat-archive.nyc3.cdn.digitaloceanspaces.com/Ukraine_Witness_Datasheet/Worksheet/youtube_dl__NotWoofers_status_15001709382430761012022-03-05T21:10:32.023898.png</t>
  </si>
  <si>
    <t>cad3a8ad7e81b33fdf199aa8503643c508d1bcdb6580ffc2863387233f6eca32</t>
  </si>
  <si>
    <t>https://bellingcat-archive.nyc3.cdn.digitaloceanspaces.com/Ukraine_Witness_Datasheet/Worksheet/youtube_dl_1500170938243076101/index.html</t>
  </si>
  <si>
    <t>Woofers - Interception of a Russian cruise missile in Kramatorsk</t>
  </si>
  <si>
    <t>2022-03-05T18:06:38+00:00</t>
  </si>
  <si>
    <t>https://twitter.com/Militarylandnet/status/1499734408819003395</t>
  </si>
  <si>
    <t>russian forces position next to Kozarovychi, north of Kyiv</t>
  </si>
  <si>
    <t>UW1499</t>
  </si>
  <si>
    <t>https://bellingcat-archive.nyc3.cdn.digitaloceanspaces.com/Ukraine_Witness_Datasheet/Worksheet/youtube_dl_1499734408819003395.mp4</t>
  </si>
  <si>
    <t>2022-03-06T03:05:26.219986+00:00</t>
  </si>
  <si>
    <t>https://bellingcat-archive.nyc3.cdn.digitaloceanspaces.com/Ukraine_Witness_Datasheet/Worksheet/youtube_dl__Militarylandnet_status_14997344088190033952022-03-06T03:05:12.935306.png</t>
  </si>
  <si>
    <t>1fd9fd6f9a57b83ef86fb89d85a6608dc25f49ba2fc88da92d160c9b63cbb98f</t>
  </si>
  <si>
    <t>https://bellingcat-archive.nyc3.cdn.digitaloceanspaces.com/Ukraine_Witness_Datasheet/Worksheet/youtube_dl_1499734408819003395/index.html</t>
  </si>
  <si>
    <t>MilitaryLand.net - 📽️ Ukrainian artillery shells Russian forward base in Kozarovychi, north of #Kyiv #Ukraine #UkraineRussiaWar</t>
  </si>
  <si>
    <t>2022-03-04T13:12:01+00:00</t>
  </si>
  <si>
    <t>06/03/2022</t>
  </si>
  <si>
    <t>https://twitter.com/no_itsmyturn/status/1500367314759434242?s=20&amp;t=EFbQ5pLkTaAre99oLfUTqA</t>
  </si>
  <si>
    <t>CIV0218</t>
  </si>
  <si>
    <t>Missile strike on kindergarten</t>
  </si>
  <si>
    <t>UW1500</t>
  </si>
  <si>
    <t>https://bellingcat-archive.nyc3.cdn.digitaloceanspaces.com/Ukraine_Witness_Datasheet/Worksheet/youtube_dl_1500367314759434242.mp4</t>
  </si>
  <si>
    <t>2022-03-06T09:05:27.443332+00:00</t>
  </si>
  <si>
    <t>https://bellingcat-archive.nyc3.cdn.digitaloceanspaces.com/Ukraine_Witness_Datasheet/Worksheet/youtube_dl__no_itsmyturn_status_15003673147594342422022-03-06T09:05:12.775338.png</t>
  </si>
  <si>
    <t>a1775b331f06953a9bc0104e619cce5dda9361c759970c9c5dc134e84dfe9458</t>
  </si>
  <si>
    <t>https://bellingcat-archive.nyc3.cdn.digitaloceanspaces.com/Ukraine_Witness_Datasheet/Worksheet/youtube_dl_1500367314759434242/index.html</t>
  </si>
  <si>
    <t>Aleph א #IStandWithUkraine 🇺🇦 - Aftermath of Russian strikes on a kindergarten in Saltivka Kharkiv oblast #Ukraine 🇺🇦</t>
  </si>
  <si>
    <t>2022-03-06T07:06:57+00:00</t>
  </si>
  <si>
    <t>https://twitter.com/no_itsmyturn/status/1500364144838598659?s=20&amp;t=EFbQ5pLkTaAre99oLfUTqA</t>
  </si>
  <si>
    <t>UW1501</t>
  </si>
  <si>
    <t>https://bellingcat-archive.nyc3.cdn.digitaloceanspaces.com/Ukraine_Witness_Datasheet/Worksheet/twitter__no_itsmyturn_status_1500364144838598659.html</t>
  </si>
  <si>
    <t>2022-03-06T09:05:39.493513+00:00</t>
  </si>
  <si>
    <t>https://bellingcat-archive.nyc3.cdn.digitaloceanspaces.com/Ukraine_Witness_Datasheet/Worksheet/twitter__no_itsmyturn_status_15003641448385986592022-03-06T09:05:30.476818.png</t>
  </si>
  <si>
    <t>1466c9f5e808eb6096312aa379af2530f91756e2c8cc52606682a14d11c057bf</t>
  </si>
  <si>
    <t>2022-03-06T06:54:22+00:00</t>
  </si>
  <si>
    <t>https://twitter.com/no_itsmyturn/status/1500362350108495873?s=20&amp;t=EFbQ5pLkTaAre99oLfUTqA</t>
  </si>
  <si>
    <t>Damage to multiple residential buildings</t>
  </si>
  <si>
    <t>UW1502</t>
  </si>
  <si>
    <t>https://bellingcat-archive.nyc3.cdn.digitaloceanspaces.com/Ukraine_Witness_Datasheet/Worksheet/twitter__no_itsmyturn_status_1500362350108495873.html</t>
  </si>
  <si>
    <t>2022-03-06T09:05:51.490489+00:00</t>
  </si>
  <si>
    <t>https://bellingcat-archive.nyc3.cdn.digitaloceanspaces.com/Ukraine_Witness_Datasheet/Worksheet/twitter__no_itsmyturn_status_15003623501084958732022-03-06T09:05:41.804962.png</t>
  </si>
  <si>
    <t>63b86ddb6c1f9f5437d31ae4d59b0c7aa319ce5e54e731ace74771214683ef78</t>
  </si>
  <si>
    <t>2022-03-06T06:47:14+00:00</t>
  </si>
  <si>
    <t>https://twitter.com/no_itsmyturn/status/1500357342566756353?s=20&amp;t=EFbQ5pLkTaAre99oLfUTqA</t>
  </si>
  <si>
    <t>UW1503</t>
  </si>
  <si>
    <t>https://bellingcat-archive.nyc3.cdn.digitaloceanspaces.com/Ukraine_Witness_Datasheet/Worksheet/youtube_dl_1500357342566756353.mp4</t>
  </si>
  <si>
    <t>2022-03-06T09:06:06.365694+00:00</t>
  </si>
  <si>
    <t>https://bellingcat-archive.nyc3.cdn.digitaloceanspaces.com/Ukraine_Witness_Datasheet/Worksheet/youtube_dl__no_itsmyturn_status_15003573425667563532022-03-06T09:05:53.696899.png</t>
  </si>
  <si>
    <t>68248e518d5c343f19610382316631c2195a7adb9debbd736cce4b097c0a80ed</t>
  </si>
  <si>
    <t>https://bellingcat-archive.nyc3.cdn.digitaloceanspaces.com/Ukraine_Witness_Datasheet/Worksheet/youtube_dl_1500357342566756353/index.html</t>
  </si>
  <si>
    <t>Aleph א #IStandWithUkraine 🇺🇦 - Last night, "missile strike" on Ovruch, Zhytomyr oblast #Ukraine 🇺🇦</t>
  </si>
  <si>
    <t>2022-03-06T06:27:20+00:00</t>
  </si>
  <si>
    <t>https://twitter.com/no_itsmyturn/status/1500361630248542208?s=20&amp;t=EFbQ5pLkTaAre99oLfUTqA</t>
  </si>
  <si>
    <t>UW1504</t>
  </si>
  <si>
    <t>https://bellingcat-archive.nyc3.cdn.digitaloceanspaces.com/Ukraine_Witness_Datasheet/Worksheet/twitter__no_itsmyturn_status_1500361630248542208.html</t>
  </si>
  <si>
    <t>2022-03-06T09:06:18.539333+00:00</t>
  </si>
  <si>
    <t>https://bellingcat-archive.nyc3.cdn.digitaloceanspaces.com/Ukraine_Witness_Datasheet/Worksheet/twitter__no_itsmyturn_status_15003616302485422082022-03-06T09:06:09.013917.png</t>
  </si>
  <si>
    <t>7adc89f685889d0d1fc4a1f62bb9c6119d86fe90157ce140200e84d77f69dfde</t>
  </si>
  <si>
    <t>2022-03-06T06:44:22+00:00</t>
  </si>
  <si>
    <t>https://twitter.com/no_itsmyturn/status/1500367636231860226?s=20&amp;t=EFbQ5pLkTaAre99oLfUTqA</t>
  </si>
  <si>
    <t>UW1505</t>
  </si>
  <si>
    <t>https://bellingcat-archive.nyc3.cdn.digitaloceanspaces.com/Ukraine_Witness_Datasheet/Worksheet/youtube_dl_1500367636231860226.mp4</t>
  </si>
  <si>
    <t>2022-03-06T09:06:34.584549+00:00</t>
  </si>
  <si>
    <t>https://bellingcat-archive.nyc3.cdn.digitaloceanspaces.com/Ukraine_Witness_Datasheet/Worksheet/youtube_dl__no_itsmyturn_status_15003676362318602262022-03-06T09:06:20.792530.png</t>
  </si>
  <si>
    <t>77c8a8d5e258651926fa7e67a0798d37be24fc9329e6a558f315394431142df9</t>
  </si>
  <si>
    <t>https://bellingcat-archive.nyc3.cdn.digitaloceanspaces.com/Ukraine_Witness_Datasheet/Worksheet/youtube_dl_1500367636231860226/index.html</t>
  </si>
  <si>
    <t>Aleph א #IStandWithUkraine 🇺🇦 - Saltivka Kharkiv oblast #Ukraine 🇺🇦</t>
  </si>
  <si>
    <t>2022-03-06T07:08:14+00:00</t>
  </si>
  <si>
    <t>duplicate</t>
  </si>
  <si>
    <t>50.034117</t>
  </si>
  <si>
    <t>36.36668</t>
  </si>
  <si>
    <t>https://twitter.com/no_itsmyturn/status/1500370828038483971?s=20&amp;t=EFbQ5pLkTaAre99oLfUTqA</t>
  </si>
  <si>
    <t>CIV0219</t>
  </si>
  <si>
    <t>Residential buildings on fire due to bombing/shelling</t>
  </si>
  <si>
    <t>UW1506</t>
  </si>
  <si>
    <t>https://bellingcat-archive.nyc3.cdn.digitaloceanspaces.com/Ukraine_Witness_Datasheet/Worksheet/youtube_dl_1500370828038483971.mp4</t>
  </si>
  <si>
    <t>2022-03-06T09:06:51.293657+00:00</t>
  </si>
  <si>
    <t>https://bellingcat-archive.nyc3.cdn.digitaloceanspaces.com/Ukraine_Witness_Datasheet/Worksheet/youtube_dl__no_itsmyturn_status_15003708280384839712022-03-06T09:06:36.966086.png</t>
  </si>
  <si>
    <t>1358bc401fe94de2a604034e98befcc6799c1ff02b30e9f58dc334548094de80</t>
  </si>
  <si>
    <t>https://bellingcat-archive.nyc3.cdn.digitaloceanspaces.com/Ukraine_Witness_Datasheet/Worksheet/youtube_dl_1500370828038483971/index.html</t>
  </si>
  <si>
    <t>Aleph א #IStandWithUkraine 🇺🇦 - Several buildings in Saltivka were targeted by Russians Kharkiv Oblast #Ukraine 🇺🇦</t>
  </si>
  <si>
    <t>2022-03-06T07:20:55+00:00</t>
  </si>
  <si>
    <t>https://twitter.com/no_itsmyturn/status/1500370931918725120?s=20&amp;t=EFbQ5pLkTaAre99oLfUTqA</t>
  </si>
  <si>
    <t>0:03-0:05 fire in lower appartment block</t>
  </si>
  <si>
    <t>UW1507</t>
  </si>
  <si>
    <t>https://bellingcat-archive.nyc3.cdn.digitaloceanspaces.com/Ukraine_Witness_Datasheet/Worksheet/youtube_dl_1500370931918725120.mp4</t>
  </si>
  <si>
    <t>2022-03-06T09:07:18.104575+00:00</t>
  </si>
  <si>
    <t>https://bellingcat-archive.nyc3.cdn.digitaloceanspaces.com/Ukraine_Witness_Datasheet/Worksheet/youtube_dl__no_itsmyturn_status_15003709319187251202022-03-06T09:06:53.717118.png</t>
  </si>
  <si>
    <t>3f6565decb0e34dc184840c0c6847787f1193f623360e3e9a72c19db9ba999a9</t>
  </si>
  <si>
    <t>https://bellingcat-archive.nyc3.cdn.digitaloceanspaces.com/Ukraine_Witness_Datasheet/Worksheet/youtube_dl_1500370931918725120/index.html</t>
  </si>
  <si>
    <t>Aleph א #IStandWithUkraine 🇺🇦 - Buildings in Saltivka were targeted by Russians Kharkiv Oblast #Ukraine 🇺🇦</t>
  </si>
  <si>
    <t>2022-03-06T07:21:20+00:00</t>
  </si>
  <si>
    <t>https://twitter.com/no_itsmyturn/status/1500371547462283269?s=20&amp;t=EFbQ5pLkTaAre99oLfUTqA</t>
  </si>
  <si>
    <t>UW1508</t>
  </si>
  <si>
    <t>https://bellingcat-archive.nyc3.cdn.digitaloceanspaces.com/Ukraine_Witness_Datasheet/Worksheet/youtube_dl_1500371547462283269.mp4</t>
  </si>
  <si>
    <t>2022-03-06T09:07:32.476545+00:00</t>
  </si>
  <si>
    <t>https://bellingcat-archive.nyc3.cdn.digitaloceanspaces.com/Ukraine_Witness_Datasheet/Worksheet/youtube_dl__no_itsmyturn_status_15003715474622832692022-03-06T09:07:20.116704.png</t>
  </si>
  <si>
    <t>85e3f156dbe9134c05247dc0089b7307f603b4b96f09aecd58a3cb764d6debc8</t>
  </si>
  <si>
    <t>https://bellingcat-archive.nyc3.cdn.digitaloceanspaces.com/Ukraine_Witness_Datasheet/Worksheet/youtube_dl_1500371547462283269/index.html</t>
  </si>
  <si>
    <t>Aleph א #IStandWithUkraine 🇺🇦 - Chesʹkyy Dvir residential complex was targeted by Russian Hostomel, Kyiv oblast #Ukraine 🇺🇦 (Video 1/3)</t>
  </si>
  <si>
    <t>2022-03-06T07:23:47+00:00</t>
  </si>
  <si>
    <t>https://twitter.com/no_itsmyturn/status/1500374495877644288?s=20&amp;t=EFbQ5pLkTaAre99oLfUTqA</t>
  </si>
  <si>
    <t>UW1509</t>
  </si>
  <si>
    <t>https://bellingcat-archive.nyc3.cdn.digitaloceanspaces.com/Ukraine_Witness_Datasheet/Worksheet/youtube_dl_1500374495877644288.mp4</t>
  </si>
  <si>
    <t>2022-03-06T09:07:49.634833+00:00</t>
  </si>
  <si>
    <t>https://bellingcat-archive.nyc3.cdn.digitaloceanspaces.com/Ukraine_Witness_Datasheet/Worksheet/youtube_dl__no_itsmyturn_status_15003744958776442882022-03-06T09:07:34.926996.png</t>
  </si>
  <si>
    <t>a8ebeec8edb429d8ed9e33883c31c1565b628965506f67cea03dd6a5919152c1</t>
  </si>
  <si>
    <t>https://bellingcat-archive.nyc3.cdn.digitaloceanspaces.com/Ukraine_Witness_Datasheet/Worksheet/youtube_dl_1500374495877644288/index.html</t>
  </si>
  <si>
    <t>Aleph א #IStandWithUkraine 🇺🇦 - Russian strikes in northern Saltivka  Several residential buildings were damaged. Kharkiv Oblast #Ukraine 🇺🇦</t>
  </si>
  <si>
    <t>2022-03-06T07:35:30+00:00</t>
  </si>
  <si>
    <t>https://twitter.com/clashreport/status/1500377845675311105?s=20&amp;t=EFbQ5pLkTaAre99oLfUTqA</t>
  </si>
  <si>
    <t>airstrike on warehouse</t>
  </si>
  <si>
    <t>UW1510</t>
  </si>
  <si>
    <t>https://bellingcat-archive.nyc3.cdn.digitaloceanspaces.com/Ukraine_Witness_Datasheet/Worksheet/youtube_dl_1500377845675311105.mp4</t>
  </si>
  <si>
    <t>2022-03-06T09:10:25.695922+00:00</t>
  </si>
  <si>
    <t>https://bellingcat-archive.nyc3.cdn.digitaloceanspaces.com/Ukraine_Witness_Datasheet/Worksheet/youtube_dl__clashreport_status_15003778456753111052022-03-06T09:10:13.378542.png</t>
  </si>
  <si>
    <t>2830e7afb902b5ccfd949ce0224173a116213107e4a5871acc4544c2b092cc35</t>
  </si>
  <si>
    <t>https://bellingcat-archive.nyc3.cdn.digitaloceanspaces.com/Ukraine_Witness_Datasheet/Worksheet/youtube_dl_1500377845675311105/index.html</t>
  </si>
  <si>
    <t>Clash Report - A dashcam recorded the last moments of civilians targeted by #Russian warplanes in #Kharkiv.</t>
  </si>
  <si>
    <t>2022-03-06T07:48:48+00:00</t>
  </si>
  <si>
    <t>https://twitter.com/christogrozev/status/1500040680059641856?s=20&amp;t=EFbQ5pLkTaAre99oLfUTqA</t>
  </si>
  <si>
    <t>UW1511</t>
  </si>
  <si>
    <t>https://bellingcat-archive.nyc3.cdn.digitaloceanspaces.com/Ukraine_Witness_Datasheet/Worksheet/youtube_dl_1500040680059641856.mp4</t>
  </si>
  <si>
    <t>2022-03-06T09:10:39.980831+00:00</t>
  </si>
  <si>
    <t>https://bellingcat-archive.nyc3.cdn.digitaloceanspaces.com/Ukraine_Witness_Datasheet/Worksheet/youtube_dl__christogrozev_status_15000406800596418562022-03-06T09:10:28.106152.png</t>
  </si>
  <si>
    <t>34f573dcf64e9f02e11b3053bb392ccd756192244c9617e02c181f707438d2c2</t>
  </si>
  <si>
    <t>https://bellingcat-archive.nyc3.cdn.digitaloceanspaces.com/Ukraine_Witness_Datasheet/Worksheet/youtube_dl_1500040680059641856/index.html</t>
  </si>
  <si>
    <t>Christo Grozev - Warning: extremely graphic. Reportedly from Byla Cerkva. Enough is enough: @NATO must close airspace in a peacekeeping humanitarian mission. Will Russia risk shooting down NATO planes over another country's territory? Maybe the nutcase orders them to, I doubt anyone will comply.</t>
  </si>
  <si>
    <t>2022-03-05T09:29:02+00:00</t>
  </si>
  <si>
    <t xml:space="preserve"> Fire in taller appartment block in background</t>
  </si>
  <si>
    <t>UW1512</t>
  </si>
  <si>
    <t>2022-03-06T10:05:26.422881+00:00</t>
  </si>
  <si>
    <t>https://bellingcat-archive.nyc3.cdn.digitaloceanspaces.com/Ukraine_Witness_Datasheet/Worksheet/youtube_dl__no_itsmyturn_status_15003709319187251202022-03-06T10:05:11.891951.png</t>
  </si>
  <si>
    <t>https://twitter.com/Liveuamap/status/1500390742556090368?s=20&amp;t=5yjC-idJ2L8iLidjJBrb3w</t>
  </si>
  <si>
    <t>Consequences of shelling in Izyum, Kharkiv region</t>
  </si>
  <si>
    <t>https://twitter.com/COUPSURE/status/1500403573636616194?s=20&amp;t=5yjC-idJ2L8iLidjJBrb3w</t>
  </si>
  <si>
    <t>UW1513</t>
  </si>
  <si>
    <t>https://bellingcat-archive.nyc3.cdn.digitaloceanspaces.com/Ukraine_Witness_Datasheet/Worksheet/twitter__Liveuamap_status_1500390742556090368.html</t>
  </si>
  <si>
    <t>2022-03-06T10:10:24.484913+00:00</t>
  </si>
  <si>
    <t>https://bellingcat-archive.nyc3.cdn.digitaloceanspaces.com/Ukraine_Witness_Datasheet/Worksheet/twitter__Liveuamap_status_15003907425560903682022-03-06T10:10:15.299194.png</t>
  </si>
  <si>
    <t>df973bd873fbf6d2e3eb216cd36e5cb391c7373618aa7a6ce1a6fa5299e0e458</t>
  </si>
  <si>
    <t>2022-03-06T08:40:03+00:00</t>
  </si>
  <si>
    <t>0:20 fire in lower appartment block in foreground</t>
  </si>
  <si>
    <t>UW1514</t>
  </si>
  <si>
    <t>2022-03-06T10:10:40.583333+00:00</t>
  </si>
  <si>
    <t>https://bellingcat-archive.nyc3.cdn.digitaloceanspaces.com/Ukraine_Witness_Datasheet/Worksheet/youtube_dl__no_itsmyturn_status_15003709319187251202022-03-06T10:10:26.139599.png</t>
  </si>
  <si>
    <t>https://twitter.com/markito0171/status/1500407825188728833?s=20&amp;t=5yjC-idJ2L8iLidjJBrb3w</t>
  </si>
  <si>
    <t>Residential building burning in Kharkiv</t>
  </si>
  <si>
    <t>UW1515</t>
  </si>
  <si>
    <t>https://bellingcat-archive.nyc3.cdn.digitaloceanspaces.com/Ukraine_Witness_Datasheet/Worksheet/youtube_dl_1500407825188728833.mp4</t>
  </si>
  <si>
    <t>2022-03-06T10:15:23.930145+00:00</t>
  </si>
  <si>
    <t>https://bellingcat-archive.nyc3.cdn.digitaloceanspaces.com/Ukraine_Witness_Datasheet/Worksheet/youtube_dl__markito0171_status_15004078251887288332022-03-06T10:15:12.241767.png</t>
  </si>
  <si>
    <t>fcaa7680d7e110a1533b9bbecdb6fdd4cbd2fea9f93ee9a4ea55805d651d4c43</t>
  </si>
  <si>
    <t>https://bellingcat-archive.nyc3.cdn.digitaloceanspaces.com/Ukraine_Witness_Datasheet/Worksheet/youtube_dl_1500407825188728833/index.html</t>
  </si>
  <si>
    <t>C4H10FO2P - #Kharkiv city in east #Ukraine this morning</t>
  </si>
  <si>
    <t>2022-03-06T09:47:56+00:00</t>
  </si>
  <si>
    <t>https://twitter.com/no_itsmyturn/status/1500416972667957248?s=20&amp;t=o0NsbrIIC42fraUwy0zaYQ</t>
  </si>
  <si>
    <t>Damaged school in Buzova</t>
  </si>
  <si>
    <t>https://www.google.com/maps/place/Buzivska+School/@50.4217935,30.0456064,3a,75y,90t/data=!3m8!1e2!3m6!1sAF1QipMJJWf-ND4Q5R5HfPqBGsWzwARtDP5mqXE2zkC6!2e10!3e12!6shttps:%2F%2Flh5.googleusercontent.com%2Fp%2FAF1QipMJJWf-ND4Q5R5HfPqBGsWzwARtDP5mqXE2zkC6%3Dw152-h86-k-no!7i4032!8i2268!4m13!1m7!3m6!1s0x472b49b9c3a73731:0x92cd5b7066397896!2sBuzova,+Kyiv+Oblast,+Ukraine!3b1!8m2!3d50.4211504!4d30.0447521!3m4!1s0x472b49c97f6b21f9:0x71c944c0168cf3dd!8m2!3d50.4216686!4d30.0450322</t>
  </si>
  <si>
    <t>UW1516</t>
  </si>
  <si>
    <t>https://bellingcat-archive.nyc3.cdn.digitaloceanspaces.com/Ukraine_Witness_Datasheet/Worksheet/youtube_dl_1500416972667957248.mp4</t>
  </si>
  <si>
    <t>2022-03-06T10:35:22.973719+00:00</t>
  </si>
  <si>
    <t>https://bellingcat-archive.nyc3.cdn.digitaloceanspaces.com/Ukraine_Witness_Datasheet/Worksheet/youtube_dl__no_itsmyturn_status_15004169726679572482022-03-06T10:35:12.104876.png</t>
  </si>
  <si>
    <t>9196de6d90bbb3473f4ffaa116f43c4a1c2325f4411bc399f2d32bb2722872a9</t>
  </si>
  <si>
    <t>https://bellingcat-archive.nyc3.cdn.digitaloceanspaces.com/Ukraine_Witness_Datasheet/Worksheet/youtube_dl_1500416972667957248/index.html</t>
  </si>
  <si>
    <t>Aleph א #IStandWithUkraine 🇺🇦 - Artillery fire damaged two buildings in Buzova,  Kyiv oblast, #Ukraine 🇺🇦</t>
  </si>
  <si>
    <t>2022-03-06T10:24:17+00:00</t>
  </si>
  <si>
    <t>https://twitter.com/no_itsmyturn/status/1500404603770359808?s=20&amp;t=o0NsbrIIC42fraUwy0zaYQ</t>
  </si>
  <si>
    <t xml:space="preserve">Damaged residential area </t>
  </si>
  <si>
    <t>UW1517</t>
  </si>
  <si>
    <t>https://bellingcat-archive.nyc3.cdn.digitaloceanspaces.com/Ukraine_Witness_Datasheet/Worksheet/youtube_dl_1500404603770359808.mp4</t>
  </si>
  <si>
    <t>2022-03-06T10:35:39.948470+00:00</t>
  </si>
  <si>
    <t>https://bellingcat-archive.nyc3.cdn.digitaloceanspaces.com/Ukraine_Witness_Datasheet/Worksheet/youtube_dl__no_itsmyturn_status_15004046037703598082022-03-06T10:35:25.662970.png</t>
  </si>
  <si>
    <t>15dadc1b9516e5ed11970d61f469b4744596123117518ca0257d177b7e83be7e</t>
  </si>
  <si>
    <t>https://bellingcat-archive.nyc3.cdn.digitaloceanspaces.com/Ukraine_Witness_Datasheet/Worksheet/youtube_dl_1500404603770359808/index.html</t>
  </si>
  <si>
    <t>Aleph א #IStandWithUkraine 🇺🇦 - Chernihiv, aftermath of Russian strikes #Ukraine 🇺🇦</t>
  </si>
  <si>
    <t>2022-03-06T09:35:08+00:00</t>
  </si>
  <si>
    <t>https://twitter.com/poppoppopkt/status/1500426250766237697?s=20&amp;t=o0NsbrIIC42fraUwy0zaYQ</t>
  </si>
  <si>
    <t>Damaged military equipment</t>
  </si>
  <si>
    <t>https://twitter.com/vnprkhzhk/status/1500427535137615875?s=20&amp;t=wAO4QslkR0KE9KKmT4omnQ</t>
  </si>
  <si>
    <t>Berezivka</t>
  </si>
  <si>
    <t>UW1518</t>
  </si>
  <si>
    <t>https://bellingcat-archive.nyc3.cdn.digitaloceanspaces.com/Ukraine_Witness_Datasheet/Worksheet/twitter__poppoppopkt_status_1500426250766237697.html</t>
  </si>
  <si>
    <t>2022-03-06T11:30:20.933613+00:00</t>
  </si>
  <si>
    <t>https://bellingcat-archive.nyc3.cdn.digitaloceanspaces.com/Ukraine_Witness_Datasheet/Worksheet/twitter__poppoppopkt_status_15004262507662376972022-03-06T11:30:12.783051.png</t>
  </si>
  <si>
    <t>fa16d10c58a040b8c74421dcf83d552d26d8e9a3fcd8cbf1ec1b4994095e8de1</t>
  </si>
  <si>
    <t>2022-03-06T11:01:09+00:00</t>
  </si>
  <si>
    <t>https://twitter.com/michaelh992/status/1500418183076978690?s=21</t>
  </si>
  <si>
    <t>Multiple civilian casualties in Kharkiv</t>
  </si>
  <si>
    <t>UW1519</t>
  </si>
  <si>
    <t>Casualty</t>
  </si>
  <si>
    <t>https://bellingcat-archive.nyc3.cdn.digitaloceanspaces.com/Ukraine_Witness_Datasheet/Worksheet/twitter__michaelh992_status_1500418183076978690.html</t>
  </si>
  <si>
    <t>2022-03-06T11:35:23.396524+00:00</t>
  </si>
  <si>
    <t>https://bellingcat-archive.nyc3.cdn.digitaloceanspaces.com/Ukraine_Witness_Datasheet/Worksheet/twitter__michaelh992_status_15004181830769786902022-03-06T11:35:12.188553.png</t>
  </si>
  <si>
    <t>043360d3b856fa9d781a658dabc069334a4a81a79dcb1dbebe07b5a8f93b6106</t>
  </si>
  <si>
    <t>2022-03-06T10:29:05+00:00</t>
  </si>
  <si>
    <t>https://twitter.com/COUPSURE/status/1500439455467020298?s=20&amp;t=wAO4QslkR0KE9KKmT4omnQ</t>
  </si>
  <si>
    <t xml:space="preserve">Fire at Vinnytsia Airport </t>
  </si>
  <si>
    <t>Vinnytsia</t>
  </si>
  <si>
    <t>https://www.google.com/maps/place/49%C2%B013'59.1%22N+28%C2%B037'09.8%22E/@49.2507502,28.5404668,94a,35y,98.16h,72.47t/data=!3m1!1e3!4m5!3m4!1s0x0:0x56aac5c8e88f8161!8m2!3d49.2330911!4d28.619394</t>
  </si>
  <si>
    <t>UW1520</t>
  </si>
  <si>
    <t>https://bellingcat-archive.nyc3.cdn.digitaloceanspaces.com/Ukraine_Witness_Datasheet/Worksheet/twitter__COUPSURE_status_1500439455467020298.html</t>
  </si>
  <si>
    <t>2022-03-06T11:55:21.143845+00:00</t>
  </si>
  <si>
    <t>https://bellingcat-archive.nyc3.cdn.digitaloceanspaces.com/Ukraine_Witness_Datasheet/Worksheet/twitter__COUPSURE_status_15004394554670202982022-03-06T11:55:12.363506.png</t>
  </si>
  <si>
    <t>20591efb4b00834515fce85d765d89f2b4e941d175827c698d939abf25f2a23d</t>
  </si>
  <si>
    <t>2022-03-06T11:53:37+00:00</t>
  </si>
  <si>
    <t>https://twitter.com/COUPSURE/status/1500444019326959617?s=20&amp;t=o0NsbrIIC42fraUwy0zaYQ</t>
  </si>
  <si>
    <t xml:space="preserve">Missiles hit Vinnytsia Airport </t>
  </si>
  <si>
    <t>Havryshivka</t>
  </si>
  <si>
    <t>https://www.google.com/maps/@49.2368735,28.5891135,3a,90y,99.74h,88.91t/data=!3m6!1e1!3m4!1s0bCjfGfzdmyEwNz1U_W9zg!2e0!7i13312!8i6656</t>
  </si>
  <si>
    <t>UW1521</t>
  </si>
  <si>
    <t>https://bellingcat-archive.nyc3.cdn.digitaloceanspaces.com/Ukraine_Witness_Datasheet/Worksheet/youtube_dl_1500444019326959617.mp4</t>
  </si>
  <si>
    <t>2022-03-06T12:40:26.533539+00:00</t>
  </si>
  <si>
    <t>https://bellingcat-archive.nyc3.cdn.digitaloceanspaces.com/Ukraine_Witness_Datasheet/Worksheet/youtube_dl__COUPSURE_status_15004440193269596172022-03-06T12:40:14.027701.png</t>
  </si>
  <si>
    <t>a14fd838ce9cf0ddbf6fd78dbd5dc1adf257946f8b3126cb03bc68d674ed5510</t>
  </si>
  <si>
    <t>https://bellingcat-archive.nyc3.cdn.digitaloceanspaces.com/Ukraine_Witness_Datasheet/Worksheet/youtube_dl_1500444019326959617/index.html</t>
  </si>
  <si>
    <t>C O U P S U R E - This video was filmed here: (49.2364068, 28.5889830)  The explosion hit this part of the airport which looks like a fuel storage area: (49.2352240, 28.6108600)</t>
  </si>
  <si>
    <t>2022-03-06T12:11:45+00:00</t>
  </si>
  <si>
    <t>https://twitter.com/BackAndAlive/status/1500447665024348168?s=20&amp;t=o0NsbrIIC42fraUwy0zaYQ</t>
  </si>
  <si>
    <t>MRLS firing from a village</t>
  </si>
  <si>
    <t>https://twitter.com/Cen4infoRes/status/1500467690934263816</t>
  </si>
  <si>
    <t>Peremoha</t>
  </si>
  <si>
    <t>UW1522</t>
  </si>
  <si>
    <t>https://bellingcat-archive.nyc3.cdn.digitaloceanspaces.com/Ukraine_Witness_Datasheet/Worksheet/youtube_dl_1500447665024348168.mp4</t>
  </si>
  <si>
    <t>2022-03-06T12:45:30.689995+00:00</t>
  </si>
  <si>
    <t>https://bellingcat-archive.nyc3.cdn.digitaloceanspaces.com/Ukraine_Witness_Datasheet/Worksheet/youtube_dl__BackAndAlive_status_15004476650243481682022-03-06T12:45:13.495189.png</t>
  </si>
  <si>
    <t>8669ab189df3c97bd5e429fc903ed0b0ebf734c59f1a0a743580302911bf7d25</t>
  </si>
  <si>
    <t>https://bellingcat-archive.nyc3.cdn.digitaloceanspaces.com/Ukraine_Witness_Datasheet/Worksheet/youtube_dl_1500447665024348168/index.html</t>
  </si>
  <si>
    <t>Повернись живим - Russians attack Ukrainian military from behind the civilian population.  On the footage you can see the shelling by MRLS "Hrad" recorded by our drone. The shelling was carried out directly from a village.</t>
  </si>
  <si>
    <t>2022-03-06T12:26:14+00:00</t>
  </si>
  <si>
    <t>https://twitter.com/KyleJGlen/status/1500432948390158338</t>
  </si>
  <si>
    <t>CIV0217</t>
  </si>
  <si>
    <t>Explosion in Irpen</t>
  </si>
  <si>
    <t>https://twitter.com/KyleJGlen/status/1500435820167241729?s=20&amp;t=_JBtmduakWsX07WrEoNPIQ</t>
  </si>
  <si>
    <t>UW1523</t>
  </si>
  <si>
    <t>https://bellingcat-archive.nyc3.cdn.digitaloceanspaces.com/Ukraine_Witness_Datasheet/Worksheet/youtube_dl_1500432948390158338.mp4</t>
  </si>
  <si>
    <t>2022-03-06T12:50:24.912470+00:00</t>
  </si>
  <si>
    <t>https://bellingcat-archive.nyc3.cdn.digitaloceanspaces.com/Ukraine_Witness_Datasheet/Worksheet/youtube_dl__KyleJGlen_status_15004329483901583382022-03-06T12:50:11.648423.png</t>
  </si>
  <si>
    <t>9e93ac28c93a2a3ad46c5bd891060bf18c021e1a9939ae486c9714c8efc88af9</t>
  </si>
  <si>
    <t>https://bellingcat-archive.nyc3.cdn.digitaloceanspaces.com/Ukraine_Witness_Datasheet/Worksheet/youtube_dl_1500432948390158338/index.html</t>
  </si>
  <si>
    <t>Kyle Glen - Footage circulating this morning shows what looks like a corridor for civilians to leave the city of Irpin near Kyiv coming under fire from Russian troops.</t>
  </si>
  <si>
    <t>2022-03-06T11:27:46+00:00</t>
  </si>
  <si>
    <t>https://twitter.com/no_itsmyturn/status/1500371547462283269</t>
  </si>
  <si>
    <t>Fire in residential area after shelling</t>
  </si>
  <si>
    <t>UW1524</t>
  </si>
  <si>
    <t>2022-03-06T14:05:24.877326+00:00</t>
  </si>
  <si>
    <t>https://bellingcat-archive.nyc3.cdn.digitaloceanspaces.com/Ukraine_Witness_Datasheet/Worksheet/youtube_dl__no_itsmyturn_status_15003715474622832692022-03-06T14:05:12.291130.png</t>
  </si>
  <si>
    <t>https://twitter.com/nexta_tv/status/1500373171895078912</t>
  </si>
  <si>
    <t>UW1525</t>
  </si>
  <si>
    <t>https://bellingcat-archive.nyc3.cdn.digitaloceanspaces.com/Ukraine_Witness_Datasheet/Worksheet/youtube_dl_1500373171895078912.mp4</t>
  </si>
  <si>
    <t>2022-03-06T14:05:44.849671+00:00</t>
  </si>
  <si>
    <t>https://bellingcat-archive.nyc3.cdn.digitaloceanspaces.com/Ukraine_Witness_Datasheet/Worksheet/youtube_dl__nexta_tv_status_15003731718950789122022-03-06T14:05:29.072422.png</t>
  </si>
  <si>
    <t>ee2ef24b9905b89fc3fd3e47cc864740eef14783f4e2d6f108e9ed6ea1a23ed1</t>
  </si>
  <si>
    <t>https://bellingcat-archive.nyc3.cdn.digitaloceanspaces.com/Ukraine_Witness_Datasheet/Worksheet/youtube_dl_1500373171895078912/index.html</t>
  </si>
  <si>
    <t>NEXTA - Fire in #Hostomel this morning.</t>
  </si>
  <si>
    <t>2022-03-06T07:30:14+00:00</t>
  </si>
  <si>
    <t>https://twitter.com/no_itsmyturn/status/1500371572246433797</t>
  </si>
  <si>
    <t>UW1526</t>
  </si>
  <si>
    <t>https://bellingcat-archive.nyc3.cdn.digitaloceanspaces.com/Ukraine_Witness_Datasheet/Worksheet/youtube_dl_1500371572246433797.mp4</t>
  </si>
  <si>
    <t>2022-03-06T14:05:58.279825+00:00</t>
  </si>
  <si>
    <t>https://bellingcat-archive.nyc3.cdn.digitaloceanspaces.com/Ukraine_Witness_Datasheet/Worksheet/youtube_dl__no_itsmyturn_status_15003715722464337972022-03-06T14:05:46.826932.png</t>
  </si>
  <si>
    <t>137054c87809ba5c2ebc05a053d0a6eaac890971bf6ed120824f06d6159d74de</t>
  </si>
  <si>
    <t>https://bellingcat-archive.nyc3.cdn.digitaloceanspaces.com/Ukraine_Witness_Datasheet/Worksheet/youtube_dl_1500371572246433797/index.html</t>
  </si>
  <si>
    <t>Aleph א #IStandWithUkraine 🇺🇦 - Chesʹkyy Dvir residential complex was targeted by Russian Hostomel, Kyiv oblast #Ukraine 🇺🇦 (Video 3/3)</t>
  </si>
  <si>
    <t>2022-03-06T07:23:53+00:00</t>
  </si>
  <si>
    <t>https://twitter.com/RWApodcast/status/1499780277945741315?s=20&amp;t=_JBtmduakWsX07WrEoNPIQ</t>
  </si>
  <si>
    <t>Bridge that connects Ukr territory &amp; Transnistria is blown up</t>
  </si>
  <si>
    <t>Pavlivka,</t>
  </si>
  <si>
    <t>UW1527</t>
  </si>
  <si>
    <t>https://bellingcat-archive.nyc3.cdn.digitaloceanspaces.com/Ukraine_Witness_Datasheet/Worksheet/youtube_dl_1499780277945741315.mp4</t>
  </si>
  <si>
    <t>2022-03-06T14:15:25.227604+00:00</t>
  </si>
  <si>
    <t>https://bellingcat-archive.nyc3.cdn.digitaloceanspaces.com/Ukraine_Witness_Datasheet/Worksheet/youtube_dl__RWApodcast_status_14997802779457413152022-03-06T14:15:13.446019.png</t>
  </si>
  <si>
    <t>f681bfddbd5e8e0de6e15b2fc321c10b07576fdc609ec066eef231341a895145</t>
  </si>
  <si>
    <t>https://bellingcat-archive.nyc3.cdn.digitaloceanspaces.com/Ukraine_Witness_Datasheet/Worksheet/youtube_dl_1499780277945741315/index.html</t>
  </si>
  <si>
    <t>Russians With Attitude - Ukrainian forces have blown up a bridge that connects Ukr territory &amp;amp; Transnistria - presumably out of fear of Russians attacking from there. I don't expect this to happen; the operational group in Transnistria is only 1,500 peacekeepers, not really suited for combat operations</t>
  </si>
  <si>
    <t>2022-03-04T16:14:17+00:00</t>
  </si>
  <si>
    <t>https://www.youtube.com/watch?v=X9k-824WHTI</t>
  </si>
  <si>
    <t xml:space="preserve">ca. 5 minutes footage of russian military movement. </t>
  </si>
  <si>
    <t>https://www.google.com/maps/search/%D0%90%D0%BF%D1%82%D0%B5%D0%BA%D0%B0+%D0%A0%D0%B0%D0%B4%D0%B5%D0%BD%D1%81%D1%8C%D0%BA/@46.5517183,32.927316,148m/data=!3m1!1e3</t>
  </si>
  <si>
    <t>Radens'k</t>
  </si>
  <si>
    <t>Radens'k is named in the video title. One can see a pharmacy on the other street side, also the semicircle parking lot on the filmers side is visible via google maps.</t>
  </si>
  <si>
    <t>UW1528</t>
  </si>
  <si>
    <t>https://bellingcat-archive.nyc3.cdn.digitaloceanspaces.com/Ukraine_Witness_Datasheet/Worksheet/youtube_dl_X9k-824WHTI.webm</t>
  </si>
  <si>
    <t>2022-03-06T15:41:12.969192+00:00</t>
  </si>
  <si>
    <t>https://bellingcat-archive.nyc3.cdn.digitaloceanspaces.com/Ukraine_Witness_Datasheet/Worksheet/youtube_dl__watch2022-03-06T15:40:17.558129.png</t>
  </si>
  <si>
    <t>d29799d2d887a2dfa052e2786653358d48f80bf581395633739d15ca8ef96cce</t>
  </si>
  <si>
    <t>https://bellingcat-archive.nyc3.cdn.digitaloceanspaces.com/Ukraine_Witness_Datasheet/Worksheet/youtube_dl_X9k-824WHTI/index.html</t>
  </si>
  <si>
    <t>Херсон Олешки Раденск Движение колонны Z</t>
  </si>
  <si>
    <t>https://youtube.com/shorts/JpnqX6r6Bqc?feature=share</t>
  </si>
  <si>
    <t>Damages on civil buildings, visible shelling markings on buildings.</t>
  </si>
  <si>
    <t>https://www.google.com/maps/place/Akademika+Tarle+St,+2,+Kherson,+Khersons'ka+oblast,+Ukraine,+73009/@46.6780995,32.6118592,295m/data=!3m2!1e3!4b1!4m5!3m4!1s0x40c4105e12ea862d:0xbb765dffb132452a!8m2!3d46.6780995!4d32.6129535</t>
  </si>
  <si>
    <t>Location is named in the video (Akademika Tarle St, 2 and 4) and can be verified via google maps satellite.</t>
  </si>
  <si>
    <t>UW1529</t>
  </si>
  <si>
    <t>https://bellingcat-archive.nyc3.cdn.digitaloceanspaces.com/Ukraine_Witness_Datasheet/Worksheet/youtube_dl_JpnqX6r6Bqc.webm</t>
  </si>
  <si>
    <t>2022-03-06T16:15:26.431137+00:00</t>
  </si>
  <si>
    <t>https://bellingcat-archive.nyc3.cdn.digitaloceanspaces.com/Ukraine_Witness_Datasheet/Worksheet/youtube_dl__shorts_JpnqX6r6Bqc2022-03-06T16:15:14.360186.png</t>
  </si>
  <si>
    <t>1c1a2190bde8d0de669b3258df6acc8952b68befde885eb525ae902f40ca2700</t>
  </si>
  <si>
    <t>https://bellingcat-archive.nyc3.cdn.digitaloceanspaces.com/Ukraine_Witness_Datasheet/Worksheet/youtube_dl_JpnqX6r6Bqc/index.html</t>
  </si>
  <si>
    <t>1.03.2022. 11.45. ул Тарле на Таврический Херсон.</t>
  </si>
  <si>
    <t>https://youtube.com/shorts/oZLaJ0v8aLA?feature=share</t>
  </si>
  <si>
    <t>Damage on civil infrastructure for leasure time (sauna), visible missile damage and missile parts on the ground.</t>
  </si>
  <si>
    <t>https://www.google.com/maps/place/Pans%CA%B9ki+Rozvahy/@46.6709004,32.7060206,18z/data=!4m13!1m7!3m6!1s0x40c40e357e91f91f:0x7e71b9c98248c4c0!2sPans%CA%B9ki+Rozvahy!3b1!8m2!3d46.6709013!4d32.7071149!3m4!1s0x40c40e357e91f91f:0x7e71b9c98248c4c0!8m2!3d46.6709013!4d32.7071149</t>
  </si>
  <si>
    <t>Antoniwka</t>
  </si>
  <si>
    <r>
      <rPr>
        <sz val="11.0"/>
      </rPr>
      <t xml:space="preserve">Person in the video states date: 27/02/2022. Pictures on instagram and google matches the location: </t>
    </r>
    <r>
      <rPr>
        <color rgb="FF1155CC"/>
        <sz val="11.0"/>
        <u/>
      </rPr>
      <t>https://instagram.com/panski_rozvagy?utm_medium=copy_link</t>
    </r>
  </si>
  <si>
    <t>UW1530</t>
  </si>
  <si>
    <t>https://bellingcat-archive.nyc3.cdn.digitaloceanspaces.com/Ukraine_Witness_Datasheet/Worksheet/youtube_dl_oZLaJ0v8aLA.mp4</t>
  </si>
  <si>
    <t>2022-03-06T17:15:25.973685+00:00</t>
  </si>
  <si>
    <t>https://bellingcat-archive.nyc3.cdn.digitaloceanspaces.com/Ukraine_Witness_Datasheet/Worksheet/youtube_dl__shorts_oZLaJ0v8aLA2022-03-06T17:15:14.774890.png</t>
  </si>
  <si>
    <t>0cf495b14d46b3fc4f354b31cacbd2990786de18a15aed8be3863afb796ac36c</t>
  </si>
  <si>
    <t>https://bellingcat-archive.nyc3.cdn.digitaloceanspaces.com/Ukraine_Witness_Datasheet/Worksheet/youtube_dl_oZLaJ0v8aLA/index.html</t>
  </si>
  <si>
    <t>Разбомбили Баню на Молодежном пляже.</t>
  </si>
  <si>
    <t>its somewhere over there but coordinates are off</t>
  </si>
  <si>
    <t>https://youtube.com/shorts/ZTV8X8ew-wI?feature=share</t>
  </si>
  <si>
    <t>Shelling and explosions on civil housings.</t>
  </si>
  <si>
    <t>https://www.google.com/maps/place/Tavriiskyi,+Cherson,+Ukraine,+73000/@46.6692219,32.6086485,15z/data=!3m1!4b1!4m5!3m4!1s0x40c4106edc759e69:0x40296909fdcc4fc4!8m2!3d46.6692228!4d32.6174033</t>
  </si>
  <si>
    <r>
      <rPr>
        <color rgb="FF0563C1"/>
        <sz val="11.0"/>
        <u/>
      </rPr>
      <t>https://goo.gl/maps/7tAi6t6GYe4WHYcJ7</t>
    </r>
    <r>
      <rPr>
        <color rgb="FF000000"/>
        <sz val="11.0"/>
      </rPr>
      <t>, pictures matches the video.</t>
    </r>
  </si>
  <si>
    <t>UW1531</t>
  </si>
  <si>
    <t>filmed from a house</t>
  </si>
  <si>
    <t>https://bellingcat-archive.nyc3.cdn.digitaloceanspaces.com/Ukraine_Witness_Datasheet/Worksheet/youtube_dl_ZTV8X8ew-wI.webm</t>
  </si>
  <si>
    <t>2022-03-06T17:35:25.199194+00:00</t>
  </si>
  <si>
    <t>https://bellingcat-archive.nyc3.cdn.digitaloceanspaces.com/Ukraine_Witness_Datasheet/Worksheet/youtube_dl__shorts_ZTV8X8ew-wI2022-03-06T17:35:14.701693.png</t>
  </si>
  <si>
    <t>298e934315cb77a6fbd1ba1b32dbd356e709f949b5b561635a5936b37f2f8459</t>
  </si>
  <si>
    <t>https://bellingcat-archive.nyc3.cdn.digitaloceanspaces.com/Ukraine_Witness_Datasheet/Worksheet/youtube_dl_ZTV8X8ew-wI/index.html</t>
  </si>
  <si>
    <t>Херсон, МКР "Таврический" 1 Марта 2022 года 11.25.</t>
  </si>
  <si>
    <t>https://twitter.com/HalibutAngry/status/1500471901877161988?s=20&amp;t=YcixCgENXIyHOJmIQrtugg</t>
  </si>
  <si>
    <t>https://twitter.com/zcjbrooker/status/1500476748147867649?s=20&amp;t=YcixCgENXIyHOJmIQrtugg</t>
  </si>
  <si>
    <t>UW1532</t>
  </si>
  <si>
    <t>https://bellingcat-archive.nyc3.cdn.digitaloceanspaces.com/Ukraine_Witness_Datasheet/Worksheet/youtube_dl_1500471901877161988.mp4</t>
  </si>
  <si>
    <t>2022-03-06T16:05:23.486110+00:00</t>
  </si>
  <si>
    <t>https://bellingcat-archive.nyc3.cdn.digitaloceanspaces.com/Ukraine_Witness_Datasheet/Worksheet/youtube_dl__HalibutAngry_status_15004719018771619882022-03-06T16:05:12.515625.png</t>
  </si>
  <si>
    <t>76fa035668f5033be72385305f0a4b63c74bc3ced8bcad7b0c15894754781d8e</t>
  </si>
  <si>
    <t>https://bellingcat-archive.nyc3.cdn.digitaloceanspaces.com/Ukraine_Witness_Datasheet/Worksheet/youtube_dl_1500471901877161988/index.html</t>
  </si>
  <si>
    <t>TheAngryHalibut🎗 - Die Raketen, die den zivilen Flughafen Winnyzja trafen, wurden laut dem Militärfernsehen der ukrainischen Streitkräfte aus Transnistrien abgefeuert.</t>
  </si>
  <si>
    <t>2022-03-06T14:02:33+00:00</t>
  </si>
  <si>
    <t>https://twitter.com/malonebarry/status/1500510042876952582</t>
  </si>
  <si>
    <t>Civilian casualties after russian strike</t>
  </si>
  <si>
    <t>UW1533</t>
  </si>
  <si>
    <t>https://bellingcat-archive.nyc3.cdn.digitaloceanspaces.com/Ukraine_Witness_Datasheet/Worksheet/twitter__malonebarry_status_1500510042876952582.html</t>
  </si>
  <si>
    <t>2022-03-06T18:05:22.110973+00:00</t>
  </si>
  <si>
    <t>https://bellingcat-archive.nyc3.cdn.digitaloceanspaces.com/Ukraine_Witness_Datasheet/Worksheet/twitter__malonebarry_status_15005100428769525822022-03-06T18:05:13.345926.png</t>
  </si>
  <si>
    <t>f79f82ad51f9340f492ff79b9e0dcd0397156532c3c9bfa2a00dfdee775d89e9</t>
  </si>
  <si>
    <t>2022-03-06T16:34:07+00:00</t>
  </si>
  <si>
    <t>https://twitter.com/ThomasVLinge/status/1500506280619872257</t>
  </si>
  <si>
    <t>UW1534</t>
  </si>
  <si>
    <t>https://bellingcat-archive.nyc3.cdn.digitaloceanspaces.com/Ukraine_Witness_Datasheet/Worksheet/youtube_dl_1500506280619872257.mp4</t>
  </si>
  <si>
    <t>2022-03-06T18:05:38.083734+00:00</t>
  </si>
  <si>
    <t>https://bellingcat-archive.nyc3.cdn.digitaloceanspaces.com/Ukraine_Witness_Datasheet/Worksheet/youtube_dl__ThomasVLinge_status_15005062806198722572022-03-06T18:05:24.687068.png</t>
  </si>
  <si>
    <t>aa54136c638f726ddbff8d71600cb37f5a37745f19620c29615f87e27df12741</t>
  </si>
  <si>
    <t>https://bellingcat-archive.nyc3.cdn.digitaloceanspaces.com/Ukraine_Witness_Datasheet/Worksheet/youtube_dl_1500506280619872257/index.html</t>
  </si>
  <si>
    <t>Thomas van Linge - #Ukraine 🇺🇦: death and destruction in #Irpin (#Kyiv suburb).  Innocent civilians are being killed by Russian shelling as they try to get out of the town, suitcases packed and everything.</t>
  </si>
  <si>
    <t>2022-03-06T16:19:10+00:00</t>
  </si>
  <si>
    <t>https://twitter.com/Alex93419575/status/1500464867622461443</t>
  </si>
  <si>
    <t xml:space="preserve">Missile moving towards Vinnytsia Airport </t>
  </si>
  <si>
    <t>https://twitter.com/Cen4infoRes/status/1500489058790920200</t>
  </si>
  <si>
    <t>Hnivan</t>
  </si>
  <si>
    <t>UW1535</t>
  </si>
  <si>
    <t>https://bellingcat-archive.nyc3.cdn.digitaloceanspaces.com/Ukraine_Witness_Datasheet/Worksheet/youtube_dl_1500464867622461443.mp4</t>
  </si>
  <si>
    <t>2022-03-06T18:20:23.819180+00:00</t>
  </si>
  <si>
    <t>https://bellingcat-archive.nyc3.cdn.digitaloceanspaces.com/Ukraine_Witness_Datasheet/Worksheet/youtube_dl__Alex93419575_status_15004648676224614432022-03-06T18:20:13.014365.png</t>
  </si>
  <si>
    <t>b98f9d10413969e04bfaac4595755c0db8fa6a7e73cfd16eb861b342973d4ea2</t>
  </si>
  <si>
    <t>https://bellingcat-archive.nyc3.cdn.digitaloceanspaces.com/Ukraine_Witness_Datasheet/Worksheet/youtube_dl_1500464867622461443/index.html</t>
  </si>
  <si>
    <t>Alexandr Melnichuk - @olehbatkovych Gnivan city</t>
  </si>
  <si>
    <t>2022-03-06T13:34:36+00:00</t>
  </si>
  <si>
    <t>https://twitter.com/no_itsmyturn/status/1500465245210525696</t>
  </si>
  <si>
    <t>CIV0215</t>
  </si>
  <si>
    <t>https://twitter.com/Cen4infoRes/status/1500488064443072512</t>
  </si>
  <si>
    <t>Vinnyts'ki Khutory</t>
  </si>
  <si>
    <t>UW1536</t>
  </si>
  <si>
    <t>https://bellingcat-archive.nyc3.cdn.digitaloceanspaces.com/Ukraine_Witness_Datasheet/Worksheet/youtube_dl_1500465245210525696.mp4</t>
  </si>
  <si>
    <t>2022-03-06T18:25:24.757625+00:00</t>
  </si>
  <si>
    <t>https://bellingcat-archive.nyc3.cdn.digitaloceanspaces.com/Ukraine_Witness_Datasheet/Worksheet/youtube_dl__no_itsmyturn_status_15004652452105256962022-03-06T18:25:13.336381.png</t>
  </si>
  <si>
    <t>8c6ec70d44e879e64b9df3f422bd6843f4d5954a0418dfe3188e56093d4c6d04</t>
  </si>
  <si>
    <t>https://bellingcat-archive.nyc3.cdn.digitaloceanspaces.com/Ukraine_Witness_Datasheet/Worksheet/youtube_dl_1500465245210525696/index.html</t>
  </si>
  <si>
    <t>Aleph א #IStandWithUkraine 🇺🇦 - Clearly a Kalibr missile, which was reportedly used for targeting the Vinnytsia Airport #Ukraine 🇺🇦</t>
  </si>
  <si>
    <t>2022-03-06T13:36:06+00:00</t>
  </si>
  <si>
    <t>https://twitter.com/AuroraIntel/status/1500458496852217862</t>
  </si>
  <si>
    <t>https://twitter.com/zcjbrooker/status/1500476748147867649</t>
  </si>
  <si>
    <t>UW1537</t>
  </si>
  <si>
    <t>https://bellingcat-archive.nyc3.cdn.digitaloceanspaces.com/Ukraine_Witness_Datasheet/Worksheet/youtube_dl_1500458496852217862.mp4</t>
  </si>
  <si>
    <t>2022-03-06T18:25:38.694628+00:00</t>
  </si>
  <si>
    <t>https://bellingcat-archive.nyc3.cdn.digitaloceanspaces.com/Ukraine_Witness_Datasheet/Worksheet/youtube_dl__AuroraIntel_status_15004584968522178622022-03-06T18:25:27.012381.png</t>
  </si>
  <si>
    <t>1d908f6f0d39682cb6f4c90cb44289588c7b19453a771d4162f2b7dcc476935a</t>
  </si>
  <si>
    <t>https://bellingcat-archive.nyc3.cdn.digitaloceanspaces.com/Ukraine_Witness_Datasheet/Worksheet/youtube_dl_1500458496852217862/index.html</t>
  </si>
  <si>
    <t>Aurora Intel - Very clear video of a Kalibr Cruise Missile, suspected to be heading towards Vinnytsia Airport which was reportedly struck by several missiles in the last few hours.</t>
  </si>
  <si>
    <t>2022-03-06T13:09:17+00:00</t>
  </si>
  <si>
    <t>https://twitter.com/novostidnua/status/1500486627398987777</t>
  </si>
  <si>
    <t>Damage to residential flats after shelling</t>
  </si>
  <si>
    <t>UW1538</t>
  </si>
  <si>
    <t>https://bellingcat-archive.nyc3.cdn.digitaloceanspaces.com/Ukraine_Witness_Datasheet/Worksheet/twitter__novostidnua_status_1500486627398987777.html</t>
  </si>
  <si>
    <t>2022-03-06T18:35:24.639982+00:00</t>
  </si>
  <si>
    <t>https://bellingcat-archive.nyc3.cdn.digitaloceanspaces.com/Ukraine_Witness_Datasheet/Worksheet/twitter__novostidnua_status_15004866273989877772022-03-06T18:35:16.398810.png</t>
  </si>
  <si>
    <t>43aca8d1cf622ae931e83f2cac16c6bfa3e101cd5f0226f13135b9cf92d2a563</t>
  </si>
  <si>
    <t>2022-03-06T15:01:04+00:00</t>
  </si>
  <si>
    <t>https://twitter.com/SputnikATO/status/1500491922854580225</t>
  </si>
  <si>
    <t>https://twitter.com/gfusfus/status/1500496458918866946</t>
  </si>
  <si>
    <t>UW1539</t>
  </si>
  <si>
    <t>https://bellingcat-archive.nyc3.cdn.digitaloceanspaces.com/Ukraine_Witness_Datasheet/Worksheet/twitter__SputnikATO_status_1500491922854580225.html</t>
  </si>
  <si>
    <t>2022-03-06T20:45:21.545259+00:00</t>
  </si>
  <si>
    <t>https://bellingcat-archive.nyc3.cdn.digitaloceanspaces.com/Ukraine_Witness_Datasheet/Worksheet/twitter__SputnikATO_status_15004919228545802252022-03-06T20:45:13.127448.png</t>
  </si>
  <si>
    <t>64671d27dbf1abc4a558abf34f739d55fda6bc72f3874ffd82bedb3157f31947</t>
  </si>
  <si>
    <t>2022-03-06T15:22:06+00:00</t>
  </si>
  <si>
    <t>https://twitter.com/NotWoofers/status/1500511271359287296</t>
  </si>
  <si>
    <t>Russian aircraft downed</t>
  </si>
  <si>
    <t>https://twitter.com/john_marquee/status/1500513652847222785</t>
  </si>
  <si>
    <t>UW1540</t>
  </si>
  <si>
    <t>https://bellingcat-archive.nyc3.cdn.digitaloceanspaces.com/Ukraine_Witness_Datasheet/Worksheet/youtube_dl_1500511271359287296.mp4</t>
  </si>
  <si>
    <t>2022-03-06T20:45:35.629353+00:00</t>
  </si>
  <si>
    <t>https://bellingcat-archive.nyc3.cdn.digitaloceanspaces.com/Ukraine_Witness_Datasheet/Worksheet/youtube_dl__NotWoofers_status_15005112713592872962022-03-06T20:45:23.931134.png</t>
  </si>
  <si>
    <t>4a3a63def50437f2a82ee213eb41d9b3ee5788fd91337cac14f5803a14c5a123</t>
  </si>
  <si>
    <t>https://bellingcat-archive.nyc3.cdn.digitaloceanspaces.com/Ukraine_Witness_Datasheet/Worksheet/youtube_dl_1500511271359287296/index.html</t>
  </si>
  <si>
    <t>Woofers - CCTV footage showing the moment Ukrainian air defenses shot down an unknown Russian aircraft over Kharkiv</t>
  </si>
  <si>
    <t>2022-03-06T16:38:59+00:00</t>
  </si>
  <si>
    <t>https://twitter.com/Caucasuswar/status/1500556123690180613</t>
  </si>
  <si>
    <t>Russian forces on the move</t>
  </si>
  <si>
    <t>https://twitter.com/gfusfus/status/1500568897740840963</t>
  </si>
  <si>
    <t>Khersones</t>
  </si>
  <si>
    <t>UW1541</t>
  </si>
  <si>
    <t>Russian Military movements</t>
  </si>
  <si>
    <t>https://bellingcat-archive.nyc3.cdn.digitaloceanspaces.com/Ukraine_Witness_Datasheet/Worksheet/youtube_dl_1500556123690180613.mp4</t>
  </si>
  <si>
    <t>2022-03-06T20:45:52.693291+00:00</t>
  </si>
  <si>
    <t>https://bellingcat-archive.nyc3.cdn.digitaloceanspaces.com/Ukraine_Witness_Datasheet/Worksheet/youtube_dl__Caucasuswar_status_15005561236901806132022-03-06T20:45:38.231587.png</t>
  </si>
  <si>
    <t>9c0af3cf3b1cec0cb8491f6794ac1b4b1b65714e4417ab9b1dfe9bc35962165a</t>
  </si>
  <si>
    <t>https://bellingcat-archive.nyc3.cdn.digitaloceanspaces.com/Ukraine_Witness_Datasheet/Worksheet/youtube_dl_1500556123690180613/index.html</t>
  </si>
  <si>
    <t>CaucasusWarReport - Russian forces (DNR unit) in the outskirts of Mariupol as preparations to storm the city is ongoing.</t>
  </si>
  <si>
    <t>2022-03-06T19:37:13+00:00</t>
  </si>
  <si>
    <t>https://twitter.com/michaelh992/status/1500499668089856002?s=21</t>
  </si>
  <si>
    <t>Damaged church</t>
  </si>
  <si>
    <t>Bobryk</t>
  </si>
  <si>
    <t>https://www.google.com/maps/place/50%C2%B039'19.8%22N+31%C2%B004'23.2%22E/@50.6548415,31.0724753,3a,75y,90t/data=!3m8!1e2!3m6!1sAF1QipMoOvvxjfLnnCWTIFXW8yda1qGg6Gu95F7mwCW3!2e10!3e12!6shttps:%2F%2Flh5.googleusercontent.com%2Fp%2FAF1QipMoOvvxjfLnnCWTIFXW8yda1qGg6Gu95F7mwCW3%3Dw360-h270-k-no!7i4000!8i3000!4m13!1m7!3m6!1s0x0:0x4f47d4734afca91d!2zNTDCsDM5JzE5LjgiTiAzMcKwMDQnMjMuMiJF!3b1!8m2!3d50.655507!4d31.073123!3m4!1s0x0:0x4f47d4734afca91d!8m2!3d50.655507!4d31.073123</t>
  </si>
  <si>
    <t>UW1542</t>
  </si>
  <si>
    <t>https://bellingcat-archive.nyc3.cdn.digitaloceanspaces.com/Ukraine_Witness_Datasheet/Worksheet/twitter__michaelh992_status_1500499668089856002.html</t>
  </si>
  <si>
    <t>2022-03-06T20:55:26.409481+00:00</t>
  </si>
  <si>
    <t>https://bellingcat-archive.nyc3.cdn.digitaloceanspaces.com/Ukraine_Witness_Datasheet/Worksheet/twitter__michaelh992_status_15004996680898560022022-03-06T20:55:14.002414.png</t>
  </si>
  <si>
    <t>c549105bc6006093fb701a17e50be078e42ede969b51c72cbeacf5ff449d2598</t>
  </si>
  <si>
    <t>2022-03-06T15:52:53+00:00</t>
  </si>
  <si>
    <t>https://twitter.com/ignis_fatum/status/1500356344196608000</t>
  </si>
  <si>
    <t>Destroyed home after russian strikes</t>
  </si>
  <si>
    <t>Ovruch</t>
  </si>
  <si>
    <t>UW1543</t>
  </si>
  <si>
    <t>https://bellingcat-archive.nyc3.cdn.digitaloceanspaces.com/Ukraine_Witness_Datasheet/Worksheet/twitter__ignis_fatum_status_1500356344196608000.html</t>
  </si>
  <si>
    <t>2022-03-06T21:00:24.823293+00:00</t>
  </si>
  <si>
    <t>https://bellingcat-archive.nyc3.cdn.digitaloceanspaces.com/Ukraine_Witness_Datasheet/Worksheet/twitter__ignis_fatum_status_15003563441966080002022-03-06T21:00:15.789025.png</t>
  </si>
  <si>
    <t>a81ab82afc83bc01fc2a6a0a09eca4da846e2e6b91bfea49f7dea320faf9f37b</t>
  </si>
  <si>
    <t>2022-03-06T06:23:22+00:00</t>
  </si>
  <si>
    <t>https://twitter.com/IAPonomarenko/status/1500140441949380611</t>
  </si>
  <si>
    <t>Civilian shot by Russian forces</t>
  </si>
  <si>
    <t>https://twitter.com/AUT_INT/status/1500141480152817667</t>
  </si>
  <si>
    <t>Novopskov</t>
  </si>
  <si>
    <t>UW1544</t>
  </si>
  <si>
    <t>https://bellingcat-archive.nyc3.cdn.digitaloceanspaces.com/Ukraine_Witness_Datasheet/Worksheet/youtube_dl_1500140441949380611.mp4</t>
  </si>
  <si>
    <t>2022-03-06T21:20:33.922169+00:00</t>
  </si>
  <si>
    <t>https://bellingcat-archive.nyc3.cdn.digitaloceanspaces.com/Ukraine_Witness_Datasheet/Worksheet/youtube_dl__IAPonomarenko_status_15001404419493806112022-03-06T21:20:14.144367.png</t>
  </si>
  <si>
    <t>78d63ca30b9eb8e8147bfdb8f99736df226bd05edae11c00ccbe6983cc99a74d</t>
  </si>
  <si>
    <t>https://bellingcat-archive.nyc3.cdn.digitaloceanspaces.com/Ukraine_Witness_Datasheet/Worksheet/youtube_dl_1500140441949380611/index.html</t>
  </si>
  <si>
    <t>Illia Ponomarenko 🇺🇦 - Russians open fire at civilians in Novopskov</t>
  </si>
  <si>
    <t>2022-03-05T16:05:27+00:00</t>
  </si>
  <si>
    <t>https://t.me/truexanewsua/30300?single</t>
  </si>
  <si>
    <t>REPEAT of CIV0213</t>
  </si>
  <si>
    <t>GRAPHIC many civilian casualties in front of supermarket in residential area</t>
  </si>
  <si>
    <t>Same location as UW1519 geolocated by BEN B (buildings, benches and position of bodies match)</t>
  </si>
  <si>
    <t>UW1545</t>
  </si>
  <si>
    <t>https://web.archive.org/web/20220306212524/https://t.me/truexanewsua/30300?single</t>
  </si>
  <si>
    <t>2022-03-06T21:27:07.533577+00:00</t>
  </si>
  <si>
    <t>https://bellingcat-archive.nyc3.cdn.digitaloceanspaces.com/Ukraine_Witness_Datasheet/Worksheet/wayback__truexanewsua_303002022-03-06T21:26:57.304496.png</t>
  </si>
  <si>
    <t>Telegram: Contact @truexanewsua</t>
  </si>
  <si>
    <t>https://t.me/truexanewsua/30099</t>
  </si>
  <si>
    <t>Damage in Novosaltovsky covered market</t>
  </si>
  <si>
    <t>The place is mentionned in the Telegram post +  the structure of the stores matched that of this picture on Google maps: https://www.google.com/maps/place/Novosaltivs%CA%B9kyy+Budivel%CA%B9nyy+Rynok/@50.0238667,36.3401757,3a,75y,90t/data=!3m8!1e2!3m6!1sAF1QipP6gTXVGOk6PWv8qRgAQncy4TIvFbB96jgN3b_S!2e10!3e12!6shttps:%2F%2Flh5.googleusercontent.com%2Fp%2FAF1QipP6gTXVGOk6PWv8qRgAQncy4TIvFbB96jgN3b_S%3Dw203-h152-k-no!7i4000!8i3000!4m7!3m6!1s0x4127a7cc42181185:0x2aac4c453fe9596d!8m2!3d50.0237099!4d36.3406684!14m1!1BCgIYEg?hl=fr (red banners, dark green walls, brown brick at the bottom, white translucid celling)</t>
  </si>
  <si>
    <t>UW1546</t>
  </si>
  <si>
    <t>https://bellingcat-archive.nyc3.cdn.digitaloceanspaces.com/Ukraine_Witness_Datasheet/Worksheet/telegram_c20d113127.mp4</t>
  </si>
  <si>
    <t>2022-03-06T22:32:05.720310+00:00</t>
  </si>
  <si>
    <t>https://bellingcat-archive.nyc3.cdn.digitaloceanspaces.com/Ukraine_Witness_Datasheet/Worksheet/telegram__truexanewsua_300992022-03-06T22:30:09.992848.png</t>
  </si>
  <si>
    <t>7028f3f9bc42909e34c3081529f4a03a7b6a841623696f08137c813fb59aae87</t>
  </si>
  <si>
    <t>https://bellingcat-archive.nyc3.cdn.digitaloceanspaces.com/Ukraine_Witness_Datasheet/Worksheet/telegram_c20d113127/index.html</t>
  </si>
  <si>
    <t>2022-03-06T07:28:02+00:00</t>
  </si>
  <si>
    <t>https://t.me/truexanewsua/30382</t>
  </si>
  <si>
    <t>REPEAT OF CIV0228</t>
  </si>
  <si>
    <t xml:space="preserve">Strike on a building at night, north Kharkiv </t>
  </si>
  <si>
    <t>UW1547</t>
  </si>
  <si>
    <t>https://bellingcat-archive.nyc3.cdn.digitaloceanspaces.com/Ukraine_Witness_Datasheet/Worksheet/telegram_ab4432e840.mp4</t>
  </si>
  <si>
    <t>2022-03-06T22:50:34.333137+00:00</t>
  </si>
  <si>
    <t>https://bellingcat-archive.nyc3.cdn.digitaloceanspaces.com/Ukraine_Witness_Datasheet/Worksheet/telegram__truexanewsua_303822022-03-06T22:50:10.451002.png</t>
  </si>
  <si>
    <t>57adf99afde49ab2613df862660ba392ade58a67ba991a8c3f0fb9f5abfbfc34</t>
  </si>
  <si>
    <t>https://bellingcat-archive.nyc3.cdn.digitaloceanspaces.com/Ukraine_Witness_Datasheet/Worksheet/telegram_ab4432e840/index.html</t>
  </si>
  <si>
    <t>2022-03-06T21:59:43+00:00</t>
  </si>
  <si>
    <t>07/03/2022</t>
  </si>
  <si>
    <t>https://twitter.com/timsoulo/status/1500729850310832128?s=20&amp;t=nJkbQl0E_aMF6oAUG693ow</t>
  </si>
  <si>
    <t>https://twitter.com/NoahESchechter/status/1500747196056182784?s=20&amp;t=nJkbQl0E_aMF6oAUG693ow</t>
  </si>
  <si>
    <t>UW1548</t>
  </si>
  <si>
    <t>https://bellingcat-archive.nyc3.cdn.digitaloceanspaces.com/Ukraine_Witness_Datasheet/Worksheet/twitter__timsoulo_status_1500729850310832128.html</t>
  </si>
  <si>
    <t>2022-03-07T08:30:23.714155+00:00</t>
  </si>
  <si>
    <t>https://bellingcat-archive.nyc3.cdn.digitaloceanspaces.com/Ukraine_Witness_Datasheet/Worksheet/twitter__timsoulo_status_15007298503108321282022-03-07T08:30:13.302418.png</t>
  </si>
  <si>
    <t>0bebc8088c7ab4f427ca65a392404ed024a450bd33227ae59bcc6169e3a5e6b9</t>
  </si>
  <si>
    <t>2022-03-07T07:07:33+00:00</t>
  </si>
  <si>
    <t>https://www.reddit.com/r/CombatFootage/comments/t8bwm8/civilians_weep_as_they_pass_a_destroyed_column_of/</t>
  </si>
  <si>
    <t>Destroyed Ukrainian military convoy</t>
  </si>
  <si>
    <t>Oleshkivskyi raion</t>
  </si>
  <si>
    <t>Ridne</t>
  </si>
  <si>
    <t>UW1549</t>
  </si>
  <si>
    <t>Ukrainian military losses</t>
  </si>
  <si>
    <t>https://bellingcat-archive.nyc3.cdn.digitaloceanspaces.com/Ukraine_Witness_Datasheet/Worksheet/youtube_dl_a5jt7w3hpul81.mp4</t>
  </si>
  <si>
    <t>2022-03-07T09:20:28.181000+00:00</t>
  </si>
  <si>
    <t>https://bellingcat-archive.nyc3.cdn.digitaloceanspaces.com/Ukraine_Witness_Datasheet/Worksheet/youtube_dl__r_CombatFootage_comments_t8bwm8_civilians_weep_as_they_pass_a_destroyed_column_of_2022-03-07T09:20:13.941895.png</t>
  </si>
  <si>
    <t>874c34a2a56674f73e1bb1cc8954b36533ca33f77ec21634a6e47778ab0a684e</t>
  </si>
  <si>
    <t>https://bellingcat-archive.nyc3.cdn.digitaloceanspaces.com/Ukraine_Witness_Datasheet/Worksheet/youtube_dl_a5jt7w3hpul81/index.html</t>
  </si>
  <si>
    <t>Civilians weep as they pass a destroyed column of the Armed Forces of Ukraine</t>
  </si>
  <si>
    <t>2022-03-06T23:52:07+00:00</t>
  </si>
  <si>
    <t>https://www.reddit.com/r/DestroyedTanks/comments/t156rs/destroyed_ukrainian_army_convoy_with_dead_crew/?utm_source=share&amp;utm_medium=ios_app&amp;utm_name=iossmf</t>
  </si>
  <si>
    <t>Destroyed Ukrainian military convoy and casualty</t>
  </si>
  <si>
    <t>UW1550</t>
  </si>
  <si>
    <t>https://bellingcat-archive.nyc3.cdn.digitaloceanspaces.com/Ukraine_Witness_Datasheet/Worksheet/youtube_dl_xqfximklnzj81.mp4</t>
  </si>
  <si>
    <t>2022-03-07T09:20:56.623615+00:00</t>
  </si>
  <si>
    <t>https://bellingcat-archive.nyc3.cdn.digitaloceanspaces.com/Ukraine_Witness_Datasheet/Worksheet/youtube_dl__r_DestroyedTanks_comments_t156rs_destroyed_ukrainian_army_convoy_with_dead_crew_2022-03-07T09:20:36.075909.png</t>
  </si>
  <si>
    <t>c0c96169a18a0188e3c477ba310d4caa4f66f31901eb447e1d3c2c8d88a9baf9</t>
  </si>
  <si>
    <t>https://bellingcat-archive.nyc3.cdn.digitaloceanspaces.com/Ukraine_Witness_Datasheet/Worksheet/youtube_dl_xqfximklnzj81/index.html</t>
  </si>
  <si>
    <t>Destroyed Ukrainian Army convoy with dead crew near Melitopol - NSFW/NSFL</t>
  </si>
  <si>
    <t>2022-02-25T14:22:23+00:00</t>
  </si>
  <si>
    <t>https://t.me/rybar/26995</t>
  </si>
  <si>
    <t>Large fire after missile impact</t>
  </si>
  <si>
    <t>https://twitter.com/marksnoeck/status/1499741714722037762/photo/1</t>
  </si>
  <si>
    <t>Film location: 50.406941, 30.552319</t>
  </si>
  <si>
    <t>UW1551</t>
  </si>
  <si>
    <t>https://bellingcat-archive.nyc3.cdn.digitaloceanspaces.com/Ukraine_Witness_Datasheet/Worksheet/telegram_c7b93b534b.mp4</t>
  </si>
  <si>
    <t>2022-03-07T09:30:37.825274+00:00</t>
  </si>
  <si>
    <t>https://bellingcat-archive.nyc3.cdn.digitaloceanspaces.com/Ukraine_Witness_Datasheet/Worksheet/telegram__rybar_269952022-03-07T09:30:09.912749.png</t>
  </si>
  <si>
    <t>a58417be9c86d02e6c5d3639a48b1ce5ee1386750505692f0916bc0622be629c</t>
  </si>
  <si>
    <t>https://bellingcat-archive.nyc3.cdn.digitaloceanspaces.com/Ukraine_Witness_Datasheet/Worksheet/telegram_c7b93b534b/index.html</t>
  </si>
  <si>
    <t>2022-03-03T01:15:03+00:00</t>
  </si>
  <si>
    <t>https://twitter.com/RALee85/status/1500765060507049989</t>
  </si>
  <si>
    <t>dead civilians in Irpin after Russian attack</t>
  </si>
  <si>
    <t>https://twitter.com/zwedowz/status/1500770464574156802</t>
  </si>
  <si>
    <t>UW1552</t>
  </si>
  <si>
    <t>https://bellingcat-archive.nyc3.cdn.digitaloceanspaces.com/Ukraine_Witness_Datasheet/Worksheet/youtube_dl_1500765060507049989.mp4</t>
  </si>
  <si>
    <t>2022-03-07T10:20:22.387382+00:00</t>
  </si>
  <si>
    <t>https://bellingcat-archive.nyc3.cdn.digitaloceanspaces.com/Ukraine_Witness_Datasheet/Worksheet/youtube_dl__RALee85_status_15007650605070499892022-03-07T10:20:11.464109.png</t>
  </si>
  <si>
    <t>df7953b15de7b5e767f75750ba63b19f29009af570b15efb2f161b9a2e28797f</t>
  </si>
  <si>
    <t>https://bellingcat-archive.nyc3.cdn.digitaloceanspaces.com/Ukraine_Witness_Datasheet/Worksheet/youtube_dl_1500765060507049989/index.html</t>
  </si>
  <si>
    <t>Rob Lee - 633/</t>
  </si>
  <si>
    <t>2022-03-07T09:27:27+00:00</t>
  </si>
  <si>
    <t>https://twitter.com/GirkinGirkin/status/1500772770086588416</t>
  </si>
  <si>
    <t>Destroyed Russian fighter jet</t>
  </si>
  <si>
    <t>50.52057,</t>
  </si>
  <si>
    <t>UW1553</t>
  </si>
  <si>
    <t>https://bellingcat-archive.nyc3.cdn.digitaloceanspaces.com/Ukraine_Witness_Datasheet/Worksheet/twitter__GirkinGirkin_status_1500772770086588416.html</t>
  </si>
  <si>
    <t>2022-03-07T10:20:33.222803+00:00</t>
  </si>
  <si>
    <t>https://bellingcat-archive.nyc3.cdn.digitaloceanspaces.com/Ukraine_Witness_Datasheet/Worksheet/twitter__GirkinGirkin_status_15007727700865884162022-03-07T10:20:24.594966.png</t>
  </si>
  <si>
    <t>0c5499c60f2f7c418f1c24fd169b599dd6f52100019d90f289f51e9bbfcb8363</t>
  </si>
  <si>
    <t>2022-03-07T09:58:06+00:00</t>
  </si>
  <si>
    <t>https://twitter.com/pan_goldman/status/1500761721543311361?s=20&amp;t=kiGKGfb3TC3O3j8yU0c7eg</t>
  </si>
  <si>
    <t>Russian soldiers (APC/BMP + soldiers) hiding between civilans infrasctructures</t>
  </si>
  <si>
    <t>Film location : may be 50.520293, 30.207002</t>
  </si>
  <si>
    <t>UW1554</t>
  </si>
  <si>
    <t>https://bellingcat-archive.nyc3.cdn.digitaloceanspaces.com/Ukraine_Witness_Datasheet/Worksheet/youtube_dl_1500761721543311361.mp4</t>
  </si>
  <si>
    <t>2022-03-07T11:30:21.159382+00:00</t>
  </si>
  <si>
    <t>https://bellingcat-archive.nyc3.cdn.digitaloceanspaces.com/Ukraine_Witness_Datasheet/Worksheet/youtube_dl__pan_goldman_status_15007617215433113612022-03-07T11:30:10.897108.png</t>
  </si>
  <si>
    <t>6bd86f74f5284f9ed6975f171db5468db6736fdb8363501fb359f57a6f665fed</t>
  </si>
  <si>
    <t>https://bellingcat-archive.nyc3.cdn.digitaloceanspaces.com/Ukraine_Witness_Datasheet/Worksheet/youtube_dl_1500761721543311361/index.html</t>
  </si>
  <si>
    <t>Pan Goldman - Russian occupants hide military equipment under houses in Irpin, near Kiyv 06.03.2022</t>
  </si>
  <si>
    <t>2022-03-07T09:14:11+00:00</t>
  </si>
  <si>
    <t>https://twitter.com/karinanguyen_/status/1500565208489545728</t>
  </si>
  <si>
    <t>Damage to civilian infrastructure after strike</t>
  </si>
  <si>
    <t>https://twitter.com/karinanguyen_/status/1500565214277693440</t>
  </si>
  <si>
    <t>UW1555</t>
  </si>
  <si>
    <t>filmed by friend of poster</t>
  </si>
  <si>
    <t>https://bellingcat-archive.nyc3.cdn.digitaloceanspaces.com/Ukraine_Witness_Datasheet/Worksheet/youtube_dl_1500565208489545728.mp4</t>
  </si>
  <si>
    <t>2022-03-07T11:25:22.518974+00:00</t>
  </si>
  <si>
    <t>https://bellingcat-archive.nyc3.cdn.digitaloceanspaces.com/Ukraine_Witness_Datasheet/Worksheet/youtube_dl__karinanguyen__status_15005652084895457282022-03-07T11:25:12.066262.png</t>
  </si>
  <si>
    <t>afcc221eb6e52a6d9d392450cab55eb2e5f11945c34c4484c262221ae84d21eb</t>
  </si>
  <si>
    <t>https://bellingcat-archive.nyc3.cdn.digitaloceanspaces.com/Ukraine_Witness_Datasheet/Worksheet/youtube_dl_1500565208489545728/index.html</t>
  </si>
  <si>
    <t>Karina Nguyen - My friend just sent the video near at their house in Kharkiv, approx. at 7:30 pm local time   Geolocation:  49.988279° 36.244692°     @Michael1Sheldon @malachybrowne @christogrozev @ckoettl</t>
  </si>
  <si>
    <t>2022-03-06T20:13:19+00:00</t>
  </si>
  <si>
    <t>https://t.me/Pravda_Gerashchenko/2283</t>
  </si>
  <si>
    <t>CIV0223</t>
  </si>
  <si>
    <t>"Voznesensʹka Tserkva" church damaged by strike</t>
  </si>
  <si>
    <t>Bobrik</t>
  </si>
  <si>
    <t>UW1556</t>
  </si>
  <si>
    <t>https://bellingcat-archive.nyc3.cdn.digitaloceanspaces.com/Ukraine_Witness_Datasheet/Worksheet/telegram__Pravda_Gerashchenko_2283.html</t>
  </si>
  <si>
    <t>2022-03-07T12:15:19.986348+00:00</t>
  </si>
  <si>
    <t>https://bellingcat-archive.nyc3.cdn.digitaloceanspaces.com/Ukraine_Witness_Datasheet/Worksheet/telegram__Pravda_Gerashchenko_22832022-03-07T12:15:09.384251.png</t>
  </si>
  <si>
    <t>1214a61bf26a46b12b1b354f530bef26294ca8799219b5c2b9a01fcc01e8b989</t>
  </si>
  <si>
    <t>2022-03-06T15:41:50+00:00</t>
  </si>
  <si>
    <t>https://twitter.com/EuromaidanPR/status/1500808695034392588</t>
  </si>
  <si>
    <t>UW1557</t>
  </si>
  <si>
    <t>https://bellingcat-archive.nyc3.cdn.digitaloceanspaces.com/Ukraine_Witness_Datasheet/Worksheet/youtube_dl_1500808695034392588.mp4</t>
  </si>
  <si>
    <t>2022-03-07T13:15:22.118589+00:00</t>
  </si>
  <si>
    <t>https://bellingcat-archive.nyc3.cdn.digitaloceanspaces.com/Ukraine_Witness_Datasheet/Worksheet/youtube_dl__EuromaidanPR_status_15008086950343925882022-03-07T13:15:11.625884.png</t>
  </si>
  <si>
    <t>29191f44743864307a28d47b593a4b91cbd71ac72ddef01cf9102b256fb0170c</t>
  </si>
  <si>
    <t>https://bellingcat-archive.nyc3.cdn.digitaloceanspaces.com/Ukraine_Witness_Datasheet/Worksheet/youtube_dl_1500808695034392588/index.html</t>
  </si>
  <si>
    <t>EMPR.MEDIA - Kharkiv after russian air strike | EMPR #russiaukrainewar #Ukraine #Russia</t>
  </si>
  <si>
    <t>2022-03-07T12:20:51+00:00</t>
  </si>
  <si>
    <t>50.04477</t>
  </si>
  <si>
    <t>36.279264</t>
  </si>
  <si>
    <t>https://twitter.com/SputnikATO/status/1500805645485985794</t>
  </si>
  <si>
    <t>CIV0286</t>
  </si>
  <si>
    <t>Residential area with damage from likely artillery strike.</t>
  </si>
  <si>
    <t>UW1558</t>
  </si>
  <si>
    <t>https://bellingcat-archive.nyc3.cdn.digitaloceanspaces.com/Ukraine_Witness_Datasheet/Worksheet/youtube_dl_1500805645485985794.mp4</t>
  </si>
  <si>
    <t>2022-03-07T13:20:25.033075+00:00</t>
  </si>
  <si>
    <t>https://bellingcat-archive.nyc3.cdn.digitaloceanspaces.com/Ukraine_Witness_Datasheet/Worksheet/youtube_dl__SputnikATO_status_15008056454859857942022-03-07T13:20:13.589726.png</t>
  </si>
  <si>
    <t>f251fc383bd085b50159b7db2982c6f001f998a81554a5966bf279d2e9214be1</t>
  </si>
  <si>
    <t>https://bellingcat-archive.nyc3.cdn.digitaloceanspaces.com/Ukraine_Witness_Datasheet/Worksheet/youtube_dl_1500805645485985794/index.html</t>
  </si>
  <si>
    <t>⚡️Спутник News АТО 🇺🇦 - Харьков, улица Академика Проскуры</t>
  </si>
  <si>
    <t>2022-03-07T12:08:44+00:00</t>
  </si>
  <si>
    <t>https://twitter.com/CzechPremysl/status/1500766687959859200</t>
  </si>
  <si>
    <t>Kadyrov fighters near Kyiv</t>
  </si>
  <si>
    <t>Babyntsi</t>
  </si>
  <si>
    <t>UW1559</t>
  </si>
  <si>
    <t>https://bellingcat-archive.nyc3.cdn.digitaloceanspaces.com/Ukraine_Witness_Datasheet/Worksheet/youtube_dl_1500766687959859200.mp4</t>
  </si>
  <si>
    <t>2022-03-07T13:20:43.427565+00:00</t>
  </si>
  <si>
    <t>https://bellingcat-archive.nyc3.cdn.digitaloceanspaces.com/Ukraine_Witness_Datasheet/Worksheet/youtube_dl__CzechPremysl_status_15007666879598592002022-03-07T13:20:28.174963.png</t>
  </si>
  <si>
    <t>593fcd31b9dd0ffa4e65dd339e9a08ee9fefa65cfaaa2cf0328d29e86820b6db</t>
  </si>
  <si>
    <t>https://bellingcat-archive.nyc3.cdn.digitaloceanspaces.com/Ukraine_Witness_Datasheet/Worksheet/youtube_dl_1500766687959859200/index.html</t>
  </si>
  <si>
    <t>Premysl Czech - Chechens (Kadyrov) in Kiev. According to them, this is an eviction. According to the words, there is no resistance.</t>
  </si>
  <si>
    <t>2022-03-07T09:33:55+00:00</t>
  </si>
  <si>
    <t>https://t.me/truexanewsua/30442</t>
  </si>
  <si>
    <t>Shelling damages on civilian infrastructure and vehicles, you can also hear explosions at the end of the snippet.</t>
  </si>
  <si>
    <t>Blue adress plate is visible but fuzzy; licence plates visible on damaged vehicles: Luhansk: BB8945 AH; Kharkiv AX1558EP</t>
  </si>
  <si>
    <t>UW1560</t>
  </si>
  <si>
    <t>https://bellingcat-archive.nyc3.cdn.digitaloceanspaces.com/Ukraine_Witness_Datasheet/Worksheet/telegram_79ae0c485e.mp4</t>
  </si>
  <si>
    <t>2022-03-07T13:01:37.993051+00:00</t>
  </si>
  <si>
    <t>https://bellingcat-archive.nyc3.cdn.digitaloceanspaces.com/Ukraine_Witness_Datasheet/Worksheet/telegram__truexanewsua_304422022-03-07T13:00:10.225401.png</t>
  </si>
  <si>
    <t>18d458048691ae0fdc68519d8394af123b61bb05083a51257988a8509d9388e5</t>
  </si>
  <si>
    <t>https://bellingcat-archive.nyc3.cdn.digitaloceanspaces.com/Ukraine_Witness_Datasheet/Worksheet/telegram_79ae0c485e/index.html</t>
  </si>
  <si>
    <t>2022-03-07T07:10:09+00:00</t>
  </si>
  <si>
    <t>https://twitter.com/RALee85/status/1500590657286688775?s=20&amp;t=gdyOs0O_xm_el_Zx3fAhZg</t>
  </si>
  <si>
    <t xml:space="preserve">Reportedly two Ukrainian Su-25 attack aircraft were reportedly shot down today in Kherson, Oleshki. </t>
  </si>
  <si>
    <t>https://vk.com/milinfolive?w=wall-123538639_2257343</t>
  </si>
  <si>
    <t>Oleshki is mentioned in the video title, also fits the location.</t>
  </si>
  <si>
    <t>UW1561</t>
  </si>
  <si>
    <t>https://bellingcat-archive.nyc3.cdn.digitaloceanspaces.com/Ukraine_Witness_Datasheet/Worksheet/youtube_dl_1500590657286688775.mp4</t>
  </si>
  <si>
    <t>2022-03-07T13:30:22.564572+00:00</t>
  </si>
  <si>
    <t>https://bellingcat-archive.nyc3.cdn.digitaloceanspaces.com/Ukraine_Witness_Datasheet/Worksheet/youtube_dl__RALee85_status_15005906572866887752022-03-07T13:30:12.213259.png</t>
  </si>
  <si>
    <t>e5735ec51879642f27384753b78a8edce53d65cee98ba896bded9f0b7afb3d0a</t>
  </si>
  <si>
    <t>https://bellingcat-archive.nyc3.cdn.digitaloceanspaces.com/Ukraine_Witness_Datasheet/Worksheet/youtube_dl_1500590657286688775/index.html</t>
  </si>
  <si>
    <t>Rob Lee - Two Ukrainian Su-25 attack aircraft were reportedly shot down today in Kherson. Worth waiting until we see wreckage for confirmation.</t>
  </si>
  <si>
    <t>2022-03-06T21:54:26+00:00</t>
  </si>
  <si>
    <t>not wrong! but they dont appear to be shot down</t>
  </si>
  <si>
    <t>https://t.me/Pravda_Gerashchenko/2208</t>
  </si>
  <si>
    <t>Severe damages on civilian infrastructure.</t>
  </si>
  <si>
    <t>Stoyanka is mentioned in the video; speaker mentions WineTime, Silpo as well. One can locate and recognise the mentioned shops and location via google maps and satellite.</t>
  </si>
  <si>
    <t>UW1562</t>
  </si>
  <si>
    <t>civilian infrastructure damage</t>
  </si>
  <si>
    <t>https://bellingcat-archive.nyc3.cdn.digitaloceanspaces.com/Ukraine_Witness_Datasheet/Worksheet/telegram_2af266e622.mp4</t>
  </si>
  <si>
    <t>2022-03-07T15:26:12.797987+00:00</t>
  </si>
  <si>
    <t>https://bellingcat-archive.nyc3.cdn.digitaloceanspaces.com/Ukraine_Witness_Datasheet/Worksheet/telegram__Pravda_Gerashchenko_22082022-03-07T15:25:10.909707.png</t>
  </si>
  <si>
    <t>317e87a31a690d5988d8f3bcdfa250ddd1a96fb37247c987b532ab93c8ee1f7d</t>
  </si>
  <si>
    <t>https://bellingcat-archive.nyc3.cdn.digitaloceanspaces.com/Ukraine_Witness_Datasheet/Worksheet/telegram_2af266e622/index.html</t>
  </si>
  <si>
    <t>2022-03-06T10:24:14+00:00</t>
  </si>
  <si>
    <t>https://t.me/Pravda_Gerashchenko/2403</t>
  </si>
  <si>
    <t>Severe damage on civilian infrastructure. You can see the building with significant green roof, which is geolocatable, also via street view.</t>
  </si>
  <si>
    <t>Malyn</t>
  </si>
  <si>
    <t>https://www.google.de/maps/place/Krymskoho+St,+2,+Malyn,+Zhytomyrs'ka+oblast,+Ukraine,+11601/@50.7671759,29.2420028,3a,75y,138.11h,88.9t/data=!3m6!1e1!3m4!2e0!9m2!1b1!2i50!4m5!3m4!1s0x472ba40e4d122a13:0x4544e8723b0ca72a!8m2!3d50.7669025!4d29.2425505!5m1!1e4</t>
  </si>
  <si>
    <t>UW1563</t>
  </si>
  <si>
    <t>https://bellingcat-archive.nyc3.cdn.digitaloceanspaces.com/Ukraine_Witness_Datasheet/Worksheet/telegram__Pravda_Gerashchenko_2393.html</t>
  </si>
  <si>
    <t>2022-03-07T16:00:27.719820+00:00</t>
  </si>
  <si>
    <t>https://bellingcat-archive.nyc3.cdn.digitaloceanspaces.com/Ukraine_Witness_Datasheet/Worksheet/telegram__Pravda_Gerashchenko_23932022-03-07T16:00:10.671984.png</t>
  </si>
  <si>
    <t>5809a7391facfbd261256a6cdd696248f482c859a1f5e215a1aef1cc473793f3</t>
  </si>
  <si>
    <t>2022-03-07T08:35:32+00:00</t>
  </si>
  <si>
    <t>https://t.me/Pravda_Gerashchenko/2333</t>
  </si>
  <si>
    <t>CIV0227</t>
  </si>
  <si>
    <t>2 bodies in a shelled vehicle, license plate: Kyiv KA5465HT</t>
  </si>
  <si>
    <t>UW1564</t>
  </si>
  <si>
    <t>https://bellingcat-archive.nyc3.cdn.digitaloceanspaces.com/Ukraine_Witness_Datasheet/Worksheet/telegram_34ac72aa2f.mp4</t>
  </si>
  <si>
    <t>2022-03-07T13:51:32.250956+00:00</t>
  </si>
  <si>
    <t>https://bellingcat-archive.nyc3.cdn.digitaloceanspaces.com/Ukraine_Witness_Datasheet/Worksheet/telegram__Pravda_Gerashchenko_23332022-03-07T13:50:10.717944.png</t>
  </si>
  <si>
    <t>18d40ed7ecc32b3cbc04d2580018baae53d7cec61697bdb929c313e0139651bc</t>
  </si>
  <si>
    <t>https://bellingcat-archive.nyc3.cdn.digitaloceanspaces.com/Ukraine_Witness_Datasheet/Worksheet/telegram_34ac72aa2f/index.html</t>
  </si>
  <si>
    <t>2022-03-06T18:56:40+00:00</t>
  </si>
  <si>
    <t>https://twitter.com/RALee85/status/1500795611146297347</t>
  </si>
  <si>
    <t>UW1565</t>
  </si>
  <si>
    <t>https://bellingcat-archive.nyc3.cdn.digitaloceanspaces.com/Ukraine_Witness_Datasheet/Worksheet/youtube_dl_1500795611146297347.mp4</t>
  </si>
  <si>
    <t>2022-03-07T13:10:24.797506+00:00</t>
  </si>
  <si>
    <t>https://bellingcat-archive.nyc3.cdn.digitaloceanspaces.com/Ukraine_Witness_Datasheet/Worksheet/youtube_dl__RALee85_status_15007956111462973472022-03-07T13:10:12.556231.png</t>
  </si>
  <si>
    <t>6b36f2ee6c2a247e047e534e89e1134ab157d54dc6d4134eaa1102fc368c3734</t>
  </si>
  <si>
    <t>https://bellingcat-archive.nyc3.cdn.digitaloceanspaces.com/Ukraine_Witness_Datasheet/Worksheet/youtube_dl_1500795611146297347/index.html</t>
  </si>
  <si>
    <t>Rob Lee - Scuffles between Ukrainian protestors and Russian Rosgvardia troops.</t>
  </si>
  <si>
    <t>2022-03-07T11:28:51+00:00</t>
  </si>
  <si>
    <t>Aleksander</t>
  </si>
  <si>
    <t>https://t.me/Tsaplienko/1997</t>
  </si>
  <si>
    <t>Damage to civilian infrastructure</t>
  </si>
  <si>
    <t>https://twitter.com/aleksanderrr_/status/1500423198076198912</t>
  </si>
  <si>
    <t>UW1566</t>
  </si>
  <si>
    <t>https://bellingcat-archive.nyc3.cdn.digitaloceanspaces.com/Ukraine_Witness_Datasheet/Worksheet/telegram_c269064719.mp4</t>
  </si>
  <si>
    <t>2022-03-07T14:00:47.261376+00:00</t>
  </si>
  <si>
    <t>https://bellingcat-archive.nyc3.cdn.digitaloceanspaces.com/Ukraine_Witness_Datasheet/Worksheet/telegram__Tsaplienko_19972022-03-07T14:00:12.596690.png</t>
  </si>
  <si>
    <t>243b529934543e8f86a953c3b78cd3787b989703c502ee589b27a60909ea4ece</t>
  </si>
  <si>
    <t>https://bellingcat-archive.nyc3.cdn.digitaloceanspaces.com/Ukraine_Witness_Datasheet/Worksheet/telegram_c269064719/index.html</t>
  </si>
  <si>
    <t>2022-03-06T10:30:24+00:00</t>
  </si>
  <si>
    <t>Alexander</t>
  </si>
  <si>
    <t>https://twitter.com/NovaGorlivka/status/1500844307372199937</t>
  </si>
  <si>
    <t>UW1567</t>
  </si>
  <si>
    <t>https://bellingcat-archive.nyc3.cdn.digitaloceanspaces.com/Ukraine_Witness_Datasheet/Worksheet/twitter__NovaGorlivka_status_1500844307372199937.html</t>
  </si>
  <si>
    <t>2022-03-07T14:55:42.877124+00:00</t>
  </si>
  <si>
    <t>https://bellingcat-archive.nyc3.cdn.digitaloceanspaces.com/Ukraine_Witness_Datasheet/Worksheet/twitter__NovaGorlivka_status_15008443073721999372022-03-07T14:55:34.398926.png</t>
  </si>
  <si>
    <t>9f157488480521ed74a8fb6d13ab96e55e4cf295f0fd9ec2d568396d842a5843</t>
  </si>
  <si>
    <t>2022-03-07T14:42:21+00:00</t>
  </si>
  <si>
    <t>https://www.linkedin.com/posts/emileghessen_stopthewar-activity-6906241981052502016-OwLX</t>
  </si>
  <si>
    <t>Evacuation of civilians</t>
  </si>
  <si>
    <t>UW1568</t>
  </si>
  <si>
    <t>https://bellingcat-archive.nyc3.cdn.digitaloceanspaces.com/Ukraine_Witness_Datasheet/Worksheet/youtube_dl_6906241981052502016.mp4</t>
  </si>
  <si>
    <t>2022-03-07T15:15:51.091978+00:00</t>
  </si>
  <si>
    <t>https://bellingcat-archive.nyc3.cdn.digitaloceanspaces.com/Ukraine_Witness_Datasheet/Worksheet/youtube_dl__posts_emileghessen_stopthewar-activity-6906241981052502016-OwLX2022-03-07T15:15:18.171022.png</t>
  </si>
  <si>
    <t>250d24deca03e689138d3b8534bb66baa22f694dd9fbca27020a0454dd132e94</t>
  </si>
  <si>
    <t>https://bellingcat-archive.nyc3.cdn.digitaloceanspaces.com/Ukraine_Witness_Datasheet/Worksheet/youtube_dl_6906241981052502016/index.html</t>
  </si>
  <si>
    <t>Emile Ghessen on LinkedIn: #stopthewar | 22 comments</t>
  </si>
  <si>
    <t>https://twitter.com/YWNReporter/status/1500851300996685826</t>
  </si>
  <si>
    <t>Destroyed Russian fuel supply convoy</t>
  </si>
  <si>
    <t>UW1569</t>
  </si>
  <si>
    <t>https://bellingcat-archive.nyc3.cdn.digitaloceanspaces.com/Ukraine_Witness_Datasheet/Worksheet/youtube_dl_1500851300996685826.mp4</t>
  </si>
  <si>
    <t>2022-03-07T15:20:35.127967+00:00</t>
  </si>
  <si>
    <t>https://bellingcat-archive.nyc3.cdn.digitaloceanspaces.com/Ukraine_Witness_Datasheet/Worksheet/youtube_dl__YWNReporter_status_15008513009966858262022-03-07T15:20:18.126475.png</t>
  </si>
  <si>
    <t>b1453d67ef0a0f483a36b3ee41f5c1c839b7c0c0617d40a9e7cf6c21584b0a31</t>
  </si>
  <si>
    <t>https://bellingcat-archive.nyc3.cdn.digitaloceanspaces.com/Ukraine_Witness_Datasheet/Worksheet/youtube_dl_1500851300996685826/index.html</t>
  </si>
  <si>
    <t>Moshe Schwartz - I've geolocated this video showing 5 Russian fuel and supply trucks destroyed near Ohurtsivka, in the Kharkiv region of Ukraine.   📍 49°40'57"N 37°10'13"E.  Not 100% positive on the location. Thoughts?</t>
  </si>
  <si>
    <t>2022-03-07T15:10:09+00:00</t>
  </si>
  <si>
    <t>https://twitter.com/nexta_tv/status/1500836733805633540</t>
  </si>
  <si>
    <t>UW1570</t>
  </si>
  <si>
    <t>https://bellingcat-archive.nyc3.cdn.digitaloceanspaces.com/Ukraine_Witness_Datasheet/Worksheet/youtube_dl_1500836733805633540.mp4</t>
  </si>
  <si>
    <t>2022-03-07T15:20:51.620792+00:00</t>
  </si>
  <si>
    <t>https://bellingcat-archive.nyc3.cdn.digitaloceanspaces.com/Ukraine_Witness_Datasheet/Worksheet/youtube_dl__nexta_tv_status_15008367338056335402022-03-07T15:20:37.739851.png</t>
  </si>
  <si>
    <t>d15923513a3a31d9a4983e8ff60258b0eb3a4707cb705af001aadf98e904cd90</t>
  </si>
  <si>
    <t>https://bellingcat-archive.nyc3.cdn.digitaloceanspaces.com/Ukraine_Witness_Datasheet/Worksheet/youtube_dl_1500836733805633540/index.html</t>
  </si>
  <si>
    <t>NEXTA - ⚡️2000 people were evacuated from Irpen, including 200 children - Ministry of Internal Affairs  "Rescued 2,000 people: the police together with the military and local authorities evacuated people from the city of #Irpen," the Interior Ministry said.</t>
  </si>
  <si>
    <t>2022-03-07T14:12:16+00:00</t>
  </si>
  <si>
    <t>https://twitter.com/nexta_tv/status/1500828711469342723</t>
  </si>
  <si>
    <t>Aftermath of shelling and fire at mall</t>
  </si>
  <si>
    <t>UW1571</t>
  </si>
  <si>
    <t>https://bellingcat-archive.nyc3.cdn.digitaloceanspaces.com/Ukraine_Witness_Datasheet/Worksheet/youtube_dl_1500828711469342723.mp4</t>
  </si>
  <si>
    <t>2022-03-07T15:26:42.407893+00:00</t>
  </si>
  <si>
    <t>https://bellingcat-archive.nyc3.cdn.digitaloceanspaces.com/Ukraine_Witness_Datasheet/Worksheet/youtube_dl__nexta_tv_status_15008287114693427232022-03-07T15:26:21.372565.png</t>
  </si>
  <si>
    <t>15ab01d126220bce772f0eedbf61166ea86f418efd3e4bc78fea8e429b2c7b80</t>
  </si>
  <si>
    <t>https://bellingcat-archive.nyc3.cdn.digitaloceanspaces.com/Ukraine_Witness_Datasheet/Worksheet/youtube_dl_1500828711469342723/index.html</t>
  </si>
  <si>
    <t>NEXTA - This is how the largest shopping mall Fabrika in the #Kherson region looks like now.</t>
  </si>
  <si>
    <t>2022-03-07T13:40:23+00:00</t>
  </si>
  <si>
    <t>https://twitter.com/nexta_tv/status/1500822412673310724</t>
  </si>
  <si>
    <t>Civilians protesting against Russian forces</t>
  </si>
  <si>
    <t>UW1572</t>
  </si>
  <si>
    <t>https://bellingcat-archive.nyc3.cdn.digitaloceanspaces.com/Ukraine_Witness_Datasheet/Worksheet/youtube_dl_1500822412673310724.mp4</t>
  </si>
  <si>
    <t>2022-03-07T15:30:37.610080+00:00</t>
  </si>
  <si>
    <t>https://bellingcat-archive.nyc3.cdn.digitaloceanspaces.com/Ukraine_Witness_Datasheet/Worksheet/youtube_dl__nexta_tv_status_15008224126733107242022-03-07T15:30:15.649793.png</t>
  </si>
  <si>
    <t>f429ecce1bc5389afcea07a5fac1d9db2bc95137718e3a9b25333d23b6cb19c2</t>
  </si>
  <si>
    <t>https://bellingcat-archive.nyc3.cdn.digitaloceanspaces.com/Ukraine_Witness_Datasheet/Worksheet/youtube_dl_1500822412673310724/index.html</t>
  </si>
  <si>
    <t>NEXTA - #Kherson. People go to the #Russian military, despite the shooting  Before that, the occupants detained participants of the rally.</t>
  </si>
  <si>
    <t>2022-03-07T13:15:21+00:00</t>
  </si>
  <si>
    <t>https://twitter.com/aldin_ww/status/1500823816104255492</t>
  </si>
  <si>
    <t>UW1573</t>
  </si>
  <si>
    <t>https://bellingcat-archive.nyc3.cdn.digitaloceanspaces.com/Ukraine_Witness_Datasheet/Worksheet/youtube_dl_1500823816104255492.mp4</t>
  </si>
  <si>
    <t>2022-03-07T15:35:24.724633+00:00</t>
  </si>
  <si>
    <t>https://bellingcat-archive.nyc3.cdn.digitaloceanspaces.com/Ukraine_Witness_Datasheet/Worksheet/youtube_dl__aldin_ww_status_15008238161042554922022-03-07T15:35:13.075469.png</t>
  </si>
  <si>
    <t>2f6576c8d4a8ad01f6a4256d598b40fbbf1b114dbb6c5ed19b51183afff5781b</t>
  </si>
  <si>
    <t>https://bellingcat-archive.nyc3.cdn.digitaloceanspaces.com/Ukraine_Witness_Datasheet/Worksheet/youtube_dl_1500823816104255492/index.html</t>
  </si>
  <si>
    <t>Aldin 🇧🇦 - Tokmak, Zaporizhia Oblast, protest against Russian occupation.</t>
  </si>
  <si>
    <t>2022-03-07T13:20:56+00:00</t>
  </si>
  <si>
    <t>https://twitter.com/no_itsmyturn/status/1500817461444288512/photo/1</t>
  </si>
  <si>
    <t>Image 2: Fire in residential area</t>
  </si>
  <si>
    <t>UW1574</t>
  </si>
  <si>
    <t>https://bellingcat-archive.nyc3.cdn.digitaloceanspaces.com/Ukraine_Witness_Datasheet/Worksheet/twitter__no_itsmyturn_status_1500817461444288512_photo_1.html</t>
  </si>
  <si>
    <t>2022-03-07T15:45:23.961440+00:00</t>
  </si>
  <si>
    <t>https://bellingcat-archive.nyc3.cdn.digitaloceanspaces.com/Ukraine_Witness_Datasheet/Worksheet/twitter__no_itsmyturn_status_1500817461444288512_photo_12022-03-07T15:45:14.839426.png</t>
  </si>
  <si>
    <t>80f0adf62fd88b4d17ac15b04218e7a7fb6a70dd66c1895ca0706d84884afcc2</t>
  </si>
  <si>
    <t>2022-03-07T12:55:41+00:00</t>
  </si>
  <si>
    <t>https://twitter.com/no_itsmyturn/status/1500817461444288512/photo/4</t>
  </si>
  <si>
    <t>Image 4: Fire in residential area</t>
  </si>
  <si>
    <t>UW1575</t>
  </si>
  <si>
    <t>https://bellingcat-archive.nyc3.cdn.digitaloceanspaces.com/Ukraine_Witness_Datasheet/Worksheet/twitter__no_itsmyturn_status_1500817461444288512_photo_4.html</t>
  </si>
  <si>
    <t>2022-03-07T15:45:36.965800+00:00</t>
  </si>
  <si>
    <t>https://bellingcat-archive.nyc3.cdn.digitaloceanspaces.com/Ukraine_Witness_Datasheet/Worksheet/twitter__no_itsmyturn_status_1500817461444288512_photo_42022-03-07T15:45:27.827680.png</t>
  </si>
  <si>
    <t>425622d5be98b181978f0db27d570d3608ccf2c893068b8824cbc766ef9b1559</t>
  </si>
  <si>
    <t>https://twitter.com/no_itsmyturn/status/1500782019697123328</t>
  </si>
  <si>
    <t>Destruction in the city center after strikes</t>
  </si>
  <si>
    <t>UW1576</t>
  </si>
  <si>
    <t>https://bellingcat-archive.nyc3.cdn.digitaloceanspaces.com/Ukraine_Witness_Datasheet/Worksheet/youtube_dl_1500782019697123328.mp4</t>
  </si>
  <si>
    <t>2022-03-07T16:15:39.207577+00:00</t>
  </si>
  <si>
    <t>https://bellingcat-archive.nyc3.cdn.digitaloceanspaces.com/Ukraine_Witness_Datasheet/Worksheet/youtube_dl__no_itsmyturn_status_15007820196971233282022-03-07T16:15:20.005119.png</t>
  </si>
  <si>
    <t>72e74e286aac09f1f0dc49cc443aa67436c41bd60e869ddd378593d7b0cda7b2</t>
  </si>
  <si>
    <t>https://bellingcat-archive.nyc3.cdn.digitaloceanspaces.com/Ukraine_Witness_Datasheet/Worksheet/youtube_dl_1500782019697123328/index.html</t>
  </si>
  <si>
    <t>Aleph א #IStandWithUkraine 🇺🇦 - Aftermath of Russian strikes, City center of Kharkiv #Ukraine 🇺🇦</t>
  </si>
  <si>
    <t>2022-03-07T10:34:51+00:00</t>
  </si>
  <si>
    <t>https://twitter.com/no_itsmyturn/status/1500754522595119104</t>
  </si>
  <si>
    <t>Damaged residential buildings</t>
  </si>
  <si>
    <t>UW1577</t>
  </si>
  <si>
    <t>https://bellingcat-archive.nyc3.cdn.digitaloceanspaces.com/Ukraine_Witness_Datasheet/Worksheet/twitter__no_itsmyturn_status_1500754522595119104.html</t>
  </si>
  <si>
    <t>2022-03-07T16:20:24.618815+00:00</t>
  </si>
  <si>
    <t>https://bellingcat-archive.nyc3.cdn.digitaloceanspaces.com/Ukraine_Witness_Datasheet/Worksheet/twitter__no_itsmyturn_status_15007545225951191042022-03-07T16:20:15.286553.png</t>
  </si>
  <si>
    <t>b13a05ff3e057c856f9dd801bc85103f5e6fc7351638428a07d348c37a6cd15f</t>
  </si>
  <si>
    <t>2022-03-07T08:45:35+00:00</t>
  </si>
  <si>
    <t>https://twitter.com/666_mancer/status/1500531171737878529</t>
  </si>
  <si>
    <t>Widespread fires visable in Mariupol</t>
  </si>
  <si>
    <t>https://twitter.com/GeoConfirmed/status/1500563795797843973</t>
  </si>
  <si>
    <t>UW1578</t>
  </si>
  <si>
    <t>https://bellingcat-archive.nyc3.cdn.digitaloceanspaces.com/Ukraine_Witness_Datasheet/Worksheet/twitter__666_mancer_status_1500531171737878529.html</t>
  </si>
  <si>
    <t>2022-03-07T16:20:35.538821+00:00</t>
  </si>
  <si>
    <t>https://bellingcat-archive.nyc3.cdn.digitaloceanspaces.com/Ukraine_Witness_Datasheet/Worksheet/twitter__666_mancer_status_15005311717378785292022-03-07T16:20:26.910544.png</t>
  </si>
  <si>
    <t>0f025ce89bacd01d5eef361a95fb083b4af51d098332b6bf51fe311d0782b97d</t>
  </si>
  <si>
    <t>2022-03-06T17:58:04+00:00</t>
  </si>
  <si>
    <t>https://t.me/Pravda_Gerashchenko/2409</t>
  </si>
  <si>
    <t>Destroyed Church of the Nativity of the Blessed Virgin Mary, it was built in 1862.</t>
  </si>
  <si>
    <t>V'yazivka</t>
  </si>
  <si>
    <t>https://www.google.de/maps/place/%D0%A6%D0%B5%D1%80%D0%BA%D0%B2%D0%B0+%D0%9F%D0%BE%D0%BA%D1%80%D0%BE%D0%B2%D0%B8+%D0%9F%D1%80%D0%B5%D1%81%D0%B2%D1%8F%D1%82%D0%BE%D1%97+%D0%91%D0%BE%D0%B3%D0%BE%D1%80%D0%BE%D0%B4%D0%B8%D1%86%D1%96+c.+%D0%92%E2%80%99%D1%8F%D0%B7%D1%96%D0%B2%D0%BA%D0%B0/@51.1515996,28.8749451,1081m/data=!3m1!1e3!4m8!1m2!2m1!1z0J_RgNC10YHQstGP0YLQvtC5INCR0L7Qs9C-0YDQvtC00LjRhtGLINCS0Y_Qt9C-0LLQutCwINCW0LjRgtC-0LzQuNGA!3m4!1s0x472a2d4056b38813:0xbfd074670181ce91!8m2!3d51.1507713!4d28.8786795!5m1!1e4</t>
  </si>
  <si>
    <t>UW1579</t>
  </si>
  <si>
    <t>https://bellingcat-archive.nyc3.cdn.digitaloceanspaces.com/Ukraine_Witness_Datasheet/Worksheet/telegram__Pravda_Gerashchenko_2409.html</t>
  </si>
  <si>
    <t>2022-03-07T17:00:20.890953+00:00</t>
  </si>
  <si>
    <t>https://bellingcat-archive.nyc3.cdn.digitaloceanspaces.com/Ukraine_Witness_Datasheet/Worksheet/telegram__Pravda_Gerashchenko_24092022-03-07T17:00:11.348381.png</t>
  </si>
  <si>
    <t>ab614ea66509ea0fc6c527a92029ff2d0db19e23b20523ff438ff4509caee226</t>
  </si>
  <si>
    <t>2022-03-07T09:31:31+00:00</t>
  </si>
  <si>
    <t>https://t.me/Pravda_Gerashchenko/2438</t>
  </si>
  <si>
    <t>In the residential complex "Camelot" in Severodonetsk, Russian occupiers fired at doctors who were on the road to provide medical care to residents of the area. Doctors were in specialized medical vehicles and were reportedly injured. There have never been military facilities or troops in the area.</t>
  </si>
  <si>
    <t>UW1580</t>
  </si>
  <si>
    <t>https://bellingcat-archive.nyc3.cdn.digitaloceanspaces.com/Ukraine_Witness_Datasheet/Worksheet/telegram__Pravda_Gerashchenko_2438.html</t>
  </si>
  <si>
    <t>2022-03-07T17:10:39.336573+00:00</t>
  </si>
  <si>
    <t>https://bellingcat-archive.nyc3.cdn.digitaloceanspaces.com/Ukraine_Witness_Datasheet/Worksheet/telegram__Pravda_Gerashchenko_24382022-03-07T17:10:29.348811.png</t>
  </si>
  <si>
    <t>4564ebfd60a505a9cf4f86d64cc3a057acac1beabbc9d156e3aa656f03d1c509</t>
  </si>
  <si>
    <t>2022-03-07T12:29:33+00:00</t>
  </si>
  <si>
    <t>https://t.me/Pravda_Gerashchenko/2473</t>
  </si>
  <si>
    <t>In the captured Chaplynka, Kherson region, the Russian military opened fire on protesters against the occupation.</t>
  </si>
  <si>
    <t>UW1581</t>
  </si>
  <si>
    <t>https://bellingcat-archive.nyc3.cdn.digitaloceanspaces.com/Ukraine_Witness_Datasheet/Worksheet/telegram_199281cb93.mp4</t>
  </si>
  <si>
    <t>2022-03-07T17:15:40.198464+00:00</t>
  </si>
  <si>
    <t>https://bellingcat-archive.nyc3.cdn.digitaloceanspaces.com/Ukraine_Witness_Datasheet/Worksheet/telegram__Pravda_Gerashchenko_24732022-03-07T17:15:10.316739.png</t>
  </si>
  <si>
    <t>077f08ce1766156fcec2244dc2bbb5a18e8417479b5a5530fc1d789df5ecb4c4</t>
  </si>
  <si>
    <t>https://bellingcat-archive.nyc3.cdn.digitaloceanspaces.com/Ukraine_Witness_Datasheet/Worksheet/telegram_199281cb93/index.html</t>
  </si>
  <si>
    <t>2022-03-07T14:35:48+00:00</t>
  </si>
  <si>
    <t>https://t.me/suspilnemykolaiv/4743</t>
  </si>
  <si>
    <t>UW1582</t>
  </si>
  <si>
    <t>https://bellingcat-archive.nyc3.cdn.digitaloceanspaces.com/Ukraine_Witness_Datasheet/Worksheet/telegram__suspilnemykolaiv_4743.html</t>
  </si>
  <si>
    <t>2022-03-07T18:15:19.025804+00:00</t>
  </si>
  <si>
    <t>https://bellingcat-archive.nyc3.cdn.digitaloceanspaces.com/Ukraine_Witness_Datasheet/Worksheet/telegram__suspilnemykolaiv_47432022-03-07T18:15:10.837131.png</t>
  </si>
  <si>
    <t>2766dede0108951330cc9847165414942cf97c391cf8886304600df1ba2671af</t>
  </si>
  <si>
    <t>2022-03-07T14:16:14+00:00</t>
  </si>
  <si>
    <t>https://twitter.com/RALee85/status/1500860562913251329</t>
  </si>
  <si>
    <t>Russian Shelling in Kharkiv</t>
  </si>
  <si>
    <t>UW1583</t>
  </si>
  <si>
    <t>https://bellingcat-archive.nyc3.cdn.digitaloceanspaces.com/Ukraine_Witness_Datasheet/Worksheet/youtube_dl_1500860562913251329.mp4</t>
  </si>
  <si>
    <t>2022-03-07T17:00:37.845579+00:00</t>
  </si>
  <si>
    <t>https://bellingcat-archive.nyc3.cdn.digitaloceanspaces.com/Ukraine_Witness_Datasheet/Worksheet/youtube_dl__RALee85_status_15008605629132513292022-03-07T17:00:26.270503.png</t>
  </si>
  <si>
    <t>bd56c0d37c49c4102b36f707ab3da11fcccb4ec156632f05fc99c85fc99d6108</t>
  </si>
  <si>
    <t>https://bellingcat-archive.nyc3.cdn.digitaloceanspaces.com/Ukraine_Witness_Datasheet/Worksheet/youtube_dl_1500860562913251329/index.html</t>
  </si>
  <si>
    <t>Rob Lee - A Russian air strike in Kharkiv.</t>
  </si>
  <si>
    <t>2022-03-07T15:46:57+00:00</t>
  </si>
  <si>
    <t>https://t.me/belamova/26341</t>
  </si>
  <si>
    <t>Possible Russian field hospital in souther Belarus (deployed mid to late feb. -&gt; see verification note)</t>
  </si>
  <si>
    <t>Gomel Region</t>
  </si>
  <si>
    <t>https://sentinelshare.page.link/CSwP</t>
  </si>
  <si>
    <t>UW1584</t>
  </si>
  <si>
    <t>https://bellingcat-archive.nyc3.cdn.digitaloceanspaces.com/Ukraine_Witness_Datasheet/Worksheet/telegram_f5be81ada3.mp4</t>
  </si>
  <si>
    <t>2022-03-07T17:26:45.811920+00:00</t>
  </si>
  <si>
    <t>https://bellingcat-archive.nyc3.cdn.digitaloceanspaces.com/Ukraine_Witness_Datasheet/Worksheet/telegram__belamova_263412022-03-07T17:25:08.991032.png</t>
  </si>
  <si>
    <t>feb94cf9d11d5b747acee4c46a79d69c01bc74f78403fa32446a1dc846cab015</t>
  </si>
  <si>
    <t>https://bellingcat-archive.nyc3.cdn.digitaloceanspaces.com/Ukraine_Witness_Datasheet/Worksheet/telegram_f5be81ada3/index.html</t>
  </si>
  <si>
    <t>2022-03-07T16:38:30+00:00</t>
  </si>
  <si>
    <t>https://twitter.com/no_itsmyturn/status/1500746494781046784</t>
  </si>
  <si>
    <t>Damage to the Kharkiv Court of Appeal and the surroundings</t>
  </si>
  <si>
    <t>UW1585</t>
  </si>
  <si>
    <t>https://bellingcat-archive.nyc3.cdn.digitaloceanspaces.com/Ukraine_Witness_Datasheet/Worksheet/youtube_dl_1500746494781046784.mp4</t>
  </si>
  <si>
    <t>2022-03-07T17:35:31.610339+00:00</t>
  </si>
  <si>
    <t>https://bellingcat-archive.nyc3.cdn.digitaloceanspaces.com/Ukraine_Witness_Datasheet/Worksheet/youtube_dl__no_itsmyturn_status_15007464947810467842022-03-07T17:35:16.117998.png</t>
  </si>
  <si>
    <t>1a523b5f06b241b3d1f902cd62b23159dded1af086afa9a051a79dd01b30ead7</t>
  </si>
  <si>
    <t>https://bellingcat-archive.nyc3.cdn.digitaloceanspaces.com/Ukraine_Witness_Datasheet/Worksheet/youtube_dl_1500746494781046784/index.html</t>
  </si>
  <si>
    <t>Aleph א #IStandWithUkraine 🇺🇦 - Aftermath of Russian strikes, Kharkiv #Ukraine 🇺🇦</t>
  </si>
  <si>
    <t>2022-03-07T08:13:41+00:00</t>
  </si>
  <si>
    <t>https://twitter.com/nexta_tv/status/1500818800186478595</t>
  </si>
  <si>
    <t>UW1586</t>
  </si>
  <si>
    <t>https://bellingcat-archive.nyc3.cdn.digitaloceanspaces.com/Ukraine_Witness_Datasheet/Worksheet/youtube_dl_1500818800186478595.mp4</t>
  </si>
  <si>
    <t>2022-03-07T17:35:45.808870+00:00</t>
  </si>
  <si>
    <t>https://bellingcat-archive.nyc3.cdn.digitaloceanspaces.com/Ukraine_Witness_Datasheet/Worksheet/youtube_dl__nexta_tv_status_15008188001864785952022-03-07T17:35:34.056962.png</t>
  </si>
  <si>
    <t>12f63e8cab92ffc23b1c21dd5bf548cd9e712d215b8567b84a53b5d552d7c219</t>
  </si>
  <si>
    <t>https://bellingcat-archive.nyc3.cdn.digitaloceanspaces.com/Ukraine_Witness_Datasheet/Worksheet/youtube_dl_1500818800186478595/index.html</t>
  </si>
  <si>
    <t>NEXTA - ⚡️#Nikolaev, Balabanovka. #Russians are shelling residential buildings</t>
  </si>
  <si>
    <t>2022-03-07T13:01:00+00:00</t>
  </si>
  <si>
    <t>https://twitter.com/Liveuamap/status/1500804904021016584</t>
  </si>
  <si>
    <t>UW1587</t>
  </si>
  <si>
    <t>https://bellingcat-archive.nyc3.cdn.digitaloceanspaces.com/Ukraine_Witness_Datasheet/Worksheet/twitter__Liveuamap_status_1500804904021016584.html</t>
  </si>
  <si>
    <t>2022-03-07T17:35:57.526458+00:00</t>
  </si>
  <si>
    <t>https://bellingcat-archive.nyc3.cdn.digitaloceanspaces.com/Ukraine_Witness_Datasheet/Worksheet/twitter__Liveuamap_status_15008049040210165842022-03-07T17:35:48.711792.png</t>
  </si>
  <si>
    <t>bfc29688525ccbb87877730004d19bea93eca4320290b3957cba5c7f9c6ace82</t>
  </si>
  <si>
    <t>2022-03-07T12:05:47+00:00</t>
  </si>
  <si>
    <t>https://twitter.com/no_itsmyturn/status/1500729936625254401</t>
  </si>
  <si>
    <t>UW1588</t>
  </si>
  <si>
    <t>https://bellingcat-archive.nyc3.cdn.digitaloceanspaces.com/Ukraine_Witness_Datasheet/Worksheet/youtube_dl_1500729936625254401.mp4</t>
  </si>
  <si>
    <t>2022-03-07T17:36:14.157049+00:00</t>
  </si>
  <si>
    <t>https://bellingcat-archive.nyc3.cdn.digitaloceanspaces.com/Ukraine_Witness_Datasheet/Worksheet/youtube_dl__no_itsmyturn_status_15007299366252544012022-03-07T17:36:00.111316.png</t>
  </si>
  <si>
    <t>c651fb667c4035d1d70488dd0007a13cb92bd53045d6c2d23761b899b90397c9</t>
  </si>
  <si>
    <t>https://bellingcat-archive.nyc3.cdn.digitaloceanspaces.com/Ukraine_Witness_Datasheet/Worksheet/youtube_dl_1500729936625254401/index.html</t>
  </si>
  <si>
    <t>Aleph א #IStandWithUkraine 🇺🇦 - Aftermath of Russian strikes, Natalii Uzhvii street, Kharkiv, #Ukraine 🇺🇦</t>
  </si>
  <si>
    <t>2022-03-07T07:07:53+00:00</t>
  </si>
  <si>
    <t>https://twitter.com/no_itsmyturn/status/1500729901737029633</t>
  </si>
  <si>
    <t>UW1589</t>
  </si>
  <si>
    <t>https://bellingcat-archive.nyc3.cdn.digitaloceanspaces.com/Ukraine_Witness_Datasheet/Worksheet/youtube_dl_1500729901737029633.mp4</t>
  </si>
  <si>
    <t>2022-03-07T17:36:29.531772+00:00</t>
  </si>
  <si>
    <t>https://bellingcat-archive.nyc3.cdn.digitaloceanspaces.com/Ukraine_Witness_Datasheet/Worksheet/youtube_dl__no_itsmyturn_status_15007299017370296332022-03-07T17:36:16.587417.png</t>
  </si>
  <si>
    <t>5e09b6a5ba494837ee0c64416cb29bffebd40a71dccd2883dfb34f890bf33616</t>
  </si>
  <si>
    <t>https://bellingcat-archive.nyc3.cdn.digitaloceanspaces.com/Ukraine_Witness_Datasheet/Worksheet/youtube_dl_1500729901737029633/index.html</t>
  </si>
  <si>
    <t>2022-03-07T07:07:45+00:00</t>
  </si>
  <si>
    <t>https://twitter.com/no_itsmyturn/status/1500802723024969730</t>
  </si>
  <si>
    <t>https://www.google.com/maps/@50.0421524,36.3604927,3a,72.1y,229.12h,112.44t/data=!3m8!1e1!3m6!1sAF1QipN5PC1Eswb3SAHvdDbCp52xjU-9lKy-Nxyvk6CL!2e10!3e11!6shttps:%2F%2Flh5.googleusercontent.com%2Fp%2FAF1QipN5PC1Eswb3SAHvdDbCp52xjU-9lKy-Nxyvk6CL%3Dw203-h100-k-no-pi-0-ya352.98825-ro-0-fo100!7i8192!8i4096</t>
  </si>
  <si>
    <t>UW1590</t>
  </si>
  <si>
    <t>https://bellingcat-archive.nyc3.cdn.digitaloceanspaces.com/Ukraine_Witness_Datasheet/Worksheet/youtube_dl_1500802723024969730.mp4</t>
  </si>
  <si>
    <t>2022-03-07T17:40:28.120997+00:00</t>
  </si>
  <si>
    <t>https://bellingcat-archive.nyc3.cdn.digitaloceanspaces.com/Ukraine_Witness_Datasheet/Worksheet/youtube_dl__no_itsmyturn_status_15008027230249697302022-03-07T17:40:14.060763.png</t>
  </si>
  <si>
    <t>e4c628d4b0a855abd675c234d174b45f54df360659c71d216a13fb4ac831c45b</t>
  </si>
  <si>
    <t>https://bellingcat-archive.nyc3.cdn.digitaloceanspaces.com/Ukraine_Witness_Datasheet/Worksheet/youtube_dl_1500802723024969730/index.html</t>
  </si>
  <si>
    <t>Aleph א #IStandWithUkraine 🇺🇦 - Residential building burned down due to Russian strikes, Kharkiv #Ukraine 🇺🇦</t>
  </si>
  <si>
    <t>2022-03-07T11:57:07+00:00</t>
  </si>
  <si>
    <t>https://twitter.com/no_itsmyturn/status/1500743199853363202</t>
  </si>
  <si>
    <t>Damage to residential buildings</t>
  </si>
  <si>
    <t>https://www.google.com/maps/@50.0358121,36.1732493,3a,60y,35.02h,78.78t/data=!3m6!1e1!3m4!1sVWWIJS_ngYfvXmNSdsJCEQ!2e0!7i13312!8i6656</t>
  </si>
  <si>
    <t>UW1591</t>
  </si>
  <si>
    <t>https://bellingcat-archive.nyc3.cdn.digitaloceanspaces.com/Ukraine_Witness_Datasheet/Worksheet/youtube_dl_1500743199853363202.mp4</t>
  </si>
  <si>
    <t>2022-03-07T18:25:37.762797+00:00</t>
  </si>
  <si>
    <t>https://bellingcat-archive.nyc3.cdn.digitaloceanspaces.com/Ukraine_Witness_Datasheet/Worksheet/youtube_dl__no_itsmyturn_status_15007431998533632022022-03-07T18:25:18.497598.png</t>
  </si>
  <si>
    <t>a298809df4e434738bcb42681c6d5660b9b8fe7a035f5dbfd54f7e5bbe61e5f6</t>
  </si>
  <si>
    <t>https://bellingcat-archive.nyc3.cdn.digitaloceanspaces.com/Ukraine_Witness_Datasheet/Worksheet/youtube_dl_1500743199853363202/index.html</t>
  </si>
  <si>
    <t>Aleph א #IStandWithUkraine 🇺🇦 - Aftermath of Russian strike, Sortyrovka, Kharkiv #Ukraine 🇺🇦</t>
  </si>
  <si>
    <t>2022-03-07T08:00:35+00:00</t>
  </si>
  <si>
    <t>need help</t>
  </si>
  <si>
    <t>https://twitter.com/no_itsmyturn/status/1500731472189263879</t>
  </si>
  <si>
    <t>UW1592</t>
  </si>
  <si>
    <t>https://bellingcat-archive.nyc3.cdn.digitaloceanspaces.com/Ukraine_Witness_Datasheet/Worksheet/youtube_dl_1500731472189263879.mp4</t>
  </si>
  <si>
    <t>2022-03-07T18:25:54.775375+00:00</t>
  </si>
  <si>
    <t>https://bellingcat-archive.nyc3.cdn.digitaloceanspaces.com/Ukraine_Witness_Datasheet/Worksheet/youtube_dl__no_itsmyturn_status_15007314721892638792022-03-07T18:25:40.410366.png</t>
  </si>
  <si>
    <t>bb12126cdd1ad86cf715f98c915ae94f014eecadb15cdc3d6926522d30b52168</t>
  </si>
  <si>
    <t>https://bellingcat-archive.nyc3.cdn.digitaloceanspaces.com/Ukraine_Witness_Datasheet/Worksheet/youtube_dl_1500731472189263879/index.html</t>
  </si>
  <si>
    <t>Aleph א #IStandWithUkraine 🇺🇦 - Aftermath of Russian shelling Kharkiv  #Ukraine 🇺🇦</t>
  </si>
  <si>
    <t>2022-03-07T07:13:59+00:00</t>
  </si>
  <si>
    <t>https://twitter.com/no_itsmyturn/status/1500727269458944001</t>
  </si>
  <si>
    <t>UW1593</t>
  </si>
  <si>
    <t>https://bellingcat-archive.nyc3.cdn.digitaloceanspaces.com/Ukraine_Witness_Datasheet/Worksheet/youtube_dl_1500727269458944001.mp4</t>
  </si>
  <si>
    <t>2022-03-07T18:30:26.412626+00:00</t>
  </si>
  <si>
    <t>https://bellingcat-archive.nyc3.cdn.digitaloceanspaces.com/Ukraine_Witness_Datasheet/Worksheet/youtube_dl__no_itsmyturn_status_15007272694589440012022-03-07T18:30:14.450295.png</t>
  </si>
  <si>
    <t>fa73888168aff48a5d2a2e77dc13cb3ddb738477a2ae2a5bc9a844682ceed5e8</t>
  </si>
  <si>
    <t>https://bellingcat-archive.nyc3.cdn.digitaloceanspaces.com/Ukraine_Witness_Datasheet/Worksheet/youtube_dl_1500727269458944001/index.html</t>
  </si>
  <si>
    <t>Aleph א #IStandWithUkraine 🇺🇦 - Damaged building and vehicle,  Kul'tury street, Kharkiv #Ukraine 🇺🇦</t>
  </si>
  <si>
    <t>2022-03-07T06:57:17+00:00</t>
  </si>
  <si>
    <t>https://twitter.com/no_itsmyturn/status/1500718711539474433</t>
  </si>
  <si>
    <t>Damage and destroyed civilian buildings</t>
  </si>
  <si>
    <t>UW1594</t>
  </si>
  <si>
    <t>https://bellingcat-archive.nyc3.cdn.digitaloceanspaces.com/Ukraine_Witness_Datasheet/Worksheet/twitter__no_itsmyturn_status_1500718711539474433.html</t>
  </si>
  <si>
    <t>2022-03-07T18:30:38.733981+00:00</t>
  </si>
  <si>
    <t>https://bellingcat-archive.nyc3.cdn.digitaloceanspaces.com/Ukraine_Witness_Datasheet/Worksheet/twitter__no_itsmyturn_status_15007187115394744332022-03-07T18:30:29.596765.png</t>
  </si>
  <si>
    <t>427f9d45a6c78c0e03b9000c84d28acd5550df153da20232df7b97695f109b03</t>
  </si>
  <si>
    <t>2022-03-07T06:23:17+00:00</t>
  </si>
  <si>
    <t>https://twitter.com/no_itsmyturn/status/1500717628016545793</t>
  </si>
  <si>
    <t>UW1595</t>
  </si>
  <si>
    <t>https://bellingcat-archive.nyc3.cdn.digitaloceanspaces.com/Ukraine_Witness_Datasheet/Worksheet/youtube_dl_1500717628016545793.mp4</t>
  </si>
  <si>
    <t>2022-03-07T18:30:56.739512+00:00</t>
  </si>
  <si>
    <t>https://bellingcat-archive.nyc3.cdn.digitaloceanspaces.com/Ukraine_Witness_Datasheet/Worksheet/youtube_dl__no_itsmyturn_status_15007176280165457932022-03-07T18:30:41.422501.png</t>
  </si>
  <si>
    <t>1845a81360a073ba519153d7912dd4ebae5c22f5061a54f44be852b519cee3db</t>
  </si>
  <si>
    <t>https://bellingcat-archive.nyc3.cdn.digitaloceanspaces.com/Ukraine_Witness_Datasheet/Worksheet/youtube_dl_1500717628016545793/index.html</t>
  </si>
  <si>
    <t>Aleph א #IStandWithUkraine 🇺🇦 - Aftermath of Russian strikes in Mykolaiv #Ukraine 🇺🇦</t>
  </si>
  <si>
    <t>2022-03-07T06:18:59+00:00</t>
  </si>
  <si>
    <t>https://twitter.com/Shtirlitz53/status/1500831170749255681?s=20&amp;t=BS0H4CTrPUwQOiJtuU-O_g</t>
  </si>
  <si>
    <t>UW1596</t>
  </si>
  <si>
    <t>https://bellingcat-archive.nyc3.cdn.digitaloceanspaces.com/Ukraine_Witness_Datasheet/Worksheet/youtube_dl_1500831170749255681.mp4</t>
  </si>
  <si>
    <t>2022-03-07T18:31:11.142590+00:00</t>
  </si>
  <si>
    <t>https://bellingcat-archive.nyc3.cdn.digitaloceanspaces.com/Ukraine_Witness_Datasheet/Worksheet/youtube_dl__Shtirlitz53_status_15008311707492556812022-03-07T18:30:59.416340.png</t>
  </si>
  <si>
    <t>0cb437df2154b17e7bb9539ed04cf7f2b1df21cbc7987e952abcc7a410585f89</t>
  </si>
  <si>
    <t>https://bellingcat-archive.nyc3.cdn.digitaloceanspaces.com/Ukraine_Witness_Datasheet/Worksheet/youtube_dl_1500831170749255681/index.html</t>
  </si>
  <si>
    <t>Анатолій Штефан (Штірліц) - 😱 Миколаїв, Балабанівка: російські війська обстрілюють житлові будинки #stoprussia Telegram -</t>
  </si>
  <si>
    <t>2022-03-07T13:50:09+00:00</t>
  </si>
  <si>
    <t>https://twitter.com/shtirlitz53/status/1500831170749255681?s=21</t>
  </si>
  <si>
    <t>Residential area being heavily shelled near Mykolaiv</t>
  </si>
  <si>
    <t>Balabanivka</t>
  </si>
  <si>
    <t>46.85091726739796, 32.01110027481865</t>
  </si>
  <si>
    <t>UW1597</t>
  </si>
  <si>
    <t>2022-03-07T18:35:22.610684+00:00</t>
  </si>
  <si>
    <t>https://bellingcat-archive.nyc3.cdn.digitaloceanspaces.com/Ukraine_Witness_Datasheet/Worksheet/youtube_dl__shtirlitz53_status_15008311707492556812022-03-07T18:35:11.634111.png</t>
  </si>
  <si>
    <t>https://twitter.com/no_itsmyturn/status/1500713592064204800</t>
  </si>
  <si>
    <t>UW1598</t>
  </si>
  <si>
    <t>https://bellingcat-archive.nyc3.cdn.digitaloceanspaces.com/Ukraine_Witness_Datasheet/Worksheet/youtube_dl_1500713592064204800.mp4</t>
  </si>
  <si>
    <t>2022-03-07T18:31:26.728856+00:00</t>
  </si>
  <si>
    <t>https://bellingcat-archive.nyc3.cdn.digitaloceanspaces.com/Ukraine_Witness_Datasheet/Worksheet/youtube_dl__no_itsmyturn_status_15007135920642048002022-03-07T18:31:13.602953.png</t>
  </si>
  <si>
    <t>f7d0bc7198e7fd7afc406cf21c7d355ce9b9f6ca6cc4206d9a928f98b8e76099</t>
  </si>
  <si>
    <t>https://bellingcat-archive.nyc3.cdn.digitaloceanspaces.com/Ukraine_Witness_Datasheet/Worksheet/youtube_dl_1500713592064204800/index.html</t>
  </si>
  <si>
    <t>Aleph א #IStandWithUkraine 🇺🇦 - Damaged KhK Ultracity residential building Kharkiv #Ukraine 🇺🇦</t>
  </si>
  <si>
    <t>2022-03-07T06:02:56+00:00</t>
  </si>
  <si>
    <t>https://twitter.com/no_itsmyturn/status/1500712914491219968</t>
  </si>
  <si>
    <t>Damage to Hostel after strike</t>
  </si>
  <si>
    <t>UW1599</t>
  </si>
  <si>
    <t>https://bellingcat-archive.nyc3.cdn.digitaloceanspaces.com/Ukraine_Witness_Datasheet/Worksheet/twitter__no_itsmyturn_status_1500712914491219968.html</t>
  </si>
  <si>
    <t>2022-03-07T18:31:38.459357+00:00</t>
  </si>
  <si>
    <t>https://bellingcat-archive.nyc3.cdn.digitaloceanspaces.com/Ukraine_Witness_Datasheet/Worksheet/twitter__no_itsmyturn_status_15007129144912199682022-03-07T18:31:29.182675.png</t>
  </si>
  <si>
    <t>c095afe6bb1d91e52f80ab16bacb320bcfe9960816844df2192528634a7ce118</t>
  </si>
  <si>
    <t>2022-03-07T06:00:15+00:00</t>
  </si>
  <si>
    <t>https://twitter.com/no_itsmyturn/status/1500743554448113664</t>
  </si>
  <si>
    <t>UW1600</t>
  </si>
  <si>
    <t>https://bellingcat-archive.nyc3.cdn.digitaloceanspaces.com/Ukraine_Witness_Datasheet/Worksheet/youtube_dl_1500743554448113664.mp4</t>
  </si>
  <si>
    <t>2022-03-07T20:15:26.792678+00:00</t>
  </si>
  <si>
    <t>https://bellingcat-archive.nyc3.cdn.digitaloceanspaces.com/Ukraine_Witness_Datasheet/Worksheet/youtube_dl__no_itsmyturn_status_15007435544481136642022-03-07T20:15:13.832990.png</t>
  </si>
  <si>
    <t>85cb18f80ee79f4d27dc129e542eff03d567f6c06c16170a49bfd02a5a1745f9</t>
  </si>
  <si>
    <t>https://bellingcat-archive.nyc3.cdn.digitaloceanspaces.com/Ukraine_Witness_Datasheet/Worksheet/youtube_dl_1500743554448113664/index.html</t>
  </si>
  <si>
    <t>Aleph א #IStandWithUkraine 🇺🇦 - Aftermath of Russian strikes on Residential buildings in 23-ho Serpnya St Kharkiv,  #Ukraine 🇺🇦</t>
  </si>
  <si>
    <t>2022-03-07T08:02:00+00:00</t>
  </si>
  <si>
    <t>https://twitter.com/no_itsmyturn/status/1500816704959565824</t>
  </si>
  <si>
    <t>Damage to house after strike</t>
  </si>
  <si>
    <t>UW1601</t>
  </si>
  <si>
    <t>https://bellingcat-archive.nyc3.cdn.digitaloceanspaces.com/Ukraine_Witness_Datasheet/Worksheet/youtube_dl_1500816704959565824.mp4</t>
  </si>
  <si>
    <t>2022-03-07T20:20:27.108820+00:00</t>
  </si>
  <si>
    <t>https://bellingcat-archive.nyc3.cdn.digitaloceanspaces.com/Ukraine_Witness_Datasheet/Worksheet/youtube_dl__no_itsmyturn_status_15008167049595658242022-03-07T20:20:13.448983.png</t>
  </si>
  <si>
    <t>dc1edb922e367be7680b3d600886ef0a1d89e316cc11cfb2b866e304d210971c</t>
  </si>
  <si>
    <t>https://bellingcat-archive.nyc3.cdn.digitaloceanspaces.com/Ukraine_Witness_Datasheet/Worksheet/youtube_dl_1500816704959565824/index.html</t>
  </si>
  <si>
    <t>Aleph א #IStandWithUkraine 🇺🇦 - Aftermath of nightly strikes by Russians Kulynychi , Kharkiv oblast #Ukraine 🇺🇦</t>
  </si>
  <si>
    <t>2022-03-07T12:52:40+00:00</t>
  </si>
  <si>
    <t>https://twitter.com/no_itsmyturn/status/1500850402211909635</t>
  </si>
  <si>
    <t>UW1602</t>
  </si>
  <si>
    <t>https://bellingcat-archive.nyc3.cdn.digitaloceanspaces.com/Ukraine_Witness_Datasheet/Worksheet/youtube_dl_1500836900105564163.mp4</t>
  </si>
  <si>
    <t>2022-03-07T20:45:29.593238+00:00</t>
  </si>
  <si>
    <t>https://bellingcat-archive.nyc3.cdn.digitaloceanspaces.com/Ukraine_Witness_Datasheet/Worksheet/youtube_dl__no_itsmyturn_status_15008369001055641632022-03-07T20:45:16.412533.png</t>
  </si>
  <si>
    <t>589e7207a8dd281ffa208d45afde98d77ae78c4e1c51a567731c63f67df04b83</t>
  </si>
  <si>
    <t>https://bellingcat-archive.nyc3.cdn.digitaloceanspaces.com/Ukraine_Witness_Datasheet/Worksheet/youtube_dl_1500836900105564163/index.html</t>
  </si>
  <si>
    <t>Aleph א #IStandWithUkraine 🇺🇦 - Aftermath of Russian strikes on Petrivs'kyi street, Kharkiv #Ukraine 🇺🇦</t>
  </si>
  <si>
    <t>2022-03-07T14:12:55+00:00</t>
  </si>
  <si>
    <t>https://twitter.com/no_itsmyturn/status/1500859879464087553</t>
  </si>
  <si>
    <t>Fire near residential building</t>
  </si>
  <si>
    <t>filmed from: 49.989754, 36.246143</t>
  </si>
  <si>
    <t>UW1603</t>
  </si>
  <si>
    <t>https://bellingcat-archive.nyc3.cdn.digitaloceanspaces.com/Ukraine_Witness_Datasheet/Worksheet/youtube_dl_1500859879464087553.mp4</t>
  </si>
  <si>
    <t>2022-03-07T20:50:28.615232+00:00</t>
  </si>
  <si>
    <t>https://bellingcat-archive.nyc3.cdn.digitaloceanspaces.com/Ukraine_Witness_Datasheet/Worksheet/youtube_dl__no_itsmyturn_status_15008598794640875532022-03-07T20:50:17.007305.png</t>
  </si>
  <si>
    <t>3388b2419ecb6aeb6519cc5bad0a9672b764aaa29786a57c5344d0f49b4deec1</t>
  </si>
  <si>
    <t>https://bellingcat-archive.nyc3.cdn.digitaloceanspaces.com/Ukraine_Witness_Datasheet/Worksheet/youtube_dl_1500859879464087553/index.html</t>
  </si>
  <si>
    <t>Aleph א #IStandWithUkraine 🇺🇦 - Earlier /  Moskovs'kyi Ave, Kharkiv, #Ukraine 🇺🇦</t>
  </si>
  <si>
    <t>2022-03-07T15:44:14+00:00</t>
  </si>
  <si>
    <t>https://twitter.com/no_itsmyturn/status/1500865973578084354</t>
  </si>
  <si>
    <t>UW1604</t>
  </si>
  <si>
    <t>https://bellingcat-archive.nyc3.cdn.digitaloceanspaces.com/Ukraine_Witness_Datasheet/Worksheet/youtube_dl_1500865973578084354.mp4</t>
  </si>
  <si>
    <t>2022-03-07T20:50:47.399684+00:00</t>
  </si>
  <si>
    <t>https://bellingcat-archive.nyc3.cdn.digitaloceanspaces.com/Ukraine_Witness_Datasheet/Worksheet/youtube_dl__no_itsmyturn_status_15008659735780843542022-03-07T20:50:32.056214.png</t>
  </si>
  <si>
    <t>19618fbcd9ba91b9f846bbd6a2fadc6164c89b18e77186d2a0a2ff719ba0d789</t>
  </si>
  <si>
    <t>https://bellingcat-archive.nyc3.cdn.digitaloceanspaces.com/Ukraine_Witness_Datasheet/Worksheet/youtube_dl_1500865973578084354/index.html</t>
  </si>
  <si>
    <t>Aleph א #IStandWithUkraine 🇺🇦 - Kharkiv, Aftermath of Russian bombing #Ukraine 🇺🇦</t>
  </si>
  <si>
    <t>2022-03-07T16:08:27+00:00</t>
  </si>
  <si>
    <t>https://twitter.com/no_itsmyturn/status/1500873366307315721</t>
  </si>
  <si>
    <t>Su-25 flying over Kryvyi Rih, Ukraine</t>
  </si>
  <si>
    <t>https://twitter.com/bradyafr/status/1500870975625256960</t>
  </si>
  <si>
    <t>Kryvyi Rih</t>
  </si>
  <si>
    <t>UW1605</t>
  </si>
  <si>
    <t>https://bellingcat-archive.nyc3.cdn.digitaloceanspaces.com/Ukraine_Witness_Datasheet/Worksheet/youtube_dl_1500873366307315721.mp4</t>
  </si>
  <si>
    <t>2022-03-07T20:51:00.839026+00:00</t>
  </si>
  <si>
    <t>https://bellingcat-archive.nyc3.cdn.digitaloceanspaces.com/Ukraine_Witness_Datasheet/Worksheet/youtube_dl__no_itsmyturn_status_15008733663073157212022-03-07T20:50:49.488911.png</t>
  </si>
  <si>
    <t>3575bbed0d185d9fd258c986daa720a4ee328689b6e0c6844422dc8ce5f357f5</t>
  </si>
  <si>
    <t>https://bellingcat-archive.nyc3.cdn.digitaloceanspaces.com/Ukraine_Witness_Datasheet/Worksheet/youtube_dl_1500873366307315721/index.html</t>
  </si>
  <si>
    <t>Aleph א #IStandWithUkraine 🇺🇦 - Geolocation:</t>
  </si>
  <si>
    <t>2022-03-07T16:37:50+00:00</t>
  </si>
  <si>
    <t>https://twitter.com/no_itsmyturn/status/1500754522595119104/photo/3</t>
  </si>
  <si>
    <t>Damage to residential buildings and businesses</t>
  </si>
  <si>
    <t>UW1606</t>
  </si>
  <si>
    <t>https://bellingcat-archive.nyc3.cdn.digitaloceanspaces.com/Ukraine_Witness_Datasheet/Worksheet/twitter__no_itsmyturn_status_1500754522595119104_photo_3.html</t>
  </si>
  <si>
    <t>2022-03-07T22:00:23.646653+00:00</t>
  </si>
  <si>
    <t>https://bellingcat-archive.nyc3.cdn.digitaloceanspaces.com/Ukraine_Witness_Datasheet/Worksheet/twitter__no_itsmyturn_status_1500754522595119104_photo_32022-03-07T22:00:14.841488.png</t>
  </si>
  <si>
    <t>b19e5acfb7925b4a0c8da4c3b96c496afb1daf14af0c1e84f6055caf153ca0f2</t>
  </si>
  <si>
    <t>https://twitter.com/no_itsmyturn/status/1500951765579087873</t>
  </si>
  <si>
    <t>Ukrainian forces firing anti-tank weapon from airport roof</t>
  </si>
  <si>
    <t>Novoodes'kyi district</t>
  </si>
  <si>
    <t>UW1607</t>
  </si>
  <si>
    <t>https://bellingcat-archive.nyc3.cdn.digitaloceanspaces.com/Ukraine_Witness_Datasheet/Worksheet/youtube_dl_1500951765579087873.mp4</t>
  </si>
  <si>
    <t>2022-03-07T22:55:25.139859+00:00</t>
  </si>
  <si>
    <t>https://bellingcat-archive.nyc3.cdn.digitaloceanspaces.com/Ukraine_Witness_Datasheet/Worksheet/youtube_dl__no_itsmyturn_status_15009517655790878732022-03-07T22:55:13.055129.png</t>
  </si>
  <si>
    <t>5ccf7e6d7b413d924f4191dd314441d33b85867ad621bbccbc377be4c5376990</t>
  </si>
  <si>
    <t>https://bellingcat-archive.nyc3.cdn.digitaloceanspaces.com/Ukraine_Witness_Datasheet/Worksheet/youtube_dl_1500951765579087873/index.html</t>
  </si>
  <si>
    <t>Aleph א #IStandWithUkraine 🇺🇦 - Mykolaiv airport,  Ukrainian forces launching anti tank from the roof, towards the Russians Appears to be a 9K11  Unknown date,  #Ukraine 🇺🇦</t>
  </si>
  <si>
    <t>2022-03-07T21:49:21+00:00</t>
  </si>
  <si>
    <t>Ukrainian</t>
  </si>
  <si>
    <t>08/03/2022</t>
  </si>
  <si>
    <t>https://t.me/suspilnemykolaiv/4748</t>
  </si>
  <si>
    <t>CIV0279</t>
  </si>
  <si>
    <t>Munitions in Nikolaev housing sector</t>
  </si>
  <si>
    <t>UW1608</t>
  </si>
  <si>
    <t>https://bellingcat-archive.nyc3.cdn.digitaloceanspaces.com/Ukraine_Witness_Datasheet/Worksheet/telegram__suspilnemykolaiv_4748.html</t>
  </si>
  <si>
    <t>2022-03-07T23:15:23.940759+00:00</t>
  </si>
  <si>
    <t>https://bellingcat-archive.nyc3.cdn.digitaloceanspaces.com/Ukraine_Witness_Datasheet/Worksheet/telegram__suspilnemykolaiv_47482022-03-07T23:15:10.244035.png</t>
  </si>
  <si>
    <t>e0e270aa7d659422b74763dff9f39a1eabdf31475651c2b55d56e851855aea73</t>
  </si>
  <si>
    <t>2022-03-07T14:54:08+00:00</t>
  </si>
  <si>
    <t>https://t.me/truexanewsua/24976</t>
  </si>
  <si>
    <t>Smerch rocket stuck in the ground at playground</t>
  </si>
  <si>
    <t>Saltivka</t>
  </si>
  <si>
    <t>UW1609</t>
  </si>
  <si>
    <t>Munitions</t>
  </si>
  <si>
    <t>https://bellingcat-archive.nyc3.cdn.digitaloceanspaces.com/Ukraine_Witness_Datasheet/Worksheet/telegram__truexanewsua_24976.html</t>
  </si>
  <si>
    <t>2022-03-07T23:25:19.857908+00:00</t>
  </si>
  <si>
    <t>https://bellingcat-archive.nyc3.cdn.digitaloceanspaces.com/Ukraine_Witness_Datasheet/Worksheet/telegram__truexanewsua_249762022-03-07T23:25:10.235858.png</t>
  </si>
  <si>
    <t>4166051ab70e42a6b7f0c7975b58a9b3bc107c0f73c06aca180545ff443a0f02</t>
  </si>
  <si>
    <t>2022-02-27T08:52:17+00:00</t>
  </si>
  <si>
    <t>https://t.me/truexanewsua/25972</t>
  </si>
  <si>
    <t>Smerch rocket stuck in the ground in the Moskovskyi District</t>
  </si>
  <si>
    <t>Moskovskyi District</t>
  </si>
  <si>
    <t>UW1610</t>
  </si>
  <si>
    <t>https://bellingcat-archive.nyc3.cdn.digitaloceanspaces.com/Ukraine_Witness_Datasheet/Worksheet/telegram_90d19ecb08.mp4</t>
  </si>
  <si>
    <t>2022-03-08T00:21:21.552861+00:00</t>
  </si>
  <si>
    <t>https://bellingcat-archive.nyc3.cdn.digitaloceanspaces.com/Ukraine_Witness_Datasheet/Worksheet/telegram__truexanewsua_259722022-03-08T00:20:11.058914.png</t>
  </si>
  <si>
    <t>14f6f7b411c7ea02dad4932942464016beb44892312fc4df7a2ffc65bd5eec07</t>
  </si>
  <si>
    <t>https://bellingcat-archive.nyc3.cdn.digitaloceanspaces.com/Ukraine_Witness_Datasheet/Worksheet/telegram_90d19ecb08/index.html</t>
  </si>
  <si>
    <t>2022-02-28T11:18:38+00:00</t>
  </si>
  <si>
    <t>https://twitter.com/KrukuOne/status/1500915853193269256</t>
  </si>
  <si>
    <t>Russian vehicles destroyed in shelling</t>
  </si>
  <si>
    <t>https://twitter.com/kargolow/status/1500930390281920513</t>
  </si>
  <si>
    <t>UW1611</t>
  </si>
  <si>
    <t>https://bellingcat-archive.nyc3.cdn.digitaloceanspaces.com/Ukraine_Witness_Datasheet/Worksheet/twitter__KrukuOne_status_1500915853193269256.html</t>
  </si>
  <si>
    <t>2022-03-08T00:45:22.531711+00:00</t>
  </si>
  <si>
    <t>https://bellingcat-archive.nyc3.cdn.digitaloceanspaces.com/Ukraine_Witness_Datasheet/Worksheet/twitter__KrukuOne_status_15009158531932692562022-03-08T00:45:14.204386.png</t>
  </si>
  <si>
    <t>936712cc82e16545f47a1dd8f8f2c2c42a2f36e1c8cdbb78758313f5bd34d58b</t>
  </si>
  <si>
    <t>2022-03-07T19:26:39+00:00</t>
  </si>
  <si>
    <t>https://twitter.com/UAWeapons/status/1500868256051216387</t>
  </si>
  <si>
    <t>Russian fuel tanker convoy destroyed north of Pryluky</t>
  </si>
  <si>
    <r>
      <rPr>
        <sz val="11.0"/>
      </rPr>
      <t xml:space="preserve"> </t>
    </r>
    <r>
      <rPr>
        <color rgb="FF1155CC"/>
        <sz val="11.0"/>
        <u/>
      </rPr>
      <t>https://twitter.com/Danspiun/status/1500884052651487238</t>
    </r>
  </si>
  <si>
    <t>Lisovi Sorochyntsi</t>
  </si>
  <si>
    <t xml:space="preserve"> Kolisnyky</t>
  </si>
  <si>
    <t>UW1612</t>
  </si>
  <si>
    <t>https://bellingcat-archive.nyc3.cdn.digitaloceanspaces.com/Ukraine_Witness_Datasheet/Worksheet/youtube_dl_1500868256051216387.mp4</t>
  </si>
  <si>
    <t>2022-03-08T01:20:28.104558+00:00</t>
  </si>
  <si>
    <t>https://bellingcat-archive.nyc3.cdn.digitaloceanspaces.com/Ukraine_Witness_Datasheet/Worksheet/youtube_dl__UAWeapons_status_15008682560512163872022-03-08T01:20:15.119234.png</t>
  </si>
  <si>
    <t>1755b3d77573c1dcda94dc4abeaeb6657f71e647f8b9c061b43f080b108384e1</t>
  </si>
  <si>
    <t>https://bellingcat-archive.nyc3.cdn.digitaloceanspaces.com/Ukraine_Witness_Datasheet/Worksheet/youtube_dl_1500868256051216387/index.html</t>
  </si>
  <si>
    <t>🇺🇦 Ukraine Weapons Tracker - #Ukraine: The practical implementation of tactics to destroy supplies - a Russian convoy of 6 fuel trucks was destroyed near Pryluky, #Chernihiv Oblast.</t>
  </si>
  <si>
    <t>2022-03-07T16:17:31+00:00</t>
  </si>
  <si>
    <t>https://www.instagram.com/tv/Ca0Sf71jQ9E/</t>
  </si>
  <si>
    <t>Chechen fighters in Babyntsi, Kyiv Oblast</t>
  </si>
  <si>
    <t>https://twitter.com/john_marquee/status/1501026931663269890</t>
  </si>
  <si>
    <t>UW1613</t>
  </si>
  <si>
    <t>https://bellingcat-archive.nyc3.cdn.digitaloceanspaces.com/Ukraine_Witness_Datasheet/Worksheet/youtube_dl_Ca0Sf71jQ9E.mp4</t>
  </si>
  <si>
    <t>2022-03-08T03:00:31.064738+00:00</t>
  </si>
  <si>
    <t>https://bellingcat-archive.nyc3.cdn.digitaloceanspaces.com/Ukraine_Witness_Datasheet/Worksheet/youtube_dl__tv_Ca0Sf71jQ9E_2022-03-08T03:00:16.155177.png</t>
  </si>
  <si>
    <t>868377407ac2c4ef01e0aa78cfd8375ca8beb81146525c377ed977d09c58849a</t>
  </si>
  <si>
    <t>https://bellingcat-archive.nyc3.cdn.digitaloceanspaces.com/Ukraine_Witness_Datasheet/Worksheet/youtube_dl_Ca0Sf71jQ9E/index.html</t>
  </si>
  <si>
    <t>Video by groznytv</t>
  </si>
  <si>
    <t>2022-03-07T21:04:06+00:00</t>
  </si>
  <si>
    <t>fill out</t>
  </si>
  <si>
    <t>https://twitter.com/no_itsmyturn/status/1500379324511313924/photo/1</t>
  </si>
  <si>
    <t>UW1614</t>
  </si>
  <si>
    <t>https://bellingcat-archive.nyc3.cdn.digitaloceanspaces.com/Ukraine_Witness_Datasheet/Worksheet/twitter__no_itsmyturn_status_1500379324511313924_photo_1.html</t>
  </si>
  <si>
    <t>2022-03-08T06:35:22.274868+00:00</t>
  </si>
  <si>
    <t>https://bellingcat-archive.nyc3.cdn.digitaloceanspaces.com/Ukraine_Witness_Datasheet/Worksheet/twitter__no_itsmyturn_status_1500379324511313924_photo_12022-03-08T06:35:12.820593.png</t>
  </si>
  <si>
    <t>66cbe51fba737f8a6ebecd39e361a93310493aa16cc09a7c53ffd01c09edacae</t>
  </si>
  <si>
    <t>2022-03-06T07:54:41+00:00</t>
  </si>
  <si>
    <t>https://twitter.com/no_itsmyturn/status/1500374495877644288</t>
  </si>
  <si>
    <t>UW1615</t>
  </si>
  <si>
    <t>2022-03-08T06:35:37.296598+00:00</t>
  </si>
  <si>
    <t>https://bellingcat-archive.nyc3.cdn.digitaloceanspaces.com/Ukraine_Witness_Datasheet/Worksheet/youtube_dl__no_itsmyturn_status_15003744958776442882022-03-08T06:35:23.857010.png</t>
  </si>
  <si>
    <t>https://twitter.com/CzechPremysl/status/1500766687959859200?s=20&amp;t=rAb46k466SPww9wO5YkHtQ</t>
  </si>
  <si>
    <t>Kadyrov Chechen fighters in Babyntsi</t>
  </si>
  <si>
    <t>UW1616</t>
  </si>
  <si>
    <t>2022-03-08T07:45:27.885013+00:00</t>
  </si>
  <si>
    <t>https://bellingcat-archive.nyc3.cdn.digitaloceanspaces.com/Ukraine_Witness_Datasheet/Worksheet/youtube_dl__CzechPremysl_status_15007666879598592002022-03-08T07:45:12.119523.png</t>
  </si>
  <si>
    <t>EMPTY</t>
  </si>
  <si>
    <t>UW1617</t>
  </si>
  <si>
    <t>wayback: Internet archive failed: http://empty/ URL syntax is not valid.</t>
  </si>
  <si>
    <t>2022-03-08T09:20:13.107731+00:00</t>
  </si>
  <si>
    <t>https://t.me/c/1347456995/38590</t>
  </si>
  <si>
    <t>Smerch rocked embedded in the ground</t>
  </si>
  <si>
    <t>UW1618</t>
  </si>
  <si>
    <t>https://web.archive.org/web/20220308083523/https://t.me/c/1347456995/38590</t>
  </si>
  <si>
    <t>2022-03-08T08:37:04.670469+00:00</t>
  </si>
  <si>
    <t>https://bellingcat-archive.nyc3.cdn.digitaloceanspaces.com/Ukraine_Witness_Datasheet/Worksheet/wayback__c_1347456995_385902022-03-08T08:36:56.690692.png</t>
  </si>
  <si>
    <t>https://www.facebook.com/pavlokyrylenko.donoda/posts/493641112318448</t>
  </si>
  <si>
    <t>Tochka missile impact</t>
  </si>
  <si>
    <t>Visible in the first photo the entrance to the hospital. Photos on google maps confirm it's the right building. The third photo shows a statue that I used to navigate.</t>
  </si>
  <si>
    <t>Possible 9M79</t>
  </si>
  <si>
    <t>UW1619</t>
  </si>
  <si>
    <t>https://web.archive.org/web/20220308083717/https://www.facebook.com/login/?next=https%3A%2F%2Fwww.facebook.com%2Fpavlokyrylenko.donoda%2Fposts%2F493641112318448</t>
  </si>
  <si>
    <t>2022-03-08T08:37:34.409934+00:00</t>
  </si>
  <si>
    <t>https://bellingcat-archive.nyc3.cdn.digitaloceanspaces.com/Ukraine_Witness_Datasheet/Worksheet/wayback__pavlokyrylenko.donoda_posts_4936411123184482022-03-08T08:37:26.564141.png</t>
  </si>
  <si>
    <t>https://twitter.com/RALee85/status/1496734690971197444?s=20&amp;t=YBptTuRUiR-FrhvxxMSFrg</t>
  </si>
  <si>
    <t>Kh-31P missile wreckage</t>
  </si>
  <si>
    <t>Twitter comment has daytime photos of the area. On them it's visible the red/orange fence accross the street and the black fence just in front of us. Yandex maps' streetview is a bit more updated than google maps but still not great. I can provide images with the landmarks I used to match if necessary.</t>
  </si>
  <si>
    <t>Kh-31P</t>
  </si>
  <si>
    <t>UW1620</t>
  </si>
  <si>
    <t>https://bellingcat-archive.nyc3.cdn.digitaloceanspaces.com/Ukraine_Witness_Datasheet/Worksheet/youtube_dl_1496734690971197444.mp4</t>
  </si>
  <si>
    <t>2022-03-08T08:37:48.274057+00:00</t>
  </si>
  <si>
    <t>https://bellingcat-archive.nyc3.cdn.digitaloceanspaces.com/Ukraine_Witness_Datasheet/Worksheet/youtube_dl__RALee85_status_14967346909711974442022-03-08T08:37:36.916385.png</t>
  </si>
  <si>
    <t>8992c5170e1d426494d9579b77cc25910e9931cc1a055730f46b06ccefee2c2d</t>
  </si>
  <si>
    <t>https://bellingcat-archive.nyc3.cdn.digitaloceanspaces.com/Ukraine_Witness_Datasheet/Worksheet/youtube_dl_1496734690971197444/index.html</t>
  </si>
  <si>
    <t>Rob Lee - This looks like a Kh-31P air-launched anti-radar missile wreckage reportedly in Kyiv.</t>
  </si>
  <si>
    <t>2022-02-24T06:32:12+00:00</t>
  </si>
  <si>
    <t>https://twitter.com/ralee85/status/1496717506635079682?s=21</t>
  </si>
  <si>
    <t>Partially destroyed Smerch rocket</t>
  </si>
  <si>
    <t>Visible the Holy Temple of Queen Tamara right at the beginning of video</t>
  </si>
  <si>
    <t>9M55K Smerch</t>
  </si>
  <si>
    <t>UW1621</t>
  </si>
  <si>
    <t>https://bellingcat-archive.nyc3.cdn.digitaloceanspaces.com/Ukraine_Witness_Datasheet/Worksheet/youtube_dl_1496717506635079682.mp4</t>
  </si>
  <si>
    <t>2022-03-08T08:38:03.049754+00:00</t>
  </si>
  <si>
    <t>https://bellingcat-archive.nyc3.cdn.digitaloceanspaces.com/Ukraine_Witness_Datasheet/Worksheet/youtube_dl__ralee85_status_14967175066350796822022-03-08T08:37:50.941604.png</t>
  </si>
  <si>
    <t>cd7fd438ca86dafd3ae16a6c6975b85680c9e1a4ae5c86f9ceeec9a2d04f8a2e</t>
  </si>
  <si>
    <t>https://bellingcat-archive.nyc3.cdn.digitaloceanspaces.com/Ukraine_Witness_Datasheet/Worksheet/youtube_dl_1496717506635079682/index.html</t>
  </si>
  <si>
    <t>Rob Lee - That does look like a Smerch MLRS rocket booster section.</t>
  </si>
  <si>
    <t>2022-02-24T05:23:55+00:00</t>
  </si>
  <si>
    <t>https://twitter.com/ralee85/status/1497423756414832650?s=21</t>
  </si>
  <si>
    <t>Smerch rocket embedded in the ground</t>
  </si>
  <si>
    <t>UW1622</t>
  </si>
  <si>
    <t>https://bellingcat-archive.nyc3.cdn.digitaloceanspaces.com/Ukraine_Witness_Datasheet/Worksheet/youtube_dl_1497422148419432448.mp4</t>
  </si>
  <si>
    <t>2022-03-08T08:38:19.799932+00:00</t>
  </si>
  <si>
    <t>https://bellingcat-archive.nyc3.cdn.digitaloceanspaces.com/Ukraine_Witness_Datasheet/Worksheet/youtube_dl__ralee85_status_14974237564148326502022-03-08T08:38:07.394029.png</t>
  </si>
  <si>
    <t>4179217c33c973494c305c470883d1879da5896d1585f2b4e321c04b10631663</t>
  </si>
  <si>
    <t>https://bellingcat-archive.nyc3.cdn.digitaloceanspaces.com/Ukraine_Witness_Datasheet/Worksheet/youtube_dl_1497422148419432448/index.html</t>
  </si>
  <si>
    <t>IgorGirkin - Чугуевский район</t>
  </si>
  <si>
    <t>2022-02-26T04:03:55+00:00</t>
  </si>
  <si>
    <t>https://twitter.com/2022Kharkiv/status/1498031385591881733?s=20&amp;t=aAsF3wLtOmuVJWrXQTxwHA</t>
  </si>
  <si>
    <t>Smerch rocked embedded in the street</t>
  </si>
  <si>
    <t>Visible the zebra crossing, tram line and red building on the right</t>
  </si>
  <si>
    <t>UW1623</t>
  </si>
  <si>
    <t>photo taken from home</t>
  </si>
  <si>
    <t>https://bellingcat-archive.nyc3.cdn.digitaloceanspaces.com/Ukraine_Witness_Datasheet/Worksheet/twitter__2022Kharkiv_status_1498031385591881733.html</t>
  </si>
  <si>
    <t>2022-03-08T08:38:31.635849+00:00</t>
  </si>
  <si>
    <t>https://bellingcat-archive.nyc3.cdn.digitaloceanspaces.com/Ukraine_Witness_Datasheet/Worksheet/twitter__2022Kharkiv_status_14980313855918817332022-03-08T08:38:22.535111.png</t>
  </si>
  <si>
    <t>e07943c1d171723affe8cdb05f01e155b3c0b4d202fcf496ae2262fa63fd174c</t>
  </si>
  <si>
    <t>2022-02-27T20:24:49+00:00</t>
  </si>
  <si>
    <t>https://t.me/truexanewsua/23472</t>
  </si>
  <si>
    <t>UW1624</t>
  </si>
  <si>
    <t>https://bellingcat-archive.nyc3.cdn.digitaloceanspaces.com/Ukraine_Witness_Datasheet/Worksheet/telegram__truexanewsua_23472.html</t>
  </si>
  <si>
    <t>2022-03-08T08:38:40.965741+00:00</t>
  </si>
  <si>
    <t>https://bellingcat-archive.nyc3.cdn.digitaloceanspaces.com/Ukraine_Witness_Datasheet/Worksheet/telegram__truexanewsua_234722022-03-08T08:38:32.358119.png</t>
  </si>
  <si>
    <t>6ce17e9bb219869f032643f17403c8192174e473b71ce7d281f98f5bf6249edc</t>
  </si>
  <si>
    <t>2022-02-25T12:30:38+00:00</t>
  </si>
  <si>
    <t>https://t.me/c/1347456995/38713</t>
  </si>
  <si>
    <t>Submunition cage lying in an open space</t>
  </si>
  <si>
    <t>UW1625</t>
  </si>
  <si>
    <t>wayback: Internet Archive failed: {'status': 'pending', 'resources': [], 'job_id': 'spn2-e451c6e671ed2df41c6cab1c5b5cc60ad01e6e9b-dcdac3df'}</t>
  </si>
  <si>
    <t>2022-03-08T08:40:37.680616+00:00</t>
  </si>
  <si>
    <t>https://twitter.com/666_mancer/status/1497263766165200901?s=20&amp;t=t9pbZJOmojsHcNJj5XbVhA</t>
  </si>
  <si>
    <t>Kirovsky</t>
  </si>
  <si>
    <t>9M79</t>
  </si>
  <si>
    <t>UW1626</t>
  </si>
  <si>
    <t>https://bellingcat-archive.nyc3.cdn.digitaloceanspaces.com/Ukraine_Witness_Datasheet/Worksheet/twitter__666_mancer_status_1497263766165200901.html</t>
  </si>
  <si>
    <t>2022-03-08T08:40:54.068323+00:00</t>
  </si>
  <si>
    <t>https://bellingcat-archive.nyc3.cdn.digitaloceanspaces.com/Ukraine_Witness_Datasheet/Worksheet/twitter__666_mancer_status_14972637661652009012022-03-08T08:40:43.814893.png</t>
  </si>
  <si>
    <t>72051447910e5104561d0833b8222e83a821fd22bef3ff5ecf5a97e15de2846d</t>
  </si>
  <si>
    <t>2022-02-25T17:34:34+00:00</t>
  </si>
  <si>
    <t>https://t.me/truexanewsua/23393</t>
  </si>
  <si>
    <t>Smerch rocket wreckage in an apartment</t>
  </si>
  <si>
    <t>N/A</t>
  </si>
  <si>
    <t>UW1628</t>
  </si>
  <si>
    <t>https://bellingcat-archive.nyc3.cdn.digitaloceanspaces.com/Ukraine_Witness_Datasheet/Worksheet/telegram_70561c9a2e.mp4</t>
  </si>
  <si>
    <t>2022-03-08T08:42:59.362002+00:00</t>
  </si>
  <si>
    <t>https://bellingcat-archive.nyc3.cdn.digitaloceanspaces.com/Ukraine_Witness_Datasheet/Worksheet/telegram__truexanewsua_234052022-03-08T08:40:54.770175.png</t>
  </si>
  <si>
    <t>b3a3281b581c485f5e6c919cc49e0e6650347909ff5b48c203dd9da0849f51b5</t>
  </si>
  <si>
    <t>https://bellingcat-archive.nyc3.cdn.digitaloceanspaces.com/Ukraine_Witness_Datasheet/Worksheet/telegram_70561c9a2e/index.html</t>
  </si>
  <si>
    <t>https://t.me/truexanewsua/23405</t>
  </si>
  <si>
    <t>2022-02-25T10:39:57+00:00</t>
  </si>
  <si>
    <t>https://twitter.com/2022Kharkiv/status/1498034291577610250?s=20&amp;t=aAsF3wLtOmuVJWrXQTxwHA</t>
  </si>
  <si>
    <t>Smerch rocket embedded in the ground near a playground</t>
  </si>
  <si>
    <t>Microdistrict 522</t>
  </si>
  <si>
    <t>Location matched by the characteristic fence in the background</t>
  </si>
  <si>
    <t>UW1629</t>
  </si>
  <si>
    <t>https://bellingcat-archive.nyc3.cdn.digitaloceanspaces.com/Ukraine_Witness_Datasheet/Worksheet/twitter__2022Kharkiv_status_1498034291577610250.html</t>
  </si>
  <si>
    <t>2022-03-08T08:43:11.603032+00:00</t>
  </si>
  <si>
    <t>https://bellingcat-archive.nyc3.cdn.digitaloceanspaces.com/Ukraine_Witness_Datasheet/Worksheet/twitter__2022Kharkiv_status_14980342915776102502022-03-08T08:43:02.244902.png</t>
  </si>
  <si>
    <t>21a28af2bc92e8989beeed64da58bf4071461b1294adb5bbc4630b84fb1a453f</t>
  </si>
  <si>
    <t>2022-02-27T20:36:21+00:00</t>
  </si>
  <si>
    <t>UW1630</t>
  </si>
  <si>
    <t>2022-03-08T09:20:16.096413+00:00</t>
  </si>
  <si>
    <t>https://t.me/c/1347456995/38726</t>
  </si>
  <si>
    <t>UW1631</t>
  </si>
  <si>
    <t>https://web.archive.org/web/20220308084334/https://t.me/c/1347456995/38726</t>
  </si>
  <si>
    <t>2022-03-08T08:45:15.148417+00:00</t>
  </si>
  <si>
    <t>https://bellingcat-archive.nyc3.cdn.digitaloceanspaces.com/Ukraine_Witness_Datasheet/Worksheet/wayback__c_1347456995_387262022-03-08T08:45:05.558519.png</t>
  </si>
  <si>
    <t>https://t.me/dsns_telegram/3973</t>
  </si>
  <si>
    <t>Ukranian EOD technicians with a FAB-100 bomb in a wooded area</t>
  </si>
  <si>
    <t>Shabelnya</t>
  </si>
  <si>
    <t>FAB-100</t>
  </si>
  <si>
    <t>UW1632</t>
  </si>
  <si>
    <t>https://bellingcat-archive.nyc3.cdn.digitaloceanspaces.com/Ukraine_Witness_Datasheet/Worksheet/telegram__dsns_telegram_3973.html</t>
  </si>
  <si>
    <t>2022-03-08T08:45:23.895889+00:00</t>
  </si>
  <si>
    <t>https://bellingcat-archive.nyc3.cdn.digitaloceanspaces.com/Ukraine_Witness_Datasheet/Worksheet/telegram__dsns_telegram_39732022-03-08T08:45:15.800851.png</t>
  </si>
  <si>
    <t>0abf0469b33eecb579e6d3b6349682c15873909c5cdd0fc87328a9dbb523b32a</t>
  </si>
  <si>
    <t>2022-02-26T19:20:17+00:00</t>
  </si>
  <si>
    <t>Heather</t>
  </si>
  <si>
    <t>https://t.me/truexanewsua/24284</t>
  </si>
  <si>
    <t>https://twitter.com/Illegal_Peng/status/1497615070548971533</t>
  </si>
  <si>
    <t>Google Street view included in location tweet. Matched winows, ramp, power box, roof texture and blue sign.</t>
  </si>
  <si>
    <t>UW1633</t>
  </si>
  <si>
    <t>munition</t>
  </si>
  <si>
    <t>https://bellingcat-archive.nyc3.cdn.digitaloceanspaces.com/Ukraine_Witness_Datasheet/Worksheet/telegram__truexanewsua_24284.html</t>
  </si>
  <si>
    <t>2022-03-08T08:45:34.190083+00:00</t>
  </si>
  <si>
    <t>https://bellingcat-archive.nyc3.cdn.digitaloceanspaces.com/Ukraine_Witness_Datasheet/Worksheet/telegram__truexanewsua_242842022-03-08T08:45:25.339843.png</t>
  </si>
  <si>
    <t>e620f0c9aff68bd5dba84615023ecbea910f4fa237dc7db3b4b9081bd1802e4d</t>
  </si>
  <si>
    <t>2022-02-26T13:46:21+00:00</t>
  </si>
  <si>
    <t>https://twitter.com/ChatterFax/status/1497447467964633088</t>
  </si>
  <si>
    <t>Tochka missile wreckage in a house</t>
  </si>
  <si>
    <t>Ilovaysk</t>
  </si>
  <si>
    <t>UW1634</t>
  </si>
  <si>
    <t>https://bellingcat-archive.nyc3.cdn.digitaloceanspaces.com/Ukraine_Witness_Datasheet/Worksheet/twitter__ChatterFax_status_1497447467964633088.html</t>
  </si>
  <si>
    <t>2022-03-08T08:45:46.791162+00:00</t>
  </si>
  <si>
    <t>https://bellingcat-archive.nyc3.cdn.digitaloceanspaces.com/Ukraine_Witness_Datasheet/Worksheet/twitter__ChatterFax_status_14974474679646330882022-03-08T08:45:37.295259.png</t>
  </si>
  <si>
    <t>38ac00f051d8895f8d1e54c7ac09ef6a3af57d628ef0541f18b6b15c32e38af3</t>
  </si>
  <si>
    <t>2022-02-26T05:44:32+00:00</t>
  </si>
  <si>
    <t>https://t.me/c/1347456995/38964</t>
  </si>
  <si>
    <t>Visible tooth statue in background</t>
  </si>
  <si>
    <t>UW1635</t>
  </si>
  <si>
    <t>https://web.archive.org/web/20220308084557/https://t.me/c/1347456995/38964</t>
  </si>
  <si>
    <t>2022-03-08T08:47:38.567492+00:00</t>
  </si>
  <si>
    <t>https://bellingcat-archive.nyc3.cdn.digitaloceanspaces.com/Ukraine_Witness_Datasheet/Worksheet/wayback__c_1347456995_389642022-03-08T08:47:29.974618.png</t>
  </si>
  <si>
    <t>Private chat</t>
  </si>
  <si>
    <t>https://twitter.com/GirkinGirkin/status/1497422526946889734</t>
  </si>
  <si>
    <t>Submunition cage lying on the street</t>
  </si>
  <si>
    <t>UW1636</t>
  </si>
  <si>
    <t>https://bellingcat-archive.nyc3.cdn.digitaloceanspaces.com/Ukraine_Witness_Datasheet/Worksheet/youtube_dl_1497422526946889734.mp4</t>
  </si>
  <si>
    <t>2022-03-08T08:47:52.374742+00:00</t>
  </si>
  <si>
    <t>https://bellingcat-archive.nyc3.cdn.digitaloceanspaces.com/Ukraine_Witness_Datasheet/Worksheet/youtube_dl__GirkinGirkin_status_14974225269468897342022-03-08T08:47:40.830695.png</t>
  </si>
  <si>
    <t>6bf823a726f7a214301e45887de128fdb0c89cbd5942f1f06d5098396324fbbf</t>
  </si>
  <si>
    <t>https://bellingcat-archive.nyc3.cdn.digitaloceanspaces.com/Ukraine_Witness_Datasheet/Worksheet/youtube_dl_1497422526946889734/index.html</t>
  </si>
  <si>
    <t>IgorGirkin - Харьков</t>
  </si>
  <si>
    <t>2022-02-26T04:05:25+00:00</t>
  </si>
  <si>
    <t>https://twitter.com/UAWeapons/status/1497487302125400064</t>
  </si>
  <si>
    <t>UW1637</t>
  </si>
  <si>
    <t>https://bellingcat-archive.nyc3.cdn.digitaloceanspaces.com/Ukraine_Witness_Datasheet/Worksheet/twitter__UAWeapons_status_1497487302125400064.html</t>
  </si>
  <si>
    <t>2022-03-08T08:48:03.856392+00:00</t>
  </si>
  <si>
    <t>https://bellingcat-archive.nyc3.cdn.digitaloceanspaces.com/Ukraine_Witness_Datasheet/Worksheet/twitter__UAWeapons_status_14974873021254000642022-03-08T08:47:55.072715.png</t>
  </si>
  <si>
    <t>274d0c820c85e32b37b3647f60e19e252d7ef23a6cf89c2a6d24a36bbf941d33</t>
  </si>
  <si>
    <t>2022-02-26T08:22:49+00:00</t>
  </si>
  <si>
    <t>https://t.me/livekharkov/27596</t>
  </si>
  <si>
    <t>Soldiers posing next to submunition cage embedded in the ground</t>
  </si>
  <si>
    <t>UW1638</t>
  </si>
  <si>
    <t>https://bellingcat-archive.nyc3.cdn.digitaloceanspaces.com/Ukraine_Witness_Datasheet/Worksheet/telegram__livekharkov_27596.html</t>
  </si>
  <si>
    <t>2022-03-08T08:48:13.337443+00:00</t>
  </si>
  <si>
    <t>https://bellingcat-archive.nyc3.cdn.digitaloceanspaces.com/Ukraine_Witness_Datasheet/Worksheet/telegram__livekharkov_275962022-03-08T08:48:04.522435.png</t>
  </si>
  <si>
    <t>005cab54012c9d09285cc8204103b964d62d670187f1e58f00e742767cf20fa9</t>
  </si>
  <si>
    <t>2022-02-26T22:57:46+00:00</t>
  </si>
  <si>
    <t>https://twitter.com/Michael1Sheldon/status/1497449148412481541?s=20&amp;t=2ePKuyV1NGQmvtHcykvr9Q</t>
  </si>
  <si>
    <t>May be a duplicate as Sheldon has geolocated</t>
  </si>
  <si>
    <t>https://twitter.com/Michael1Sheldon/status/1497449148412481541?s=20&amp;t=GMP0bUtak-O-RomFlRvRjA</t>
  </si>
  <si>
    <t>UW1639</t>
  </si>
  <si>
    <t>https://bellingcat-archive.nyc3.cdn.digitaloceanspaces.com/Ukraine_Witness_Datasheet/Worksheet/twitter__Michael1Sheldon_status_1497449148412481541.html</t>
  </si>
  <si>
    <t>2022-03-08T08:48:24.393539+00:00</t>
  </si>
  <si>
    <t>https://bellingcat-archive.nyc3.cdn.digitaloceanspaces.com/Ukraine_Witness_Datasheet/Worksheet/twitter__Michael1Sheldon_status_14974491484124815412022-03-08T08:48:15.429574.png</t>
  </si>
  <si>
    <t>ac73fed407861b681212f64de1510a00f1cfcfd33a98e458b7f0f6d5523a8729</t>
  </si>
  <si>
    <t>2022-02-26T05:51:12+00:00</t>
  </si>
  <si>
    <t>https://t.me/livekharkov/27412</t>
  </si>
  <si>
    <t>Submunition cage embedded in the ground</t>
  </si>
  <si>
    <t>UW1640</t>
  </si>
  <si>
    <t>https://bellingcat-archive.nyc3.cdn.digitaloceanspaces.com/Ukraine_Witness_Datasheet/Worksheet/telegram__livekharkov_27412.html</t>
  </si>
  <si>
    <t>2022-03-08T08:48:33.487996+00:00</t>
  </si>
  <si>
    <t>https://bellingcat-archive.nyc3.cdn.digitaloceanspaces.com/Ukraine_Witness_Datasheet/Worksheet/telegram__livekharkov_274122022-03-08T08:48:25.016457.png</t>
  </si>
  <si>
    <t>34e8a0e8f077ae67bb1ab9cd092933f627da0704b9e10a4740a38878fa29d712</t>
  </si>
  <si>
    <t>2022-02-26T12:53:06+00:00</t>
  </si>
  <si>
    <t>UW1641</t>
  </si>
  <si>
    <t>https://bellingcat-archive.nyc3.cdn.digitaloceanspaces.com/Ukraine_Witness_Datasheet/Worksheet/telegram__livekharkov_27370.html</t>
  </si>
  <si>
    <t>2022-03-08T08:48:41.917055+00:00</t>
  </si>
  <si>
    <t>https://bellingcat-archive.nyc3.cdn.digitaloceanspaces.com/Ukraine_Witness_Datasheet/Worksheet/telegram__livekharkov_273702022-03-08T08:48:34.304223.png</t>
  </si>
  <si>
    <t>7f8358708c660dc95ef45b2121a93d8909d2dd035ba00fb3053b5c081c6a9eaa</t>
  </si>
  <si>
    <t>2022-02-26T11:23:12+00:00</t>
  </si>
  <si>
    <t>DAVEB</t>
  </si>
  <si>
    <t>https://twitter.com/Michael1Sheldon/status/1497448045637783553?s=20&amp;t=WJLEo9WsWhruLegJ-5OZxA</t>
  </si>
  <si>
    <t xml:space="preserve">Cluster munition carrier impacting </t>
  </si>
  <si>
    <t>UW1642</t>
  </si>
  <si>
    <t>2022-03-08T08:48:56.350151+00:00</t>
  </si>
  <si>
    <t>https://bellingcat-archive.nyc3.cdn.digitaloceanspaces.com/Ukraine_Witness_Datasheet/Worksheet/youtube_dl__Michael1Sheldon_status_14974480456377835532022-03-08T08:48:43.542404.png</t>
  </si>
  <si>
    <t>2022-02-26T05:46:49+00:00</t>
  </si>
  <si>
    <t>https://t.me/truexanewsua/24171</t>
  </si>
  <si>
    <t>UW1643</t>
  </si>
  <si>
    <t>Photos are linked to video where video shows the man filming.</t>
  </si>
  <si>
    <t>https://bellingcat-archive.nyc3.cdn.digitaloceanspaces.com/Ukraine_Witness_Datasheet/Worksheet/telegram__truexanewsua_24171.html</t>
  </si>
  <si>
    <t>2022-03-08T08:49:05.907091+00:00</t>
  </si>
  <si>
    <t>https://bellingcat-archive.nyc3.cdn.digitaloceanspaces.com/Ukraine_Witness_Datasheet/Worksheet/telegram__truexanewsua_241712022-03-08T08:48:57.183767.png</t>
  </si>
  <si>
    <t>2a9b42e82ad9c8de7e28954625edbbc8cadbe054e2459eb8cc56b4c87065b76a</t>
  </si>
  <si>
    <t>2022-02-26T11:27:30+00:00</t>
  </si>
  <si>
    <t>https://t.me/truexanewsua/24773</t>
  </si>
  <si>
    <t xml:space="preserve">Multiple images </t>
  </si>
  <si>
    <t>UW1644</t>
  </si>
  <si>
    <t>https://bellingcat-archive.nyc3.cdn.digitaloceanspaces.com/Ukraine_Witness_Datasheet/Worksheet/telegram__truexanewsua_24773.html</t>
  </si>
  <si>
    <t>2022-03-08T08:49:15.797404+00:00</t>
  </si>
  <si>
    <t>https://bellingcat-archive.nyc3.cdn.digitaloceanspaces.com/Ukraine_Witness_Datasheet/Worksheet/telegram__truexanewsua_247732022-03-08T08:49:06.531327.png</t>
  </si>
  <si>
    <t>b87cb921d22aad0bac7c8bfcf071c021a70f6fbc81035c30bcb3d26a8ba59716</t>
  </si>
  <si>
    <t>2022-02-27T05:30:50+00:00</t>
  </si>
  <si>
    <t>https://t.me/livekharkov/27723</t>
  </si>
  <si>
    <t>Possible incidiary munition lodged in the road</t>
  </si>
  <si>
    <t>Unidentified</t>
  </si>
  <si>
    <t>UW1645</t>
  </si>
  <si>
    <t>https://bellingcat-archive.nyc3.cdn.digitaloceanspaces.com/Ukraine_Witness_Datasheet/Worksheet/telegram__livekharkov_27723.html</t>
  </si>
  <si>
    <t>2022-03-08T08:49:24.137495+00:00</t>
  </si>
  <si>
    <t>https://bellingcat-archive.nyc3.cdn.digitaloceanspaces.com/Ukraine_Witness_Datasheet/Worksheet/telegram__livekharkov_277232022-03-08T08:49:16.420538.png</t>
  </si>
  <si>
    <t>7144144f06ce313bd872e92e4ba8550787ed52316fa30b4d22e43eb3f9cf5f70</t>
  </si>
  <si>
    <t>2022-02-27T14:36:04+00:00</t>
  </si>
  <si>
    <t>https://t.me/truexanewsua/24760</t>
  </si>
  <si>
    <t>Smerch rocket stuck in the ground</t>
  </si>
  <si>
    <t>UW1646</t>
  </si>
  <si>
    <t>https://bellingcat-archive.nyc3.cdn.digitaloceanspaces.com/Ukraine_Witness_Datasheet/Worksheet/telegram__truexanewsua_24760.html</t>
  </si>
  <si>
    <t>2022-03-08T08:49:33.730816+00:00</t>
  </si>
  <si>
    <t>https://bellingcat-archive.nyc3.cdn.digitaloceanspaces.com/Ukraine_Witness_Datasheet/Worksheet/telegram__truexanewsua_247602022-03-08T08:49:24.797937.png</t>
  </si>
  <si>
    <t>f5972e6c0e0fb85d62a50641dfec62b63341cbee060083e23448cf1606737316</t>
  </si>
  <si>
    <t>2022-02-27T05:15:42+00:00</t>
  </si>
  <si>
    <t>https://t.me/truexanewsua/24906</t>
  </si>
  <si>
    <t>Remains of Smerch rocket in shed</t>
  </si>
  <si>
    <t>UW1647</t>
  </si>
  <si>
    <t>https://bellingcat-archive.nyc3.cdn.digitaloceanspaces.com/Ukraine_Witness_Datasheet/Worksheet/telegram__truexanewsua_24906.html</t>
  </si>
  <si>
    <t>2022-03-08T08:49:42.939550+00:00</t>
  </si>
  <si>
    <t>https://bellingcat-archive.nyc3.cdn.digitaloceanspaces.com/Ukraine_Witness_Datasheet/Worksheet/telegram__truexanewsua_249062022-03-08T08:49:34.398438.png</t>
  </si>
  <si>
    <t>e7e802844d6d734885720dbf2319e10e31f8cecbe0d96577443fe395c31dadc9</t>
  </si>
  <si>
    <t>2022-02-27T07:39:28+00:00</t>
  </si>
  <si>
    <t>https://twitter.com/2022Kharkiv/status/1497910214770655232?s=20&amp;t=aAsF3wLtOmuVJWrXQTxwHA</t>
  </si>
  <si>
    <t>UW1648</t>
  </si>
  <si>
    <t>https://bellingcat-archive.nyc3.cdn.digitaloceanspaces.com/Ukraine_Witness_Datasheet/Worksheet/twitter__2022Kharkiv_status_1497910214770655232.html</t>
  </si>
  <si>
    <t>2022-03-08T08:49:54.682729+00:00</t>
  </si>
  <si>
    <t>https://bellingcat-archive.nyc3.cdn.digitaloceanspaces.com/Ukraine_Witness_Datasheet/Worksheet/twitter__2022Kharkiv_status_14979102147706552322022-03-08T08:49:45.693123.png</t>
  </si>
  <si>
    <t>d199f6e201282aa05a7a73118244d5ed679014c834cf9cbdc80a518c01fc5e88</t>
  </si>
  <si>
    <t>2022-02-27T12:23:19+00:00</t>
  </si>
  <si>
    <t>https://twitter.com/2022Kharkiv/status/1497909622912565252?s=20&amp;t=aAsF3wLtOmuVJWrXQTxwHA</t>
  </si>
  <si>
    <t>UW1649</t>
  </si>
  <si>
    <t>https://bellingcat-archive.nyc3.cdn.digitaloceanspaces.com/Ukraine_Witness_Datasheet/Worksheet/twitter__2022Kharkiv_status_1497909622912565252.html</t>
  </si>
  <si>
    <t>2022-03-08T08:50:06.822212+00:00</t>
  </si>
  <si>
    <t>https://bellingcat-archive.nyc3.cdn.digitaloceanspaces.com/Ukraine_Witness_Datasheet/Worksheet/twitter__2022Kharkiv_status_14979096229125652522022-03-08T08:49:57.881425.png</t>
  </si>
  <si>
    <t>15965862d1f11a356028856a0d9ea42357715bb88e5d0db168505c9959701d62</t>
  </si>
  <si>
    <t>2022-02-27T12:20:58+00:00</t>
  </si>
  <si>
    <t>https://twitter.com/trbrtc/status/1497364297038635015</t>
  </si>
  <si>
    <t xml:space="preserve">Submunition cage stuck in the ground </t>
  </si>
  <si>
    <t>9M27-K1</t>
  </si>
  <si>
    <t>UW1650</t>
  </si>
  <si>
    <t>https://bellingcat-archive.nyc3.cdn.digitaloceanspaces.com/Ukraine_Witness_Datasheet/Worksheet/youtube_dl_1497364297038635015.mp4</t>
  </si>
  <si>
    <t>2022-03-08T08:50:22.682328+00:00</t>
  </si>
  <si>
    <t>https://bellingcat-archive.nyc3.cdn.digitaloceanspaces.com/Ukraine_Witness_Datasheet/Worksheet/youtube_dl__trbrtc_status_14973642970386350152022-03-08T08:50:09.401450.png</t>
  </si>
  <si>
    <t>cb2e16308afad49f83135b38334a706f68d7dcaf1dc789fba4a477f3d3ec4294</t>
  </si>
  <si>
    <t>https://bellingcat-archive.nyc3.cdn.digitaloceanspaces.com/Ukraine_Witness_Datasheet/Worksheet/youtube_dl_1497364297038635015/index.html</t>
  </si>
  <si>
    <t>Christiaan Triebert - More evidence of widely banned cluster munitions in Ukraine, likely by Russia. This video (via @kromark @belligncat @CalibreObscura) appears to show a 9M27K cluster warhead rocket near a residential block in Okhtyrka. By @evanhill and @johnismay.</t>
  </si>
  <si>
    <t>2022-02-26T00:14:02+00:00</t>
  </si>
  <si>
    <t>https://twitter.com/666_mancer/status/1498013275891642372?s=20&amp;t=t9pbZJOmojsHcNJj5XbVhA</t>
  </si>
  <si>
    <t>Partially destroyed Tochka rocket in garden</t>
  </si>
  <si>
    <t>UW1651</t>
  </si>
  <si>
    <t>https://bellingcat-archive.nyc3.cdn.digitaloceanspaces.com/Ukraine_Witness_Datasheet/Worksheet/twitter__666_mancer_status_1498013275891642372.html</t>
  </si>
  <si>
    <t>2022-03-08T08:50:34.640866+00:00</t>
  </si>
  <si>
    <t>https://bellingcat-archive.nyc3.cdn.digitaloceanspaces.com/Ukraine_Witness_Datasheet/Worksheet/twitter__666_mancer_status_14980132758916423722022-03-08T08:50:25.715784.png</t>
  </si>
  <si>
    <t>f6233fe2f1d688831e8c62d2835f336fba89902d812488b328cb9603387d9db9</t>
  </si>
  <si>
    <t>2022-02-27T19:12:51+00:00</t>
  </si>
  <si>
    <t>https://twitter.com/ralee85/status/1497817921711751168?s=21</t>
  </si>
  <si>
    <t>Smerch rockets in the ground (multiple images)</t>
  </si>
  <si>
    <t>UW1652</t>
  </si>
  <si>
    <t>wayback: Internet Archive failed: {'status': 'error', 'duration_sec': 3.575, 'status_ext': 'error:unknown', 'message': 'Unknown error for chrome-error://chromewebdata/ (HTTP status=0).', 'resources': [], 'job_id': 'spn2-b47b819568f00a18c988966ef8104e21f0c1bc1e-9bd77145'}</t>
  </si>
  <si>
    <t>2022-03-08T08:51:10.555160+00:00</t>
  </si>
  <si>
    <t>https://t.me/c/1347456995/38976</t>
  </si>
  <si>
    <t>UW1653</t>
  </si>
  <si>
    <t>https://web.archive.org/web/20220308085122/https://t.me/c/1347456995/38976</t>
  </si>
  <si>
    <t>2022-03-08T08:53:02.896432+00:00</t>
  </si>
  <si>
    <t>https://bellingcat-archive.nyc3.cdn.digitaloceanspaces.com/Ukraine_Witness_Datasheet/Worksheet/wayback__c_1347456995_389762022-03-08T08:52:54.942997.png</t>
  </si>
  <si>
    <t>https://twitter.com/2022Kharkiv/status/1497907864723247106?s=20&amp;t=aAsF3wLtOmuVJWrXQTxwHA</t>
  </si>
  <si>
    <t>UW1654</t>
  </si>
  <si>
    <t>https://bellingcat-archive.nyc3.cdn.digitaloceanspaces.com/Ukraine_Witness_Datasheet/Worksheet/twitter__2022Kharkiv_status_1497907864723247106.html</t>
  </si>
  <si>
    <t>2022-03-08T08:53:15.061708+00:00</t>
  </si>
  <si>
    <t>https://bellingcat-archive.nyc3.cdn.digitaloceanspaces.com/Ukraine_Witness_Datasheet/Worksheet/twitter__2022Kharkiv_status_14979078647232471062022-03-08T08:53:05.675876.png</t>
  </si>
  <si>
    <t>8c76bb89c6e91e73d8849783bfd8fa7ad0f7438562e5f96f1771fa50705cbc52</t>
  </si>
  <si>
    <t>2022-02-27T12:13:59+00:00</t>
  </si>
  <si>
    <t>https://t.me/livekharkov/27793</t>
  </si>
  <si>
    <t>Two young boys posing next to Smerch rocket</t>
  </si>
  <si>
    <t>UW1655</t>
  </si>
  <si>
    <t>https://bellingcat-archive.nyc3.cdn.digitaloceanspaces.com/Ukraine_Witness_Datasheet/Worksheet/telegram_26c8d848f1.mp4</t>
  </si>
  <si>
    <t>2022-03-08T08:53:40.534404+00:00</t>
  </si>
  <si>
    <t>https://bellingcat-archive.nyc3.cdn.digitaloceanspaces.com/Ukraine_Witness_Datasheet/Worksheet/telegram__livekharkov_277932022-03-08T08:53:15.942243.png</t>
  </si>
  <si>
    <t>12783056e87db026163458719286b1c741557f4a64219af594d571a1d199dc55</t>
  </si>
  <si>
    <t>https://bellingcat-archive.nyc3.cdn.digitaloceanspaces.com/Ukraine_Witness_Datasheet/Worksheet/telegram_26c8d848f1/index.html</t>
  </si>
  <si>
    <t>2022-02-27T19:26:26+00:00</t>
  </si>
  <si>
    <t>UW1656</t>
  </si>
  <si>
    <t>2022-03-08T08:53:50.078174+00:00</t>
  </si>
  <si>
    <t>https://bellingcat-archive.nyc3.cdn.digitaloceanspaces.com/Ukraine_Witness_Datasheet/Worksheet/telegram__truexanewsua_247732022-03-08T08:53:41.183763.png</t>
  </si>
  <si>
    <t>534361018f6767d5e92202b97448e4e25cb3a1cbc6b1d0c65c8a88b951cc7d6e</t>
  </si>
  <si>
    <t>https://t.me/truexanewsua/25031</t>
  </si>
  <si>
    <t>Smerch rocket sections on impact site</t>
  </si>
  <si>
    <t>UW1657</t>
  </si>
  <si>
    <t>https://bellingcat-archive.nyc3.cdn.digitaloceanspaces.com/Ukraine_Witness_Datasheet/Worksheet/telegram__truexanewsua_25031.html</t>
  </si>
  <si>
    <t>2022-03-08T08:54:02.687786+00:00</t>
  </si>
  <si>
    <t>https://bellingcat-archive.nyc3.cdn.digitaloceanspaces.com/Ukraine_Witness_Datasheet/Worksheet/telegram__truexanewsua_250312022-03-08T08:53:50.692099.png</t>
  </si>
  <si>
    <t>117ab4782dcd9fb5edac67f4d7717e7fd3fa8732d6510c50288c6e97b8bd91df</t>
  </si>
  <si>
    <t>2022-02-27T10:25:45+00:00</t>
  </si>
  <si>
    <t>https://t.me/truexanewsua/24856</t>
  </si>
  <si>
    <t>Partially destroyed Smerch rocket sections</t>
  </si>
  <si>
    <t>Photo of the pet shop visible on google map (business photos). Black fence on right also matches the one visible in video.</t>
  </si>
  <si>
    <t>UW1658</t>
  </si>
  <si>
    <t>https://bellingcat-archive.nyc3.cdn.digitaloceanspaces.com/Ukraine_Witness_Datasheet/Worksheet/telegram_91f03468f2.mp4</t>
  </si>
  <si>
    <t>2022-03-08T08:54:56.116777+00:00</t>
  </si>
  <si>
    <t>https://bellingcat-archive.nyc3.cdn.digitaloceanspaces.com/Ukraine_Witness_Datasheet/Worksheet/telegram__truexanewsua_248562022-03-08T08:54:03.343625.png</t>
  </si>
  <si>
    <t>1475c3d3d7ad3d703bfe328fe2b7423fca10f7d40a8bcf7e1000b7e2005ecb8a</t>
  </si>
  <si>
    <t>https://bellingcat-archive.nyc3.cdn.digitaloceanspaces.com/Ukraine_Witness_Datasheet/Worksheet/telegram_91f03468f2/index.html</t>
  </si>
  <si>
    <t>2022-02-27T06:55:30+00:00</t>
  </si>
  <si>
    <t>Smerch rocket stuck in the ground (multiple images)</t>
  </si>
  <si>
    <t>UW1659</t>
  </si>
  <si>
    <t>2022-03-08T08:55:05.944175+00:00</t>
  </si>
  <si>
    <t>https://bellingcat-archive.nyc3.cdn.digitaloceanspaces.com/Ukraine_Witness_Datasheet/Worksheet/telegram__truexanewsua_247602022-03-08T08:54:56.731124.png</t>
  </si>
  <si>
    <t>c063795c1e2466d690ecbfc23d20a6818ac8ae29d53ef2580a6afdff89179792</t>
  </si>
  <si>
    <t>UW1660</t>
  </si>
  <si>
    <t>https://bellingcat-archive.nyc3.cdn.digitaloceanspaces.com/Ukraine_Witness_Datasheet/Worksheet/twitter__2022Kharkiv_status_1497905543289225217.html</t>
  </si>
  <si>
    <t>2022-03-08T08:55:17.790721+00:00</t>
  </si>
  <si>
    <t>https://bellingcat-archive.nyc3.cdn.digitaloceanspaces.com/Ukraine_Witness_Datasheet/Worksheet/twitter__2022Kharkiv_status_14979055432892252172022-03-08T08:55:08.512790.png</t>
  </si>
  <si>
    <t>1ba1556ee9281a5c83a43574e552491337b23645f0b5289df3dd3f7f0a739ecd</t>
  </si>
  <si>
    <t>2022-02-27T12:04:45+00:00</t>
  </si>
  <si>
    <t>UW1661</t>
  </si>
  <si>
    <t>wayback: wayback: Internet Archive fallback</t>
  </si>
  <si>
    <t>2022-03-08T08:55:25.642479+00:00</t>
  </si>
  <si>
    <t>https://twitter.com/2022Kharkiv/status/1497906951732318208?s=20&amp;t=aAsF3wLtOmuVJWrXQTxwHA</t>
  </si>
  <si>
    <t>UW1662</t>
  </si>
  <si>
    <t>https://bellingcat-archive.nyc3.cdn.digitaloceanspaces.com/Ukraine_Witness_Datasheet/Worksheet/twitter__2022Kharkiv_status_1497906951732318208.html</t>
  </si>
  <si>
    <t>2022-03-08T08:55:37.004416+00:00</t>
  </si>
  <si>
    <t>https://bellingcat-archive.nyc3.cdn.digitaloceanspaces.com/Ukraine_Witness_Datasheet/Worksheet/twitter__2022Kharkiv_status_14979069517323182082022-03-08T08:55:27.850482.png</t>
  </si>
  <si>
    <t>eae3daf366da3260a9fa3230cd908496917b416d84ce33f0c5b0ac8aa6c81314</t>
  </si>
  <si>
    <t>2022-02-27T12:10:21+00:00</t>
  </si>
  <si>
    <t>https://twitter.com/2022Kharkiv/status/1497909447829696519?s=20&amp;t=aAsF3wLtOmuVJWrXQTxwHA</t>
  </si>
  <si>
    <t>UW1663</t>
  </si>
  <si>
    <t>https://bellingcat-archive.nyc3.cdn.digitaloceanspaces.com/Ukraine_Witness_Datasheet/Worksheet/twitter__2022Kharkiv_status_1497909447829696519.html</t>
  </si>
  <si>
    <t>2022-03-08T08:55:48.532557+00:00</t>
  </si>
  <si>
    <t>https://bellingcat-archive.nyc3.cdn.digitaloceanspaces.com/Ukraine_Witness_Datasheet/Worksheet/twitter__2022Kharkiv_status_14979094478296965192022-03-08T08:55:39.420273.png</t>
  </si>
  <si>
    <t>dec266fa5a264679ecd0aab9bd98116f7fc033d68a2c5a9323dfee48a802e6ad</t>
  </si>
  <si>
    <t>2022-02-27T12:20:16+00:00</t>
  </si>
  <si>
    <t>https://t.me/livekharkov/27662</t>
  </si>
  <si>
    <t>UW1664</t>
  </si>
  <si>
    <t>https://bellingcat-archive.nyc3.cdn.digitaloceanspaces.com/Ukraine_Witness_Datasheet/Worksheet/telegram__livekharkov_27662.html</t>
  </si>
  <si>
    <t>2022-03-08T08:55:58.750927+00:00</t>
  </si>
  <si>
    <t>https://bellingcat-archive.nyc3.cdn.digitaloceanspaces.com/Ukraine_Witness_Datasheet/Worksheet/telegram__livekharkov_276622022-03-08T08:55:49.150390.png</t>
  </si>
  <si>
    <t>5d0e72831b5c57f7d77dbe7d854ada40c7344bda28110c6cf68cf554a89bd27b</t>
  </si>
  <si>
    <t>2022-02-27T09:40:13+00:00</t>
  </si>
  <si>
    <t>2022-03-08T08:56:08.547100+00:00</t>
  </si>
  <si>
    <t>https://bellingcat-archive.nyc3.cdn.digitaloceanspaces.com/Ukraine_Witness_Datasheet/Worksheet/telegram__truexanewsua_247732022-03-08T08:55:59.400105.png</t>
  </si>
  <si>
    <t>c322e3e2dab605e128317ee0369099628401909fedc2a2cac57f71b2d733c406</t>
  </si>
  <si>
    <t>https://twitter.com/StJavelinUkr/status/1498268564922449923?s=20&amp;t=aAsF3wLtOmuVJWrXQTxwHA</t>
  </si>
  <si>
    <t>Submunition cage in apartment</t>
  </si>
  <si>
    <t>UW1666</t>
  </si>
  <si>
    <t>https://bellingcat-archive.nyc3.cdn.digitaloceanspaces.com/Ukraine_Witness_Datasheet/Worksheet/youtube_dl_1498268564922449923.mp4</t>
  </si>
  <si>
    <t>2022-03-08T08:56:22.826058+00:00</t>
  </si>
  <si>
    <t>https://bellingcat-archive.nyc3.cdn.digitaloceanspaces.com/Ukraine_Witness_Datasheet/Worksheet/youtube_dl__StJavelinUkr_status_14982685649224499232022-03-08T08:56:11.299027.png</t>
  </si>
  <si>
    <t>c0f98ba24be31aaa361ae1c8947cec0048dce559a6647c73fdbd043ec01ab0cd</t>
  </si>
  <si>
    <t>https://bellingcat-archive.nyc3.cdn.digitaloceanspaces.com/Ukraine_Witness_Datasheet/Worksheet/youtube_dl_1498268564922449923/index.html</t>
  </si>
  <si>
    <t>Alixander🇺🇦 - A bloody rocket of invader fired from BM-21 Grad hit a civilian residential building in #Kharkiv 🇺🇦</t>
  </si>
  <si>
    <t>2022-02-28T12:07:17+00:00</t>
  </si>
  <si>
    <t>https://t.me/c/1347456995/39128</t>
  </si>
  <si>
    <t>UW1667</t>
  </si>
  <si>
    <t>https://web.archive.org/web/20220308085633/https://t.me/c/1347456995/39128</t>
  </si>
  <si>
    <t>2022-03-08T08:58:15.300632+00:00</t>
  </si>
  <si>
    <t>https://bellingcat-archive.nyc3.cdn.digitaloceanspaces.com/Ukraine_Witness_Datasheet/Worksheet/wayback__c_1347456995_391282022-03-08T08:58:07.115822.png</t>
  </si>
  <si>
    <t>https://twitter.com/kgb_files/status/1498284698690363393</t>
  </si>
  <si>
    <t>Smerch rocket in destroyed apartment</t>
  </si>
  <si>
    <t>UW1668</t>
  </si>
  <si>
    <t>https://bellingcat-archive.nyc3.cdn.digitaloceanspaces.com/Ukraine_Witness_Datasheet/Worksheet/youtube_dl_1498284698690363393.mp4</t>
  </si>
  <si>
    <t>2022-03-08T08:58:29.704273+00:00</t>
  </si>
  <si>
    <t>https://bellingcat-archive.nyc3.cdn.digitaloceanspaces.com/Ukraine_Witness_Datasheet/Worksheet/youtube_dl__kgb_files_status_14982846986903633932022-03-08T08:58:17.743941.png</t>
  </si>
  <si>
    <t>e04d94490d4ef5d7934c34f0c7ea58c8ec533806005d9a36f828f598d207a230</t>
  </si>
  <si>
    <t>https://bellingcat-archive.nyc3.cdn.digitaloceanspaces.com/Ukraine_Witness_Datasheet/Worksheet/youtube_dl_1498284698690363393/index.html</t>
  </si>
  <si>
    <t>KGB Files - Kharkiv. A Russian shell hit the apartment</t>
  </si>
  <si>
    <t>2022-02-28T13:11:23+00:00</t>
  </si>
  <si>
    <t>https://t.me/Tsaplienko/1400</t>
  </si>
  <si>
    <t>Submunition cage on the street</t>
  </si>
  <si>
    <t>UW1669</t>
  </si>
  <si>
    <t>https://bellingcat-archive.nyc3.cdn.digitaloceanspaces.com/Ukraine_Witness_Datasheet/Worksheet/telegram_b1a11baffc.mp4</t>
  </si>
  <si>
    <t>2022-03-08T08:59:00.230936+00:00</t>
  </si>
  <si>
    <t>https://bellingcat-archive.nyc3.cdn.digitaloceanspaces.com/Ukraine_Witness_Datasheet/Worksheet/telegram__Tsaplienko_14002022-03-08T08:58:30.297673.png</t>
  </si>
  <si>
    <t>bfe65a2f10f9408872f857eb31c49ae3b6867c9e00ee2da3b4a06e2354bc5de6</t>
  </si>
  <si>
    <t>https://bellingcat-archive.nyc3.cdn.digitaloceanspaces.com/Ukraine_Witness_Datasheet/Worksheet/telegram_b1a11baffc/index.html</t>
  </si>
  <si>
    <t>2022-03-01T09:04:01+00:00</t>
  </si>
  <si>
    <t>https://t.me/livekharkov/28081</t>
  </si>
  <si>
    <t>UW1670</t>
  </si>
  <si>
    <t>https://bellingcat-archive.nyc3.cdn.digitaloceanspaces.com/Ukraine_Witness_Datasheet/Worksheet/telegram__livekharkov_28081.html</t>
  </si>
  <si>
    <t>2022-03-08T08:59:12.991271+00:00</t>
  </si>
  <si>
    <t>https://bellingcat-archive.nyc3.cdn.digitaloceanspaces.com/Ukraine_Witness_Datasheet/Worksheet/telegram__livekharkov_280812022-03-08T08:59:00.876266.png</t>
  </si>
  <si>
    <t>1fc5853274222486b40b3e63ed416c769b22a0cf488c842d72799b0b600e24d6</t>
  </si>
  <si>
    <t>2022-02-28T16:12:09+00:00</t>
  </si>
  <si>
    <t>https://t.me/truexanewsua/25707</t>
  </si>
  <si>
    <t>Submunition cage and Smerch rocket sections in the ground (multiple images)</t>
  </si>
  <si>
    <t>UW1671</t>
  </si>
  <si>
    <t>https://bellingcat-archive.nyc3.cdn.digitaloceanspaces.com/Ukraine_Witness_Datasheet/Worksheet/telegram_dc5b75093c.mp4</t>
  </si>
  <si>
    <t>2022-03-08T08:59:53.980512+00:00</t>
  </si>
  <si>
    <t>https://bellingcat-archive.nyc3.cdn.digitaloceanspaces.com/Ukraine_Witness_Datasheet/Worksheet/telegram__truexanewsua_257072022-03-08T08:59:13.620767.png</t>
  </si>
  <si>
    <t>e1b3eedf896b71b2f0a05a81a7c610359d946cbd326e2336d9581f0d2fe1ca6a</t>
  </si>
  <si>
    <t>https://bellingcat-archive.nyc3.cdn.digitaloceanspaces.com/Ukraine_Witness_Datasheet/Worksheet/telegram_dc5b75093c/index.html</t>
  </si>
  <si>
    <t>2022-02-28T06:47:04+00:00</t>
  </si>
  <si>
    <t>2022-03-08T09:00:34.497073+00:00</t>
  </si>
  <si>
    <t>https://bellingcat-archive.nyc3.cdn.digitaloceanspaces.com/Ukraine_Witness_Datasheet/Worksheet/telegram__truexanewsua_257072022-03-08T08:59:55.068018.png</t>
  </si>
  <si>
    <t>UW1671 continued</t>
  </si>
  <si>
    <t>UW1673</t>
  </si>
  <si>
    <t>2022-03-08T09:00:42.378617+00:00</t>
  </si>
  <si>
    <t>UW1674</t>
  </si>
  <si>
    <t>2022-03-08T09:01:22.785835+00:00</t>
  </si>
  <si>
    <t>https://bellingcat-archive.nyc3.cdn.digitaloceanspaces.com/Ukraine_Witness_Datasheet/Worksheet/telegram__truexanewsua_257072022-03-08T09:00:43.011898.png</t>
  </si>
  <si>
    <t>UW1675</t>
  </si>
  <si>
    <t>2022-03-08T09:01:33.432818+00:00</t>
  </si>
  <si>
    <t>https://bellingcat-archive.nyc3.cdn.digitaloceanspaces.com/Ukraine_Witness_Datasheet/Worksheet/telegram__livekharkov_280812022-03-08T09:01:23.446316.png</t>
  </si>
  <si>
    <t>f9abea7d06cf04214b27d9d858f9491e496e7472d48626cd9e7c08fa92bbbcf6</t>
  </si>
  <si>
    <t>https://t.me/truexanewsua/25896</t>
  </si>
  <si>
    <t>Smerch rocket stuck in destroyed car at the parking lot on Derevianka street</t>
  </si>
  <si>
    <t>UW1676</t>
  </si>
  <si>
    <t>https://bellingcat-archive.nyc3.cdn.digitaloceanspaces.com/Ukraine_Witness_Datasheet/Worksheet/telegram__truexanewsua_25896.html</t>
  </si>
  <si>
    <t>2022-03-08T09:01:42.840189+00:00</t>
  </si>
  <si>
    <t>https://bellingcat-archive.nyc3.cdn.digitaloceanspaces.com/Ukraine_Witness_Datasheet/Worksheet/telegram__truexanewsua_258962022-03-08T09:01:34.085621.png</t>
  </si>
  <si>
    <t>5c50de3d1ea05295db253150c142105bbe505f52b1d91cdb57e159e8e3db1645</t>
  </si>
  <si>
    <t>2022-02-28T09:51:52+00:00</t>
  </si>
  <si>
    <t>https://twitter.com/2022Kharkiv/status/1498232196737519616?s=20&amp;t=aAsF3wLtOmuVJWrXQTxwHA</t>
  </si>
  <si>
    <t>UW1677</t>
  </si>
  <si>
    <t>https://bellingcat-archive.nyc3.cdn.digitaloceanspaces.com/Ukraine_Witness_Datasheet/Worksheet/twitter__2022Kharkiv_status_1498232196737519616.html</t>
  </si>
  <si>
    <t>2022-03-08T09:01:54.436824+00:00</t>
  </si>
  <si>
    <t>https://bellingcat-archive.nyc3.cdn.digitaloceanspaces.com/Ukraine_Witness_Datasheet/Worksheet/twitter__2022Kharkiv_status_14982321967375196162022-03-08T09:01:44.769239.png</t>
  </si>
  <si>
    <t>8ecffcb8a5c14d47a1cf979227f86abf3bebf4a0768e7b23750f1a6dd8233f9c</t>
  </si>
  <si>
    <t>2022-02-28T09:42:46+00:00</t>
  </si>
  <si>
    <t>https://twitter.com/2022Kharkiv/status/1498299117243617280?s=20&amp;t=aAsF3wLtOmuVJWrXQTxwHA</t>
  </si>
  <si>
    <t>UW1678</t>
  </si>
  <si>
    <t>https://bellingcat-archive.nyc3.cdn.digitaloceanspaces.com/Ukraine_Witness_Datasheet/Worksheet/twitter__2022Kharkiv_status_1498299117243617280.html</t>
  </si>
  <si>
    <t>2022-03-08T09:02:05.349922+00:00</t>
  </si>
  <si>
    <t>https://bellingcat-archive.nyc3.cdn.digitaloceanspaces.com/Ukraine_Witness_Datasheet/Worksheet/twitter__2022Kharkiv_status_14982991172436172802022-03-08T09:01:56.391648.png</t>
  </si>
  <si>
    <t>96e3cf5486d8bf43d0d7901d6f5d988a600687d5061a8f462d7c5d2cac31fece</t>
  </si>
  <si>
    <t>2022-02-28T14:08:41+00:00</t>
  </si>
  <si>
    <t>https://t.me/truexanewsua/25664</t>
  </si>
  <si>
    <t>UW1679</t>
  </si>
  <si>
    <t>https://bellingcat-archive.nyc3.cdn.digitaloceanspaces.com/Ukraine_Witness_Datasheet/Worksheet/telegram__truexanewsua_25664.html</t>
  </si>
  <si>
    <t>2022-03-08T09:02:14.799008+00:00</t>
  </si>
  <si>
    <t>https://bellingcat-archive.nyc3.cdn.digitaloceanspaces.com/Ukraine_Witness_Datasheet/Worksheet/telegram__truexanewsua_256642022-03-08T09:02:06.000954.png</t>
  </si>
  <si>
    <t>aaa7092f5b9be288f3661b2d8f551bc78768d7e06cf8837444ea5e7ea52b78e8</t>
  </si>
  <si>
    <t>2022-02-28T05:59:24+00:00</t>
  </si>
  <si>
    <t>https://twitter.com/2022Kharkiv/status/1498279499657531396?s=20&amp;t=aAsF3wLtOmuVJWrXQTxwHA</t>
  </si>
  <si>
    <t>Smerch rocket inside an apartment (same location as UW1676)</t>
  </si>
  <si>
    <t>UW1680</t>
  </si>
  <si>
    <t>https://bellingcat-archive.nyc3.cdn.digitaloceanspaces.com/Ukraine_Witness_Datasheet/Worksheet/twitter__2022Kharkiv_status_1498279499657531396.html</t>
  </si>
  <si>
    <t>2022-03-08T09:02:26.584589+00:00</t>
  </si>
  <si>
    <t>https://bellingcat-archive.nyc3.cdn.digitaloceanspaces.com/Ukraine_Witness_Datasheet/Worksheet/twitter__2022Kharkiv_status_14982794996575313962022-03-08T09:02:17.014018.png</t>
  </si>
  <si>
    <t>38bf300503942fec098f4187dd5eef6c9d1669ab176cc066fcc8aede91ef43ea</t>
  </si>
  <si>
    <t>2022-02-28T12:50:44+00:00</t>
  </si>
  <si>
    <t>https://kyivindependent.com/national/kharkiv-barraged-with-multiple-rocket-launchers-killing-a-dozen-of-people/</t>
  </si>
  <si>
    <t>Smerch rocket embedded in the street (allegedly in Piatykhatky)</t>
  </si>
  <si>
    <t>UW1681</t>
  </si>
  <si>
    <t>https://web.archive.org/web/20220308090234/https://kyivindependent.com/national/kharkiv-barraged-with-multiple-rocket-launchers-killing-a-dozen-of-people/</t>
  </si>
  <si>
    <t>2022-03-08T09:02:57.068068+00:00</t>
  </si>
  <si>
    <t>https://bellingcat-archive.nyc3.cdn.digitaloceanspaces.com/Ukraine_Witness_Datasheet/Worksheet/wayback__national_kharkiv-barraged-with-multiple-rocket-launchers-killing-a-dozen-of-people_2022-03-08T09:02:47.925767.png</t>
  </si>
  <si>
    <t>Kharkiv barraged with rockets, 11 killed</t>
  </si>
  <si>
    <t>UW1682</t>
  </si>
  <si>
    <t>2022-03-08T09:03:37.406680+00:00</t>
  </si>
  <si>
    <t>https://bellingcat-archive.nyc3.cdn.digitaloceanspaces.com/Ukraine_Witness_Datasheet/Worksheet/telegram__truexanewsua_257072022-03-08T09:02:57.711211.png</t>
  </si>
  <si>
    <t>https://twitter.com/zloy_odessit/status/1498275098758889475</t>
  </si>
  <si>
    <t>Smerch rocket embedded in the street</t>
  </si>
  <si>
    <t>UW1683</t>
  </si>
  <si>
    <t>https://bellingcat-archive.nyc3.cdn.digitaloceanspaces.com/Ukraine_Witness_Datasheet/Worksheet/youtube_dl_1498275098758889475.mp4</t>
  </si>
  <si>
    <t>2022-03-08T09:03:53.752084+00:00</t>
  </si>
  <si>
    <t>https://bellingcat-archive.nyc3.cdn.digitaloceanspaces.com/Ukraine_Witness_Datasheet/Worksheet/youtube_dl__zloy_odessit_status_14982750987588894752022-03-08T09:03:40.794719.png</t>
  </si>
  <si>
    <t>8888f697910bd34a6c14f2f95d990a1d3363ed5c344290992fe295889029deb2</t>
  </si>
  <si>
    <t>https://bellingcat-archive.nyc3.cdn.digitaloceanspaces.com/Ukraine_Witness_Datasheet/Worksheet/youtube_dl_1498275098758889475/index.html</t>
  </si>
  <si>
    <t>Александр Коваленко - ‼️ ‼️ ‼️Похоже, обстрел Харькова вёлся не только из 122-мм РСЗО БМ-21 «Град» но и посредством 220-мм РСЗО 9К57 «Ураган» и 300-мм 9К58 «Смерч».  То есть, задействована была вся группа РСЗО российских оккупационных войск под Харьковом.  Видео от читателей – спасибо!</t>
  </si>
  <si>
    <t>2022-02-28T12:33:14+00:00</t>
  </si>
  <si>
    <t>UW1684</t>
  </si>
  <si>
    <t>wayback: wayback: wayback: Internet Archive fallback</t>
  </si>
  <si>
    <t>2022-03-08T09:04:01.744533+00:00</t>
  </si>
  <si>
    <t>https://twitter.com/2022Kharkiv/status/1498286423320969216?s=20&amp;t=aAsF3wLtOmuVJWrXQTxwHA</t>
  </si>
  <si>
    <t>UW1685</t>
  </si>
  <si>
    <t>https://bellingcat-archive.nyc3.cdn.digitaloceanspaces.com/Ukraine_Witness_Datasheet/Worksheet/twitter__2022Kharkiv_status_1498286423320969216.html</t>
  </si>
  <si>
    <t>2022-03-08T09:04:14.301133+00:00</t>
  </si>
  <si>
    <t>https://bellingcat-archive.nyc3.cdn.digitaloceanspaces.com/Ukraine_Witness_Datasheet/Worksheet/twitter__2022Kharkiv_status_14982864233209692162022-03-08T09:04:04.006514.png</t>
  </si>
  <si>
    <t>02432721baed20c3c824ab34353e0be40d82e7fd73475c09b11d6d807b83315a</t>
  </si>
  <si>
    <t>2022-02-28T13:18:14+00:00</t>
  </si>
  <si>
    <t>https://twitter.com/bura_tinko/status/1498174894890262530</t>
  </si>
  <si>
    <t>UW1686</t>
  </si>
  <si>
    <t>https://bellingcat-archive.nyc3.cdn.digitaloceanspaces.com/Ukraine_Witness_Datasheet/Worksheet/youtube_dl_1498174894890262530.mp4</t>
  </si>
  <si>
    <t>2022-03-08T09:04:30.454896+00:00</t>
  </si>
  <si>
    <t>https://bellingcat-archive.nyc3.cdn.digitaloceanspaces.com/Ukraine_Witness_Datasheet/Worksheet/youtube_dl__bura_tinko_status_14981748948902625302022-03-08T09:04:17.242041.png</t>
  </si>
  <si>
    <t>04cc38cf45ca8e71920c6b0405583f27c96ec68b386641800a0c184dc6f10fa3</t>
  </si>
  <si>
    <t>https://bellingcat-archive.nyc3.cdn.digitaloceanspaces.com/Ukraine_Witness_Datasheet/Worksheet/youtube_dl_1498174894890262530/index.html</t>
  </si>
  <si>
    <t>CHIPOLLINO - Харьковская область п Южный ночью обстреляли</t>
  </si>
  <si>
    <t>2022-02-28T05:55:04+00:00</t>
  </si>
  <si>
    <t>https://twitter.com/666_mancer/status/1498608481590411267?s=20&amp;t=t9pbZJOmojsHcNJj5XbVhA</t>
  </si>
  <si>
    <t>9N210 submunition lying next to the sidewalk</t>
  </si>
  <si>
    <t>9N210</t>
  </si>
  <si>
    <t>UW1687</t>
  </si>
  <si>
    <t>https://bellingcat-archive.nyc3.cdn.digitaloceanspaces.com/Ukraine_Witness_Datasheet/Worksheet/youtube_dl_1498608481590411267.mp4</t>
  </si>
  <si>
    <t>2022-03-08T09:04:43.623029+00:00</t>
  </si>
  <si>
    <t>https://bellingcat-archive.nyc3.cdn.digitaloceanspaces.com/Ukraine_Witness_Datasheet/Worksheet/youtube_dl__666_mancer_status_14986084815904112672022-03-08T09:04:32.469783.png</t>
  </si>
  <si>
    <t>b848de898c3bffff9109bdb4d75d6ae0fd582b98e40f5bbb15cb9a90826a5162</t>
  </si>
  <si>
    <t>https://bellingcat-archive.nyc3.cdn.digitaloceanspaces.com/Ukraine_Witness_Datasheet/Worksheet/youtube_dl_1498608481590411267/index.html</t>
  </si>
  <si>
    <t>Necro Mancer - И в который раз всё о том же. Предупредите всех знакомых об опасности наразорвавшихся кассет от РСЗО. Вот, на видео, на неё чуть ли не наступают. Они могут рвануть от любого неосторожного движения #Харьков #RussiaUkraineWar</t>
  </si>
  <si>
    <t>2022-03-01T10:37:59+00:00</t>
  </si>
  <si>
    <t>https://t.me/livekharkov/27993</t>
  </si>
  <si>
    <t>9N210 submunition and blast traces</t>
  </si>
  <si>
    <t>UW1688</t>
  </si>
  <si>
    <t>https://bellingcat-archive.nyc3.cdn.digitaloceanspaces.com/Ukraine_Witness_Datasheet/Worksheet/telegram__livekharkov_27993.html</t>
  </si>
  <si>
    <t>2022-03-08T09:04:57.403008+00:00</t>
  </si>
  <si>
    <t>https://bellingcat-archive.nyc3.cdn.digitaloceanspaces.com/Ukraine_Witness_Datasheet/Worksheet/telegram__livekharkov_279932022-03-08T09:04:44.265937.png</t>
  </si>
  <si>
    <t>4726735fa320b1acdc8b408dc4abe6e66e5f7c9af7752db2131641112d00b9ac</t>
  </si>
  <si>
    <t>2022-02-28T11:48:55+00:00</t>
  </si>
  <si>
    <t>https://t.me/kharkov_now/10305</t>
  </si>
  <si>
    <t>Smerch rocket embedded in the ground on playground</t>
  </si>
  <si>
    <t>UW1689</t>
  </si>
  <si>
    <t>https://bellingcat-archive.nyc3.cdn.digitaloceanspaces.com/Ukraine_Witness_Datasheet/Worksheet/telegram_53f66f1ed5.mp4</t>
  </si>
  <si>
    <t>2022-03-08T09:05:55.939083+00:00</t>
  </si>
  <si>
    <t>https://bellingcat-archive.nyc3.cdn.digitaloceanspaces.com/Ukraine_Witness_Datasheet/Worksheet/telegram__kharkov_now_103052022-03-08T09:04:58.006558.png</t>
  </si>
  <si>
    <t>4e082859d1159d4255b57ff3c3635c02c8e09840ab55a48a6b49176db854b540</t>
  </si>
  <si>
    <t>https://bellingcat-archive.nyc3.cdn.digitaloceanspaces.com/Ukraine_Witness_Datasheet/Worksheet/telegram_53f66f1ed5/index.html</t>
  </si>
  <si>
    <t>2022-02-28T17:44:57+00:00</t>
  </si>
  <si>
    <t>UW1690</t>
  </si>
  <si>
    <t>wayback: wayback: wayback: wayback: Internet Archive fallback</t>
  </si>
  <si>
    <t>2022-03-08T09:06:03.912225+00:00</t>
  </si>
  <si>
    <t>https://twitter.com/ukrainenewstop/status/1498291251539591169</t>
  </si>
  <si>
    <t>Smerch rocket embedded in the sidewalk</t>
  </si>
  <si>
    <t>White and green small structure seen at the beginning of video viewed using google streetview. Also visible the big orange/reddish building around 2/3 of the video.</t>
  </si>
  <si>
    <t>MLRS Smerch</t>
  </si>
  <si>
    <t>UW1691</t>
  </si>
  <si>
    <t>https://bellingcat-archive.nyc3.cdn.digitaloceanspaces.com/Ukraine_Witness_Datasheet/Worksheet/youtube_dl_1498291251539591169.mp4</t>
  </si>
  <si>
    <t>2022-03-08T09:06:19.999153+00:00</t>
  </si>
  <si>
    <t>https://bellingcat-archive.nyc3.cdn.digitaloceanspaces.com/Ukraine_Witness_Datasheet/Worksheet/youtube_dl__ukrainenewstop_status_14982912515395911692022-03-08T09:06:06.671016.png</t>
  </si>
  <si>
    <t>30a02411550c5d11e97e1fa5a92cedd5137c298fb893ee5d324f1f85b8068b68</t>
  </si>
  <si>
    <t>https://bellingcat-archive.nyc3.cdn.digitaloceanspaces.com/Ukraine_Witness_Datasheet/Worksheet/youtube_dl_1498291251539591169/index.html</t>
  </si>
  <si>
    <t>Украина Новости / Ukraine War - ‼️ ‼️ ‼️Похоже, #обстрел #Харькова вёлся не только из 122-мм #РСЗО БМ-21 «#Град» но и посредством 220-мм РСЗО 9К57 «#Ураган» и 300-мм 9К58 «#Смерч».  То есть, задействована была вся группа РСЗО российских оккупационных войск под #Харьковом.  #Харьків #Харьков #Харькове #Kharkiv</t>
  </si>
  <si>
    <t>2022-02-28T13:37:25+00:00</t>
  </si>
  <si>
    <t>https://twitter.com/UAWeapons/status/1498233481213751299?s=20&amp;t=aAsF3wLtOmuVJWrXQTxwHA</t>
  </si>
  <si>
    <t xml:space="preserve">Intact FAB-500 M-62 dumb bomb on the ground </t>
  </si>
  <si>
    <t>FAB-500 M-62</t>
  </si>
  <si>
    <t>UW1692</t>
  </si>
  <si>
    <t>https://bellingcat-archive.nyc3.cdn.digitaloceanspaces.com/Ukraine_Witness_Datasheet/Worksheet/twitter__UAWeapons_status_1498233481213751299.html</t>
  </si>
  <si>
    <t>2022-03-08T09:06:31.062995+00:00</t>
  </si>
  <si>
    <t>https://bellingcat-archive.nyc3.cdn.digitaloceanspaces.com/Ukraine_Witness_Datasheet/Worksheet/twitter__UAWeapons_status_14982334812137512992022-03-08T09:06:22.120451.png</t>
  </si>
  <si>
    <t>a9402f74a777303e73c5e3b2268622382b19bd1292516161afba923c3918641d</t>
  </si>
  <si>
    <t>2022-02-28T09:47:52+00:00</t>
  </si>
  <si>
    <t>https://twitter.com/2022Kharkiv/status/1498325168095125504</t>
  </si>
  <si>
    <t>Smerch rocket embedded in the sidewalk in Saltovka near "ATB"</t>
  </si>
  <si>
    <t>Visible the ATB supermarket with the cream coloured columns in front. Also visible the orange residential building just behind it.</t>
  </si>
  <si>
    <t>UW1693</t>
  </si>
  <si>
    <t>https://bellingcat-archive.nyc3.cdn.digitaloceanspaces.com/Ukraine_Witness_Datasheet/Worksheet/youtube_dl_1498325168095125504.mp4</t>
  </si>
  <si>
    <t>2022-03-08T09:06:45.259362+00:00</t>
  </si>
  <si>
    <t>https://bellingcat-archive.nyc3.cdn.digitaloceanspaces.com/Ukraine_Witness_Datasheet/Worksheet/youtube_dl__2022Kharkiv_status_14983251680951255042022-03-08T09:06:33.722923.png</t>
  </si>
  <si>
    <t>5062799f90613cccb0075609631e4db6a52f952be3bad9ee682810029527b528</t>
  </si>
  <si>
    <t>https://bellingcat-archive.nyc3.cdn.digitaloceanspaces.com/Ukraine_Witness_Datasheet/Worksheet/youtube_dl_1498325168095125504/index.html</t>
  </si>
  <si>
    <t>Conflict In Kharkiv - 9M55K at Saltovka near "ATB" in #Kharkiv from this morning, 28.2.22  From h_saltovka Telegram</t>
  </si>
  <si>
    <t>2022-02-28T15:52:12+00:00</t>
  </si>
  <si>
    <t>https://twitter.com/2022Kharkiv/status/1498310299216007168?s=20&amp;t=aAsF3wLtOmuVJWrXQTxwHA</t>
  </si>
  <si>
    <t>UW1694</t>
  </si>
  <si>
    <t>https://bellingcat-archive.nyc3.cdn.digitaloceanspaces.com/Ukraine_Witness_Datasheet/Worksheet/twitter__2022Kharkiv_status_1498310299216007168.html</t>
  </si>
  <si>
    <t>2022-03-08T09:06:56.831821+00:00</t>
  </si>
  <si>
    <t>https://bellingcat-archive.nyc3.cdn.digitaloceanspaces.com/Ukraine_Witness_Datasheet/Worksheet/twitter__2022Kharkiv_status_14983102992160071682022-03-08T09:06:47.664186.png</t>
  </si>
  <si>
    <t>db9d73c7e0a401a0eb003fdb183b066ff2d9076f44cdb268dea2fcd3141b304b</t>
  </si>
  <si>
    <t>2022-02-28T14:53:07+00:00</t>
  </si>
  <si>
    <t>https://twitter.com/2022Kharkiv/status/1498321124345716739</t>
  </si>
  <si>
    <t>Two boys posing next to partially intact Smerch rocket in Saltovka</t>
  </si>
  <si>
    <t>UW1695</t>
  </si>
  <si>
    <t>https://bellingcat-archive.nyc3.cdn.digitaloceanspaces.com/Ukraine_Witness_Datasheet/Worksheet/twitter__2022Kharkiv_status_1498321124345716739.html</t>
  </si>
  <si>
    <t>2022-03-08T09:07:09.247674+00:00</t>
  </si>
  <si>
    <t>https://bellingcat-archive.nyc3.cdn.digitaloceanspaces.com/Ukraine_Witness_Datasheet/Worksheet/twitter__2022Kharkiv_status_14983211243457167392022-03-08T09:06:59.121962.png</t>
  </si>
  <si>
    <t>967805771166e1db9115b09d7d5185d336ab0cb25799f1471a339268aea7d93a</t>
  </si>
  <si>
    <t>2022-02-28T15:36:08+00:00</t>
  </si>
  <si>
    <t>https://t.me/livekharkov/28160</t>
  </si>
  <si>
    <t>Partially intact Smerch rocket embedded in the street</t>
  </si>
  <si>
    <t>UW1696</t>
  </si>
  <si>
    <t>https://bellingcat-archive.nyc3.cdn.digitaloceanspaces.com/Ukraine_Witness_Datasheet/Worksheet/telegram__livekharkov_28160.html</t>
  </si>
  <si>
    <t>2022-03-08T09:07:19.986090+00:00</t>
  </si>
  <si>
    <t>https://bellingcat-archive.nyc3.cdn.digitaloceanspaces.com/Ukraine_Witness_Datasheet/Worksheet/telegram__livekharkov_281602022-03-08T09:07:09.977223.png</t>
  </si>
  <si>
    <t>aa7fe1cf3b9e81a05d12e36c56e59e01f90596edcf4512c4aa950a2566e2c2f8</t>
  </si>
  <si>
    <t>2022-03-01T04:44:30+00:00</t>
  </si>
  <si>
    <t>https://twitter.com/EliotHiggins/status/1498714546307014658?s=20&amp;t=46-4eAaha4EOm49d56wbsg</t>
  </si>
  <si>
    <t>3B30 submunitions on the street (location is in Eliots thread)</t>
  </si>
  <si>
    <t>Chornomorske</t>
  </si>
  <si>
    <t>3B30</t>
  </si>
  <si>
    <t>UW1697</t>
  </si>
  <si>
    <t>https://bellingcat-archive.nyc3.cdn.digitaloceanspaces.com/Ukraine_Witness_Datasheet/Worksheet/twitter__EliotHiggins_status_1498714546307014658.html</t>
  </si>
  <si>
    <t>2022-03-08T09:07:32.061703+00:00</t>
  </si>
  <si>
    <t>https://bellingcat-archive.nyc3.cdn.digitaloceanspaces.com/Ukraine_Witness_Datasheet/Worksheet/twitter__EliotHiggins_status_14987145463070146582022-03-08T09:07:22.897522.png</t>
  </si>
  <si>
    <t>cdd0a8db249786a3bf2267c5bc090ae135f7aed8089620a5863d7b864d25364f</t>
  </si>
  <si>
    <t>2022-03-01T17:39:27+00:00</t>
  </si>
  <si>
    <t>https://twitter.com/GirkinGirkin/status/1498637870415888394?s=20&amp;t=rq4Qe4YpvRjFh9OsUnLssg</t>
  </si>
  <si>
    <t>Partially intact Tochka rocket on roof</t>
  </si>
  <si>
    <t>UW1698</t>
  </si>
  <si>
    <t>https://bellingcat-archive.nyc3.cdn.digitaloceanspaces.com/Ukraine_Witness_Datasheet/Worksheet/twitter__GirkinGirkin_status_1498637870415888394.html</t>
  </si>
  <si>
    <t>2022-03-08T09:07:43.494372+00:00</t>
  </si>
  <si>
    <t>https://bellingcat-archive.nyc3.cdn.digitaloceanspaces.com/Ukraine_Witness_Datasheet/Worksheet/twitter__GirkinGirkin_status_14986378704158883942022-03-08T09:07:34.451195.png</t>
  </si>
  <si>
    <t>06d96479b8655843290c36dbd6462c6cafc1dfffd583d00de2bae3b7115a6c10</t>
  </si>
  <si>
    <t>2022-03-01T12:34:46+00:00</t>
  </si>
  <si>
    <t>https://twitter.com/aldin_ww/status/1498728726066081792?s=20&amp;t=rq4Qe4YpvRjFh9OsUnLssg</t>
  </si>
  <si>
    <t>Same as above but maybe easier to locate - A</t>
  </si>
  <si>
    <t>UW1699</t>
  </si>
  <si>
    <t>2022-03-08T09:07:55.366917+00:00</t>
  </si>
  <si>
    <t>https://bellingcat-archive.nyc3.cdn.digitaloceanspaces.com/Ukraine_Witness_Datasheet/Worksheet/twitter__aldin_ww_status_14987287260660817922022-03-08T09:07:46.161563.png</t>
  </si>
  <si>
    <t>75766ba19b0c7d0a11f659fb8f6f3696f4536bf67ff2750ef4315966ca9b55d5</t>
  </si>
  <si>
    <t>https://twitter.com/ua_industrial/status/1499439701152907265?s=20&amp;t=zmjLEMnXd2HiLwb7hVzwBw</t>
  </si>
  <si>
    <t>UW1700</t>
  </si>
  <si>
    <t>2022-03-08T09:08:08.132701+00:00</t>
  </si>
  <si>
    <t>https://bellingcat-archive.nyc3.cdn.digitaloceanspaces.com/Ukraine_Witness_Datasheet/Worksheet/twitter__ua_industrial_status_14994397011529072652022-03-08T09:07:58.901388.png</t>
  </si>
  <si>
    <t>4d3115e5c4c8ebc4423afd1a781a4c4ace9874120b20dfb50f97973250d0414b</t>
  </si>
  <si>
    <t>https://t.me/truexanewsua/27445</t>
  </si>
  <si>
    <t>UW1701</t>
  </si>
  <si>
    <t>https://bellingcat-archive.nyc3.cdn.digitaloceanspaces.com/Ukraine_Witness_Datasheet/Worksheet/telegram__truexanewsua_27445.html</t>
  </si>
  <si>
    <t>2022-03-08T09:08:19.157968+00:00</t>
  </si>
  <si>
    <t>https://bellingcat-archive.nyc3.cdn.digitaloceanspaces.com/Ukraine_Witness_Datasheet/Worksheet/telegram__truexanewsua_274452022-03-08T09:08:08.783063.png</t>
  </si>
  <si>
    <t>50c13bb22af1373b3077d8666855579f7a2082c27c71cc070307a39aedadb13f</t>
  </si>
  <si>
    <t>2022-03-02T07:14:52+00:00</t>
  </si>
  <si>
    <t>https://t.me/livekharkov/28747</t>
  </si>
  <si>
    <t>Intact Smerch rocket embedded in playground</t>
  </si>
  <si>
    <t>UW1702</t>
  </si>
  <si>
    <t>https://bellingcat-archive.nyc3.cdn.digitaloceanspaces.com/Ukraine_Witness_Datasheet/Worksheet/telegram__livekharkov_28747.html</t>
  </si>
  <si>
    <t>2022-03-08T09:08:27.598670+00:00</t>
  </si>
  <si>
    <t>https://bellingcat-archive.nyc3.cdn.digitaloceanspaces.com/Ukraine_Witness_Datasheet/Worksheet/telegram__livekharkov_287472022-03-08T09:08:19.823742.png</t>
  </si>
  <si>
    <t>0c6665ad73b6f01d2e6eb90e8f06224e835fd9a7cd35c4723ce46fa96a5c6d6a</t>
  </si>
  <si>
    <t>2022-03-03T14:22:02+00:00</t>
  </si>
  <si>
    <t>https://dn.depo.ua/ukr/dn/rosiya-nakrila-smerchem-avdiivku-202203021430808</t>
  </si>
  <si>
    <t>Avdiivka</t>
  </si>
  <si>
    <t>UW1703</t>
  </si>
  <si>
    <t>wayback: Internet Archive failed: {'status': 'error', 'duration_sec': 4.745, 'status_ext': 'error:unknown', 'message': 'Unknown error for chrome-error://chromewebdata/ (HTTP status=0).', 'resources': [], 'job_id': 'spn2-b633104be138451b8c83e340a0b702e5155fa988-bb65c3b3'}</t>
  </si>
  <si>
    <t>2022-03-08T09:08:41.874357+00:00</t>
  </si>
  <si>
    <t>https://twitter.com/2022Kharkiv/status/1499406991978115072?s=20&amp;t=zmjLEMnXd2HiLwb7hVzwBw</t>
  </si>
  <si>
    <t>Source provides coords but doesn't seem to match up (50°01'16.5"N 36°20'21.6"E)</t>
  </si>
  <si>
    <t>UW1704</t>
  </si>
  <si>
    <t>https://bellingcat-archive.nyc3.cdn.digitaloceanspaces.com/Ukraine_Witness_Datasheet/Worksheet/youtube_dl_AFMeF2GJB34.webm</t>
  </si>
  <si>
    <t>2022-03-08T09:09:23.251644+00:00</t>
  </si>
  <si>
    <t>https://bellingcat-archive.nyc3.cdn.digitaloceanspaces.com/Ukraine_Witness_Datasheet/Worksheet/youtube_dl__2022Kharkiv_status_14994069919781150722022-03-08T09:08:50.215246.png</t>
  </si>
  <si>
    <t>42850269d77d66b5454a913ba3275e59153c34d866601c40b3ec7256077055e1</t>
  </si>
  <si>
    <t>https://bellingcat-archive.nyc3.cdn.digitaloceanspaces.com/Ukraine_Witness_Datasheet/Worksheet/youtube_dl_AFMeF2GJB34/index.html</t>
  </si>
  <si>
    <t>Попадание несущей части ракеты РСЗО Смерч в Харькове,на Салтовке,дом 32А по ул.Героев Труда,27.02.22</t>
  </si>
  <si>
    <t>https://twitter.com/ua_zinkoviy/status/1499078357903982599</t>
  </si>
  <si>
    <t xml:space="preserve">Submunition cage and possible partially destroyed Tochka </t>
  </si>
  <si>
    <t>UW1705</t>
  </si>
  <si>
    <t>https://bellingcat-archive.nyc3.cdn.digitaloceanspaces.com/Ukraine_Witness_Datasheet/Worksheet/twitter__ua_zinkoviy_status_1499078357903982599.html</t>
  </si>
  <si>
    <t>2022-03-08T09:09:35.450786+00:00</t>
  </si>
  <si>
    <t>https://bellingcat-archive.nyc3.cdn.digitaloceanspaces.com/Ukraine_Witness_Datasheet/Worksheet/twitter__ua_zinkoviy_status_14990783579039825992022-03-08T09:09:26.685159.png</t>
  </si>
  <si>
    <t>6581b9b90cff8c9f6dfd192ddf4eb5d1d994c05b8ecb0030171cae9b45063d80</t>
  </si>
  <si>
    <t>2022-03-02T17:45:06+00:00</t>
  </si>
  <si>
    <t>https://t.me/truexanewsua/27768</t>
  </si>
  <si>
    <t>Visible the Monument to Peter Gulak-Artemovskiy</t>
  </si>
  <si>
    <t>UW1706</t>
  </si>
  <si>
    <t>https://bellingcat-archive.nyc3.cdn.digitaloceanspaces.com/Ukraine_Witness_Datasheet/Worksheet/telegram__truexanewsua_27768.html</t>
  </si>
  <si>
    <t>2022-03-08T09:09:44.524857+00:00</t>
  </si>
  <si>
    <t>https://bellingcat-archive.nyc3.cdn.digitaloceanspaces.com/Ukraine_Witness_Datasheet/Worksheet/telegram__truexanewsua_277682022-03-08T09:09:36.660363.png</t>
  </si>
  <si>
    <t>f6f87c48c9508d19876ef7010255d5dae877a3f6e4bf7cf01ef4017f99aa017a</t>
  </si>
  <si>
    <t>2022-03-02T12:39:46+00:00</t>
  </si>
  <si>
    <t>https://twitter.com/VolodymyrAriev/status/1499407410146033676?s=20&amp;t=0KsL4jqcBtj7wPRFqYMmkQ</t>
  </si>
  <si>
    <t>Partially destroyed missile on the street</t>
  </si>
  <si>
    <t>Bus stop and raised train tracks visible and match</t>
  </si>
  <si>
    <t>3M54-1</t>
  </si>
  <si>
    <t>UW1707</t>
  </si>
  <si>
    <t>https://bellingcat-archive.nyc3.cdn.digitaloceanspaces.com/Ukraine_Witness_Datasheet/Worksheet/twitter__VolodymyrAriev_status_1499407410146033676.html</t>
  </si>
  <si>
    <t>2022-03-08T09:09:56.133690+00:00</t>
  </si>
  <si>
    <t>https://bellingcat-archive.nyc3.cdn.digitaloceanspaces.com/Ukraine_Witness_Datasheet/Worksheet/twitter__VolodymyrAriev_status_14994074101460336762022-03-08T09:09:46.670093.png</t>
  </si>
  <si>
    <t>a2b136c196ad82c1af6b32fa522c49c48f8a48440b387a9cc0f8cb7b74f42377</t>
  </si>
  <si>
    <t>2022-03-03T15:32:38+00:00</t>
  </si>
  <si>
    <t>50.025977</t>
  </si>
  <si>
    <t>36.341683</t>
  </si>
  <si>
    <t>https://t.me/truexanewsua/28689</t>
  </si>
  <si>
    <t>Rocket motor for MLRS launched cluster munitions on the street in Kharkiv</t>
  </si>
  <si>
    <t>UW1708</t>
  </si>
  <si>
    <t>https://bellingcat-archive.nyc3.cdn.digitaloceanspaces.com/Ukraine_Witness_Datasheet/Worksheet/telegram__truexanewsua_28689.html</t>
  </si>
  <si>
    <t>2022-03-08T09:10:08.344751+00:00</t>
  </si>
  <si>
    <t>https://bellingcat-archive.nyc3.cdn.digitaloceanspaces.com/Ukraine_Witness_Datasheet/Worksheet/telegram__truexanewsua_286892022-03-08T09:09:56.789135.png</t>
  </si>
  <si>
    <t>f78fe9b759b2aea9d447d9af7be659d65acce612a92b0cb3715e5f8969100f2b</t>
  </si>
  <si>
    <t>2022-03-03T12:58:56+00:00</t>
  </si>
  <si>
    <t>50.026061</t>
  </si>
  <si>
    <t>36.240783</t>
  </si>
  <si>
    <t>https://t.me/truexanewsua/28701</t>
  </si>
  <si>
    <t>Rocket motor for munitions in park path in Kharkiv</t>
  </si>
  <si>
    <t>UW1709</t>
  </si>
  <si>
    <t>https://bellingcat-archive.nyc3.cdn.digitaloceanspaces.com/Ukraine_Witness_Datasheet/Worksheet/telegram_1f1c462aa3.mp4</t>
  </si>
  <si>
    <t>2022-03-08T09:10:32.207073+00:00</t>
  </si>
  <si>
    <t>https://bellingcat-archive.nyc3.cdn.digitaloceanspaces.com/Ukraine_Witness_Datasheet/Worksheet/telegram__truexanewsua_287012022-03-08T09:10:09.042937.png</t>
  </si>
  <si>
    <t>e29fa6c232c961779fd7c159c68ab4f4fb5e234df175f05c9ee202586ec57f70</t>
  </si>
  <si>
    <t>https://bellingcat-archive.nyc3.cdn.digitaloceanspaces.com/Ukraine_Witness_Datasheet/Worksheet/telegram_1f1c462aa3/index.html</t>
  </si>
  <si>
    <t>2022-03-03T13:09:25+00:00</t>
  </si>
  <si>
    <t>https://twitter.com/no_itsmyturn/status/1498900283010822147?s=20&amp;t=zmjLEMnXd2HiLwb7hVzwBw</t>
  </si>
  <si>
    <t>Unidentified rocket embedded in the ground</t>
  </si>
  <si>
    <t>UW1710</t>
  </si>
  <si>
    <t>https://bellingcat-archive.nyc3.cdn.digitaloceanspaces.com/Ukraine_Witness_Datasheet/Worksheet/youtube_dl_1498900283010822147.mp4</t>
  </si>
  <si>
    <t>2022-03-08T09:10:48.748990+00:00</t>
  </si>
  <si>
    <t>https://bellingcat-archive.nyc3.cdn.digitaloceanspaces.com/Ukraine_Witness_Datasheet/Worksheet/youtube_dl__no_itsmyturn_status_14989002830108221472022-03-08T09:10:34.883694.png</t>
  </si>
  <si>
    <t>8ad77f0e847f1bf60f6986fb9db62d233ee3d2afa4d2cae5994a62290f0d2781</t>
  </si>
  <si>
    <t>https://bellingcat-archive.nyc3.cdn.digitaloceanspaces.com/Ukraine_Witness_Datasheet/Worksheet/youtube_dl_1498900283010822147/index.html</t>
  </si>
  <si>
    <t>Aleph א #IStandWithUkraine 🇺🇦 - Aftermath of Russian 122mm MLRS attack,  Kharkiv #Ukraine 🇺🇦</t>
  </si>
  <si>
    <t>2022-03-02T05:57:30+00:00</t>
  </si>
  <si>
    <t>UW1711</t>
  </si>
  <si>
    <t>2022-03-08T09:10:59.384185+00:00</t>
  </si>
  <si>
    <t>https://bellingcat-archive.nyc3.cdn.digitaloceanspaces.com/Ukraine_Witness_Datasheet/Worksheet/telegram__truexanewsua_274452022-03-08T09:10:49.568914.png</t>
  </si>
  <si>
    <t>f54a545bcc48f49aa893356d3d750d8e15e7cfdf8752dff6e5ab007790e8956d</t>
  </si>
  <si>
    <t>https://twitter.com/no_itsmyturn/status/1499660141951602688?s=21</t>
  </si>
  <si>
    <t>3B30 submunition on the ground</t>
  </si>
  <si>
    <t>UW1712</t>
  </si>
  <si>
    <t>https://bellingcat-archive.nyc3.cdn.digitaloceanspaces.com/Ukraine_Witness_Datasheet/Worksheet/twitter__no_itsmyturn_status_1499660141951602688.html</t>
  </si>
  <si>
    <t>2022-03-08T09:11:11.878277+00:00</t>
  </si>
  <si>
    <t>https://bellingcat-archive.nyc3.cdn.digitaloceanspaces.com/Ukraine_Witness_Datasheet/Worksheet/twitter__no_itsmyturn_status_14996601419516026882022-03-08T09:11:02.043188.png</t>
  </si>
  <si>
    <t>bf6e723fad9a5057d68fca6d255a2a7d69262aa79b1cc4c3896f0760844ac62c</t>
  </si>
  <si>
    <t>2022-03-04T08:16:54+00:00</t>
  </si>
  <si>
    <t>https://t.me/pavlokyrylenko_donoda/2500</t>
  </si>
  <si>
    <t>Partially destroyed 9M54</t>
  </si>
  <si>
    <t>Pokrova</t>
  </si>
  <si>
    <t>9M54</t>
  </si>
  <si>
    <t>UW1713</t>
  </si>
  <si>
    <t>https://bellingcat-archive.nyc3.cdn.digitaloceanspaces.com/Ukraine_Witness_Datasheet/Worksheet/telegram__pavlokyrylenko_donoda_2500.html</t>
  </si>
  <si>
    <t>2022-03-08T09:11:24.945120+00:00</t>
  </si>
  <si>
    <t>https://bellingcat-archive.nyc3.cdn.digitaloceanspaces.com/Ukraine_Witness_Datasheet/Worksheet/telegram__pavlokyrylenko_donoda_25002022-03-08T09:11:12.532733.png</t>
  </si>
  <si>
    <t>784613784a54656dc40ce46ac688748f029aa1e2b2d4015e5ad4a60594a853b5</t>
  </si>
  <si>
    <t>2022-03-04T08:37:56+00:00</t>
  </si>
  <si>
    <t>https://t.me/c/1347456995/39609</t>
  </si>
  <si>
    <t>Unidentified fragment embedded in the ground</t>
  </si>
  <si>
    <t>UW1714</t>
  </si>
  <si>
    <t>https://web.archive.org/web/20220308091135/https://t.me/c/1347456995/39609</t>
  </si>
  <si>
    <t>2022-03-08T09:13:17.607767+00:00</t>
  </si>
  <si>
    <t>https://bellingcat-archive.nyc3.cdn.digitaloceanspaces.com/Ukraine_Witness_Datasheet/Worksheet/wayback__c_1347456995_396092022-03-08T09:13:07.908486.png</t>
  </si>
  <si>
    <t>https://t.me/livekharkov/28878</t>
  </si>
  <si>
    <t>Intact FAB-500 M-62 dumb bomb carried by fire fighters</t>
  </si>
  <si>
    <t>Fab-500</t>
  </si>
  <si>
    <t>UW1715</t>
  </si>
  <si>
    <t>https://bellingcat-archive.nyc3.cdn.digitaloceanspaces.com/Ukraine_Witness_Datasheet/Worksheet/telegram__livekharkov_28878.html</t>
  </si>
  <si>
    <t>2022-03-08T09:13:30.565538+00:00</t>
  </si>
  <si>
    <t>https://bellingcat-archive.nyc3.cdn.digitaloceanspaces.com/Ukraine_Witness_Datasheet/Worksheet/telegram__livekharkov_288782022-03-08T09:13:18.219534.png</t>
  </si>
  <si>
    <t>ab980a3cece5a91932bce5587566fbfd835889f5665a3bdbc3ab4e92c0f8dddb</t>
  </si>
  <si>
    <t>2022-03-04T15:48:57+00:00</t>
  </si>
  <si>
    <t>UW1716</t>
  </si>
  <si>
    <t>2022-03-08T09:13:49.265960+00:00</t>
  </si>
  <si>
    <t>https://bellingcat-archive.nyc3.cdn.digitaloceanspaces.com/Ukraine_Witness_Datasheet/Worksheet/telegram__livekharkov_288782022-03-08T09:13:31.258708.png</t>
  </si>
  <si>
    <t>09a0ccec9099ba4f2fbc8683aa742a665917398f4008950c4272633bce44ffe4</t>
  </si>
  <si>
    <t>2022-03-04T15:48:58+00:00</t>
  </si>
  <si>
    <t>UW1717</t>
  </si>
  <si>
    <t>2022-03-08T09:14:10.050068+00:00</t>
  </si>
  <si>
    <t>https://bellingcat-archive.nyc3.cdn.digitaloceanspaces.com/Ukraine_Witness_Datasheet/Worksheet/telegram__livekharkov_288782022-03-08T09:13:49.927674.png</t>
  </si>
  <si>
    <t>9341c90b1fae8acfb56c630de685d35965bee5afac39bfa9f242b1a1db9b072c</t>
  </si>
  <si>
    <t>https://t.me/dsns_telegram/4258</t>
  </si>
  <si>
    <t>UW1718</t>
  </si>
  <si>
    <t>https://bellingcat-archive.nyc3.cdn.digitaloceanspaces.com/Ukraine_Witness_Datasheet/Worksheet/telegram__dsns_telegram_4258.html</t>
  </si>
  <si>
    <t>2022-03-08T09:14:30.101407+00:00</t>
  </si>
  <si>
    <t>https://bellingcat-archive.nyc3.cdn.digitaloceanspaces.com/Ukraine_Witness_Datasheet/Worksheet/telegram__dsns_telegram_42582022-03-08T09:14:10.755795.png</t>
  </si>
  <si>
    <t>83552ae8f3dffdb11dfd996a355132eee2bfdae0ba778ccebbb7c5eb5b88874f</t>
  </si>
  <si>
    <t>2022-03-04T14:48:25+00:00</t>
  </si>
  <si>
    <t>https://twitter.com/nexta_tv/status/1499761410359844864</t>
  </si>
  <si>
    <t>Submunition cage lying on the ground</t>
  </si>
  <si>
    <t>UW1719</t>
  </si>
  <si>
    <t>https://bellingcat-archive.nyc3.cdn.digitaloceanspaces.com/Ukraine_Witness_Datasheet/Worksheet/twitter__nexta_tv_status_1499761410359844864.html</t>
  </si>
  <si>
    <t>2022-03-08T09:14:41.393496+00:00</t>
  </si>
  <si>
    <t>https://bellingcat-archive.nyc3.cdn.digitaloceanspaces.com/Ukraine_Witness_Datasheet/Worksheet/twitter__nexta_tv_status_14997614103598448642022-03-08T09:14:32.462327.png</t>
  </si>
  <si>
    <t>f6ed359b7d1660c555f88a2bdd0f541b0e956f7268edd2e81aadb412a4e29c69</t>
  </si>
  <si>
    <t>2022-03-04T14:59:19+00:00</t>
  </si>
  <si>
    <t>https://t.me/truexanewsua/29389</t>
  </si>
  <si>
    <t>UW1720</t>
  </si>
  <si>
    <t>https://bellingcat-archive.nyc3.cdn.digitaloceanspaces.com/Ukraine_Witness_Datasheet/Worksheet/telegram__truexanewsua_29389.html</t>
  </si>
  <si>
    <t>2022-03-08T09:14:54.341225+00:00</t>
  </si>
  <si>
    <t>https://bellingcat-archive.nyc3.cdn.digitaloceanspaces.com/Ukraine_Witness_Datasheet/Worksheet/telegram__truexanewsua_293892022-03-08T09:14:42.092333.png</t>
  </si>
  <si>
    <t>151abfebb98525e5209bcef9dafcd2bea48c0070d5022ac721a745aeaf7a88df</t>
  </si>
  <si>
    <t>2022-03-04T14:23:42+00:00</t>
  </si>
  <si>
    <t>https://twitter.com/michaelh992/status/1499984263441264645</t>
  </si>
  <si>
    <t>Multiple locations, Smerch rockets embedded in the ground</t>
  </si>
  <si>
    <t>UW1721</t>
  </si>
  <si>
    <t>https://bellingcat-archive.nyc3.cdn.digitaloceanspaces.com/Ukraine_Witness_Datasheet/Worksheet/twitter__michaelh992_status_1499984263441264645.html</t>
  </si>
  <si>
    <t>2022-03-08T09:15:06.860274+00:00</t>
  </si>
  <si>
    <t>https://bellingcat-archive.nyc3.cdn.digitaloceanspaces.com/Ukraine_Witness_Datasheet/Worksheet/twitter__michaelh992_status_14999842634412646452022-03-08T09:14:56.924484.png</t>
  </si>
  <si>
    <t>65968dc1d582423f8d0d352057a525a5f46f9e7cdf803b0f4d8b6d53ddea7625</t>
  </si>
  <si>
    <t>2022-03-05T05:44:51+00:00</t>
  </si>
  <si>
    <t>https://twitter.com/war_noir/status/1500126127318253570?s=20&amp;t=BXEN4u9iVDiMQ-HbgW8N6A</t>
  </si>
  <si>
    <t>SS-26 Iskander</t>
  </si>
  <si>
    <t>UW1722</t>
  </si>
  <si>
    <t>https://bellingcat-archive.nyc3.cdn.digitaloceanspaces.com/Ukraine_Witness_Datasheet/Worksheet/twitter__war_noir_status_1500126127318253570.html</t>
  </si>
  <si>
    <t>2022-03-08T09:15:19.516186+00:00</t>
  </si>
  <si>
    <t>https://bellingcat-archive.nyc3.cdn.digitaloceanspaces.com/Ukraine_Witness_Datasheet/Worksheet/twitter__war_noir_status_15001261273182535702022-03-08T09:15:09.926434.png</t>
  </si>
  <si>
    <t>67c5e77c1a2fc4920755c6bbbf8b2e27cbb44b5c98ca45a77783324c6d515e1f</t>
  </si>
  <si>
    <t>2022-03-05T15:08:34+00:00</t>
  </si>
  <si>
    <t>https://t.me/nexta_live/19869</t>
  </si>
  <si>
    <t>Intact FAB-500 M-62 dumb bomb in driveway</t>
  </si>
  <si>
    <t>UW1723</t>
  </si>
  <si>
    <t>https://bellingcat-archive.nyc3.cdn.digitaloceanspaces.com/Ukraine_Witness_Datasheet/Worksheet/telegram__nexta_live_19869.html</t>
  </si>
  <si>
    <t>2022-03-08T09:15:33.167770+00:00</t>
  </si>
  <si>
    <t>https://bellingcat-archive.nyc3.cdn.digitaloceanspaces.com/Ukraine_Witness_Datasheet/Worksheet/telegram__nexta_live_198692022-03-08T09:15:20.166473.png</t>
  </si>
  <si>
    <t>bb42bf00759a3c53276e67ca6e670db13926923b0124cdd2f280726726a50f42</t>
  </si>
  <si>
    <t>2022-03-05T11:30:33+00:00</t>
  </si>
  <si>
    <t>UW1724</t>
  </si>
  <si>
    <t>2022-03-08T09:15:47.025781+00:00</t>
  </si>
  <si>
    <t>https://bellingcat-archive.nyc3.cdn.digitaloceanspaces.com/Ukraine_Witness_Datasheet/Worksheet/telegram__nexta_live_198692022-03-08T09:15:33.899739.png</t>
  </si>
  <si>
    <t>1d343fd5158899da3d845de5d2aa1c4746fb743a415efc2bd89721f883750e73</t>
  </si>
  <si>
    <t>https://t.me/livekharkov/29020</t>
  </si>
  <si>
    <t>Smerch rocket inside a destroyed apartment</t>
  </si>
  <si>
    <t>UW1725</t>
  </si>
  <si>
    <t>https://bellingcat-archive.nyc3.cdn.digitaloceanspaces.com/Ukraine_Witness_Datasheet/Worksheet/telegram__livekharkov_29020.html</t>
  </si>
  <si>
    <t>2022-03-08T09:15:57.554620+00:00</t>
  </si>
  <si>
    <t>https://bellingcat-archive.nyc3.cdn.digitaloceanspaces.com/Ukraine_Witness_Datasheet/Worksheet/telegram__livekharkov_290202022-03-08T09:15:47.721774.png</t>
  </si>
  <si>
    <t>7423bac3f9867ab57598724661004ffc3c32af9c7227aa9000b2ea2158cd5e21</t>
  </si>
  <si>
    <t>2022-03-05T15:58:05+00:00</t>
  </si>
  <si>
    <t>https://t.me/livekharkov/28933</t>
  </si>
  <si>
    <t>Rocket inside a destroyed apartment</t>
  </si>
  <si>
    <t>At the beginning of the video it's visible the wording on the building saying "будматеріали".</t>
  </si>
  <si>
    <t>UW1726</t>
  </si>
  <si>
    <t>https://bellingcat-archive.nyc3.cdn.digitaloceanspaces.com/Ukraine_Witness_Datasheet/Worksheet/telegram_d0ebd898bb.mp4</t>
  </si>
  <si>
    <t>2022-03-08T09:16:32.716540+00:00</t>
  </si>
  <si>
    <t>https://bellingcat-archive.nyc3.cdn.digitaloceanspaces.com/Ukraine_Witness_Datasheet/Worksheet/telegram__livekharkov_289332022-03-08T09:15:58.155206.png</t>
  </si>
  <si>
    <t>a5829606e30705a6b686c5885b048d8d79a98b03042b49d74616b021d4eae410</t>
  </si>
  <si>
    <t>https://bellingcat-archive.nyc3.cdn.digitaloceanspaces.com/Ukraine_Witness_Datasheet/Worksheet/telegram_d0ebd898bb/index.html</t>
  </si>
  <si>
    <t>https://twitter.com/go2the5dogs/status/1500173743867449346?s=20&amp;t=g_nOcDYzoXP5uTVxzlbJmg</t>
  </si>
  <si>
    <t>Smerch rocket(s) embedded in the ground</t>
  </si>
  <si>
    <t>Mykolayiv</t>
  </si>
  <si>
    <t>UW1727</t>
  </si>
  <si>
    <t>https://bellingcat-archive.nyc3.cdn.digitaloceanspaces.com/Ukraine_Witness_Datasheet/Worksheet/twitter__go2the5dogs_status_1500173743867449346.html</t>
  </si>
  <si>
    <t>2022-03-08T09:16:44.238529+00:00</t>
  </si>
  <si>
    <t>https://bellingcat-archive.nyc3.cdn.digitaloceanspaces.com/Ukraine_Witness_Datasheet/Worksheet/twitter__go2the5dogs_status_15001737438674493462022-03-08T09:16:34.687957.png</t>
  </si>
  <si>
    <t>e9aa77576b21ebf92408e93a189b74b9ed658d5d2dc775b790024c2af6d40334</t>
  </si>
  <si>
    <t>2022-03-05T18:17:47+00:00</t>
  </si>
  <si>
    <t>https://t.me/PCU_PoliceControlUkraine/13202</t>
  </si>
  <si>
    <t>Partially destroyed Tochka missile</t>
  </si>
  <si>
    <t>Desnyanka</t>
  </si>
  <si>
    <t>I have made pictures comparing the video and the screenshot on google earth, added to the slack channel geo-and-imagery. There are only 3 crossways like the one on the video in this town, this one seem to match the buildings on the left, the gate before the first house (left) and then houses on the right accross from the street. A bit tricky to see but i'm quite sure.</t>
  </si>
  <si>
    <t>UW1728</t>
  </si>
  <si>
    <t>https://bellingcat-archive.nyc3.cdn.digitaloceanspaces.com/Ukraine_Witness_Datasheet/Worksheet/telegram_8beb6a6bbb.mp4</t>
  </si>
  <si>
    <t>2022-03-08T09:17:44.844640+00:00</t>
  </si>
  <si>
    <t>https://bellingcat-archive.nyc3.cdn.digitaloceanspaces.com/Ukraine_Witness_Datasheet/Worksheet/telegram__PCU_PoliceControlUkraine_132022022-03-08T09:16:45.012776.png</t>
  </si>
  <si>
    <t>15e9f0226ddc20f2c02fd0f086c62eea2d59997877e24691bbadb00754d20d51</t>
  </si>
  <si>
    <t>https://bellingcat-archive.nyc3.cdn.digitaloceanspaces.com/Ukraine_Witness_Datasheet/Worksheet/telegram_8beb6a6bbb/index.html</t>
  </si>
  <si>
    <t>2022-03-06T11:41:33+00:00</t>
  </si>
  <si>
    <t>https://t.me/dsns_telegram/4350</t>
  </si>
  <si>
    <t>Duplicate of UW1734 but better view of the house</t>
  </si>
  <si>
    <t>UW1729</t>
  </si>
  <si>
    <t>https://bellingcat-archive.nyc3.cdn.digitaloceanspaces.com/Ukraine_Witness_Datasheet/Worksheet/telegram__dsns_telegram_4350.html</t>
  </si>
  <si>
    <t>2022-03-08T09:17:56.338215+00:00</t>
  </si>
  <si>
    <t>https://bellingcat-archive.nyc3.cdn.digitaloceanspaces.com/Ukraine_Witness_Datasheet/Worksheet/telegram__dsns_telegram_43502022-03-08T09:17:45.555970.png</t>
  </si>
  <si>
    <t>2d755b02667796b171f31ad6b54011d7b39106e5ab3e49d5fa218fdb52fcf482</t>
  </si>
  <si>
    <t>2022-03-06T10:26:43+00:00</t>
  </si>
  <si>
    <t>https://twitter.com/liveuamap/status/1500526849834770433?s=21</t>
  </si>
  <si>
    <t>Intact FAB-500 M-62 dumb bomb</t>
  </si>
  <si>
    <t>Korosten</t>
  </si>
  <si>
    <t>UW1730</t>
  </si>
  <si>
    <t>https://bellingcat-archive.nyc3.cdn.digitaloceanspaces.com/Ukraine_Witness_Datasheet/Worksheet/twitter__liveuamap_status_1500526849834770433.html</t>
  </si>
  <si>
    <t>2022-03-08T09:18:10.422298+00:00</t>
  </si>
  <si>
    <t>https://bellingcat-archive.nyc3.cdn.digitaloceanspaces.com/Ukraine_Witness_Datasheet/Worksheet/twitter__liveuamap_status_15005268498347704332022-03-08T09:18:00.720002.png</t>
  </si>
  <si>
    <t>4e98fdec8bb159d1313995ac86f6ca85f1f5a84f70930270e83b4ce9f00509a0</t>
  </si>
  <si>
    <t>2022-03-06T17:40:54+00:00</t>
  </si>
  <si>
    <t>https://t.me/dsns_telegram/4344</t>
  </si>
  <si>
    <t>UW1731</t>
  </si>
  <si>
    <t>https://bellingcat-archive.nyc3.cdn.digitaloceanspaces.com/Ukraine_Witness_Datasheet/Worksheet/telegram__dsns_telegram_4344.html</t>
  </si>
  <si>
    <t>2022-03-08T09:18:23.360772+00:00</t>
  </si>
  <si>
    <t>https://bellingcat-archive.nyc3.cdn.digitaloceanspaces.com/Ukraine_Witness_Datasheet/Worksheet/telegram__dsns_telegram_43442022-03-08T09:18:11.090602.png</t>
  </si>
  <si>
    <t>e3f3a8ae34c23d29122533aa5508a2a7b613f5b34e8cece1c68bccff4c643f27</t>
  </si>
  <si>
    <t>2022-03-06T08:06:33+00:00</t>
  </si>
  <si>
    <t>https://twitter.com/GirkinGirkin/status/1500727285615312896</t>
  </si>
  <si>
    <t>UW1732</t>
  </si>
  <si>
    <t>https://bellingcat-archive.nyc3.cdn.digitaloceanspaces.com/Ukraine_Witness_Datasheet/Worksheet/youtube_dl_1500727285615312896.mp4</t>
  </si>
  <si>
    <t>2022-03-08T09:18:38.714924+00:00</t>
  </si>
  <si>
    <t>https://bellingcat-archive.nyc3.cdn.digitaloceanspaces.com/Ukraine_Witness_Datasheet/Worksheet/youtube_dl__GirkinGirkin_status_15007272856153128962022-03-08T09:18:25.785846.png</t>
  </si>
  <si>
    <t>ee21ed88379cd119e54fcba5eef3fbe2e103fcbfce0771bb910fb315bb5a4842</t>
  </si>
  <si>
    <t>https://bellingcat-archive.nyc3.cdn.digitaloceanspaces.com/Ukraine_Witness_Datasheet/Worksheet/youtube_dl_1500727285615312896/index.html</t>
  </si>
  <si>
    <t>IgorGirkin - русская армия обстреливает жилые районы кассетными боепрпасами  Николаев</t>
  </si>
  <si>
    <t>2022-03-07T06:57:21+00:00</t>
  </si>
  <si>
    <t>https://twitter.com/gt_lotrz/status/1500731068630061057?s=20&amp;t=VoBlH1R4Hxrw2GGwg-07Eg</t>
  </si>
  <si>
    <t>Rocket Attack hits Nikolaev Zoo</t>
  </si>
  <si>
    <t>Inhulskyi district,</t>
  </si>
  <si>
    <t>Rocket reported to have landed between tiger and polar bear enclosures</t>
  </si>
  <si>
    <t>Smerch MLRS</t>
  </si>
  <si>
    <t>UW1733</t>
  </si>
  <si>
    <t>https://bellingcat-archive.nyc3.cdn.digitaloceanspaces.com/Ukraine_Witness_Datasheet/Worksheet/twitter__gt_lotrz_status_1500731068630061057.html</t>
  </si>
  <si>
    <t>2022-03-08T09:18:50.491282+00:00</t>
  </si>
  <si>
    <t>https://bellingcat-archive.nyc3.cdn.digitaloceanspaces.com/Ukraine_Witness_Datasheet/Worksheet/twitter__gt_lotrz_status_15007310686300610572022-03-08T09:18:41.307238.png</t>
  </si>
  <si>
    <t>0de724ab35cf90b7a39f2ff3b6ffaec1ad1ae2dbae9ba45456994103ecd3c5c4</t>
  </si>
  <si>
    <t>2022-03-07T07:12:23+00:00</t>
  </si>
  <si>
    <t>https://twitter.com/TRTRussian/status/1500723826417618946</t>
  </si>
  <si>
    <t>Multiple Smerch rockets embedded in the ground and burned out car</t>
  </si>
  <si>
    <t>UW1734</t>
  </si>
  <si>
    <t>https://bellingcat-archive.nyc3.cdn.digitaloceanspaces.com/Ukraine_Witness_Datasheet/Worksheet/twitter__TRTRussian_status_1500723826417618946.html</t>
  </si>
  <si>
    <t>2022-03-08T09:19:01.691169+00:00</t>
  </si>
  <si>
    <t>https://bellingcat-archive.nyc3.cdn.digitaloceanspaces.com/Ukraine_Witness_Datasheet/Worksheet/twitter__TRTRussian_status_15007238264176189462022-03-08T09:18:52.957151.png</t>
  </si>
  <si>
    <t>33e7d65f5653df0dd4ea765f089e5c2a4747812d7e8dc40f5263e9ba937c5c5c</t>
  </si>
  <si>
    <t>2022-03-07T06:43:36+00:00</t>
  </si>
  <si>
    <t>https://twitter.com/no_itsmyturn/status/1501095396873023488?s=21</t>
  </si>
  <si>
    <t>Smerch rocket in a private garden</t>
  </si>
  <si>
    <t>UW1735</t>
  </si>
  <si>
    <t>https://bellingcat-archive.nyc3.cdn.digitaloceanspaces.com/Ukraine_Witness_Datasheet/Worksheet/twitter__no_itsmyturn_status_1501095396873023488.html</t>
  </si>
  <si>
    <t>2022-03-08T09:19:13.519720+00:00</t>
  </si>
  <si>
    <t>https://bellingcat-archive.nyc3.cdn.digitaloceanspaces.com/Ukraine_Witness_Datasheet/Worksheet/twitter__no_itsmyturn_status_15010953968730234882022-03-08T09:19:04.141569.png</t>
  </si>
  <si>
    <t>ffeb60b08d2bf7aa471379bd685a884c8c9f8e796cfac43fb9f5a7186e614b36</t>
  </si>
  <si>
    <t>2022-03-08T07:20:06+00:00</t>
  </si>
  <si>
    <t>https://twitter.com/CasusBellii/status/1501109039236882433</t>
  </si>
  <si>
    <t>Russian military convoy passing by Makariv</t>
  </si>
  <si>
    <t>UW1736</t>
  </si>
  <si>
    <t>https://bellingcat-archive.nyc3.cdn.digitaloceanspaces.com/Ukraine_Witness_Datasheet/Worksheet/youtube_dl_1501109039236882433.mp4</t>
  </si>
  <si>
    <t>2022-03-08T09:19:28.253757+00:00</t>
  </si>
  <si>
    <t>https://bellingcat-archive.nyc3.cdn.digitaloceanspaces.com/Ukraine_Witness_Datasheet/Worksheet/youtube_dl__CasusBellii_status_15011090392368824332022-03-08T09:19:16.097938.png</t>
  </si>
  <si>
    <t>152f2844cf44e15d27ebdc5893949b76bdc6ebb97f0c113fe7a2e411fb906cc1</t>
  </si>
  <si>
    <t>https://bellingcat-archive.nyc3.cdn.digitaloceanspaces.com/Ukraine_Witness_Datasheet/Worksheet/youtube_dl_1501109039236882433/index.html</t>
  </si>
  <si>
    <t>Casus Belli - 🇷🇺🇺🇦🚨| Alleged footage published 14 hours ago of a russian convoy (with BUK system) seen in Makariv, Kiyv Oblast.   Seems like Russia will cut the entire western flank of Kiev  The capital is surrounded on Nothern, Western and Eastern fronts</t>
  </si>
  <si>
    <t>2022-03-08T08:14:18+00:00</t>
  </si>
  <si>
    <t>https://twitter.com/no_itsmyturn/status/1500836900105564163</t>
  </si>
  <si>
    <t>Destruction in city center</t>
  </si>
  <si>
    <t>UW1737</t>
  </si>
  <si>
    <t>2022-03-08T09:45:25.514266+00:00</t>
  </si>
  <si>
    <t>https://bellingcat-archive.nyc3.cdn.digitaloceanspaces.com/Ukraine_Witness_Datasheet/Worksheet/youtube_dl__no_itsmyturn_status_15008369001055641632022-03-08T09:45:12.077855.png</t>
  </si>
  <si>
    <t>https://twitter.com/MotolkoHelp/status/1501124369317253121</t>
  </si>
  <si>
    <t>Russian military equipment on the move via train</t>
  </si>
  <si>
    <t>UW1738</t>
  </si>
  <si>
    <t>https://bellingcat-archive.nyc3.cdn.digitaloceanspaces.com/Ukraine_Witness_Datasheet/Worksheet/youtube_dl_1501124369317253121.mp4</t>
  </si>
  <si>
    <t>2022-03-08T10:00:27.577585+00:00</t>
  </si>
  <si>
    <t>https://bellingcat-archive.nyc3.cdn.digitaloceanspaces.com/Ukraine_Witness_Datasheet/Worksheet/youtube_dl__MotolkoHelp_status_15011243693172531212022-03-08T10:00:13.637718.png</t>
  </si>
  <si>
    <t>b81931c4bdf50662a5b9035a7e9392bc3c73309d14adc8986ded966e6c6b66c2</t>
  </si>
  <si>
    <t>https://bellingcat-archive.nyc3.cdn.digitaloceanspaces.com/Ukraine_Witness_Datasheet/Worksheet/youtube_dl_1501124369317253121/index.html</t>
  </si>
  <si>
    <t>MotolkoHelp - 11:25 (Minsk time) A train with equipment of the Russian airborne troops was spotted in Gomel, near the Gomel-Nechetny railway station. 1/2</t>
  </si>
  <si>
    <t>2022-03-08T09:15:13+00:00</t>
  </si>
  <si>
    <t>https://twitter.com/GirkinGirkin/status/1501100807378378755</t>
  </si>
  <si>
    <t>Destruction of entire street of houses</t>
  </si>
  <si>
    <t>Yakovlivka</t>
  </si>
  <si>
    <t>UW1739</t>
  </si>
  <si>
    <t>https://bellingcat-archive.nyc3.cdn.digitaloceanspaces.com/Ukraine_Witness_Datasheet/Worksheet/youtube_dl_1501100807378378755.mp4</t>
  </si>
  <si>
    <t>2022-03-08T10:10:29.254855+00:00</t>
  </si>
  <si>
    <t>https://bellingcat-archive.nyc3.cdn.digitaloceanspaces.com/Ukraine_Witness_Datasheet/Worksheet/youtube_dl__GirkinGirkin_status_15011008073783787552022-03-08T10:10:17.710493.png</t>
  </si>
  <si>
    <t>fbd50d56f16be9166612caf9a75cf16cd0c6608092cf029bb542d82c85b376fd</t>
  </si>
  <si>
    <t>https://bellingcat-archive.nyc3.cdn.digitaloceanspaces.com/Ukraine_Witness_Datasheet/Worksheet/youtube_dl_1501100807378378755/index.html</t>
  </si>
  <si>
    <t>IgorGirkin - русская авиация уничтожила село Яковлевка  Харьковская обл</t>
  </si>
  <si>
    <t>2022-03-08T07:41:36+00:00</t>
  </si>
  <si>
    <t>https://twitter.com/DesiPepe/status/1500757601059237889</t>
  </si>
  <si>
    <t>Aftermath of Russian shelling on Sortirovka</t>
  </si>
  <si>
    <t>Visible the number 22 (different style) on the red building. Geolocation done by Eyran Millis and pass it along to me on LinkedIn.</t>
  </si>
  <si>
    <t>UW1740</t>
  </si>
  <si>
    <t>https://bellingcat-archive.nyc3.cdn.digitaloceanspaces.com/Ukraine_Witness_Datasheet/Worksheet/youtube_dl_1500757601059237889.mp4</t>
  </si>
  <si>
    <t>2022-03-08T10:15:41.046753+00:00</t>
  </si>
  <si>
    <t>https://bellingcat-archive.nyc3.cdn.digitaloceanspaces.com/Ukraine_Witness_Datasheet/Worksheet/youtube_dl__DesiPepe_status_15007576010592378892022-03-08T10:15:19.088254.png</t>
  </si>
  <si>
    <t>ad735ebf3ee7fae13c763a50da0a8ee767a0dcaf753e7841033751e20de71c0c</t>
  </si>
  <si>
    <t>https://bellingcat-archive.nyc3.cdn.digitaloceanspaces.com/Ukraine_Witness_Datasheet/Worksheet/youtube_dl_1500757601059237889/index.html</t>
  </si>
  <si>
    <t>ᕕ( ᐛ )ᕗ - #Ukraine #Kharkiv Aftermath of Russian shelling on Sortirovka, Kharkiv Oblast</t>
  </si>
  <si>
    <t>2022-03-07T08:57:49+00:00</t>
  </si>
  <si>
    <t>https://twitter.com/no_itsmyturn/status/1501132390017732608/photo/2</t>
  </si>
  <si>
    <t>Appartment building on fire after strike</t>
  </si>
  <si>
    <t>UW1741</t>
  </si>
  <si>
    <t>https://bellingcat-archive.nyc3.cdn.digitaloceanspaces.com/Ukraine_Witness_Datasheet/Worksheet/twitter__no_itsmyturn_status_1501132390017732608_photo_2.html</t>
  </si>
  <si>
    <t>2022-03-08T10:30:21.671098+00:00</t>
  </si>
  <si>
    <t>https://bellingcat-archive.nyc3.cdn.digitaloceanspaces.com/Ukraine_Witness_Datasheet/Worksheet/twitter__no_itsmyturn_status_1501132390017732608_photo_22022-03-08T10:30:12.985366.png</t>
  </si>
  <si>
    <t>b9c0d0401ea1fcb26a8ea5a4e59e04ccdfd52beacf1b8f3a2b96f3c1b9e7ac02</t>
  </si>
  <si>
    <t>2022-03-08T09:47:06+00:00</t>
  </si>
  <si>
    <t>https://twitter.com/no_itsmyturn/status/1501132177207136257</t>
  </si>
  <si>
    <t>Damage on both sides of the street after strike</t>
  </si>
  <si>
    <t>UW1742</t>
  </si>
  <si>
    <t>https://bellingcat-archive.nyc3.cdn.digitaloceanspaces.com/Ukraine_Witness_Datasheet/Worksheet/youtube_dl_1501132177207136257.mp4</t>
  </si>
  <si>
    <t>2022-03-08T10:35:26.726587+00:00</t>
  </si>
  <si>
    <t>https://bellingcat-archive.nyc3.cdn.digitaloceanspaces.com/Ukraine_Witness_Datasheet/Worksheet/youtube_dl__no_itsmyturn_status_15011321772071362572022-03-08T10:35:12.740037.png</t>
  </si>
  <si>
    <t>9d4ae33ec1706b77d915753925f796db29ba419d14c88e1022d552c37c50dcc6</t>
  </si>
  <si>
    <t>https://bellingcat-archive.nyc3.cdn.digitaloceanspaces.com/Ukraine_Witness_Datasheet/Worksheet/youtube_dl_1501132177207136257/index.html</t>
  </si>
  <si>
    <t>Aleph א #IStandWithUkraine 🇺🇦 - Aftermath of Russian strikes in Izyum Kharkiv oblast #Ukraine 🇺🇦</t>
  </si>
  <si>
    <t>2022-03-08T09:46:15+00:00</t>
  </si>
  <si>
    <t>https://twitter.com/no_itsmyturn/status/1501132089768529920</t>
  </si>
  <si>
    <t>Damage to shopping street after strike</t>
  </si>
  <si>
    <t>UW1743</t>
  </si>
  <si>
    <t>https://bellingcat-archive.nyc3.cdn.digitaloceanspaces.com/Ukraine_Witness_Datasheet/Worksheet/youtube_dl_1501132089768529920.mp4</t>
  </si>
  <si>
    <t>2022-03-08T10:35:42.576018+00:00</t>
  </si>
  <si>
    <t>https://bellingcat-archive.nyc3.cdn.digitaloceanspaces.com/Ukraine_Witness_Datasheet/Worksheet/youtube_dl__no_itsmyturn_status_15011320897685299202022-03-08T10:35:29.610907.png</t>
  </si>
  <si>
    <t>3ab45f7b573fb4c301da3ecbb17e8f20548b9e4edc862910000e86b6053b82af</t>
  </si>
  <si>
    <t>https://bellingcat-archive.nyc3.cdn.digitaloceanspaces.com/Ukraine_Witness_Datasheet/Worksheet/youtube_dl_1501132089768529920/index.html</t>
  </si>
  <si>
    <t>2022-03-08T09:45:54+00:00</t>
  </si>
  <si>
    <t>https://twitter.com/no_itsmyturn/status/1501121203423125510</t>
  </si>
  <si>
    <t>Widespread damage in city center</t>
  </si>
  <si>
    <t>UW1744</t>
  </si>
  <si>
    <t>https://bellingcat-archive.nyc3.cdn.digitaloceanspaces.com/Ukraine_Witness_Datasheet/Worksheet/youtube_dl_1501121203423125510.mp4</t>
  </si>
  <si>
    <t>2022-03-08T10:40:30.097689+00:00</t>
  </si>
  <si>
    <t>https://bellingcat-archive.nyc3.cdn.digitaloceanspaces.com/Ukraine_Witness_Datasheet/Worksheet/youtube_dl__no_itsmyturn_status_15011212034231255102022-03-08T10:40:16.283658.png</t>
  </si>
  <si>
    <t>ca1ade63255944db311006494f0abee5e79d7bb66d7a3e054d5b6e8eab106f94</t>
  </si>
  <si>
    <t>https://bellingcat-archive.nyc3.cdn.digitaloceanspaces.com/Ukraine_Witness_Datasheet/Worksheet/youtube_dl_1501121203423125510/index.html</t>
  </si>
  <si>
    <t>Aleph א #IStandWithUkraine 🇺🇦 - Aftermath of Russian strikes, Kharkiv, #Ukraine 🇺🇦</t>
  </si>
  <si>
    <t>2022-03-08T09:02:39+00:00</t>
  </si>
  <si>
    <t>https://twitter.com/TheDeadDistrict/status/1501168886871379971</t>
  </si>
  <si>
    <t>UW1745</t>
  </si>
  <si>
    <t>https://bellingcat-archive.nyc3.cdn.digitaloceanspaces.com/Ukraine_Witness_Datasheet/Worksheet/twitter__TheDeadDistrict_status_1501168886871379971.html</t>
  </si>
  <si>
    <t>2022-03-08T12:20:23.088225+00:00</t>
  </si>
  <si>
    <t>https://bellingcat-archive.nyc3.cdn.digitaloceanspaces.com/Ukraine_Witness_Datasheet/Worksheet/twitter__TheDeadDistrict_status_15011688868713799712022-03-08T12:20:14.189401.png</t>
  </si>
  <si>
    <t>4c8129f2e6fd09eae525e45a8523d6c67702e14d8ab237547dc3719413187755</t>
  </si>
  <si>
    <t>2022-03-08T12:12:07+00:00</t>
  </si>
  <si>
    <t>https://twitter.com/ArmedForcesUkr/status/1501162662369103872</t>
  </si>
  <si>
    <t>Civilian car fired on by Russian BMP-2, two killed</t>
  </si>
  <si>
    <t>UW1746</t>
  </si>
  <si>
    <t>https://bellingcat-archive.nyc3.cdn.digitaloceanspaces.com/Ukraine_Witness_Datasheet/Worksheet/youtube_dl_1501162662369103872.mp4</t>
  </si>
  <si>
    <t>2022-03-08T12:30:27.828794+00:00</t>
  </si>
  <si>
    <t>https://bellingcat-archive.nyc3.cdn.digitaloceanspaces.com/Ukraine_Witness_Datasheet/Worksheet/youtube_dl__ArmedForcesUkr_status_15011626623691038722022-03-08T12:30:14.053549.png</t>
  </si>
  <si>
    <t>a8507a1ae02c29944b444435235f5884cf5c4ee6a285462763cc2e86981de087</t>
  </si>
  <si>
    <t>https://bellingcat-archive.nyc3.cdn.digitaloceanspaces.com/Ukraine_Witness_Datasheet/Worksheet/youtube_dl_1501162662369103872/index.html</t>
  </si>
  <si>
    <t>🇺🇦Armed Forces - ❗❗❗Розстріл цивільного авто з людьми  🇷🇺російськими загарбниками!</t>
  </si>
  <si>
    <t>2022-03-08T11:47:23+00:00</t>
  </si>
  <si>
    <t>https://twitter.com/no_itsmyturn/status/1501109505542836227</t>
  </si>
  <si>
    <t>Aftermath of strike on residential building</t>
  </si>
  <si>
    <t>UW1747</t>
  </si>
  <si>
    <t>https://bellingcat-archive.nyc3.cdn.digitaloceanspaces.com/Ukraine_Witness_Datasheet/Worksheet/twitter__no_itsmyturn_status_1501109505542836227.html</t>
  </si>
  <si>
    <t>2022-03-08T12:35:23.808462+00:00</t>
  </si>
  <si>
    <t>https://bellingcat-archive.nyc3.cdn.digitaloceanspaces.com/Ukraine_Witness_Datasheet/Worksheet/twitter__no_itsmyturn_status_15011095055428362272022-03-08T12:35:13.885887.png</t>
  </si>
  <si>
    <t>aa47e2e18455514068d15e5040a899456056d97fc9f7dcc3935b69887a5c30d1</t>
  </si>
  <si>
    <t>2022-03-08T08:16:10+00:00</t>
  </si>
  <si>
    <t>https://twitter.com/no_itsmyturn/status/1501094446624088064</t>
  </si>
  <si>
    <t>Aftermath of strike in the center of town</t>
  </si>
  <si>
    <t>UW1748</t>
  </si>
  <si>
    <t>https://bellingcat-archive.nyc3.cdn.digitaloceanspaces.com/Ukraine_Witness_Datasheet/Worksheet/youtube_dl_1501094446624088064.mp4</t>
  </si>
  <si>
    <t>2022-03-08T12:55:27.961515+00:00</t>
  </si>
  <si>
    <t>https://bellingcat-archive.nyc3.cdn.digitaloceanspaces.com/Ukraine_Witness_Datasheet/Worksheet/youtube_dl__no_itsmyturn_status_15010944466240880642022-03-08T12:55:13.960684.png</t>
  </si>
  <si>
    <t>ced8fb759d4adea61ac903241d3815810dfe2b7867a54ea8d2507efd97492519</t>
  </si>
  <si>
    <t>https://bellingcat-archive.nyc3.cdn.digitaloceanspaces.com/Ukraine_Witness_Datasheet/Worksheet/youtube_dl_1501094446624088064/index.html</t>
  </si>
  <si>
    <t>Aleph א #IStandWithUkraine 🇺🇦 - Aftermath of nightly Russian strikes in Sumy city center #Ukraine 🇺🇦</t>
  </si>
  <si>
    <t>2022-03-08T07:16:19+00:00</t>
  </si>
  <si>
    <t>https://twitter.com/olex_scherba/status/1501172187914506245</t>
  </si>
  <si>
    <t>Aftermath of strike in the center of the city</t>
  </si>
  <si>
    <t>UW1749</t>
  </si>
  <si>
    <t>https://bellingcat-archive.nyc3.cdn.digitaloceanspaces.com/Ukraine_Witness_Datasheet/Worksheet/youtube_dl_1501172187914506245.mp4</t>
  </si>
  <si>
    <t>2022-03-08T13:55:27.614205+00:00</t>
  </si>
  <si>
    <t>https://bellingcat-archive.nyc3.cdn.digitaloceanspaces.com/Ukraine_Witness_Datasheet/Worksheet/youtube_dl__olex_scherba_status_15011721879145062452022-03-08T13:55:15.932008.png</t>
  </si>
  <si>
    <t>3a09d760ae22fa183f17ef68c2d74aa92696d6ceda264569c2c4bfca060ae43f</t>
  </si>
  <si>
    <t>https://bellingcat-archive.nyc3.cdn.digitaloceanspaces.com/Ukraine_Witness_Datasheet/Worksheet/youtube_dl_1501172187914506245/index.html</t>
  </si>
  <si>
    <t>olexander scherba🇺🇦 - #kharkiv downtown today, March 8.  #StandWithUkraine️ #PutinWarCrimes #PutinIsaWarCriminal #РоссияСмотри</t>
  </si>
  <si>
    <t>2022-03-08T12:25:14+00:00</t>
  </si>
  <si>
    <t>https://twitter.com/SputnikATO/status/1501184212203941897</t>
  </si>
  <si>
    <t>CIV0293</t>
  </si>
  <si>
    <t xml:space="preserve">Aftermath of strike </t>
  </si>
  <si>
    <t>UW1750</t>
  </si>
  <si>
    <t>https://bellingcat-archive.nyc3.cdn.digitaloceanspaces.com/Ukraine_Witness_Datasheet/Worksheet/twitter__SputnikATO_status_1501184212203941897.html</t>
  </si>
  <si>
    <t>2022-03-08T14:25:22.741420+00:00</t>
  </si>
  <si>
    <t>https://bellingcat-archive.nyc3.cdn.digitaloceanspaces.com/Ukraine_Witness_Datasheet/Worksheet/twitter__SputnikATO_status_15011842122039418972022-03-08T14:25:14.353579.png</t>
  </si>
  <si>
    <t>15caf7c5763abce8f5ef12801cd9b77b1939320320a3699b845f3716a327c269</t>
  </si>
  <si>
    <t>2022-03-08T13:13:01+00:00</t>
  </si>
  <si>
    <t>https://twitter.com/ua_industrial/status/1501190526036590596</t>
  </si>
  <si>
    <t>Damage to hospital enterance</t>
  </si>
  <si>
    <t>https://twitter.com/gfusfus/status/1501194559061172231</t>
  </si>
  <si>
    <t>UW1751</t>
  </si>
  <si>
    <t>https://bellingcat-archive.nyc3.cdn.digitaloceanspaces.com/Ukraine_Witness_Datasheet/Worksheet/twitter__ua_industrial_status_1501190526036590596.html</t>
  </si>
  <si>
    <t>2022-03-08T14:00:23.951522+00:00</t>
  </si>
  <si>
    <t>https://bellingcat-archive.nyc3.cdn.digitaloceanspaces.com/Ukraine_Witness_Datasheet/Worksheet/twitter__ua_industrial_status_15011905260365905962022-03-08T14:00:14.573295.png</t>
  </si>
  <si>
    <t>16ab3916a661a63f34978bfbfd75eee3084bf2254553bb6c7c68d3ae0dcfba9d</t>
  </si>
  <si>
    <t>2022-03-08T13:38:06+00:00</t>
  </si>
  <si>
    <t>https://twitter.com/aldin_ww/status/1500838282829172742</t>
  </si>
  <si>
    <t>Armored Russian train on the move</t>
  </si>
  <si>
    <t>https://twitter.com/john_marquee/status/1500856476633481218</t>
  </si>
  <si>
    <t>Novobohdanivka</t>
  </si>
  <si>
    <t>UW1752</t>
  </si>
  <si>
    <t>https://bellingcat-archive.nyc3.cdn.digitaloceanspaces.com/Ukraine_Witness_Datasheet/Worksheet/youtube_dl_1500838282829172742.mp4</t>
  </si>
  <si>
    <t>2022-03-08T14:20:25.852740+00:00</t>
  </si>
  <si>
    <t>https://bellingcat-archive.nyc3.cdn.digitaloceanspaces.com/Ukraine_Witness_Datasheet/Worksheet/youtube_dl__aldin_ww_status_15008382828291727422022-03-08T14:20:13.395931.png</t>
  </si>
  <si>
    <t>c6298e4e5a9994ae1748b9de95d9da15f9f79eb8fceb2981bc8a6e70010e595f</t>
  </si>
  <si>
    <t>https://bellingcat-archive.nyc3.cdn.digitaloceanspaces.com/Ukraine_Witness_Datasheet/Worksheet/youtube_dl_1500838282829172742/index.html</t>
  </si>
  <si>
    <t>Aldin 🇧🇦 - Reportedly some very special train around Melitopol.</t>
  </si>
  <si>
    <t>2022-03-07T14:18:25+00:00</t>
  </si>
  <si>
    <t>https://twitter.com/no_itsmyturn/status/1501202265671184393</t>
  </si>
  <si>
    <t>Damage to civilian buildings</t>
  </si>
  <si>
    <t>https://twitter.com/gfusfus/status/1501208528991789059</t>
  </si>
  <si>
    <t>UW1753</t>
  </si>
  <si>
    <t>https://bellingcat-archive.nyc3.cdn.digitaloceanspaces.com/Ukraine_Witness_Datasheet/Worksheet/youtube_dl_1501202265671184393.mp4</t>
  </si>
  <si>
    <t>2022-03-08T14:55:36.390243+00:00</t>
  </si>
  <si>
    <t>https://bellingcat-archive.nyc3.cdn.digitaloceanspaces.com/Ukraine_Witness_Datasheet/Worksheet/youtube_dl__no_itsmyturn_status_15012022656711843932022-03-08T14:55:15.976654.png</t>
  </si>
  <si>
    <t>60fb35375e470adde85500447f69dd0c642c525acf9b4a96ce8a03be46bfc75a</t>
  </si>
  <si>
    <t>https://bellingcat-archive.nyc3.cdn.digitaloceanspaces.com/Ukraine_Witness_Datasheet/Worksheet/youtube_dl_1501202265671184393/index.html</t>
  </si>
  <si>
    <t>Aleph א #IStandWithUkraine 🇺🇦 - Aftermath of Russian strikes on Saltivka Kharkiv oblast #Ukraine 🇺🇦</t>
  </si>
  <si>
    <t>2022-03-08T14:24:45+00:00</t>
  </si>
  <si>
    <t>https://twitter.com/no_itsmyturn/status/1501209927918010374</t>
  </si>
  <si>
    <t>https://twitter.com/gfusfus/status/1501215206130782216</t>
  </si>
  <si>
    <t>UW1754</t>
  </si>
  <si>
    <t>https://bellingcat-archive.nyc3.cdn.digitaloceanspaces.com/Ukraine_Witness_Datasheet/Worksheet/youtube_dl_1501209927918010374.mp4</t>
  </si>
  <si>
    <t>2022-03-08T15:20:34.300268+00:00</t>
  </si>
  <si>
    <t>https://bellingcat-archive.nyc3.cdn.digitaloceanspaces.com/Ukraine_Witness_Datasheet/Worksheet/youtube_dl__no_itsmyturn_status_15012099279180103742022-03-08T15:20:20.536364.png</t>
  </si>
  <si>
    <t>5b7c5def6eb1e7938dd2964f32c8fad51400a311602a0ad25ec42c5ba436e42a</t>
  </si>
  <si>
    <t>https://bellingcat-archive.nyc3.cdn.digitaloceanspaces.com/Ukraine_Witness_Datasheet/Worksheet/youtube_dl_1501209927918010374/index.html</t>
  </si>
  <si>
    <t>Aleph א #IStandWithUkraine 🇺🇦 - Aftermath of Russian strikes on Sumska Street Kharkiv #Ukraine 🇺🇦</t>
  </si>
  <si>
    <t>2022-03-08T14:55:12+00:00</t>
  </si>
  <si>
    <t>https://www.youtube.com/watch?v=7IUQVTaRY6I</t>
  </si>
  <si>
    <t>UW1755</t>
  </si>
  <si>
    <t>x</t>
  </si>
  <si>
    <t>https://bellingcat-archive.nyc3.cdn.digitaloceanspaces.com/Ukraine_Witness_Datasheet/Worksheet/youtube_dl_7IUQVTaRY6I.webm</t>
  </si>
  <si>
    <t>2022-03-08T16:30:31.812848+00:00</t>
  </si>
  <si>
    <t>https://bellingcat-archive.nyc3.cdn.digitaloceanspaces.com/Ukraine_Witness_Datasheet/Worksheet/youtube_dl__watch2022-03-08T16:30:18.378144.png</t>
  </si>
  <si>
    <t>9109a095c511dcd8f916834da8b5037940c020acec3219fdefb87f984ea69e2d</t>
  </si>
  <si>
    <t>https://bellingcat-archive.nyc3.cdn.digitaloceanspaces.com/Ukraine_Witness_Datasheet/Worksheet/youtube_dl_7IUQVTaRY6I/index.html</t>
  </si>
  <si>
    <t>Наслідки обстрілу селища Сартана</t>
  </si>
  <si>
    <t>2022-02-26T00:00:00+00:00</t>
  </si>
  <si>
    <t xml:space="preserve">Trufanov str </t>
  </si>
  <si>
    <t>https://t.me/TGNewsU/11696</t>
  </si>
  <si>
    <t>CIV0044 [REPEAT OF CIV0035)</t>
  </si>
  <si>
    <t>Shell flew into a residential apartment.</t>
  </si>
  <si>
    <t>UW1756</t>
  </si>
  <si>
    <t>https://bellingcat-archive.nyc3.cdn.digitaloceanspaces.com/Ukraine_Witness_Datasheet/Worksheet/telegram_015a7f8df5.mp4</t>
  </si>
  <si>
    <t>2022-03-08T16:31:26.255345+00:00</t>
  </si>
  <si>
    <t>https://bellingcat-archive.nyc3.cdn.digitaloceanspaces.com/Ukraine_Witness_Datasheet/Worksheet/telegram__TGNewsU_116962022-03-08T16:30:32.754206.png</t>
  </si>
  <si>
    <t>9d5ff0b7ec65912c81c7d85eb34fabefad144cd30d8ff5546257a9575b298e97</t>
  </si>
  <si>
    <t>https://bellingcat-archive.nyc3.cdn.digitaloceanspaces.com/Ukraine_Witness_Datasheet/Worksheet/telegram_015a7f8df5/index.html</t>
  </si>
  <si>
    <t>2022-02-25T18:41:32+00:00</t>
  </si>
  <si>
    <t>https://lb.ua/society/2022/02/26/507034_zranku_kiievi_rosiyska_drg_vbila.html</t>
  </si>
  <si>
    <t>Family, including 3 children, shot in car on Olena Teliga Street in Kyiv.</t>
  </si>
  <si>
    <t>UW1757</t>
  </si>
  <si>
    <t>https://web.archive.org/web/20220308163206/https://lb.ua/society/2022/02/26/507034_kiievi_rosiyska_drg_vbila.html</t>
  </si>
  <si>
    <t>2022-03-08T16:32:34.100764+00:00</t>
  </si>
  <si>
    <t>https://bellingcat-archive.nyc3.cdn.digitaloceanspaces.com/Ukraine_Witness_Datasheet/Worksheet/wayback__society_2022_02_26_507034_zranku_kiievi_rosiyska_drg_vbila.html2022-03-08T16:32:22.347724.png</t>
  </si>
  <si>
    <t>У Києві російська ДРГ вбила четверокласницю та її батьків, ще один хлопчик з родини помер у лікарні - портал новин LB.ua</t>
  </si>
  <si>
    <t>50.471365</t>
  </si>
  <si>
    <t>30.453854</t>
  </si>
  <si>
    <t>https://drive.google.com/drive/folders/1ie_R9JJ4iaslhnK_xfV-hO1xOgTvnn7h?usp=sharing</t>
  </si>
  <si>
    <t>UW1758</t>
  </si>
  <si>
    <t>in Drive</t>
  </si>
  <si>
    <t>https://web.archive.org/web/20220308163303/https://drive.google.com/drive/folders/1ie_R9JJ4iaslhnK_xfV-hO1xOgTvnn7h?usp=sharing</t>
  </si>
  <si>
    <t>2022-03-08T16:33:24.559823+00:00</t>
  </si>
  <si>
    <t>https://bellingcat-archive.nyc3.cdn.digitaloceanspaces.com/Ukraine_Witness_Datasheet/Worksheet/wayback__drive_folders_1ie_R9JJ4iaslhnK_xfV-hO1xOgTvnn7h2022-03-08T16:33:15.344521.png</t>
  </si>
  <si>
    <t>Kyiv TV-Center and facilities - Google Drive</t>
  </si>
  <si>
    <t>49.931075</t>
  </si>
  <si>
    <t>36.416403</t>
  </si>
  <si>
    <t>https://drive.google.com/file/d/1Qu2uycEXOnigIRTN9mz_JwfJ1xV14m7S/view?usp=sharing</t>
  </si>
  <si>
    <t>Kharkivs'ka Oblast</t>
  </si>
  <si>
    <t>UW1759</t>
  </si>
  <si>
    <t>https://web.archive.org/web/20220308163403/https://drive.google.com/file/d/1Qu2uycEXOnigIRTN9mz_JwfJ1xV14m7S/view?usp=sharing</t>
  </si>
  <si>
    <t>2022-03-08T16:34:19.438566+00:00</t>
  </si>
  <si>
    <t>https://bellingcat-archive.nyc3.cdn.digitaloceanspaces.com/Ukraine_Witness_Datasheet/Worksheet/wayback__file_d_1Qu2uycEXOnigIRTN9mz_JwfJ1xV14m7S_view2022-03-08T16:34:11.748970.png</t>
  </si>
  <si>
    <t>IMG_3197_75school_kharkiv.MP4 - Google Drive</t>
  </si>
  <si>
    <t>https://drive.google.com/drive/folders/1dxfXEUAjjvBslA671cNxIMRb_D_fPJCl?usp=sharing</t>
  </si>
  <si>
    <t>UW1760</t>
  </si>
  <si>
    <t>https://web.archive.org/web/20220308163506/https://drive.google.com/drive/folders/1dxfXEUAjjvBslA671cNxIMRb_D_fPJCl?usp=sharing</t>
  </si>
  <si>
    <t>2022-03-08T16:35:29.544038+00:00</t>
  </si>
  <si>
    <t>https://bellingcat-archive.nyc3.cdn.digitaloceanspaces.com/Ukraine_Witness_Datasheet/Worksheet/wayback__drive_folders_1dxfXEUAjjvBslA671cNxIMRb_D_fPJCl2022-03-08T16:35:18.699874.png</t>
  </si>
  <si>
    <t>Faculty_SSU_NPU - Google Drive</t>
  </si>
  <si>
    <t>49.937978</t>
  </si>
  <si>
    <t>36.40366</t>
  </si>
  <si>
    <t>https://drive.google.com/drive/folders/1Ul0FX9ambfL2WFKBD1DXHXUNIO-9zU2t?usp=sharing</t>
  </si>
  <si>
    <t>UW1761</t>
  </si>
  <si>
    <t>https://web.archive.org/web/20220308163608/https://drive.google.com/drive/folders/1Ul0FX9ambfL2WFKBD1DXHXUNIO-9zU2t?usp=sharing</t>
  </si>
  <si>
    <t>2022-03-08T16:36:27.525472+00:00</t>
  </si>
  <si>
    <t>https://bellingcat-archive.nyc3.cdn.digitaloceanspaces.com/Ukraine_Witness_Datasheet/Worksheet/wayback__drive_folders_1Ul0FX9ambfL2WFKBD1DXHXUNIO-9zU2t2022-03-08T16:36:18.690211.png</t>
  </si>
  <si>
    <t>school118_kharkiv - Google Drive</t>
  </si>
  <si>
    <t>48.95328</t>
  </si>
  <si>
    <t>38.358926</t>
  </si>
  <si>
    <t>https://twitter.com/rescuero/status/1498988051174989832?s=20&amp;t=mywWeVgKyNlqWBLmET-yRg</t>
  </si>
  <si>
    <t>CIV0155</t>
  </si>
  <si>
    <t>Strike on brewery.</t>
  </si>
  <si>
    <t>UW1762</t>
  </si>
  <si>
    <t>https://bellingcat-archive.nyc3.cdn.digitaloceanspaces.com/Ukraine_Witness_Datasheet/Worksheet/youtube_dl_1498988051174989832.mp4</t>
  </si>
  <si>
    <t>2022-03-08T16:36:46.776097+00:00</t>
  </si>
  <si>
    <t>https://bellingcat-archive.nyc3.cdn.digitaloceanspaces.com/Ukraine_Witness_Datasheet/Worksheet/youtube_dl__rescuero_status_14989880511749898322022-03-08T16:36:33.938487.png</t>
  </si>
  <si>
    <t>023be775ebea3e23e7f56df5471a8e7d3d95771e8eca9ab55aad06eae48b6e1e</t>
  </si>
  <si>
    <t>https://bellingcat-archive.nyc3.cdn.digitaloceanspaces.com/Ukraine_Witness_Datasheet/Worksheet/youtube_dl_1498988051174989832/index.html</t>
  </si>
  <si>
    <t>Pavlo - Російські загарбники знищили #Лисичанськ'ий пивзавод. Горіть у пеклі тварюки!</t>
  </si>
  <si>
    <t>2022-03-02T11:46:15+00:00</t>
  </si>
  <si>
    <t>https://t.me/truexanewsua/28691</t>
  </si>
  <si>
    <t>UW1763</t>
  </si>
  <si>
    <t>https://bellingcat-archive.nyc3.cdn.digitaloceanspaces.com/Ukraine_Witness_Datasheet/Worksheet/telegram_fa4e88a74c.mp4</t>
  </si>
  <si>
    <t>2022-03-08T16:37:28.237827+00:00</t>
  </si>
  <si>
    <t>https://bellingcat-archive.nyc3.cdn.digitaloceanspaces.com/Ukraine_Witness_Datasheet/Worksheet/telegram__truexanewsua_286912022-03-08T16:36:47.707800.png</t>
  </si>
  <si>
    <t>24108707ae4196b5ee2a4b724e4e887615ec6427b1c43d6b9f2f70ae2093338a</t>
  </si>
  <si>
    <t>https://bellingcat-archive.nyc3.cdn.digitaloceanspaces.com/Ukraine_Witness_Datasheet/Worksheet/telegram_fa4e88a74c/index.html</t>
  </si>
  <si>
    <t>2022-03-03T13:01:04+00:00</t>
  </si>
  <si>
    <t>https://drive.google.com/file/d/1FuiJrRqAqhPKK92LB5BwxO-3RrqHIRu4/view?usp=sharing</t>
  </si>
  <si>
    <t>UW1764</t>
  </si>
  <si>
    <t>Drive</t>
  </si>
  <si>
    <t>https://web.archive.org/web/20220308163756/https://drive.google.com/file/d/1FuiJrRqAqhPKK92LB5BwxO-3RrqHIRu4/view?usp=sharing</t>
  </si>
  <si>
    <t>2022-03-08T16:38:09.515574+00:00</t>
  </si>
  <si>
    <t>https://bellingcat-archive.nyc3.cdn.digitaloceanspaces.com/Ukraine_Witness_Datasheet/Worksheet/wayback__file_d_1FuiJrRqAqhPKK92LB5BwxO-3RrqHIRu4_view2022-03-08T16:38:01.640908.png</t>
  </si>
  <si>
    <t>CHERNIHIV_IMG_3787.MP4 - Google Drive</t>
  </si>
  <si>
    <t>https://mil.in.ua/uk/news/rosiya-na-odeshhyni-zastosovuye-kasetni-bomby-rbk-500-z-ptab-1m/</t>
  </si>
  <si>
    <t>UW1765</t>
  </si>
  <si>
    <t>https://bellingcat-archive.nyc3.cdn.digitaloceanspaces.com/Ukraine_Witness_Datasheet/Worksheet/youtube_dl_T-bADJfTJts.webm</t>
  </si>
  <si>
    <t>2022-03-08T16:38:29.822284+00:00</t>
  </si>
  <si>
    <t>https://bellingcat-archive.nyc3.cdn.digitaloceanspaces.com/Ukraine_Witness_Datasheet/Worksheet/youtube_dl__uk_news_rosiya-na-odeshhyni-zastosovuye-kasetni-bomby-rbk-500-z-ptab-1m_2022-03-08T16:38:14.193123.png</t>
  </si>
  <si>
    <t>fb40c4629df42542cbe942b87f6620a8caa6b5d2e140e1ed64a39d8c982f200d</t>
  </si>
  <si>
    <t>https://bellingcat-archive.nyc3.cdn.digitaloceanspaces.com/Ukraine_Witness_Datasheet/Worksheet/youtube_dl_T-bADJfTJts/index.html</t>
  </si>
  <si>
    <t>Росія на Одещині застосовує касетні бомби РБК-500 з ПТАБ-1М</t>
  </si>
  <si>
    <t>2022-03-06T00:00:00+00:00</t>
  </si>
  <si>
    <t>49.536386</t>
  </si>
  <si>
    <t>39.10567</t>
  </si>
  <si>
    <t>https://twitter.com/aldin_ww/status/1500126664952623112</t>
  </si>
  <si>
    <t>CIV0208</t>
  </si>
  <si>
    <t>Soldiers appear to shoot a Ukrainian civilian in the leg at a protest</t>
  </si>
  <si>
    <t>UW1766</t>
  </si>
  <si>
    <t>https://bellingcat-archive.nyc3.cdn.digitaloceanspaces.com/Ukraine_Witness_Datasheet/Worksheet/youtube_dl_1500126664952623112.mp4</t>
  </si>
  <si>
    <t>2022-03-08T16:38:54.646218+00:00</t>
  </si>
  <si>
    <t>https://bellingcat-archive.nyc3.cdn.digitaloceanspaces.com/Ukraine_Witness_Datasheet/Worksheet/youtube_dl__aldin_ww_status_15001266649526231122022-03-08T16:38:33.275776.png</t>
  </si>
  <si>
    <t>66e82eb6262e4ef7c7c06823d95fe45cc3ddbffb6021194525c81443ecdcc680</t>
  </si>
  <si>
    <t>https://bellingcat-archive.nyc3.cdn.digitaloceanspaces.com/Ukraine_Witness_Datasheet/Worksheet/youtube_dl_1500126664952623112/index.html</t>
  </si>
  <si>
    <t>Aldin 🇧🇦 - First instance of Russian Forces shooting civilian at the protests.  Novopskov, Luhansk Oblast</t>
  </si>
  <si>
    <t>2022-03-05T15:10:42+00:00</t>
  </si>
  <si>
    <t>https://www.youtube.com/watch?v=lPdlUQHIkYA</t>
  </si>
  <si>
    <t>UW1767</t>
  </si>
  <si>
    <t>https://bellingcat-archive.nyc3.cdn.digitaloceanspaces.com/Ukraine_Witness_Datasheet/Worksheet/youtube_dl_lPdlUQHIkYA.webm</t>
  </si>
  <si>
    <t>2022-03-08T16:39:39.067155+00:00</t>
  </si>
  <si>
    <t>https://bellingcat-archive.nyc3.cdn.digitaloceanspaces.com/Ukraine_Witness_Datasheet/Worksheet/youtube_dl__watch2022-03-08T16:39:02.965321.png</t>
  </si>
  <si>
    <t>294905c22cf4f9f637f551daffbaf3d5b737b868bec50aef1ea236d9161d9c29</t>
  </si>
  <si>
    <t>https://bellingcat-archive.nyc3.cdn.digitaloceanspaces.com/Ukraine_Witness_Datasheet/Worksheet/youtube_dl_lPdlUQHIkYA/index.html</t>
  </si>
  <si>
    <t>Новопсков, 05.03 (стрельба по гражданским) // Novopskov, 05.03 (shooting at civilians)</t>
  </si>
  <si>
    <t>2022-03-05T00:00:00+00:00</t>
  </si>
  <si>
    <t>48.94229,38</t>
  </si>
  <si>
    <t>38.4958322</t>
  </si>
  <si>
    <t>https://www.facebook.com/photo?fbid=7095376223837245&amp;set=pcb.7095377023837165</t>
  </si>
  <si>
    <t>CIV0209</t>
  </si>
  <si>
    <t>Damage to central city library</t>
  </si>
  <si>
    <t>UW1768</t>
  </si>
  <si>
    <t xml:space="preserve">Civilian infrastucture damage </t>
  </si>
  <si>
    <t>https://web.archive.org/web/20220308164012/https://www.facebook.com/photo?fbid=7095376223837245&amp;set=pcb.7095377023837165</t>
  </si>
  <si>
    <t>2022-03-08T16:40:27.877240+00:00</t>
  </si>
  <si>
    <t>https://bellingcat-archive.nyc3.cdn.digitaloceanspaces.com/Ukraine_Witness_Datasheet/Worksheet/wayback__photo2022-03-08T16:40:19.646339.png</t>
  </si>
  <si>
    <t>50.0246729</t>
  </si>
  <si>
    <t>36.3398481</t>
  </si>
  <si>
    <t>https://t.me/Pravda_Gerashchenko/2163</t>
  </si>
  <si>
    <t>CIV0210</t>
  </si>
  <si>
    <t>Novosaltovsky market in Kharkiv destroyed</t>
  </si>
  <si>
    <t>UW1769</t>
  </si>
  <si>
    <t>https://bellingcat-archive.nyc3.cdn.digitaloceanspaces.com/Ukraine_Witness_Datasheet/Worksheet/telegram_3384f8862b.mp4</t>
  </si>
  <si>
    <t>2022-03-08T16:42:21.810544+00:00</t>
  </si>
  <si>
    <t>https://bellingcat-archive.nyc3.cdn.digitaloceanspaces.com/Ukraine_Witness_Datasheet/Worksheet/telegram__Pravda_Gerashchenko_21632022-03-08T16:40:28.808098.png</t>
  </si>
  <si>
    <t>34c11b70702b30255a2e08233dea2fdb007af86b4550c0903b2c9212ac56f59b</t>
  </si>
  <si>
    <t>https://bellingcat-archive.nyc3.cdn.digitaloceanspaces.com/Ukraine_Witness_Datasheet/Worksheet/telegram_3384f8862b/index.html</t>
  </si>
  <si>
    <t>2022-03-06T07:35:12+00:00</t>
  </si>
  <si>
    <t>https://t.me/nexta_live/20056</t>
  </si>
  <si>
    <t>UW1770</t>
  </si>
  <si>
    <t>https://bellingcat-archive.nyc3.cdn.digitaloceanspaces.com/Ukraine_Witness_Datasheet/Worksheet/telegram__nexta_live_20056.html</t>
  </si>
  <si>
    <t>2022-03-08T16:42:34.670482+00:00</t>
  </si>
  <si>
    <t>https://bellingcat-archive.nyc3.cdn.digitaloceanspaces.com/Ukraine_Witness_Datasheet/Worksheet/telegram__nexta_live_200562022-03-08T16:42:22.714419.png</t>
  </si>
  <si>
    <t>0b9333b70090f4beab02fbdb9ce4864dbff9f7835a2efde602a34d9f9aadb8a4</t>
  </si>
  <si>
    <t>2022-03-06T07:35:54+00:00</t>
  </si>
  <si>
    <t>https://t.me/Pravda_Gerashchenko/2171</t>
  </si>
  <si>
    <t>CIV0211</t>
  </si>
  <si>
    <t>Widespread damage to residential buildings in village; allegedly 1 person killed. Very large crater.</t>
  </si>
  <si>
    <t>UW1771</t>
  </si>
  <si>
    <t>https://bellingcat-archive.nyc3.cdn.digitaloceanspaces.com/Ukraine_Witness_Datasheet/Worksheet/telegram_6c35ee376e.mp4</t>
  </si>
  <si>
    <t>2022-03-08T16:43:20.932959+00:00</t>
  </si>
  <si>
    <t>https://bellingcat-archive.nyc3.cdn.digitaloceanspaces.com/Ukraine_Witness_Datasheet/Worksheet/telegram__Pravda_Gerashchenko_21712022-03-08T16:42:35.519664.png</t>
  </si>
  <si>
    <t>6f46a69854407512a8a9d2929b167cc60b2917c5b5df75051a122436d98b0a17</t>
  </si>
  <si>
    <t>https://bellingcat-archive.nyc3.cdn.digitaloceanspaces.com/Ukraine_Witness_Datasheet/Worksheet/telegram_6c35ee376e/index.html</t>
  </si>
  <si>
    <t>https://t.me/hueviykharkov/48463</t>
  </si>
  <si>
    <t>CIV0212</t>
  </si>
  <si>
    <t>School (?) damaged in bombing/shelling</t>
  </si>
  <si>
    <t>UW1772</t>
  </si>
  <si>
    <t>https://bellingcat-archive.nyc3.cdn.digitaloceanspaces.com/Ukraine_Witness_Datasheet/Worksheet/telegram__hueviykharkov_48463.html</t>
  </si>
  <si>
    <t>2022-03-08T16:43:32.816615+00:00</t>
  </si>
  <si>
    <t>https://bellingcat-archive.nyc3.cdn.digitaloceanspaces.com/Ukraine_Witness_Datasheet/Worksheet/telegram__hueviykharkov_484632022-03-08T16:43:21.794930.png</t>
  </si>
  <si>
    <t>d7fbacb6e69e1efbb56efaa7bdee424b275636ba4efa70c3fcb8d073043f6550</t>
  </si>
  <si>
    <t>2022-03-06T08:00:58+00:00</t>
  </si>
  <si>
    <t>50.0900038</t>
  </si>
  <si>
    <t>36.2560183</t>
  </si>
  <si>
    <t>https://twitter.com/aliev_aliev/status/1500434615542161411</t>
  </si>
  <si>
    <t>CIV0213</t>
  </si>
  <si>
    <t>Strike on a line of civilians queueing outside a supermarket. Multiple small impacts indicate cluster munitions. (graphic: blood and bodies)</t>
  </si>
  <si>
    <t>UW1773</t>
  </si>
  <si>
    <t>https://bellingcat-archive.nyc3.cdn.digitaloceanspaces.com/Ukraine_Witness_Datasheet/Worksheet/twitter__aliev_aliev_status_1500434615542161411.html</t>
  </si>
  <si>
    <t>2022-03-08T16:43:44.817519+00:00</t>
  </si>
  <si>
    <t>https://bellingcat-archive.nyc3.cdn.digitaloceanspaces.com/Ukraine_Witness_Datasheet/Worksheet/twitter__aliev_aliev_status_15004346155421614112022-03-08T16:43:35.018210.png</t>
  </si>
  <si>
    <t>62ed372de0ced7b001bbaaf9caf5fa9459c5c54de15d983dbfbe70bbe5fef378</t>
  </si>
  <si>
    <t>2022-03-06T11:34:23+00:00</t>
  </si>
  <si>
    <t>https://twitter.com/Mila100500/status/1500524057556570119</t>
  </si>
  <si>
    <t>UW1774</t>
  </si>
  <si>
    <t>https://bellingcat-archive.nyc3.cdn.digitaloceanspaces.com/Ukraine_Witness_Datasheet/Worksheet/youtube_dl_1500524057556570119.mp4</t>
  </si>
  <si>
    <t>2022-03-08T16:44:00.675650+00:00</t>
  </si>
  <si>
    <t>https://bellingcat-archive.nyc3.cdn.digitaloceanspaces.com/Ukraine_Witness_Datasheet/Worksheet/youtube_dl__Mila100500_status_15005240575565701192022-03-08T16:43:47.429758.png</t>
  </si>
  <si>
    <t>ddf2e08b464283ab02c358258d0cffd5c01df62762d17531e50359cb9f119246</t>
  </si>
  <si>
    <t>https://bellingcat-archive.nyc3.cdn.digitaloceanspaces.com/Ukraine_Witness_Datasheet/Worksheet/youtube_dl_1500524057556570119/index.html</t>
  </si>
  <si>
    <t>Міла Мілович - Пятихатки. Харьков. Сегодня днем</t>
  </si>
  <si>
    <t>2022-03-06T17:29:48+00:00</t>
  </si>
  <si>
    <t>https://twitter.com/VlasnaSprava_UA/status/1500386437421797377</t>
  </si>
  <si>
    <t>WRONG LINK?</t>
  </si>
  <si>
    <t>UW1775</t>
  </si>
  <si>
    <t>https://bellingcat-archive.nyc3.cdn.digitaloceanspaces.com/Ukraine_Witness_Datasheet/Worksheet/youtube_dl_1500386437421797377.mp4</t>
  </si>
  <si>
    <t>2022-03-08T16:44:15.706741+00:00</t>
  </si>
  <si>
    <t>https://bellingcat-archive.nyc3.cdn.digitaloceanspaces.com/Ukraine_Witness_Datasheet/Worksheet/youtube_dl__VlasnaSprava_UA_status_15003864374217973772022-03-08T16:44:03.406092.png</t>
  </si>
  <si>
    <t>3c602faaf59396d5b4aeff03e951d0e73387f62c821d7df74056f9d2f8183a9c</t>
  </si>
  <si>
    <t>https://bellingcat-archive.nyc3.cdn.digitaloceanspaces.com/Ukraine_Witness_Datasheet/Worksheet/youtube_dl_1500386437421797377/index.html</t>
  </si>
  <si>
    <t>👊ВЛАСНА СПРАВА👊 - 06.03.2022 - Харьков, п.Жуковский, возможно Пятихатки. @war</t>
  </si>
  <si>
    <t>2022-03-06T08:22:57+00:00</t>
  </si>
  <si>
    <t>https://twitter.com/OmaGunn/status/1500521071765856267</t>
  </si>
  <si>
    <t>UW1776</t>
  </si>
  <si>
    <t>https://bellingcat-archive.nyc3.cdn.digitaloceanspaces.com/Ukraine_Witness_Datasheet/Worksheet/youtube_dl_1500521071765856267.mp4</t>
  </si>
  <si>
    <t>2022-03-08T16:44:30.858520+00:00</t>
  </si>
  <si>
    <t>https://bellingcat-archive.nyc3.cdn.digitaloceanspaces.com/Ukraine_Witness_Datasheet/Worksheet/youtube_dl__OmaGunn_status_15005210717658562672022-03-08T16:44:18.287037.png</t>
  </si>
  <si>
    <t>07ef74b798e8210f38ec8443702c74815231d4a21b489fb11e8c97d09d7715f3</t>
  </si>
  <si>
    <t>https://bellingcat-archive.nyc3.cdn.digitaloceanspaces.com/Ukraine_Witness_Datasheet/Worksheet/youtube_dl_1500521071765856267/index.html</t>
  </si>
  <si>
    <t>𓋹 Oma Gunn 𓋹 - 🇺🇦 Пятихатки в Харькове. Прилеты в районе улицы академика Вальтера</t>
  </si>
  <si>
    <t>2022-03-06T17:17:56+00:00</t>
  </si>
  <si>
    <t>49.950587</t>
  </si>
  <si>
    <t>36.154536</t>
  </si>
  <si>
    <t>https://twitter.com/Cen4infoRes/status/1500418266078011404</t>
  </si>
  <si>
    <t>CIV0214</t>
  </si>
  <si>
    <t>Dashcam footage of strike on warehouse near residential area, impacting vehicle filming.</t>
  </si>
  <si>
    <t>UW1777</t>
  </si>
  <si>
    <t>2022-03-08T16:44:47.071816+00:00</t>
  </si>
  <si>
    <t>https://bellingcat-archive.nyc3.cdn.digitaloceanspaces.com/Ukraine_Witness_Datasheet/Worksheet/youtube_dl__Cen4infoRes_status_15004182660780114042022-03-08T16:44:32.973359.png</t>
  </si>
  <si>
    <t>https://t.me/truexanewsua/30141</t>
  </si>
  <si>
    <t>UW1778</t>
  </si>
  <si>
    <t>https://bellingcat-archive.nyc3.cdn.digitaloceanspaces.com/Ukraine_Witness_Datasheet/Worksheet/telegram_6c38f682d9.mp4</t>
  </si>
  <si>
    <t>2022-03-08T16:45:23.754316+00:00</t>
  </si>
  <si>
    <t>https://bellingcat-archive.nyc3.cdn.digitaloceanspaces.com/Ukraine_Witness_Datasheet/Worksheet/telegram__truexanewsua_301412022-03-08T16:44:47.849430.png</t>
  </si>
  <si>
    <t>a3c20a3b063f16143a691b9ae9df1a9b8cdf87d8e33666a38990193cd5cc46e2</t>
  </si>
  <si>
    <t>https://bellingcat-archive.nyc3.cdn.digitaloceanspaces.com/Ukraine_Witness_Datasheet/Worksheet/telegram_6c38f682d9/index.html</t>
  </si>
  <si>
    <t>2022-03-06T09:11:40+00:00</t>
  </si>
  <si>
    <t>49.243102</t>
  </si>
  <si>
    <t>28.604546</t>
  </si>
  <si>
    <t>https://twitter.com/tweetsNV/status/1500463681863364613</t>
  </si>
  <si>
    <t xml:space="preserve">Strike on Vinnytsia Havryshivka International Airport </t>
  </si>
  <si>
    <t>UW1779</t>
  </si>
  <si>
    <t>https://bellingcat-archive.nyc3.cdn.digitaloceanspaces.com/Ukraine_Witness_Datasheet/Worksheet/twitter__tweetsNV_status_1500463681863364613.html</t>
  </si>
  <si>
    <t>2022-03-08T16:45:35.776411+00:00</t>
  </si>
  <si>
    <t>https://bellingcat-archive.nyc3.cdn.digitaloceanspaces.com/Ukraine_Witness_Datasheet/Worksheet/twitter__tweetsNV_status_15004636818633646132022-03-08T16:45:26.388243.png</t>
  </si>
  <si>
    <t>44b49ce7aab4650b7815ab3b116f6025d831e77bc058540d46fe34b73df9a137</t>
  </si>
  <si>
    <t>2022-03-06T13:29:53+00:00</t>
  </si>
  <si>
    <t>https://twitter.com/Cen4infoRes/status/1500488064443072512?s=20&amp;t=rgyuvVoZFYxPm5oqK0fSkg</t>
  </si>
  <si>
    <t>UW1780</t>
  </si>
  <si>
    <t>2022-03-08T16:45:51.993511+00:00</t>
  </si>
  <si>
    <t>https://bellingcat-archive.nyc3.cdn.digitaloceanspaces.com/Ukraine_Witness_Datasheet/Worksheet/youtube_dl__Cen4infoRes_status_15004880644430725122022-03-08T16:45:37.768667.png</t>
  </si>
  <si>
    <t>48.8566023</t>
  </si>
  <si>
    <t>38.4831063</t>
  </si>
  <si>
    <t>https://www.facebook.com/sergey.gaidai.loga/posts/133948889144503</t>
  </si>
  <si>
    <t>CIV0216</t>
  </si>
  <si>
    <t xml:space="preserve">Extensive damage to a kindergarten </t>
  </si>
  <si>
    <t>UW1781</t>
  </si>
  <si>
    <t>https://web.archive.org/web/20220308164701/https://www.facebook.com/login/?next=https%3A%2F%2Fwww.facebook.com%2Fsergey.gaidai.loga%2Fposts%2F133948889144503</t>
  </si>
  <si>
    <t>2022-03-08T16:47:54.182374+00:00</t>
  </si>
  <si>
    <t>https://bellingcat-archive.nyc3.cdn.digitaloceanspaces.com/Ukraine_Witness_Datasheet/Worksheet/wayback__sergey.gaidai.loga_posts_1339488891445032022-03-08T16:47:45.721994.png</t>
  </si>
  <si>
    <t>404 Not Found</t>
  </si>
  <si>
    <t>50.4900759</t>
  </si>
  <si>
    <t>30.2597355</t>
  </si>
  <si>
    <t>https://twitter.com/lynseyaddario/status/1500469003780771846</t>
  </si>
  <si>
    <t>Three members of a family of four reportedly killed by strike in corridor being used by civilians. Crater visible in some videos.  (graphic warning: bodies)</t>
  </si>
  <si>
    <t>UW1782</t>
  </si>
  <si>
    <t>https://web.archive.org/web/20220308164853/https://twitter.com/lynseyaddario/status/1500469003780771846</t>
  </si>
  <si>
    <t>2022-03-08T16:49:12.284704+00:00</t>
  </si>
  <si>
    <t>https://bellingcat-archive.nyc3.cdn.digitaloceanspaces.com/Ukraine_Witness_Datasheet/Worksheet/wayback__lynseyaddario_status_15004690037807718462022-03-08T16:49:02.158890.png</t>
  </si>
  <si>
    <t>lynsey addario on Twitter: "WARNING: GRAPHIC IMAGES: Today I witnessed Russian troops deliberately targeting civilians fleeing for their lives from the village of Irpin. At least three members of a family of four were killed in front of me. @nytimes https://t.co/lR0a5FRpXX" / Twitter</t>
  </si>
  <si>
    <t>https://twitter.com/StratejikGndem3/status/1500443151957471240?s=20&amp;t=6RVU-e_0ChImJ3AHpWlYYA</t>
  </si>
  <si>
    <t>UW1783</t>
  </si>
  <si>
    <t>https://bellingcat-archive.nyc3.cdn.digitaloceanspaces.com/Ukraine_Witness_Datasheet/Worksheet/twitter__StratejikGndem3_status_1500443151957471240.html</t>
  </si>
  <si>
    <t>2022-03-08T16:49:24.458919+00:00</t>
  </si>
  <si>
    <t>https://bellingcat-archive.nyc3.cdn.digitaloceanspaces.com/Ukraine_Witness_Datasheet/Worksheet/twitter__StratejikGndem3_status_15004431519574712402022-03-08T16:49:15.156558.png</t>
  </si>
  <si>
    <t>c5479edbf886d8724a54a5d8da78fb430169830559e18d93b646b0c4fa26c473</t>
  </si>
  <si>
    <t>2022-03-06T12:08:18+00:00</t>
  </si>
  <si>
    <t>https://twitter.com/StratejikGndem3/status/1500472656549842955?s=20&amp;t=6RVU-e_0ChImJ3AHpWlYYA</t>
  </si>
  <si>
    <t>UW1784</t>
  </si>
  <si>
    <t>https://bellingcat-archive.nyc3.cdn.digitaloceanspaces.com/Ukraine_Witness_Datasheet/Worksheet/twitter__StratejikGndem3_status_1500472656549842955.html</t>
  </si>
  <si>
    <t>2022-03-08T16:49:36.580210+00:00</t>
  </si>
  <si>
    <t>https://bellingcat-archive.nyc3.cdn.digitaloceanspaces.com/Ukraine_Witness_Datasheet/Worksheet/twitter__StratejikGndem3_status_15004726565498429552022-03-08T16:49:27.340459.png</t>
  </si>
  <si>
    <t>6fbc5d0b6380ba9e7245ec89fe61909d60ede12d1a1855a27df344d0f42bce2c</t>
  </si>
  <si>
    <t>2022-03-06T14:05:33+00:00</t>
  </si>
  <si>
    <t>https://twitter.com/olex_scherba/status/1500510896619237382?s=20&amp;t=nTR7XJITxjvNhsMp7zS8Cw</t>
  </si>
  <si>
    <t>UW1785</t>
  </si>
  <si>
    <t>https://bellingcat-archive.nyc3.cdn.digitaloceanspaces.com/Ukraine_Witness_Datasheet/Worksheet/youtube_dl_1500510896619237382.mp4</t>
  </si>
  <si>
    <t>2022-03-08T16:49:52.631505+00:00</t>
  </si>
  <si>
    <t>https://bellingcat-archive.nyc3.cdn.digitaloceanspaces.com/Ukraine_Witness_Datasheet/Worksheet/youtube_dl__olex_scherba_status_15005108966192373822022-03-08T16:49:39.062350.png</t>
  </si>
  <si>
    <t>cdb5171dbc43977c46bf1b12d18c396a2fb93c151a618264311fed803d32fc5b</t>
  </si>
  <si>
    <t>https://bellingcat-archive.nyc3.cdn.digitaloceanspaces.com/Ukraine_Witness_Datasheet/Worksheet/youtube_dl_1500510896619237382/index.html</t>
  </si>
  <si>
    <t>olexander scherba🇺🇦 - Video of a civilian family killed today while evacuating in Irpin. Right next to a burning church. Wherever Putin comes, he brings inferno.   #PutinWarCriminal  #StandWithUkriane  #россиядумай #россиясмотри</t>
  </si>
  <si>
    <t>2022-03-06T16:37:30+00:00</t>
  </si>
  <si>
    <t>https://twitter.com/ukraine_world/status/1500486915040190466?s=20&amp;t=nTR7XJITxjvNhsMp7zS8Cw</t>
  </si>
  <si>
    <t>UW1786</t>
  </si>
  <si>
    <t>https://bellingcat-archive.nyc3.cdn.digitaloceanspaces.com/Ukraine_Witness_Datasheet/Worksheet/youtube_dl_1500486915040190466.mp4</t>
  </si>
  <si>
    <t>2022-03-08T16:50:10.244010+00:00</t>
  </si>
  <si>
    <t>https://bellingcat-archive.nyc3.cdn.digitaloceanspaces.com/Ukraine_Witness_Datasheet/Worksheet/youtube_dl__ukraine_world_status_15004869150401904662022-03-08T16:49:55.852335.png</t>
  </si>
  <si>
    <t>250a5fa5d0555df3fd2e9e2af0fca877a9162f0ac5944aae5c95894959a2086e</t>
  </si>
  <si>
    <t>https://bellingcat-archive.nyc3.cdn.digitaloceanspaces.com/Ukraine_Witness_Datasheet/Worksheet/youtube_dl_1500486915040190466/index.html</t>
  </si>
  <si>
    <t>UkraineWorld - Irpin. Despite the shelling and the temporary occupation of the city by Russia, police, and military removed 200 civilians from the combat zone, including 50 children and one wounded - MIA of Ukraine. #StopRussia</t>
  </si>
  <si>
    <t>2022-03-06T15:02:12+00:00</t>
  </si>
  <si>
    <t>https://twitter.com/EncryptEddie/status/1500507266633674752?s=20&amp;t=nTR7XJITxjvNhsMp7zS8Cw</t>
  </si>
  <si>
    <t>UW1787</t>
  </si>
  <si>
    <t>https://bellingcat-archive.nyc3.cdn.digitaloceanspaces.com/Ukraine_Witness_Datasheet/Worksheet/youtube_dl_1500507266633674752.mp4</t>
  </si>
  <si>
    <t>2022-03-08T16:50:28.452166+00:00</t>
  </si>
  <si>
    <t>https://bellingcat-archive.nyc3.cdn.digitaloceanspaces.com/Ukraine_Witness_Datasheet/Worksheet/youtube_dl__EncryptEddie_status_15005072666336747522022-03-08T16:50:13.208586.png</t>
  </si>
  <si>
    <t>af9f49532fa243ed60787e67cbb57ee72c2b9d75cacb5e147daeed343ff8f9ad</t>
  </si>
  <si>
    <t>https://bellingcat-archive.nyc3.cdn.digitaloceanspaces.com/Ukraine_Witness_Datasheet/Worksheet/youtube_dl_1500507266633674752/index.html</t>
  </si>
  <si>
    <t>EncryptEddie - #Irpin, #Kyiv: footage of artillery arrival as people seen behind are evacuating</t>
  </si>
  <si>
    <t>2022-03-06T16:23:05+00:00</t>
  </si>
  <si>
    <t>https://twitter.com/XyKyiv/status/1500501306133336067?s=20&amp;t=CDkM_Huu-jlAAMH4yn95mw</t>
  </si>
  <si>
    <t>UW1788</t>
  </si>
  <si>
    <t>https://bellingcat-archive.nyc3.cdn.digitaloceanspaces.com/Ukraine_Witness_Datasheet/Worksheet/youtube_dl_1500501306133336067.mp4</t>
  </si>
  <si>
    <t>2022-03-08T16:50:44.840428+00:00</t>
  </si>
  <si>
    <t>https://bellingcat-archive.nyc3.cdn.digitaloceanspaces.com/Ukraine_Witness_Datasheet/Worksheet/youtube_dl__XyKyiv_status_15005013061333360672022-03-08T16:50:31.235444.png</t>
  </si>
  <si>
    <t>0db7f722f8f734b735fbdf05572a14f213f1d8432ba0eb792372dc35d17b6ec4</t>
  </si>
  <si>
    <t>https://bellingcat-archive.nyc3.cdn.digitaloceanspaces.com/Ukraine_Witness_Datasheet/Worksheet/youtube_dl_1500501306133336067/index.html</t>
  </si>
  <si>
    <t>Хоробрий Київ - Вбито трьох цивільних, які намагалися евакуюватися.</t>
  </si>
  <si>
    <t>2022-03-06T15:59:24+00:00</t>
  </si>
  <si>
    <t>https://t.me/Pravda_Gerashchenko/2304</t>
  </si>
  <si>
    <t>UW1789</t>
  </si>
  <si>
    <t>https://bellingcat-archive.nyc3.cdn.digitaloceanspaces.com/Ukraine_Witness_Datasheet/Worksheet/telegram__Pravda_Gerashchenko_2304.html</t>
  </si>
  <si>
    <t>2022-03-08T16:50:58.690222+00:00</t>
  </si>
  <si>
    <t>https://bellingcat-archive.nyc3.cdn.digitaloceanspaces.com/Ukraine_Witness_Datasheet/Worksheet/telegram__Pravda_Gerashchenko_23042022-03-08T16:50:45.688351.png</t>
  </si>
  <si>
    <t>ce307a7b6bb71bf789d741f2635e550a282a11a9d8521fe9ea598aedf1a2bd4d</t>
  </si>
  <si>
    <t>2022-03-06T17:05:03+00:00</t>
  </si>
  <si>
    <t>51.330531</t>
  </si>
  <si>
    <t>28.800654</t>
  </si>
  <si>
    <t>https://t.me/Pravda_Gerashchenko/2218</t>
  </si>
  <si>
    <t>CIV0220</t>
  </si>
  <si>
    <t>Extensive damage to homes from a strike. CCTV indicates event happened at 02:25 AM on the 6th. Significant crater. Ukr military base approx 200m away at 51.328175, 28.800817.</t>
  </si>
  <si>
    <t>Zhytomyrs'ka oblast</t>
  </si>
  <si>
    <t>UW1790</t>
  </si>
  <si>
    <t>https://bellingcat-archive.nyc3.cdn.digitaloceanspaces.com/Ukraine_Witness_Datasheet/Worksheet/telegram_d29c0d56d3.mp4</t>
  </si>
  <si>
    <t>2022-03-08T16:51:42.987719+00:00</t>
  </si>
  <si>
    <t>https://bellingcat-archive.nyc3.cdn.digitaloceanspaces.com/Ukraine_Witness_Datasheet/Worksheet/telegram__Pravda_Gerashchenko_22182022-03-08T16:50:59.513169.png</t>
  </si>
  <si>
    <t>c072d23ef24c701e2ab291ddbb6b2ce31322b19d8afef31ff2fd20bbf83e53f2</t>
  </si>
  <si>
    <t>https://bellingcat-archive.nyc3.cdn.digitaloceanspaces.com/Ukraine_Witness_Datasheet/Worksheet/telegram_d29c0d56d3/index.html</t>
  </si>
  <si>
    <t>https://twitter.com/loogunda/status/1500123287095062538?s=20&amp;t=tyeo2tE3hf0NX5ARWBZVKw</t>
  </si>
  <si>
    <t>CIV0221</t>
  </si>
  <si>
    <t>What appears to have been an artillery strike on a residential area.</t>
  </si>
  <si>
    <t>UW1791</t>
  </si>
  <si>
    <t>https://bellingcat-archive.nyc3.cdn.digitaloceanspaces.com/Ukraine_Witness_Datasheet/Worksheet/twitter__loogunda_status_1500123287095062538.html</t>
  </si>
  <si>
    <t>2022-03-08T16:51:55.149058+00:00</t>
  </si>
  <si>
    <t>https://bellingcat-archive.nyc3.cdn.digitaloceanspaces.com/Ukraine_Witness_Datasheet/Worksheet/twitter__loogunda_status_15001232870950625382022-03-08T16:51:45.855566.png</t>
  </si>
  <si>
    <t>2ebbd7ecba589f2d7d0797c357a6bb503bbae9fc6137faba8d441a73afb7edbf</t>
  </si>
  <si>
    <t>2022-03-05T14:57:17+00:00</t>
  </si>
  <si>
    <t>https://twitter.com/verkhovna_rada/status/1500112907857805314?s=20&amp;t=GqTOFHa6gHfWQzs02eGxSQ</t>
  </si>
  <si>
    <t>CIV0222</t>
  </si>
  <si>
    <t>Residential building on fire with what appears to be explosive damage.</t>
  </si>
  <si>
    <t>UW1792</t>
  </si>
  <si>
    <t>https://bellingcat-archive.nyc3.cdn.digitaloceanspaces.com/Ukraine_Witness_Datasheet/Worksheet/youtube_dl_1500112907857805314.mp4</t>
  </si>
  <si>
    <t>2022-03-08T16:52:08.440651+00:00</t>
  </si>
  <si>
    <t>https://bellingcat-archive.nyc3.cdn.digitaloceanspaces.com/Ukraine_Witness_Datasheet/Worksheet/youtube_dl__verkhovna_rada_status_15001129078578053142022-03-08T16:51:57.094597.png</t>
  </si>
  <si>
    <t>51102b5edb3d7da5be0e5c9fde7052204bf7c1aa72534f57c0671ec217f389a5</t>
  </si>
  <si>
    <t>https://bellingcat-archive.nyc3.cdn.digitaloceanspaces.com/Ukraine_Witness_Datasheet/Worksheet/youtube_dl_1500112907857805314/index.html</t>
  </si>
  <si>
    <t>Верховна Рада України - Харків. Російські окупанти знову обстріляли житлові будинки. #NoFlyZoneOverUkraine  #StopPutin #StopRussia</t>
  </si>
  <si>
    <t>2022-03-05T14:16:02+00:00</t>
  </si>
  <si>
    <t>https://twitter.com/no_itsmyturn/status/1500139678984458242?s=20&amp;t=6sble_Ka3hmjqItC5OxxmQ</t>
  </si>
  <si>
    <t>Damage to residential buildings, reportedly after strike. Appears to be IVO 50.034955, 36.361521, or elsewhere with similar buildings bordering the "squares".</t>
  </si>
  <si>
    <t>UW1793</t>
  </si>
  <si>
    <t>https://bellingcat-archive.nyc3.cdn.digitaloceanspaces.com/Ukraine_Witness_Datasheet/Worksheet/twitter__no_itsmyturn_status_1500139678984458242.html</t>
  </si>
  <si>
    <t>2022-03-08T16:52:21.943136+00:00</t>
  </si>
  <si>
    <t>https://bellingcat-archive.nyc3.cdn.digitaloceanspaces.com/Ukraine_Witness_Datasheet/Worksheet/twitter__no_itsmyturn_status_15001396789844582422022-03-08T16:52:12.522163.png</t>
  </si>
  <si>
    <t>a9b3d030f991eb78a8aef268a088848ae3223bd9e77aa7ab6a6426db22f3241f</t>
  </si>
  <si>
    <t>2022-03-05T16:02:25+00:00</t>
  </si>
  <si>
    <t>50.042143</t>
  </si>
  <si>
    <t>36.359936</t>
  </si>
  <si>
    <t>https://t.co/oYz83rxpHS</t>
  </si>
  <si>
    <t>Very heavy damage to residential building, reportedly after strikes.</t>
  </si>
  <si>
    <t>UW1794</t>
  </si>
  <si>
    <t>https://bellingcat-archive.nyc3.cdn.digitaloceanspaces.com/Ukraine_Witness_Datasheet/Worksheet/telegram_689592a1c1.mp4</t>
  </si>
  <si>
    <t>2022-03-08T16:53:16.833049+00:00</t>
  </si>
  <si>
    <t>https://bellingcat-archive.nyc3.cdn.digitaloceanspaces.com/Ukraine_Witness_Datasheet/Worksheet/telegram__dvish_alive_91662022-03-08T16:52:23.100153.png</t>
  </si>
  <si>
    <t>6c39b85a5aa1b5e85a18ff0192e34e15d5054b4198f8797ebedb4afdf7c7f74e</t>
  </si>
  <si>
    <t>https://bellingcat-archive.nyc3.cdn.digitaloceanspaces.com/Ukraine_Witness_Datasheet/Worksheet/telegram_689592a1c1/index.html</t>
  </si>
  <si>
    <t>https://t.me/dvish_alive/9166</t>
  </si>
  <si>
    <t>2022-03-06T08:16:42+00:00</t>
  </si>
  <si>
    <t>https://twitter.com/RALee85/status/1500385862886035456?s=20&amp;t=TjkNDOru4S1sy3KsqTFRlg</t>
  </si>
  <si>
    <t>UW1795</t>
  </si>
  <si>
    <t>https://bellingcat-archive.nyc3.cdn.digitaloceanspaces.com/Ukraine_Witness_Datasheet/Worksheet/youtube_dl_1500385862886035456.mp4</t>
  </si>
  <si>
    <t>2022-03-08T16:53:33.362792+00:00</t>
  </si>
  <si>
    <t>https://bellingcat-archive.nyc3.cdn.digitaloceanspaces.com/Ukraine_Witness_Datasheet/Worksheet/youtube_dl__RALee85_status_15003858628860354562022-03-08T16:53:20.097683.png</t>
  </si>
  <si>
    <t>cb2c29abdb36dc126b5844cc63c50db552c9575ca863db85f9a4fdfe1de0b6f4</t>
  </si>
  <si>
    <t>https://bellingcat-archive.nyc3.cdn.digitaloceanspaces.com/Ukraine_Witness_Datasheet/Worksheet/youtube_dl_1500385862886035456/index.html</t>
  </si>
  <si>
    <t>Rob Lee - Destroyed building in Kharkiv. 2/</t>
  </si>
  <si>
    <t>2022-03-06T08:20:40+00:00</t>
  </si>
  <si>
    <t>https://twitter.com/FedorovMykhailo/status/1500808295350775809?s=20&amp;t=4XJHaeUf5nMjVZcHS4ithg</t>
  </si>
  <si>
    <t>UW1796</t>
  </si>
  <si>
    <t>https://web.archive.org/web/20220308164424/https://twitter.com/FedorovMykhailo/status/1500808295350775809?s=20&amp;t=4XJHaeUf5nMjVZcHS4ithg</t>
  </si>
  <si>
    <t>2022-03-08T16:54:52.524565+00:00</t>
  </si>
  <si>
    <t>https://bellingcat-archive.nyc3.cdn.digitaloceanspaces.com/Ukraine_Witness_Datasheet/Worksheet/wayback__FedorovMykhailo_status_15008082953507758092022-03-08T16:54:43.469188.png</t>
  </si>
  <si>
    <t>48.72645</t>
  </si>
  <si>
    <t>37.60624</t>
  </si>
  <si>
    <t>https://t.me/nexta_live/20114</t>
  </si>
  <si>
    <t>CIV0226</t>
  </si>
  <si>
    <t>Residential building hit by missile; two reported dead</t>
  </si>
  <si>
    <t>UW1797</t>
  </si>
  <si>
    <t>https://bellingcat-archive.nyc3.cdn.digitaloceanspaces.com/Ukraine_Witness_Datasheet/Worksheet/telegram__nexta_live_20114.html</t>
  </si>
  <si>
    <t>2022-03-08T16:55:05.715153+00:00</t>
  </si>
  <si>
    <t>https://bellingcat-archive.nyc3.cdn.digitaloceanspaces.com/Ukraine_Witness_Datasheet/Worksheet/telegram__nexta_live_201142022-03-08T16:54:53.514850.png</t>
  </si>
  <si>
    <t>3670cdee7a21ca357ac506aaf2df4f1e74344c8f9dc613371f77ee66670e7fc8</t>
  </si>
  <si>
    <t>2022-03-06T15:30:13+00:00</t>
  </si>
  <si>
    <t>50.060955</t>
  </si>
  <si>
    <t>36.202167</t>
  </si>
  <si>
    <t>https://t.me/nexta_live/20188</t>
  </si>
  <si>
    <t>CIV0228</t>
  </si>
  <si>
    <t>Residential buidling hit by explosion</t>
  </si>
  <si>
    <t>UW1798</t>
  </si>
  <si>
    <t>https://bellingcat-archive.nyc3.cdn.digitaloceanspaces.com/Ukraine_Witness_Datasheet/Worksheet/telegram_0dd2f806bc.mp4</t>
  </si>
  <si>
    <t>2022-03-08T16:55:29.613848+00:00</t>
  </si>
  <si>
    <t>https://bellingcat-archive.nyc3.cdn.digitaloceanspaces.com/Ukraine_Witness_Datasheet/Worksheet/telegram__nexta_live_201882022-03-08T16:55:06.424657.png</t>
  </si>
  <si>
    <t>https://bellingcat-archive.nyc3.cdn.digitaloceanspaces.com/Ukraine_Witness_Datasheet/Worksheet/telegram_0dd2f806bc/index.html</t>
  </si>
  <si>
    <t>2022-03-06T22:07:33+00:00</t>
  </si>
  <si>
    <t>51.32934741</t>
  </si>
  <si>
    <t>28.80860213</t>
  </si>
  <si>
    <t>https://t.me/nexta_live/20204</t>
  </si>
  <si>
    <t>CIV0229</t>
  </si>
  <si>
    <t>Residential buildings hit by explosion</t>
  </si>
  <si>
    <t>UW1799</t>
  </si>
  <si>
    <t>https://bellingcat-archive.nyc3.cdn.digitaloceanspaces.com/Ukraine_Witness_Datasheet/Worksheet/telegram__nexta_live_20204.html</t>
  </si>
  <si>
    <t>2022-03-08T16:55:42.330491+00:00</t>
  </si>
  <si>
    <t>https://bellingcat-archive.nyc3.cdn.digitaloceanspaces.com/Ukraine_Witness_Datasheet/Worksheet/telegram__nexta_live_202042022-03-08T16:55:32.911124.png</t>
  </si>
  <si>
    <t>aee80b5996e1ff0fe8442472d5cc0fe2970c8b2f9272ba42835a4ca27ec1f655</t>
  </si>
  <si>
    <t>2022-03-07T00:31:03+00:00</t>
  </si>
  <si>
    <t>46.91148345</t>
  </si>
  <si>
    <t>32.08302583</t>
  </si>
  <si>
    <t>https://t.me/nexta_live/20232</t>
  </si>
  <si>
    <t>CIV0230 [REPEAT CIV0237)</t>
  </si>
  <si>
    <t>Residential buildings damaged, on fire due to explosion [Possibly same event as CIV231]</t>
  </si>
  <si>
    <t>UW1800</t>
  </si>
  <si>
    <t>https://bellingcat-archive.nyc3.cdn.digitaloceanspaces.com/Ukraine_Witness_Datasheet/Worksheet/telegram_5c5133e05c.mp4</t>
  </si>
  <si>
    <t>2022-03-08T16:56:45.274109+00:00</t>
  </si>
  <si>
    <t>https://bellingcat-archive.nyc3.cdn.digitaloceanspaces.com/Ukraine_Witness_Datasheet/Worksheet/telegram__nexta_live_202322022-03-08T16:55:43.646038.png</t>
  </si>
  <si>
    <t>01440102e7bed566733e6ea44019ae7dc4578e53cfd43bb0fb824b2a995243d5</t>
  </si>
  <si>
    <t>https://bellingcat-archive.nyc3.cdn.digitaloceanspaces.com/Ukraine_Witness_Datasheet/Worksheet/telegram_5c5133e05c/index.html</t>
  </si>
  <si>
    <t>https://t.me/nexta_live/20249</t>
  </si>
  <si>
    <t>UW1801</t>
  </si>
  <si>
    <t>https://bellingcat-archive.nyc3.cdn.digitaloceanspaces.com/Ukraine_Witness_Datasheet/Worksheet/telegram_f05e01d5e3.mp4</t>
  </si>
  <si>
    <t>2022-03-08T16:57:17.962130+00:00</t>
  </si>
  <si>
    <t>https://bellingcat-archive.nyc3.cdn.digitaloceanspaces.com/Ukraine_Witness_Datasheet/Worksheet/telegram__nexta_live_202492022-03-08T16:56:46.262532.png</t>
  </si>
  <si>
    <t>bfaf297122431429eff9dd844db7703d166e4a4c6724b53c351a4af4c485fc6e</t>
  </si>
  <si>
    <t>https://bellingcat-archive.nyc3.cdn.digitaloceanspaces.com/Ukraine_Witness_Datasheet/Worksheet/telegram_f05e01d5e3/index.html</t>
  </si>
  <si>
    <t>2022-03-07T06:55:40+00:00</t>
  </si>
  <si>
    <t>dont see how it could be there</t>
  </si>
  <si>
    <t>https://twitter.com/with__ukraine/status/1500727584010682377?s=21</t>
  </si>
  <si>
    <t>UW1802</t>
  </si>
  <si>
    <t>https://bellingcat-archive.nyc3.cdn.digitaloceanspaces.com/Ukraine_Witness_Datasheet/Worksheet/twitter__with__ukraine_status_1500727584010682377.html</t>
  </si>
  <si>
    <t>2022-03-08T16:57:30.012800+00:00</t>
  </si>
  <si>
    <t>https://bellingcat-archive.nyc3.cdn.digitaloceanspaces.com/Ukraine_Witness_Datasheet/Worksheet/twitter__with__ukraine_status_15007275840106823772022-03-08T16:57:20.635368.png</t>
  </si>
  <si>
    <t>ae7f5cc2c161c9f48fd2704897d7933ebbfea41feae4f96287f505e660f14fbb</t>
  </si>
  <si>
    <t>2022-03-07T06:58:32+00:00</t>
  </si>
  <si>
    <t>https://t.me/nexta_live/20237</t>
  </si>
  <si>
    <t>CIV0231</t>
  </si>
  <si>
    <t>Residential buildings damaged by explosion</t>
  </si>
  <si>
    <t>UW1803</t>
  </si>
  <si>
    <t>https://bellingcat-archive.nyc3.cdn.digitaloceanspaces.com/Ukraine_Witness_Datasheet/Worksheet/telegram_e793d26d49.mp4</t>
  </si>
  <si>
    <t>2022-03-08T16:58:45.558825+00:00</t>
  </si>
  <si>
    <t>https://bellingcat-archive.nyc3.cdn.digitaloceanspaces.com/Ukraine_Witness_Datasheet/Worksheet/telegram__nexta_live_202372022-03-08T16:57:32.582367.png</t>
  </si>
  <si>
    <t>31f9787b02b0efc773678715699448fc5bb98196e97003fb0a7ce8bfd7ce1f36</t>
  </si>
  <si>
    <t>https://bellingcat-archive.nyc3.cdn.digitaloceanspaces.com/Ukraine_Witness_Datasheet/Worksheet/telegram_e793d26d49/index.html</t>
  </si>
  <si>
    <t>2022-03-07T05:01:12+00:00</t>
  </si>
  <si>
    <t>50.016539</t>
  </si>
  <si>
    <t>36.332926</t>
  </si>
  <si>
    <t>https://t.me/nexta_live/20243</t>
  </si>
  <si>
    <t>CIV0232</t>
  </si>
  <si>
    <t>Residential building destroyed by explosion; dead civilians in rubble</t>
  </si>
  <si>
    <t>UW1804</t>
  </si>
  <si>
    <t>https://bellingcat-archive.nyc3.cdn.digitaloceanspaces.com/Ukraine_Witness_Datasheet/Worksheet/telegram_b0031d6954.mp4</t>
  </si>
  <si>
    <t>2022-03-08T17:00:17.849426+00:00</t>
  </si>
  <si>
    <t>https://bellingcat-archive.nyc3.cdn.digitaloceanspaces.com/Ukraine_Witness_Datasheet/Worksheet/telegram__nexta_live_202432022-03-08T16:58:47.181008.png</t>
  </si>
  <si>
    <t>db5b97785add1d380cd5c7acc912076fed161a2db3fbe341d299f7c26cbc57b1</t>
  </si>
  <si>
    <t>https://bellingcat-archive.nyc3.cdn.digitaloceanspaces.com/Ukraine_Witness_Datasheet/Worksheet/telegram_b0031d6954/index.html</t>
  </si>
  <si>
    <t>2022-03-07T06:06:53+00:00</t>
  </si>
  <si>
    <t>50.05907215</t>
  </si>
  <si>
    <t>36.19950394</t>
  </si>
  <si>
    <t>https://t.me/Pravda_Gerashchenko/2356</t>
  </si>
  <si>
    <t>CIV0233</t>
  </si>
  <si>
    <t>Residential building, cars damaged by explosion</t>
  </si>
  <si>
    <t>UW1805</t>
  </si>
  <si>
    <t>https://bellingcat-archive.nyc3.cdn.digitaloceanspaces.com/Ukraine_Witness_Datasheet/Worksheet/telegram_93645e9a6d.mp4</t>
  </si>
  <si>
    <t>2022-03-08T17:02:08.999748+00:00</t>
  </si>
  <si>
    <t>https://bellingcat-archive.nyc3.cdn.digitaloceanspaces.com/Ukraine_Witness_Datasheet/Worksheet/telegram__Pravda_Gerashchenko_23562022-03-08T17:00:18.632791.png</t>
  </si>
  <si>
    <t>28a465416b8a7bdbf731815594398d8c74287923a8baf729111377d799bea1b3</t>
  </si>
  <si>
    <t>https://bellingcat-archive.nyc3.cdn.digitaloceanspaces.com/Ukraine_Witness_Datasheet/Worksheet/telegram_93645e9a6d/index.html</t>
  </si>
  <si>
    <t>50.76698302</t>
  </si>
  <si>
    <t>29.24210823</t>
  </si>
  <si>
    <t>https://t.me/Pravda_Gerashchenko/2384?single</t>
  </si>
  <si>
    <t>CIV0234</t>
  </si>
  <si>
    <t>Residential, commercial buildings damaged/destroyed by explosion</t>
  </si>
  <si>
    <t>UW1806</t>
  </si>
  <si>
    <t>wayback: Internet Archive failed: {'resources': ['https://t.me/Pravda_Gerashchenko/2384?single', 'https://fonts.googleapis.com/css?family=Roboto:400,700', 'https://telegram.org/js/tgwallpaper.min.js?3', 'https://telegram.org/js/telegram-widget.js?16', 'https://t.me/Pravda_Gerashchenko/2384?embed=1&amp;tme_mode=1&amp;single=1', 'https://telegram.org/css/bootstrap.min.css?3', 'https://fonts.googleapis.com/css?family=Roboto:400,500', 'https://telegram.org/css/widget-frame.css?56', 'https://telegram.org/css/telegram.css?219', 'https://telegram.org/js/widget-frame.js?56', 'https://oauth.tg.dev/js/telegram-widget.js?16', 'https://fonts.gstatic.com/s/roboto/v29/KFOlCnqEu92Fr1MmEU9fBBc4.woff2'], 'job_id': 'spn2-0fe6e2427c5aad36298294fb362afdb6d1710d6d-9a03badb', 'status': 'pending'}</t>
  </si>
  <si>
    <t>2022-03-08T17:04:14.975624+00:00</t>
  </si>
  <si>
    <t>https://t.me/Pravda_Gerashchenko/2394</t>
  </si>
  <si>
    <t>Image 7-8: Residential, commercial buildings damaged/destroyed by explosion</t>
  </si>
  <si>
    <t>UW1807</t>
  </si>
  <si>
    <t>https://bellingcat-archive.nyc3.cdn.digitaloceanspaces.com/Ukraine_Witness_Datasheet/Worksheet/telegram__Pravda_Gerashchenko_2394.html</t>
  </si>
  <si>
    <t>2022-03-08T17:04:29.993827+00:00</t>
  </si>
  <si>
    <t>https://bellingcat-archive.nyc3.cdn.digitaloceanspaces.com/Ukraine_Witness_Datasheet/Worksheet/telegram__Pravda_Gerashchenko_23942022-03-08T17:04:15.765023.png</t>
  </si>
  <si>
    <t>7998771727d73059dafe83c485ec753440bf476902a9b17d0c0691179c465804</t>
  </si>
  <si>
    <t>2022-03-07T08:35:40+00:00</t>
  </si>
  <si>
    <t>50.03579189</t>
  </si>
  <si>
    <t>36.23008702</t>
  </si>
  <si>
    <t>https://t.me/uniannet/35981</t>
  </si>
  <si>
    <t>CIV0235</t>
  </si>
  <si>
    <t>Residential buildings damaged by explosion. Large explosion crater in playground.</t>
  </si>
  <si>
    <t>UW1808</t>
  </si>
  <si>
    <t>https://bellingcat-archive.nyc3.cdn.digitaloceanspaces.com/Ukraine_Witness_Datasheet/Worksheet/telegram__uniannet_35981.html</t>
  </si>
  <si>
    <t>2022-03-08T17:04:45.635628+00:00</t>
  </si>
  <si>
    <t>https://bellingcat-archive.nyc3.cdn.digitaloceanspaces.com/Ukraine_Witness_Datasheet/Worksheet/telegram__uniannet_359812022-03-08T17:04:30.740915.png</t>
  </si>
  <si>
    <t>da90e2d01bca641d4e0f433f11fe8e668ea86c6a5443345d9fb307263c42bb34</t>
  </si>
  <si>
    <t>2022-03-07T10:47:41+00:00</t>
  </si>
  <si>
    <t>50.036348, 36.228672</t>
  </si>
  <si>
    <t>49.98801405</t>
  </si>
  <si>
    <t>36.24514474</t>
  </si>
  <si>
    <t>https://t.me/uniannet/36001</t>
  </si>
  <si>
    <t>CIV0236</t>
  </si>
  <si>
    <t>Residential buildings, vehicles destroyed by explosion</t>
  </si>
  <si>
    <t>UW1809</t>
  </si>
  <si>
    <t>https://bellingcat-archive.nyc3.cdn.digitaloceanspaces.com/Ukraine_Witness_Datasheet/Worksheet/telegram__uniannet_36001.html</t>
  </si>
  <si>
    <t>2022-03-08T17:04:57.362335+00:00</t>
  </si>
  <si>
    <t>https://bellingcat-archive.nyc3.cdn.digitaloceanspaces.com/Ukraine_Witness_Datasheet/Worksheet/telegram__uniannet_360012022-03-08T17:04:46.605736.png</t>
  </si>
  <si>
    <t>1a1fde40d7d707b6d2a3bb4c5252207326c1f57a758836e39de449accc6da1a2</t>
  </si>
  <si>
    <t>2022-03-07T12:04:32+00:00</t>
  </si>
  <si>
    <t>https://www.facebook.com/watch/?ref=search&amp;v=3173367236318496&amp;external_log_id=a4a76c63-c95a-4f18-9d5b-3d0799bf9f90&amp;q=%D0%BC%D0%B8%D0%BA%D0%BE%D0%BB%D0%B0%D1%97%D0%B2</t>
  </si>
  <si>
    <t>CIV0237 (REPEAT CIV0230)</t>
  </si>
  <si>
    <t xml:space="preserve">Residential buildings damaged by explosion [repeat of </t>
  </si>
  <si>
    <t>UW1810</t>
  </si>
  <si>
    <t>https://web.archive.org/web/20220308170523/https://www.facebook.com/hromadskeua/videos/3173367236318496/</t>
  </si>
  <si>
    <t>2022-03-08T17:05:42.020325+00:00</t>
  </si>
  <si>
    <t>https://bellingcat-archive.nyc3.cdn.digitaloceanspaces.com/Ukraine_Witness_Datasheet/Worksheet/wayback__watch_2022-03-08T17:05:33.008959.png</t>
  </si>
  <si>
    <t>hromadske.ua - Миколаїв після обстрілів російськими окупантами</t>
  </si>
  <si>
    <t>UW1811</t>
  </si>
  <si>
    <t>2022-03-08T17:05:55.839329+00:00</t>
  </si>
  <si>
    <t>https://bellingcat-archive.nyc3.cdn.digitaloceanspaces.com/Ukraine_Witness_Datasheet/Worksheet/twitter__with__ukraine_status_15007275840106823772022-03-08T17:05:44.934463.png</t>
  </si>
  <si>
    <t>4d9618b3ca7d399db4784cd57754926babcbd460fc307b8d5ec1486453b363d1</t>
  </si>
  <si>
    <t>46.67298783</t>
  </si>
  <si>
    <t>32.64397519</t>
  </si>
  <si>
    <t>https://t.me/vorposte/15395</t>
  </si>
  <si>
    <t>CIV0238</t>
  </si>
  <si>
    <t xml:space="preserve">Shopping centre destroyed by explosion </t>
  </si>
  <si>
    <t>UW1812</t>
  </si>
  <si>
    <t>https://bellingcat-archive.nyc3.cdn.digitaloceanspaces.com/Ukraine_Witness_Datasheet/Worksheet/telegram__vorposte_15395.html</t>
  </si>
  <si>
    <t>2022-03-08T17:06:04.823487+00:00</t>
  </si>
  <si>
    <t>https://bellingcat-archive.nyc3.cdn.digitaloceanspaces.com/Ukraine_Witness_Datasheet/Worksheet/telegram__vorposte_153952022-03-08T17:05:56.607675.png</t>
  </si>
  <si>
    <t>28bbe17ed0ec1fb2974672cd767d85bfa04a02ab3cc6987f26b56797575b05b2</t>
  </si>
  <si>
    <t>http://1news.zp.ua/u-zaporizkij-oblasti-rosijskij-tank-obstrilyav-ta-pere%D1%97hav-avto-ukrposhti-zaginuli-dvo%D1%94-lyudej/</t>
  </si>
  <si>
    <t>CIV0239</t>
  </si>
  <si>
    <t>Postal van attacked on the road between Yehorivka and Novoselivka, two Ukrposhta workers killed [graphic but blurred image of corpses from local news agency]</t>
  </si>
  <si>
    <t>UW1813</t>
  </si>
  <si>
    <t>https://web.archive.org/web/20220308170642/http://1news.zp.ua/u-zaporizkij-oblasti-rosijskij-tank-obstrilyav-ta-pere%D1%97hav-avto-ukrposhti-zaginuli-dvo%D1%94-lyudej/</t>
  </si>
  <si>
    <t>2022-03-08T17:07:08.648970+00:00</t>
  </si>
  <si>
    <t>https://bellingcat-archive.nyc3.cdn.digitaloceanspaces.com/Ukraine_Witness_Datasheet/Worksheet/wayback_aporizkij-oblasti-rosijskij-tank-obstrilyav-ta-pere%D1%97hav-avto-ukrposhti-zaginuli-dvo%D1%94-lyudej_2022-03-08T17:06:57.102815.png</t>
  </si>
  <si>
    <t>У Запорізькій області російський танк обстріляв та переїхав авто «Укрпошти»: загинули двоє людей | Перший Запорiзький</t>
  </si>
  <si>
    <t>https://www.youtube.com/watch?v=dO8UMQUnIUo</t>
  </si>
  <si>
    <t>UW1814</t>
  </si>
  <si>
    <t>https://bellingcat-archive.nyc3.cdn.digitaloceanspaces.com/Ukraine_Witness_Datasheet/Worksheet/youtube_dl_dO8UMQUnIUo.webm</t>
  </si>
  <si>
    <t>2022-03-08T17:07:33.269072+00:00</t>
  </si>
  <si>
    <t>https://bellingcat-archive.nyc3.cdn.digitaloceanspaces.com/Ukraine_Witness_Datasheet/Worksheet/youtube_dl__watch2022-03-08T17:07:13.814467.png</t>
  </si>
  <si>
    <t>0ed1e3a9066f6ca5bc575babe33ae59714087aa5d73231e51725dfa63f37ce71</t>
  </si>
  <si>
    <t>https://bellingcat-archive.nyc3.cdn.digitaloceanspaces.com/Ukraine_Witness_Datasheet/Worksheet/youtube_dl_dO8UMQUnIUo/index.html</t>
  </si>
  <si>
    <t>Кадирівці розстріляли працівників Укрпошти та переїхали їхнє авто танком</t>
  </si>
  <si>
    <t>2022-03-07T00:00:00+00:00</t>
  </si>
  <si>
    <t>https://www.zoda.gov.ua/news/59696/kadirivtsi-na-tanku-rozstrilyali-mashinu-ukrposhti,-sho-vezla-ljudyam-pensiju.-dvoe-ljudey-zaginulo.html</t>
  </si>
  <si>
    <t>UW1815</t>
  </si>
  <si>
    <t>https://web.archive.org/web/20220308170822/https://www.zoda.gov.ua/news/59696/kadirivtsi-na-tanku-rozstrilyali-mashinu-ukrposhti,-sho-vezla-ljudyam-pensiju.-dvoe-ljudey-zaginulo.html</t>
  </si>
  <si>
    <t>2022-03-08T17:08:45.418281+00:00</t>
  </si>
  <si>
    <t>https://bellingcat-archive.nyc3.cdn.digitaloceanspaces.com/Ukraine_Witness_Datasheet/Worksheet/wayback_dirivtsi-na-tanku-rozstrilyali-mashinu-ukrposhti,-sho-vezla-ljudyam-pensiju.-dvoe-ljudey-zaginulo.html2022-03-08T17:08:36.045224.png</t>
  </si>
  <si>
    <t xml:space="preserve">Новини / Кадирівці на танку розстріляли машину Укрпошти, що везла людям пенсію. Двое людей загинуло </t>
  </si>
  <si>
    <t>https://t.me/CITeam/2387</t>
  </si>
  <si>
    <t>CIV0240</t>
  </si>
  <si>
    <t>Image collage of cargo warheads and rocket motors embedded in objects; including new image of munition remnant embedded in civilian vehicle</t>
  </si>
  <si>
    <t>UW1816</t>
  </si>
  <si>
    <t>https://bellingcat-archive.nyc3.cdn.digitaloceanspaces.com/Ukraine_Witness_Datasheet/Worksheet/telegram__CITeam_2387.html</t>
  </si>
  <si>
    <t>2022-03-08T17:08:57.625869+00:00</t>
  </si>
  <si>
    <t>https://bellingcat-archive.nyc3.cdn.digitaloceanspaces.com/Ukraine_Witness_Datasheet/Worksheet/telegram__CITeam_23872022-03-08T17:08:46.505404.png</t>
  </si>
  <si>
    <t>8ffe049780aeb90b7e060d4e97be1ec78056b1ffeec15f5addcb14034c285656</t>
  </si>
  <si>
    <t>2022-03-07T14:35:02+00:00</t>
  </si>
  <si>
    <t>50.70395536489286</t>
  </si>
  <si>
    <t>31.15063673</t>
  </si>
  <si>
    <t>https://twitter.com/michaelh992/status/1500850363301343240</t>
  </si>
  <si>
    <t>CIV0241</t>
  </si>
  <si>
    <t>Church on fire due to explosion</t>
  </si>
  <si>
    <t>Zavorychi</t>
  </si>
  <si>
    <t>UW1817</t>
  </si>
  <si>
    <t>https://bellingcat-archive.nyc3.cdn.digitaloceanspaces.com/Ukraine_Witness_Datasheet/Worksheet/youtube_dl_1500850363301343240.mp4</t>
  </si>
  <si>
    <t>2022-03-08T17:09:15.536852+00:00</t>
  </si>
  <si>
    <t>https://bellingcat-archive.nyc3.cdn.digitaloceanspaces.com/Ukraine_Witness_Datasheet/Worksheet/youtube_dl__michaelh992_status_15008503633013432402022-03-08T17:09:00.017467.png</t>
  </si>
  <si>
    <t>c573ec637d5839b42ab0b448cf3a53fc361074f4ce846d002eb64a3b1aacd054</t>
  </si>
  <si>
    <t>https://bellingcat-archive.nyc3.cdn.digitaloceanspaces.com/Ukraine_Witness_Datasheet/Worksheet/youtube_dl_1500850363301343240/index.html</t>
  </si>
  <si>
    <t>Michael A. Horowitz - A shell hit a church in the village of Zavorychi, east of Kyiv</t>
  </si>
  <si>
    <t>2022-03-07T15:06:25+00:00</t>
  </si>
  <si>
    <t>https://drive.google.com/file/d/1zxQjfLF0RcTcq0ytzNbof3HDsODTNRGB/view?usp=sharing</t>
  </si>
  <si>
    <t>CIV0242</t>
  </si>
  <si>
    <t>UW1818</t>
  </si>
  <si>
    <t>https://web.archive.org/web/20220308170934/https://drive.google.com/file/d/1zxQjfLF0RcTcq0ytzNbof3HDsODTNRGB/view?usp=sharing</t>
  </si>
  <si>
    <t>2022-03-08T17:09:50.647627+00:00</t>
  </si>
  <si>
    <t>https://bellingcat-archive.nyc3.cdn.digitaloceanspaces.com/Ukraine_Witness_Datasheet/Worksheet/wayback__file_d_1zxQjfLF0RcTcq0ytzNbof3HDsODTNRGB_view2022-03-08T17:09:42.077191.png</t>
  </si>
  <si>
    <t>CR_photo_2022-03-03_15-46-29.jpg - Google Drive</t>
  </si>
  <si>
    <t>51.499961</t>
  </si>
  <si>
    <t>31.277618</t>
  </si>
  <si>
    <t>REPEAT CIV189</t>
  </si>
  <si>
    <t>Destruction in Chernihiv</t>
  </si>
  <si>
    <t>UW1819</t>
  </si>
  <si>
    <t>2022-03-08T17:10:33.321840+00:00</t>
  </si>
  <si>
    <t>https://bellingcat-archive.nyc3.cdn.digitaloceanspaces.com/Ukraine_Witness_Datasheet/Worksheet/telegram__truexanewsua_286912022-03-08T17:09:51.579564.png</t>
  </si>
  <si>
    <t>UW1820</t>
  </si>
  <si>
    <t>2022-03-08T17:10:36.662148+00:00</t>
  </si>
  <si>
    <t>https://drive.google.com/drive/folders/1LKsS61IisBpB9ea5d-UIXvHz_11_MAaz?usp=sharing</t>
  </si>
  <si>
    <t>CIV0244</t>
  </si>
  <si>
    <t>Rocket motor for cluster munitions in park path in Kharkiv</t>
  </si>
  <si>
    <t>UW1821</t>
  </si>
  <si>
    <t>https://web.archive.org/web/20220308171120/https://drive.google.com/drive/folders/1LKsS61IisBpB9ea5d-UIXvHz_11_MAaz?usp=sharing</t>
  </si>
  <si>
    <t>2022-03-08T17:11:41.662102+00:00</t>
  </si>
  <si>
    <t>https://bellingcat-archive.nyc3.cdn.digitaloceanspaces.com/Ukraine_Witness_Datasheet/Worksheet/wayback__drive_folders_1LKsS61IisBpB9ea5d-UIXvHz_11_MAaz2022-03-08T17:11:32.711517.png</t>
  </si>
  <si>
    <t>Gorkiy_park - Google Drive</t>
  </si>
  <si>
    <t>drive link</t>
  </si>
  <si>
    <t>46.639544</t>
  </si>
  <si>
    <t>32.628029</t>
  </si>
  <si>
    <t>https://t.me/truexanewsua/28705</t>
  </si>
  <si>
    <t>CIV0245</t>
  </si>
  <si>
    <t>Victim operated mine on street in Kherson</t>
  </si>
  <si>
    <t>UW1822</t>
  </si>
  <si>
    <t>https://bellingcat-archive.nyc3.cdn.digitaloceanspaces.com/Ukraine_Witness_Datasheet/Worksheet/telegram_7ff865dda8.mp4</t>
  </si>
  <si>
    <t>2022-03-08T17:12:27.585650+00:00</t>
  </si>
  <si>
    <t>https://bellingcat-archive.nyc3.cdn.digitaloceanspaces.com/Ukraine_Witness_Datasheet/Worksheet/telegram__truexanewsua_287052022-03-08T17:11:42.560894.png</t>
  </si>
  <si>
    <t>cbcb9f53cc16e0bb346cd3e6234200c04c2822a1bd274f2bfb6e5da0f72a3c48</t>
  </si>
  <si>
    <t>https://bellingcat-archive.nyc3.cdn.digitaloceanspaces.com/Ukraine_Witness_Datasheet/Worksheet/telegram_7ff865dda8/index.html</t>
  </si>
  <si>
    <t>2022-03-03T13:13:32+00:00</t>
  </si>
  <si>
    <t>https://drive.google.com/file/d/10ZlnvtbPtzbwCqvo7WmmkT8Z-bS9A71k/view?usp=sharing</t>
  </si>
  <si>
    <t>UW1823</t>
  </si>
  <si>
    <t>https://web.archive.org/web/20220308171318/https://drive.google.com/file/d/10ZlnvtbPtzbwCqvo7WmmkT8Z-bS9A71k/view?usp=sharing</t>
  </si>
  <si>
    <t>2022-03-08T17:13:40.720989+00:00</t>
  </si>
  <si>
    <t>https://bellingcat-archive.nyc3.cdn.digitaloceanspaces.com/Ukraine_Witness_Datasheet/Worksheet/wayback__file_d_10ZlnvtbPtzbwCqvo7WmmkT8Z-bS9A71k_view2022-03-08T17:13:32.934731.png</t>
  </si>
  <si>
    <t>mining_Kherson_IMG_3790.MP4 - Google Drive</t>
  </si>
  <si>
    <t>50.004828</t>
  </si>
  <si>
    <t>36.237768</t>
  </si>
  <si>
    <t>https://t.me/truexanewsua/27889</t>
  </si>
  <si>
    <t>CIV0246</t>
  </si>
  <si>
    <t>Civilian building hit by shelling in Kharkiv</t>
  </si>
  <si>
    <t>UW1824</t>
  </si>
  <si>
    <t>https://bellingcat-archive.nyc3.cdn.digitaloceanspaces.com/Ukraine_Witness_Datasheet/Worksheet/telegram_4b544e2647.mp4</t>
  </si>
  <si>
    <t>2022-03-08T17:14:09.759427+00:00</t>
  </si>
  <si>
    <t>https://bellingcat-archive.nyc3.cdn.digitaloceanspaces.com/Ukraine_Witness_Datasheet/Worksheet/telegram__truexanewsua_278892022-03-08T17:13:41.862940.png</t>
  </si>
  <si>
    <t>63f6bd8971f8936dae2adf8eb1e99c9a7f51aa2e2c92a6e797526f6195606d15</t>
  </si>
  <si>
    <t>https://bellingcat-archive.nyc3.cdn.digitaloceanspaces.com/Ukraine_Witness_Datasheet/Worksheet/telegram_4b544e2647/index.html</t>
  </si>
  <si>
    <t>https://drive.google.com/file/d/1kIuI6H-TaReVRzs59C1xijVYwPV4CCKd/view?usp=sharing</t>
  </si>
  <si>
    <t>UW1825</t>
  </si>
  <si>
    <t>wayback: Internet Archive failed: {'duration_sec': 3.422, 'message': 'Unknown error for chrome-error://chromewebdata/ (HTTP status=0).', 'job_id': 'spn2-4432a1d4487a90e6f5ee2d441c9eb3f5d8c5de4b-d8fe7c0a', 'status': 'error', 'status_ext': 'error:unknown', 'resources': []}</t>
  </si>
  <si>
    <t>2022-03-08T17:14:20.600978+00:00</t>
  </si>
  <si>
    <t>50.022035</t>
  </si>
  <si>
    <t>36.350872</t>
  </si>
  <si>
    <t>https://t.me/truexanewsua/29409</t>
  </si>
  <si>
    <t>CIV0248</t>
  </si>
  <si>
    <t>Civilian casualities after shelling in Heroiv Pratsi St, Kharkiv</t>
  </si>
  <si>
    <t>UW1826</t>
  </si>
  <si>
    <t>https://bellingcat-archive.nyc3.cdn.digitaloceanspaces.com/Ukraine_Witness_Datasheet/Worksheet/telegram_bae603b2f2.mp4</t>
  </si>
  <si>
    <t>2022-03-08T17:14:46.291145+00:00</t>
  </si>
  <si>
    <t>https://bellingcat-archive.nyc3.cdn.digitaloceanspaces.com/Ukraine_Witness_Datasheet/Worksheet/telegram__truexanewsua_294092022-03-08T17:14:21.449963.png</t>
  </si>
  <si>
    <t>72690a98570d01229cd3a2eac15ad0c7d422bc1393eb7f959d24756fc0146c98</t>
  </si>
  <si>
    <t>https://bellingcat-archive.nyc3.cdn.digitaloceanspaces.com/Ukraine_Witness_Datasheet/Worksheet/telegram_bae603b2f2/index.html</t>
  </si>
  <si>
    <t>2022-03-04T15:00:39+00:00</t>
  </si>
  <si>
    <t>https://drive.google.com/file/d/1eHhyFlsFNepaJhAbNX6yHPJTD3a3DozL/view?usp=sharing</t>
  </si>
  <si>
    <t>UW1827</t>
  </si>
  <si>
    <t>https://web.archive.org/web/20220308171450/https://drive.google.com/file/d/1eHhyFlsFNepaJhAbNX6yHPJTD3a3DozL/view?usp=sharing</t>
  </si>
  <si>
    <t>2022-03-08T17:15:04.847270+00:00</t>
  </si>
  <si>
    <t>https://bellingcat-archive.nyc3.cdn.digitaloceanspaces.com/Ukraine_Witness_Datasheet/Worksheet/wayback__file_d_1eHhyFlsFNepaJhAbNX6yHPJTD3a3DozL_view2022-03-08T17:14:57.407279.png</t>
  </si>
  <si>
    <t>Heroiv_Pratsi_Kharkiv_IMG_0476.MOV - Google Drive</t>
  </si>
  <si>
    <t>50.052215</t>
  </si>
  <si>
    <t>36.349062</t>
  </si>
  <si>
    <t>https://t.me/truexanewsua/28711</t>
  </si>
  <si>
    <t>CIV0249</t>
  </si>
  <si>
    <t>Home destroyed in Kharkiv suburbs (Henerala Udovychenka St, 148)</t>
  </si>
  <si>
    <t>UW1828</t>
  </si>
  <si>
    <t>https://bellingcat-archive.nyc3.cdn.digitaloceanspaces.com/Ukraine_Witness_Datasheet/Worksheet/telegram_5f64e60351.mp4</t>
  </si>
  <si>
    <t>2022-03-08T17:16:39.656827+00:00</t>
  </si>
  <si>
    <t>https://bellingcat-archive.nyc3.cdn.digitaloceanspaces.com/Ukraine_Witness_Datasheet/Worksheet/telegram__truexanewsua_287112022-03-08T17:15:05.888216.png</t>
  </si>
  <si>
    <t>c6477780d583d444579ab450fb3bb5339619908335dd866a20687dc4a0772c6a</t>
  </si>
  <si>
    <t>https://bellingcat-archive.nyc3.cdn.digitaloceanspaces.com/Ukraine_Witness_Datasheet/Worksheet/telegram_5f64e60351/index.html</t>
  </si>
  <si>
    <t>2022-03-03T13:20:09+00:00</t>
  </si>
  <si>
    <t>https://drive.google.com/file/d/14BBF9OwpusanlTfjvw9DQU0hfIMDfguD/view?usp=sharing</t>
  </si>
  <si>
    <t>UW1829</t>
  </si>
  <si>
    <t>https://web.archive.org/web/20220308171643/https://drive.google.com/file/d/14BBF9OwpusanlTfjvw9DQU0hfIMDfguD/view?usp=sharing</t>
  </si>
  <si>
    <t>2022-03-08T17:17:10.700822+00:00</t>
  </si>
  <si>
    <t>https://bellingcat-archive.nyc3.cdn.digitaloceanspaces.com/Ukraine_Witness_Datasheet/Worksheet/wayback__file_d_14BBF9OwpusanlTfjvw9DQU0hfIMDfguD_view2022-03-08T17:17:02.849078.png</t>
  </si>
  <si>
    <t>Velyka Danylivka_IMG_0205.MOV - Google Drive</t>
  </si>
  <si>
    <t>49.343449</t>
  </si>
  <si>
    <t>37.528146</t>
  </si>
  <si>
    <t>https://t.me/truexanewsua/29432</t>
  </si>
  <si>
    <t>CIV0250</t>
  </si>
  <si>
    <t>Primary school destroyed in Horokhovatka, Kharkiv</t>
  </si>
  <si>
    <t>Horokhovatka</t>
  </si>
  <si>
    <t>UW1830</t>
  </si>
  <si>
    <t>https://bellingcat-archive.nyc3.cdn.digitaloceanspaces.com/Ukraine_Witness_Datasheet/Worksheet/telegram__truexanewsua_29432.html</t>
  </si>
  <si>
    <t>2022-03-08T17:17:20.355148+00:00</t>
  </si>
  <si>
    <t>https://bellingcat-archive.nyc3.cdn.digitaloceanspaces.com/Ukraine_Witness_Datasheet/Worksheet/telegram__truexanewsua_294322022-03-08T17:17:11.545923.png</t>
  </si>
  <si>
    <t>3231a5c6d2ddb344986808247c7d19a33fe536180c58a569bc7b0a7aba16c20a</t>
  </si>
  <si>
    <t>2022-03-04T15:55:37+00:00</t>
  </si>
  <si>
    <t>https://drive.google.com/drive/folders/16_pS1Mlo_VFCRykZq9677W0YNZWf9HhS?usp=sharing</t>
  </si>
  <si>
    <t>UW1831</t>
  </si>
  <si>
    <t>https://web.archive.org/web/20220308171741/https://drive.google.com/drive/folders/16_pS1Mlo_VFCRykZq9677W0YNZWf9HhS?usp=sharing</t>
  </si>
  <si>
    <t>2022-03-08T17:18:08.417397+00:00</t>
  </si>
  <si>
    <t>https://bellingcat-archive.nyc3.cdn.digitaloceanspaces.com/Ukraine_Witness_Datasheet/Worksheet/wayback__drive_folders_16_pS1Mlo_VFCRykZq9677W0YNZWf9HhS2022-03-08T17:17:59.832271.png</t>
  </si>
  <si>
    <t>Horokhovatka - Google Drive</t>
  </si>
  <si>
    <t>50.04408774</t>
  </si>
  <si>
    <t>36.32579987</t>
  </si>
  <si>
    <t>https://t.me/truexanewsua/29313</t>
  </si>
  <si>
    <t>CIV0251</t>
  </si>
  <si>
    <t>Primary school #96 in Velyka Danylivka was damaged by shelling</t>
  </si>
  <si>
    <t>UW1832</t>
  </si>
  <si>
    <t>https://bellingcat-archive.nyc3.cdn.digitaloceanspaces.com/Ukraine_Witness_Datasheet/Worksheet/telegram_3cce1348b6.mp4</t>
  </si>
  <si>
    <t>2022-03-08T17:18:39.537611+00:00</t>
  </si>
  <si>
    <t>https://bellingcat-archive.nyc3.cdn.digitaloceanspaces.com/Ukraine_Witness_Datasheet/Worksheet/telegram__truexanewsua_293132022-03-08T17:18:09.284412.png</t>
  </si>
  <si>
    <t>117eca6aac3ceb3d63944d16fbbb1dcb52612c759538c6e6904d0f8204522839</t>
  </si>
  <si>
    <t>https://bellingcat-archive.nyc3.cdn.digitaloceanspaces.com/Ukraine_Witness_Datasheet/Worksheet/telegram_3cce1348b6/index.html</t>
  </si>
  <si>
    <t>2022-03-04T11:55:30+00:00</t>
  </si>
  <si>
    <t>https://drive.google.com/drive/folders/1Sk1Qa_Mdkc2_saKMDB1i6ZDLe0WG9klB?usp=sharing</t>
  </si>
  <si>
    <t>UW1833</t>
  </si>
  <si>
    <t>https://web.archive.org/web/20220308171846/https://drive.google.com/drive/folders/1Sk1Qa_Mdkc2_saKMDB1i6ZDLe0WG9klB?usp=sharing</t>
  </si>
  <si>
    <t>2022-03-08T17:19:03.014237+00:00</t>
  </si>
  <si>
    <t>https://bellingcat-archive.nyc3.cdn.digitaloceanspaces.com/Ukraine_Witness_Datasheet/Worksheet/wayback__drive_folders_1Sk1Qa_Mdkc2_saKMDB1i6ZDLe0WG9klB2022-03-08T17:18:54.569461.png</t>
  </si>
  <si>
    <t>School96 - Google Drive</t>
  </si>
  <si>
    <t>50.035600</t>
  </si>
  <si>
    <t>36.368472</t>
  </si>
  <si>
    <t>https://t.me/truexanewsua/29393</t>
  </si>
  <si>
    <t>CIV0252</t>
  </si>
  <si>
    <t>Block of flats on Metrobudivnykiv St. in Kharkiv damaged after shelling</t>
  </si>
  <si>
    <t>UW1834</t>
  </si>
  <si>
    <t>https://bellingcat-archive.nyc3.cdn.digitaloceanspaces.com/Ukraine_Witness_Datasheet/Worksheet/telegram_8e7b843bd8.mp4</t>
  </si>
  <si>
    <t>2022-03-08T17:20:04.398746+00:00</t>
  </si>
  <si>
    <t>https://bellingcat-archive.nyc3.cdn.digitaloceanspaces.com/Ukraine_Witness_Datasheet/Worksheet/telegram__truexanewsua_293932022-03-08T17:19:03.986591.png</t>
  </si>
  <si>
    <t>ac56e88dda22c7449b947be6c04515add3aa06d399c18361849b70877e505df3</t>
  </si>
  <si>
    <t>https://bellingcat-archive.nyc3.cdn.digitaloceanspaces.com/Ukraine_Witness_Datasheet/Worksheet/telegram_8e7b843bd8/index.html</t>
  </si>
  <si>
    <t>2022-03-04T14:28:43+00:00</t>
  </si>
  <si>
    <t>Corrected location to other building underpass</t>
  </si>
  <si>
    <t>https://drive.google.com/file/d/1PjI9IJ-SgDbVtGaPQLYHucgh3ExwqHD7/view?usp=sharing</t>
  </si>
  <si>
    <t>UW1835</t>
  </si>
  <si>
    <t>Civiliain infrastructure damage</t>
  </si>
  <si>
    <t>https://web.archive.org/web/20220308172008/https://drive.google.com/file/d/1PjI9IJ-SgDbVtGaPQLYHucgh3ExwqHD7/view?usp=sharing</t>
  </si>
  <si>
    <t>2022-03-08T17:20:23.359233+00:00</t>
  </si>
  <si>
    <t>https://bellingcat-archive.nyc3.cdn.digitaloceanspaces.com/Ukraine_Witness_Datasheet/Worksheet/wayback__file_d_1PjI9IJ-SgDbVtGaPQLYHucgh3ExwqHD7_view2022-03-08T17:20:15.628199.png</t>
  </si>
  <si>
    <t>IMG_0464.MOV - Google Drive</t>
  </si>
  <si>
    <t>Drive link, Corrected location to other building underpass</t>
  </si>
  <si>
    <t>50.028559</t>
  </si>
  <si>
    <t>36.344889</t>
  </si>
  <si>
    <t>https://t.me/truexanewsua/29481</t>
  </si>
  <si>
    <t>CIV0253</t>
  </si>
  <si>
    <t>Block of flats is on fire after shelling in Buchmy St, 8Б, Kharkiv</t>
  </si>
  <si>
    <t>UW1836</t>
  </si>
  <si>
    <t>https://bellingcat-archive.nyc3.cdn.digitaloceanspaces.com/Ukraine_Witness_Datasheet/Worksheet/telegram_9ce493c8df.mp4</t>
  </si>
  <si>
    <t>2022-03-08T17:21:39.165840+00:00</t>
  </si>
  <si>
    <t>https://bellingcat-archive.nyc3.cdn.digitaloceanspaces.com/Ukraine_Witness_Datasheet/Worksheet/telegram__truexanewsua_294812022-03-08T17:20:24.248677.png</t>
  </si>
  <si>
    <t>c89eff076395d7f8e0c6fa3066f073622701d470872b01bab1f73dcf7cead601</t>
  </si>
  <si>
    <t>https://bellingcat-archive.nyc3.cdn.digitaloceanspaces.com/Ukraine_Witness_Datasheet/Worksheet/telegram_9ce493c8df/index.html</t>
  </si>
  <si>
    <t>2022-03-04T17:34:58+00:00</t>
  </si>
  <si>
    <t>https://drive.google.com/file/d/1cTIC9ubX7uZsp5mnJpR2KfThlfBEs3qh/view?usp=sharing</t>
  </si>
  <si>
    <t>UW1837</t>
  </si>
  <si>
    <t>https://web.archive.org/web/20220308172145/https://drive.google.com/file/d/1cTIC9ubX7uZsp5mnJpR2KfThlfBEs3qh/view?usp=sharing</t>
  </si>
  <si>
    <t>2022-03-08T17:22:00.244925+00:00</t>
  </si>
  <si>
    <t>https://bellingcat-archive.nyc3.cdn.digitaloceanspaces.com/Ukraine_Witness_Datasheet/Worksheet/wayback__file_d_1cTIC9ubX7uZsp5mnJpR2KfThlfBEs3qh_view2022-03-08T17:21:52.621751.png</t>
  </si>
  <si>
    <t>IMG_0507.MOV - Google Drive</t>
  </si>
  <si>
    <t>50.440221</t>
  </si>
  <si>
    <t>30.295086</t>
  </si>
  <si>
    <t>https://t.me/voyna_novost/18307</t>
  </si>
  <si>
    <t>CIV0254</t>
  </si>
  <si>
    <t xml:space="preserve"> Administrative building on fire and collapsing, Chaiky village, near Kyiv </t>
  </si>
  <si>
    <t>UW1838</t>
  </si>
  <si>
    <t>https://bellingcat-archive.nyc3.cdn.digitaloceanspaces.com/Ukraine_Witness_Datasheet/Worksheet/telegram_5e643253a1.mp4</t>
  </si>
  <si>
    <t>2022-03-08T17:23:06.603277+00:00</t>
  </si>
  <si>
    <t>https://bellingcat-archive.nyc3.cdn.digitaloceanspaces.com/Ukraine_Witness_Datasheet/Worksheet/telegram__voyna_novost_183072022-03-08T17:22:01.103713.png</t>
  </si>
  <si>
    <t>9746dbbc22279e1ccf639643381f7542b20f1b1df55bc31057403d3464b19f70</t>
  </si>
  <si>
    <t>https://bellingcat-archive.nyc3.cdn.digitaloceanspaces.com/Ukraine_Witness_Datasheet/Worksheet/telegram_5e643253a1/index.html</t>
  </si>
  <si>
    <t>2022-03-04T12:29:15+00:00</t>
  </si>
  <si>
    <t>https://drive.google.com/drive/folders/19USmheED_rUzJO0RvYEZx7u6nTo91zTV?usp=sharing</t>
  </si>
  <si>
    <t>UW1839</t>
  </si>
  <si>
    <t>https://web.archive.org/web/20220308172314/https://drive.google.com/drive/folders/19USmheED_rUzJO0RvYEZx7u6nTo91zTV?usp=sharing</t>
  </si>
  <si>
    <t>2022-03-08T17:23:31.411532+00:00</t>
  </si>
  <si>
    <t>https://bellingcat-archive.nyc3.cdn.digitaloceanspaces.com/Ukraine_Witness_Datasheet/Worksheet/wayback__drive_folders_19USmheED_rUzJO0RvYEZx7u6nTo91zTV2022-03-08T17:23:23.036511.png</t>
  </si>
  <si>
    <t>Chaiky - Google Drive</t>
  </si>
  <si>
    <t>49.536328</t>
  </si>
  <si>
    <t>39.105667</t>
  </si>
  <si>
    <t>twitter.com/aldin_ww/status/1500126664952623112</t>
  </si>
  <si>
    <t>REPEAT of CIV0208</t>
  </si>
  <si>
    <t>Protestor shot and injured in Novopskov</t>
  </si>
  <si>
    <t>UW1840</t>
  </si>
  <si>
    <t>https://www.nytimes.com/live/2022/03/05/world/russia-ukraine/videos-show-what-appear-to-be-russian-backed-forces-firing-at-protesters</t>
  </si>
  <si>
    <t>UW1841</t>
  </si>
  <si>
    <t>https://web.archive.org/web/20220308172420/https://www.nytimes.com/live/2022/03/05/world/russia-ukraine/videos-show-what-appear-to-be-russian-backed-forces-firing-at-protesters</t>
  </si>
  <si>
    <t>2022-03-08T17:24:53.824119+00:00</t>
  </si>
  <si>
    <t>https://bellingcat-archive.nyc3.cdn.digitaloceanspaces.com/Ukraine_Witness_Datasheet/Worksheet/wayback_22_03_05_world_russia-ukraine_videos-show-what-appear-to-be-russian-backed-forces-firing-at-protesters2022-03-08T17:24:41.279116.png</t>
  </si>
  <si>
    <t>What Happened on Day 10 of Russia’s Invasion of Ukraine - The New York Times</t>
  </si>
  <si>
    <t>https://twitter.com/arthur_wrb/status/1500135392607145989?s=20&amp;t=zjpgqZq03Aj4eStg3fOByQ</t>
  </si>
  <si>
    <t>UW1842</t>
  </si>
  <si>
    <t>https://bellingcat-archive.nyc3.cdn.digitaloceanspaces.com/Ukraine_Witness_Datasheet/Worksheet/youtube_dl_1500135392607145989.mp4</t>
  </si>
  <si>
    <t>2022-03-08T17:25:20.499653+00:00</t>
  </si>
  <si>
    <t>https://bellingcat-archive.nyc3.cdn.digitaloceanspaces.com/Ukraine_Witness_Datasheet/Worksheet/youtube_dl__arthur_wrb_status_15001353926071459892022-03-08T17:24:57.273251.png</t>
  </si>
  <si>
    <t>https://bellingcat-archive.nyc3.cdn.digitaloceanspaces.com/Ukraine_Witness_Datasheet/Worksheet/youtube_dl_1500135392607145989/index.html</t>
  </si>
  <si>
    <t>Arthur Weil-Rabaud - Civilians were reportedly shot at by Russian soldiers during a demonstration in #Novopskov (#Новопсков) #UkraineRussiaWar  📌 Location : 49.536328, 39.105667</t>
  </si>
  <si>
    <t>2022-03-05T15:45:23+00:00</t>
  </si>
  <si>
    <t>50.49737427</t>
  </si>
  <si>
    <t>30.24228574</t>
  </si>
  <si>
    <t>https://t.me/Novoeizdanie/6895</t>
  </si>
  <si>
    <t>CIV0256</t>
  </si>
  <si>
    <t>Residential complex "ЖК Green Side" on Universitetskaya Street, Irpin, was hit by at least 3 projectiles.</t>
  </si>
  <si>
    <t>UW1843</t>
  </si>
  <si>
    <t>https://bellingcat-archive.nyc3.cdn.digitaloceanspaces.com/Ukraine_Witness_Datasheet/Worksheet/telegram__Novoeizdanie_6895.html</t>
  </si>
  <si>
    <t>2022-03-08T17:25:28.945651+00:00</t>
  </si>
  <si>
    <t>https://bellingcat-archive.nyc3.cdn.digitaloceanspaces.com/Ukraine_Witness_Datasheet/Worksheet/telegram__Novoeizdanie_68952022-03-08T17:25:21.217763.png</t>
  </si>
  <si>
    <t>c9bea9f69d8abd7b3a3ceb30768fcedaa6ac966fd83622ce60f819fbfbfe25d9</t>
  </si>
  <si>
    <t>2022-03-05T15:22:03+00:00</t>
  </si>
  <si>
    <t>https://t.me/Kievskiy_dvizh_novosti/4038</t>
  </si>
  <si>
    <t>UW1844</t>
  </si>
  <si>
    <t>https://web.archive.org/web/20220308172541/https://t.me/Kievskiy_dvizh_novosti/4038</t>
  </si>
  <si>
    <t>2022-03-08T17:27:24.082082+00:00</t>
  </si>
  <si>
    <t>https://bellingcat-archive.nyc3.cdn.digitaloceanspaces.com/Ukraine_Witness_Datasheet/Worksheet/wayback__Kievskiy_dvizh_novosti_40382022-03-08T17:27:14.707379.png</t>
  </si>
  <si>
    <t>Telegram: Contact @Kievskiy_dvizh_novosti</t>
  </si>
  <si>
    <t>https://t.me/Kievskiy_dvizh_novosti/3688</t>
  </si>
  <si>
    <t>CIV0257</t>
  </si>
  <si>
    <t>Residential apartment buildings in Irpin being shelled, 5 shells on one building and 1 on another.</t>
  </si>
  <si>
    <t>UW1845</t>
  </si>
  <si>
    <t>https://web.archive.org/web/20220308172737/https://t.me/Kievskiy_dvizh_novosti/3688</t>
  </si>
  <si>
    <t>2022-03-08T17:29:18.153428+00:00</t>
  </si>
  <si>
    <t>https://bellingcat-archive.nyc3.cdn.digitaloceanspaces.com/Ukraine_Witness_Datasheet/Worksheet/wayback__Kievskiy_dvizh_novosti_36882022-03-08T17:29:08.639366.png</t>
  </si>
  <si>
    <t>50.522583</t>
  </si>
  <si>
    <t>30.226549</t>
  </si>
  <si>
    <t>https://twitter.com/dtcdonetskua/status/1500136681508376589</t>
  </si>
  <si>
    <t>CIV0258</t>
  </si>
  <si>
    <t>Damage, reportedly from artillery and fire at the University of the State Fiscal Service of Ukraine.</t>
  </si>
  <si>
    <t>UW1846</t>
  </si>
  <si>
    <t>https://bellingcat-archive.nyc3.cdn.digitaloceanspaces.com/Ukraine_Witness_Datasheet/Worksheet/twitter__dtcdonetskua_status_1500136681508376589.html</t>
  </si>
  <si>
    <t>2022-03-08T17:29:30.904109+00:00</t>
  </si>
  <si>
    <t>https://bellingcat-archive.nyc3.cdn.digitaloceanspaces.com/Ukraine_Witness_Datasheet/Worksheet/twitter__dtcdonetskua_status_15001366815083765892022-03-08T17:29:21.157463.png</t>
  </si>
  <si>
    <t>c3d1427b718654d111cf51ac01f22d7ce5b7703eac7832cc3cd402928e5f9b9a</t>
  </si>
  <si>
    <t>2022-03-05T15:50:30+00:00</t>
  </si>
  <si>
    <t>https://www.facebook.com/photo/?fbid=326150029552893&amp;set=pcb.326150199552876</t>
  </si>
  <si>
    <t>UW1847</t>
  </si>
  <si>
    <t>https://web.archive.org/web/20220308172934/https://www.facebook.com/photo/?fbid=326150029552893&amp;set=pcb.326150199552876</t>
  </si>
  <si>
    <t>2022-03-08T17:29:47.427611+00:00</t>
  </si>
  <si>
    <t>https://bellingcat-archive.nyc3.cdn.digitaloceanspaces.com/Ukraine_Witness_Datasheet/Worksheet/wayback__photo_2022-03-08T17:29:39.356577.png</t>
  </si>
  <si>
    <t>https://twitter.com/Armia_fm/status/1499804381797093380?s=20&amp;t=jUjlCq30cWzevD6Kd7sa4A</t>
  </si>
  <si>
    <t>UW1848</t>
  </si>
  <si>
    <t>https://bellingcat-archive.nyc3.cdn.digitaloceanspaces.com/Ukraine_Witness_Datasheet/Worksheet/twitter__Armia_fm_status_1499804381797093380.html</t>
  </si>
  <si>
    <t>2022-03-08T17:30:00.898501+00:00</t>
  </si>
  <si>
    <t>https://bellingcat-archive.nyc3.cdn.digitaloceanspaces.com/Ukraine_Witness_Datasheet/Worksheet/twitter__Armia_fm_status_14998043817970933802022-03-08T17:29:52.440595.png</t>
  </si>
  <si>
    <t>f485192312eb2bd4f89c010a696f188205ea115fc4cb90c066ed7e1b3aa80226</t>
  </si>
  <si>
    <t>2022-03-04T17:50:04+00:00</t>
  </si>
  <si>
    <t>50.52649</t>
  </si>
  <si>
    <t>30.228199</t>
  </si>
  <si>
    <t>https://t.me/Kievskiy_dvizh_novosti/3716</t>
  </si>
  <si>
    <t>CIV0259</t>
  </si>
  <si>
    <t>Residential complex "Lemongrass" on Turhenivska Street damaged by multiple projectiles</t>
  </si>
  <si>
    <t>UW1849</t>
  </si>
  <si>
    <t>wayback: Internet Archive failed: {'status': 'pending', 'resources': [], 'job_id': 'spn2-4d278d3e4a0bb9627238bca1e42dca41234ce693-10b444e6'}</t>
  </si>
  <si>
    <t>2022-03-08T17:31:57.880741+00:00</t>
  </si>
  <si>
    <t>https://t.me/Kievskiy_dvizh_novosti/3670</t>
  </si>
  <si>
    <t>UW1850</t>
  </si>
  <si>
    <t>https://web.archive.org/web/20220308173209/https://t.me/Kievskiy_dvizh_novosti/3670</t>
  </si>
  <si>
    <t>2022-03-08T17:33:53.213517+00:00</t>
  </si>
  <si>
    <t>https://bellingcat-archive.nyc3.cdn.digitaloceanspaces.com/Ukraine_Witness_Datasheet/Worksheet/wayback__Kievskiy_dvizh_novosti_36702022-03-08T17:33:45.130161.png</t>
  </si>
  <si>
    <t>50.51897</t>
  </si>
  <si>
    <t>30.21263</t>
  </si>
  <si>
    <t>https://t.me/Kievskiy_dvizh_novosti/3669</t>
  </si>
  <si>
    <t>CIV0260</t>
  </si>
  <si>
    <t xml:space="preserve">Residential apartment building on Mechnikova Street damaged by projectile. </t>
  </si>
  <si>
    <t>UW1851</t>
  </si>
  <si>
    <t>https://web.archive.org/web/20220308173431/https://t.me/Kievskiy_dvizh_novosti/3669</t>
  </si>
  <si>
    <t>2022-03-08T17:36:13.284228+00:00</t>
  </si>
  <si>
    <t>https://bellingcat-archive.nyc3.cdn.digitaloceanspaces.com/Ukraine_Witness_Datasheet/Worksheet/wayback__Kievskiy_dvizh_novosti_36692022-03-08T17:36:03.879438.png</t>
  </si>
  <si>
    <t>47.50675676</t>
  </si>
  <si>
    <t>34.58523022</t>
  </si>
  <si>
    <t>https://twitter.com/HromadskeRadio/status/1500194946917273601/photo/3</t>
  </si>
  <si>
    <t>CIV0261</t>
  </si>
  <si>
    <t>Interior damage and bulletholes inside office of Zaporizhzhia Nuclear Power Station facing Promyshlennaya Street parking lot</t>
  </si>
  <si>
    <t>UW1852</t>
  </si>
  <si>
    <t>https://bellingcat-archive.nyc3.cdn.digitaloceanspaces.com/Ukraine_Witness_Datasheet/Worksheet/twitter__HromadskeRadio_status_1500194946917273601_photo_3.html</t>
  </si>
  <si>
    <t>2022-03-08T17:36:26.975592+00:00</t>
  </si>
  <si>
    <t>https://bellingcat-archive.nyc3.cdn.digitaloceanspaces.com/Ukraine_Witness_Datasheet/Worksheet/twitter__HromadskeRadio_status_1500194946917273601_photo_32022-03-08T17:36:18.270958.png</t>
  </si>
  <si>
    <t>9641b008e262027be2adbd990d7a97e0eabe2c144665c449e60d7cd1c30406ac</t>
  </si>
  <si>
    <t>2022-03-05T19:42:02+00:00</t>
  </si>
  <si>
    <t>https://t.me/truexanewsua/29198</t>
  </si>
  <si>
    <t>UW1853</t>
  </si>
  <si>
    <t>https://bellingcat-archive.nyc3.cdn.digitaloceanspaces.com/Ukraine_Witness_Datasheet/Worksheet/telegram__truexanewsua_29198.html</t>
  </si>
  <si>
    <t>2022-03-08T17:36:35.801012+00:00</t>
  </si>
  <si>
    <t>https://bellingcat-archive.nyc3.cdn.digitaloceanspaces.com/Ukraine_Witness_Datasheet/Worksheet/telegram__truexanewsua_291982022-03-08T17:36:27.790513.png</t>
  </si>
  <si>
    <t>cfa80152a26ed7ed2e9330112ce8a89433f6de9c3169c205ea01f9cf786be25e</t>
  </si>
  <si>
    <t>2022-03-04T08:35:06+00:00</t>
  </si>
  <si>
    <t>50.434677</t>
  </si>
  <si>
    <t>30.088311</t>
  </si>
  <si>
    <t>https://t.me/truexanewsua/29344</t>
  </si>
  <si>
    <t>CIV0263</t>
  </si>
  <si>
    <t>Civilian casulty in car</t>
  </si>
  <si>
    <t>Hurivshchyna</t>
  </si>
  <si>
    <t>UW1854</t>
  </si>
  <si>
    <t>https://bellingcat-archive.nyc3.cdn.digitaloceanspaces.com/Ukraine_Witness_Datasheet/Worksheet/telegram__truexanewsua_29344.html</t>
  </si>
  <si>
    <t>2022-03-08T17:36:46.086050+00:00</t>
  </si>
  <si>
    <t>https://bellingcat-archive.nyc3.cdn.digitaloceanspaces.com/Ukraine_Witness_Datasheet/Worksheet/telegram__truexanewsua_293442022-03-08T17:36:36.820152.png</t>
  </si>
  <si>
    <t>0099577b6c421ad26dd3814c481cee3bffc7bce5ce3b9ae7f9664de113720e05</t>
  </si>
  <si>
    <t>2022-03-04T13:00:35+00:00</t>
  </si>
  <si>
    <t>https://drive.google.com/drive/folders/1wNxlZNhTodNrIgPIhMrEjWDf811xdtOm?usp=sharing</t>
  </si>
  <si>
    <t>UW1855</t>
  </si>
  <si>
    <t>https://web.archive.org/web/20220308173655/https://drive.google.com/drive/folders/1wNxlZNhTodNrIgPIhMrEjWDf811xdtOm?usp=sharing</t>
  </si>
  <si>
    <t>2022-03-08T17:37:17.037004+00:00</t>
  </si>
  <si>
    <t>https://bellingcat-archive.nyc3.cdn.digitaloceanspaces.com/Ukraine_Witness_Datasheet/Worksheet/wayback__drive_folders_1wNxlZNhTodNrIgPIhMrEjWDf811xdtOm2022-03-08T17:37:08.467637.png</t>
  </si>
  <si>
    <t>Hyrivchyna - Google Drive</t>
  </si>
  <si>
    <t>50.42184788</t>
  </si>
  <si>
    <t>30.04548481</t>
  </si>
  <si>
    <t>https://t.me/c/1248149892/8151</t>
  </si>
  <si>
    <t>CIV0265</t>
  </si>
  <si>
    <t>Primary school and nearby buildings damaged in Buzova. [Possible repeat?]</t>
  </si>
  <si>
    <t>UW1856</t>
  </si>
  <si>
    <t>https://web.archive.org/web/20220308173728/https://t.me/c/1248149892/8151</t>
  </si>
  <si>
    <t>2022-03-08T17:39:11.359048+00:00</t>
  </si>
  <si>
    <t>https://bellingcat-archive.nyc3.cdn.digitaloceanspaces.com/Ukraine_Witness_Datasheet/Worksheet/wayback__c_1248149892_81512022-03-08T17:39:02.340961.png</t>
  </si>
  <si>
    <t>https://drive.google.com/drive/folders/1qj3LG50psDewqNORpS9-YIIsqAM55AL8?usp=sharing</t>
  </si>
  <si>
    <t>UW1857</t>
  </si>
  <si>
    <t>https://web.archive.org/web/20220308173916/https://drive.google.com/drive/folders/1qj3LG50psDewqNORpS9-YIIsqAM55AL8?usp=sharing</t>
  </si>
  <si>
    <t>2022-03-08T17:39:33.071359+00:00</t>
  </si>
  <si>
    <t>https://bellingcat-archive.nyc3.cdn.digitaloceanspaces.com/Ukraine_Witness_Datasheet/Worksheet/wayback__drive_folders_1qj3LG50psDewqNORpS9-YIIsqAM55AL82022-03-08T17:39:24.787808.png</t>
  </si>
  <si>
    <t>Buzova - Google Drive</t>
  </si>
  <si>
    <t>50.023189</t>
  </si>
  <si>
    <t>36.322433</t>
  </si>
  <si>
    <t>https://t.me/truexanewsua/30188</t>
  </si>
  <si>
    <t>CIV0266</t>
  </si>
  <si>
    <t>Rocket motor for cluster munition embedded on a playground in Kharkiv</t>
  </si>
  <si>
    <t>UW1858</t>
  </si>
  <si>
    <t>https://bellingcat-archive.nyc3.cdn.digitaloceanspaces.com/Ukraine_Witness_Datasheet/Worksheet/telegram__truexanewsua_30188.html</t>
  </si>
  <si>
    <t>2022-03-08T17:39:46.094204+00:00</t>
  </si>
  <si>
    <t>https://bellingcat-archive.nyc3.cdn.digitaloceanspaces.com/Ukraine_Witness_Datasheet/Worksheet/telegram__truexanewsua_301882022-03-08T17:39:34.095781.png</t>
  </si>
  <si>
    <t>970cdd8c6cb93324c66dcdc943bf58aa20ffba3f2a1f7a96325c9073d5d1a288</t>
  </si>
  <si>
    <t>2022-03-06T11:40:09+00:00</t>
  </si>
  <si>
    <t>https://drive.google.com/drive/folders/1UuS8K_IFNvMi6WecF8ooXvFQEWiBSciK?usp=sharing</t>
  </si>
  <si>
    <t>UW1859</t>
  </si>
  <si>
    <t>https://web.archive.org/web/20220308173953/https://drive.google.com/drive/folders/1UuS8K_IFNvMi6WecF8ooXvFQEWiBSciK?usp=sharing</t>
  </si>
  <si>
    <t>2022-03-08T17:40:11.418628+00:00</t>
  </si>
  <si>
    <t>https://bellingcat-archive.nyc3.cdn.digitaloceanspaces.com/Ukraine_Witness_Datasheet/Worksheet/wayback__drive_folders_1UuS8K_IFNvMi6WecF8ooXvFQEWiBSciK2022-03-08T17:40:03.033786.png</t>
  </si>
  <si>
    <t>522_Kharkiv - Google Drive</t>
  </si>
  <si>
    <t>49.98307659</t>
  </si>
  <si>
    <t>36.19798439</t>
  </si>
  <si>
    <t>https://t.me/truexanewsua/30200</t>
  </si>
  <si>
    <t>CIV0267</t>
  </si>
  <si>
    <t>Correctional facility #18 (prison) and surrounding buildings damaged by shelling in Kharkiv</t>
  </si>
  <si>
    <t>UW1860</t>
  </si>
  <si>
    <t>https://bellingcat-archive.nyc3.cdn.digitaloceanspaces.com/Ukraine_Witness_Datasheet/Worksheet/telegram_2648785b6d.mp4</t>
  </si>
  <si>
    <t>2022-03-08T17:41:04.832423+00:00</t>
  </si>
  <si>
    <t>https://bellingcat-archive.nyc3.cdn.digitaloceanspaces.com/Ukraine_Witness_Datasheet/Worksheet/telegram__truexanewsua_302002022-03-08T17:40:12.264475.png</t>
  </si>
  <si>
    <t>da6c73312e653bb5f6af2e7fcfb3e25659767c34a24f4a75acaac102c4e9f677</t>
  </si>
  <si>
    <t>https://bellingcat-archive.nyc3.cdn.digitaloceanspaces.com/Ukraine_Witness_Datasheet/Worksheet/telegram_2648785b6d/index.html</t>
  </si>
  <si>
    <t>2022-03-06T12:23:34+00:00</t>
  </si>
  <si>
    <t>https://drive.google.com/file/d/1jEN0ICaraxi_OmcKmDR_Mj1ZNUTgv7EE/view?usp=sharing</t>
  </si>
  <si>
    <t>UW1861</t>
  </si>
  <si>
    <t>https://web.archive.org/web/20220308174108/https://drive.google.com/file/d/1jEN0ICaraxi_OmcKmDR_Mj1ZNUTgv7EE/view?usp=sharing</t>
  </si>
  <si>
    <t>2022-03-08T17:41:23.717903+00:00</t>
  </si>
  <si>
    <t>https://bellingcat-archive.nyc3.cdn.digitaloceanspaces.com/Ukraine_Witness_Datasheet/Worksheet/wayback__file_d_1jEN0ICaraxi_OmcKmDR_Mj1ZNUTgv7EE_view2022-03-08T17:41:16.255787.png</t>
  </si>
  <si>
    <t>50.089999</t>
  </si>
  <si>
    <t>36.256595</t>
  </si>
  <si>
    <t>https://drive.google.com/drive/folders/1rr5GLMz3bBBRjtn38gcgjtwjLjjxdZs3?usp=sharing</t>
  </si>
  <si>
    <t>A group of civilians killed and severely injured by artillery fire in P'yatykhatky</t>
  </si>
  <si>
    <t>UW1862</t>
  </si>
  <si>
    <t>https://web.archive.org/web/20220308174127/https://drive.google.com/drive/folders/1rr5GLMz3bBBRjtn38gcgjtwjLjjxdZs3?usp=sharing</t>
  </si>
  <si>
    <t>2022-03-08T17:41:44.518401+00:00</t>
  </si>
  <si>
    <t>https://bellingcat-archive.nyc3.cdn.digitaloceanspaces.com/Ukraine_Witness_Datasheet/Worksheet/wayback__drive_folders_1rr5GLMz3bBBRjtn38gcgjtwjLjjxdZs32022-03-08T17:41:36.423119.png</t>
  </si>
  <si>
    <t>5Hatky - Google Drive</t>
  </si>
  <si>
    <t>49.9806225</t>
  </si>
  <si>
    <t>36.17695352</t>
  </si>
  <si>
    <t>https://twitter.com/bura_tinko/status/1498899746521587713</t>
  </si>
  <si>
    <t>CIV0272</t>
  </si>
  <si>
    <t xml:space="preserve">Shops and residences damaged in Kharkiv. </t>
  </si>
  <si>
    <t>UW1863</t>
  </si>
  <si>
    <t>https://bellingcat-archive.nyc3.cdn.digitaloceanspaces.com/Ukraine_Witness_Datasheet/Worksheet/youtube_dl_1498899746521587713.mp4</t>
  </si>
  <si>
    <t>2022-03-08T17:42:32.841467+00:00</t>
  </si>
  <si>
    <t>https://bellingcat-archive.nyc3.cdn.digitaloceanspaces.com/Ukraine_Witness_Datasheet/Worksheet/youtube_dl__bura_tinko_status_14988997465215877132022-03-08T17:42:14.708878.png</t>
  </si>
  <si>
    <t>7f7a437fb1ac8fae6bd45d418b0518575e3511977b5d4c432638bc1d3eca3d75</t>
  </si>
  <si>
    <t>https://bellingcat-archive.nyc3.cdn.digitaloceanspaces.com/Ukraine_Witness_Datasheet/Worksheet/youtube_dl_1498899746521587713/index.html</t>
  </si>
  <si>
    <t>CHIPOLLINO - Харьков Хгора 02.03.2022</t>
  </si>
  <si>
    <t>2022-03-02T05:55:22+00:00</t>
  </si>
  <si>
    <t>50.041392</t>
  </si>
  <si>
    <t>36.357527</t>
  </si>
  <si>
    <t>https://t.me/truexanewsua/29944</t>
  </si>
  <si>
    <t>CIV0273</t>
  </si>
  <si>
    <t>Kindergarden in Kharkiv reportedly hit by artillery</t>
  </si>
  <si>
    <t>UW1864</t>
  </si>
  <si>
    <t>https://bellingcat-archive.nyc3.cdn.digitaloceanspaces.com/Ukraine_Witness_Datasheet/Worksheet/telegram_0e721957a2.mp4</t>
  </si>
  <si>
    <t>2022-03-08T17:44:12.263748+00:00</t>
  </si>
  <si>
    <t>https://bellingcat-archive.nyc3.cdn.digitaloceanspaces.com/Ukraine_Witness_Datasheet/Worksheet/telegram__truexanewsua_299442022-03-08T17:42:33.705183.png</t>
  </si>
  <si>
    <t>ec43c9dcb95817c89dccd4e1493e5ac754856cc8a52de93b2688d0048c212a7a</t>
  </si>
  <si>
    <t>https://bellingcat-archive.nyc3.cdn.digitaloceanspaces.com/Ukraine_Witness_Datasheet/Worksheet/telegram_0e721957a2/index.html</t>
  </si>
  <si>
    <t>2022-03-05T19:14:01+00:00</t>
  </si>
  <si>
    <t>https://drive.google.com/file/d/18FIrf2JSrqsVnfzK3x1hvqIstPwVFbdI/view?usp=sharing</t>
  </si>
  <si>
    <t>UW1865</t>
  </si>
  <si>
    <t>https://web.archive.org/web/20220308174419/https://drive.google.com/file/d/18FIrf2JSrqsVnfzK3x1hvqIstPwVFbdI/view?usp=sharing</t>
  </si>
  <si>
    <t>2022-03-08T17:44:36.402753+00:00</t>
  </si>
  <si>
    <t>https://bellingcat-archive.nyc3.cdn.digitaloceanspaces.com/Ukraine_Witness_Datasheet/Worksheet/wayback__file_d_18FIrf2JSrqsVnfzK3x1hvqIstPwVFbdI_view2022-03-08T17:44:28.844854.png</t>
  </si>
  <si>
    <t>kindergarden_kharkiv_IMG_0732.MOV - Google Drive</t>
  </si>
  <si>
    <t>https://drive.google.com/file/d/1Tj1fvhc4Ij1i94VT3smx1nA-4GOwtjxv/view?usp=sharing</t>
  </si>
  <si>
    <t>The moment projectile hits a block of flats at night in Kharkiv</t>
  </si>
  <si>
    <t>UW1866</t>
  </si>
  <si>
    <t>https://web.archive.org/web/20220308174440/https://drive.google.com/file/d/1Tj1fvhc4Ij1i94VT3smx1nA-4GOwtjxv/view?usp=sharing</t>
  </si>
  <si>
    <t>2022-03-08T17:44:52.584043+00:00</t>
  </si>
  <si>
    <t>https://bellingcat-archive.nyc3.cdn.digitaloceanspaces.com/Ukraine_Witness_Datasheet/Worksheet/wayback__file_d_1Tj1fvhc4Ij1i94VT3smx1nA-4GOwtjxv_view2022-03-08T17:44:45.181504.png</t>
  </si>
  <si>
    <t>night_kharkiv_IMG_0959.MOV - Google Drive</t>
  </si>
  <si>
    <t>49.9886069</t>
  </si>
  <si>
    <t>36.24502288</t>
  </si>
  <si>
    <t>https://t.me/operativnoZSU/11814</t>
  </si>
  <si>
    <t>CIV0276</t>
  </si>
  <si>
    <t>The historical building on fire in Kharkiv (at night)</t>
  </si>
  <si>
    <t>UW1867</t>
  </si>
  <si>
    <t>https://bellingcat-archive.nyc3.cdn.digitaloceanspaces.com/Ukraine_Witness_Datasheet/Worksheet/telegram__operativnoZSU_11814.html</t>
  </si>
  <si>
    <t>2022-03-08T17:45:00.552255+00:00</t>
  </si>
  <si>
    <t>https://bellingcat-archive.nyc3.cdn.digitaloceanspaces.com/Ukraine_Witness_Datasheet/Worksheet/telegram__operativnoZSU_118142022-03-08T17:44:53.252851.png</t>
  </si>
  <si>
    <t>66aae5e3ba419bd434fa6e16df8f835ba726479d0475b5b3e76755e10ff874dc</t>
  </si>
  <si>
    <t>https://drive.google.com/file/d/1jv7FFvvQodflBkEWEDYJeaTzJO0zeezd/view?usp=sharing</t>
  </si>
  <si>
    <t>UW1868</t>
  </si>
  <si>
    <t>https://web.archive.org/web/20220308174519/https://drive.google.com/file/d/1jv7FFvvQodflBkEWEDYJeaTzJO0zeezd/view?usp=sharing</t>
  </si>
  <si>
    <t>2022-03-08T17:45:36.084057+00:00</t>
  </si>
  <si>
    <t>https://bellingcat-archive.nyc3.cdn.digitaloceanspaces.com/Ukraine_Witness_Datasheet/Worksheet/wayback__file_d_1jv7FFvvQodflBkEWEDYJeaTzJO0zeezd_view2022-03-08T17:45:28.521882.png</t>
  </si>
  <si>
    <t>historical_heritage_06.03.22.mp4 - Google Drive</t>
  </si>
  <si>
    <t>50.040964</t>
  </si>
  <si>
    <t>36.226526</t>
  </si>
  <si>
    <t>https://t.me/truexanewsua/30534</t>
  </si>
  <si>
    <t>CIV0277</t>
  </si>
  <si>
    <t>Kindergarten and nearby blocks of flats damaged by shelling Kharkiv</t>
  </si>
  <si>
    <t>UW1869</t>
  </si>
  <si>
    <t>https://bellingcat-archive.nyc3.cdn.digitaloceanspaces.com/Ukraine_Witness_Datasheet/Worksheet/telegram_5c1e3a11e5.mp4</t>
  </si>
  <si>
    <t>2022-03-08T17:46:36.039133+00:00</t>
  </si>
  <si>
    <t>https://bellingcat-archive.nyc3.cdn.digitaloceanspaces.com/Ukraine_Witness_Datasheet/Worksheet/telegram__truexanewsua_305342022-03-08T17:45:37.911693.png</t>
  </si>
  <si>
    <t>b522bce6dbe4f42aad722685bad0e5619ab21b5a5f34df419c6f9f300fd62bdf</t>
  </si>
  <si>
    <t>https://bellingcat-archive.nyc3.cdn.digitaloceanspaces.com/Ukraine_Witness_Datasheet/Worksheet/telegram_5c1e3a11e5/index.html</t>
  </si>
  <si>
    <t>2022-03-07T11:10:16+00:00</t>
  </si>
  <si>
    <t>https://t.me/truexanewsua/30480</t>
  </si>
  <si>
    <t>UW1870</t>
  </si>
  <si>
    <t>https://bellingcat-archive.nyc3.cdn.digitaloceanspaces.com/Ukraine_Witness_Datasheet/Worksheet/telegram__truexanewsua_30480.html</t>
  </si>
  <si>
    <t>2022-03-08T17:46:46.801683+00:00</t>
  </si>
  <si>
    <t>https://bellingcat-archive.nyc3.cdn.digitaloceanspaces.com/Ukraine_Witness_Datasheet/Worksheet/telegram__truexanewsua_304802022-03-08T17:46:36.697781.png</t>
  </si>
  <si>
    <t>a8e06eeab67cb1c40f0c8a7e8b56134ebdc6a84441bf95dee067822fee69d000</t>
  </si>
  <si>
    <t>2022-03-07T08:40:11+00:00</t>
  </si>
  <si>
    <t>https://drive.google.com/drive/folders/12E8md2kJQ1JvQmZiwj5hiir5NDTEyEMH?usp=sharing</t>
  </si>
  <si>
    <t>UW1871</t>
  </si>
  <si>
    <t>https://web.archive.org/web/20220308174652/https://drive.google.com/drive/folders/12E8md2kJQ1JvQmZiwj5hiir5NDTEyEMH?usp=sharing</t>
  </si>
  <si>
    <t>2022-03-08T17:47:08.001972+00:00</t>
  </si>
  <si>
    <t>https://bellingcat-archive.nyc3.cdn.digitaloceanspaces.com/Ukraine_Witness_Datasheet/Worksheet/wayback__drive_folders_12E8md2kJQ1JvQmZiwj5hiir5NDTEyEMH2022-03-08T17:46:59.526960.png</t>
  </si>
  <si>
    <t>Uzhviy_Krarkiv - Google Drive</t>
  </si>
  <si>
    <t>47.6620889</t>
  </si>
  <si>
    <t>36.2509812</t>
  </si>
  <si>
    <t>https://www.facebook.com/vladmoroko/posts/4791700574200793</t>
  </si>
  <si>
    <t>CIV0278</t>
  </si>
  <si>
    <t>Destruction of local Orthodox Church, allegedly by artillery</t>
  </si>
  <si>
    <t>Hulyaipole</t>
  </si>
  <si>
    <t>UW1872</t>
  </si>
  <si>
    <t>wayback: Internet Archive failed: {'duration_sec': 3.67, 'message': 'Unknown error for chrome-error://chromewebdata/ (HTTP status=0).', 'job_id': 'spn2-135defa6fdff36455060065c5bd6ba2754132ac3-b9be4ce2', 'status': 'error', 'status_ext': 'error:unknown', 'resources': []}</t>
  </si>
  <si>
    <t>2022-03-08T17:47:18.159850+00:00</t>
  </si>
  <si>
    <t>https://risu.ua/okupanti-zrujnuvali-shche-tri-hrami_n126852</t>
  </si>
  <si>
    <t>UW1873</t>
  </si>
  <si>
    <t>https://bellingcat-archive.nyc3.cdn.digitaloceanspaces.com/Ukraine_Witness_Datasheet/Worksheet/youtube_dl_2fQJ-fFrIvU.webm</t>
  </si>
  <si>
    <t>2022-03-08T17:47:49.020340+00:00</t>
  </si>
  <si>
    <t>https://bellingcat-archive.nyc3.cdn.digitaloceanspaces.com/Ukraine_Witness_Datasheet/Worksheet/youtube_dl__okupanti-zrujnuvali-shche-tri-hrami_n1268522022-03-08T17:47:23.903797.png</t>
  </si>
  <si>
    <t>265abdb419d974cbde2e4cdb2b736123a352274c37dd1aabd744be75240bb9b6</t>
  </si>
  <si>
    <t>https://bellingcat-archive.nyc3.cdn.digitaloceanspaces.com/Ukraine_Witness_Datasheet/Worksheet/youtube_dl_2fQJ-fFrIvU/index.html</t>
  </si>
  <si>
    <t>Російські війська зруйнували храм у Гуляйполі</t>
  </si>
  <si>
    <t>https://t.me/nexta_live/20560</t>
  </si>
  <si>
    <t>CIV0280</t>
  </si>
  <si>
    <t>Residential area destroyed</t>
  </si>
  <si>
    <t>UW1874</t>
  </si>
  <si>
    <t>https://bellingcat-archive.nyc3.cdn.digitaloceanspaces.com/Ukraine_Witness_Datasheet/Worksheet/telegram_8db9a026d3.mp4</t>
  </si>
  <si>
    <t>2022-03-08T17:49:50.265390+00:00</t>
  </si>
  <si>
    <t>https://bellingcat-archive.nyc3.cdn.digitaloceanspaces.com/Ukraine_Witness_Datasheet/Worksheet/telegram__nexta_live_205602022-03-08T17:47:49.657190.png</t>
  </si>
  <si>
    <t>0559e298f2e977d1ec2264bbeb555ea4d63920585fa1ae205bc7ce19f3c8d377</t>
  </si>
  <si>
    <t>https://bellingcat-archive.nyc3.cdn.digitaloceanspaces.com/Ukraine_Witness_Datasheet/Worksheet/telegram_8db9a026d3/index.html</t>
  </si>
  <si>
    <t>2022-03-08T14:58:13+00:00</t>
  </si>
  <si>
    <t>49.18923795</t>
  </si>
  <si>
    <t>37.27374449</t>
  </si>
  <si>
    <t>https://twitter.com/KyivIndependent/status/1501218105342763020</t>
  </si>
  <si>
    <t>CIV0281</t>
  </si>
  <si>
    <t>Hospital destroyed by explosion</t>
  </si>
  <si>
    <t>UW1875</t>
  </si>
  <si>
    <t>https://bellingcat-archive.nyc3.cdn.digitaloceanspaces.com/Ukraine_Witness_Datasheet/Worksheet/twitter__KyivIndependent_status_1501218105342763020.html</t>
  </si>
  <si>
    <t>2022-03-08T17:50:02.914617+00:00</t>
  </si>
  <si>
    <t>https://bellingcat-archive.nyc3.cdn.digitaloceanspaces.com/Ukraine_Witness_Datasheet/Worksheet/twitter__KyivIndependent_status_15012181053427630202022-03-08T17:49:52.986071.png</t>
  </si>
  <si>
    <t>cacdd3de02b510ee42696c3750949992020767daca5bcb2834d4474228e59672</t>
  </si>
  <si>
    <t>2022-03-08T15:27:42+00:00</t>
  </si>
  <si>
    <t>https://twitter.com/fedinlaw/status/1500558669175472140</t>
  </si>
  <si>
    <t>Image 2: Rocket embedded in the ground near a playground and cable cars</t>
  </si>
  <si>
    <t>Shevchenkivs'kyi District</t>
  </si>
  <si>
    <t>The green house in the background can be seen here (https://www.google.de/maps/@50.0255324,36.2410078,3a,75y,201.98h,111.26t/data=!3m7!1e1!3m5!1sAF1QipPCYEowGELCLj9xJ9AuMuy_7y9MYvc4OHSP09lb!2e10!3e12!7i8000!8i4000)</t>
  </si>
  <si>
    <t>UW1876</t>
  </si>
  <si>
    <t>https://bellingcat-archive.nyc3.cdn.digitaloceanspaces.com/Ukraine_Witness_Datasheet/Worksheet/twitter__fedinlaw_status_1500558669175472140.html</t>
  </si>
  <si>
    <t>2022-03-08T18:20:24.652704+00:00</t>
  </si>
  <si>
    <t>https://bellingcat-archive.nyc3.cdn.digitaloceanspaces.com/Ukraine_Witness_Datasheet/Worksheet/twitter__fedinlaw_status_15005586691754721402022-03-08T18:20:15.556661.png</t>
  </si>
  <si>
    <t>60e2f2a71c3a4aff4e15c9b78b95cbe7b7d214d6cefcf554c0d026397983f24a</t>
  </si>
  <si>
    <t>2022-03-06T19:47:20+00:00</t>
  </si>
  <si>
    <t>Brady</t>
  </si>
  <si>
    <t>https://twitter.com/RALee85/status/1501278792299565059</t>
  </si>
  <si>
    <t>Pontoon bridge tow boat and T-72B3 tank on the move in Kupyansk</t>
  </si>
  <si>
    <t>UW1877</t>
  </si>
  <si>
    <t>https://bellingcat-archive.nyc3.cdn.digitaloceanspaces.com/Ukraine_Witness_Datasheet/Worksheet/youtube_dl_1501278792299565059.mp4</t>
  </si>
  <si>
    <t>2022-03-08T19:50:28.052059+00:00</t>
  </si>
  <si>
    <t>https://bellingcat-archive.nyc3.cdn.digitaloceanspaces.com/Ukraine_Witness_Datasheet/Worksheet/youtube_dl__RALee85_status_15012787922995650592022-03-08T19:50:15.295882.png</t>
  </si>
  <si>
    <t>b61a1fc9282622f6154f15c0f65e671c7c92941bab178afc522578191e87dd0f</t>
  </si>
  <si>
    <t>https://bellingcat-archive.nyc3.cdn.digitaloceanspaces.com/Ukraine_Witness_Datasheet/Worksheet/youtube_dl_1501278792299565059/index.html</t>
  </si>
  <si>
    <t>Rob Lee - Video from Kupyansk of a Russian pontoon bridge tow boat and T-72B3 tank.</t>
  </si>
  <si>
    <t>2022-03-08T19:28:51+00:00</t>
  </si>
  <si>
    <t>Danil</t>
  </si>
  <si>
    <t>https://t.me/milinfolive/78236</t>
  </si>
  <si>
    <t>Russian forces occupy offices of a civilian radio station "Азовская волна"</t>
  </si>
  <si>
    <t>UW1878</t>
  </si>
  <si>
    <t>https://bellingcat-archive.nyc3.cdn.digitaloceanspaces.com/Ukraine_Witness_Datasheet/Worksheet/telegram__milinfolive_78236.html</t>
  </si>
  <si>
    <t>2022-03-08T20:15:19.440702+00:00</t>
  </si>
  <si>
    <t>https://bellingcat-archive.nyc3.cdn.digitaloceanspaces.com/Ukraine_Witness_Datasheet/Worksheet/telegram__milinfolive_782362022-03-08T20:15:11.486948.png</t>
  </si>
  <si>
    <t>6cd3e52a30ac12630ab296715b51e03cd632a32328b57ea164aecbdaddad663a</t>
  </si>
  <si>
    <t>https://twitter.com/RALee85/status/1501302120166924292</t>
  </si>
  <si>
    <t>Abandoned and burnt military equipment</t>
  </si>
  <si>
    <t>Chupakhivka</t>
  </si>
  <si>
    <t>UW1879</t>
  </si>
  <si>
    <t>Russian Military losses</t>
  </si>
  <si>
    <t>https://bellingcat-archive.nyc3.cdn.digitaloceanspaces.com/Ukraine_Witness_Datasheet/Worksheet/youtube_dl_1501302120166924292.mp4</t>
  </si>
  <si>
    <t>2022-03-08T21:50:34.810153+00:00</t>
  </si>
  <si>
    <t>https://bellingcat-archive.nyc3.cdn.digitaloceanspaces.com/Ukraine_Witness_Datasheet/Worksheet/youtube_dl__RALee85_status_15013021201669242922022-03-08T21:50:15.553383.png</t>
  </si>
  <si>
    <t>ea99021e331b6f52b5e888061e372dd9534b49f2412d7bc95ebd1fa59f94f829</t>
  </si>
  <si>
    <t>https://bellingcat-archive.nyc3.cdn.digitaloceanspaces.com/Ukraine_Witness_Datasheet/Worksheet/youtube_dl_1501302120166924292/index.html</t>
  </si>
  <si>
    <t>Rob Lee - Another video with a captured T-80U and two T-80BV tanks.</t>
  </si>
  <si>
    <t>2022-03-08T21:01:32+00:00</t>
  </si>
  <si>
    <t>https://twitter.com/Sabados7/status/1500537351227035656?s=20&amp;t=GDPGMwJ7XCqdrRTz4z_dzQ</t>
  </si>
  <si>
    <t>[Graphic: blood and bodies] Strike on a line of civilians queing outside a supermarket. Multiple small impacts indicate cluster munitions.</t>
  </si>
  <si>
    <t>UW1880</t>
  </si>
  <si>
    <t>https://bellingcat-archive.nyc3.cdn.digitaloceanspaces.com/Ukraine_Witness_Datasheet/Worksheet/youtube_dl_1500521169610588169.mp4</t>
  </si>
  <si>
    <t>2022-03-08T23:05:27.403850+00:00</t>
  </si>
  <si>
    <t>https://bellingcat-archive.nyc3.cdn.digitaloceanspaces.com/Ukraine_Witness_Datasheet/Worksheet/youtube_dl__Sabados7_status_15005373512270356562022-03-08T23:05:13.053713.png</t>
  </si>
  <si>
    <t>06cee20a727b340e233e9071a15f0505cd178523eae91d8ecc31aa4cf2b7460e</t>
  </si>
  <si>
    <t>https://bellingcat-archive.nyc3.cdn.digitaloceanspaces.com/Ukraine_Witness_Datasheet/Worksheet/youtube_dl_1500521169610588169/index.html</t>
  </si>
  <si>
    <t>ТРУХА⚡️English - ❗️Consequences of the shelling in Pyatihatki Kharkiv during the day❗️                            🔞+  #Ukraine #Russia #Kyiv #Odessa #Kharkiv #TPYXA #TPYXAEnglish</t>
  </si>
  <si>
    <t>2022-03-06T17:18:19+00:00</t>
  </si>
  <si>
    <t>https://www.reddit.com/r/CombatFootage/comments/t7y9wb/president_zelensky_confirmed_that_the_8_ballistic/?utm_source=share&amp;utm_medium=mweb</t>
  </si>
  <si>
    <t>UW1881</t>
  </si>
  <si>
    <t>https://bellingcat-archive.nyc3.cdn.digitaloceanspaces.com/Ukraine_Witness_Datasheet/Worksheet/youtube_dl_89wxodrwgrl81.mp4</t>
  </si>
  <si>
    <t>2022-03-08T23:05:47.971568+00:00</t>
  </si>
  <si>
    <t>https://bellingcat-archive.nyc3.cdn.digitaloceanspaces.com/Ukraine_Witness_Datasheet/Worksheet/youtube_dl__r_CombatFootage_comments_t7y9wb_president_zelensky_confirmed_that_the_8_ballistic_2022-03-08T23:05:32.162058.png</t>
  </si>
  <si>
    <t>9a8ef6125d77b32e8008c86669e8264bceb443b1a0e982b5dfa5474744d7392d</t>
  </si>
  <si>
    <t>https://bellingcat-archive.nyc3.cdn.digitaloceanspaces.com/Ukraine_Witness_Datasheet/Worksheet/youtube_dl_89wxodrwgrl81/index.html</t>
  </si>
  <si>
    <t>President Zelensky confirmed that the 8 ballistic missiles fired by Russia this morning have completely destroyed Vinnytsia airbase. A passerby filmed it:</t>
  </si>
  <si>
    <t>2022-03-06T13:01:05+00:00</t>
  </si>
  <si>
    <t>https://t.me/truexanewsua/30440</t>
  </si>
  <si>
    <t>Catastrophic damage to residential building, reportedly after strikes.</t>
  </si>
  <si>
    <t>UW1882</t>
  </si>
  <si>
    <t>https://bellingcat-archive.nyc3.cdn.digitaloceanspaces.com/Ukraine_Witness_Datasheet/Worksheet/telegram_9c8446229d.mp4</t>
  </si>
  <si>
    <t>2022-03-08T23:06:23.737549+00:00</t>
  </si>
  <si>
    <t>https://bellingcat-archive.nyc3.cdn.digitaloceanspaces.com/Ukraine_Witness_Datasheet/Worksheet/telegram__truexanewsua_304402022-03-08T23:05:48.758698.png</t>
  </si>
  <si>
    <t>c62d564b28a2e84defdf197a785dcd73212eaeeb701335ec89cbacd283d44e64</t>
  </si>
  <si>
    <t>https://bellingcat-archive.nyc3.cdn.digitaloceanspaces.com/Ukraine_Witness_Datasheet/Worksheet/telegram_9c8446229d/index.html</t>
  </si>
  <si>
    <t>50.00742846</t>
  </si>
  <si>
    <t>36.23756099</t>
  </si>
  <si>
    <t>https://twitter.com/GirkinGirkin/status/1501218905158828035?s=20&amp;t=DdGTSpGKddbJrrB9lxFJdw</t>
  </si>
  <si>
    <t>CIV0282</t>
  </si>
  <si>
    <t>Widespread destruction of commercial and residential buildings in the centre of the city</t>
  </si>
  <si>
    <t>UW1883</t>
  </si>
  <si>
    <t>https://bellingcat-archive.nyc3.cdn.digitaloceanspaces.com/Ukraine_Witness_Datasheet/Worksheet/youtube_dl_1501218905158828035.mp4</t>
  </si>
  <si>
    <t>2022-03-08T23:06:39.730725+00:00</t>
  </si>
  <si>
    <t>https://bellingcat-archive.nyc3.cdn.digitaloceanspaces.com/Ukraine_Witness_Datasheet/Worksheet/youtube_dl__GirkinGirkin_status_15012189051588280352022-03-08T23:06:26.331333.png</t>
  </si>
  <si>
    <t>0d0f590de80bb08bfe7ad3784e5038207ef61c33982f74e3a5b95bd22ed403aa</t>
  </si>
  <si>
    <t>https://bellingcat-archive.nyc3.cdn.digitaloceanspaces.com/Ukraine_Witness_Datasheet/Worksheet/youtube_dl_1501218905158828035/index.html</t>
  </si>
  <si>
    <t>IgorGirkin - Харьков, 8 марта</t>
  </si>
  <si>
    <t>2022-03-08T15:30:52+00:00</t>
  </si>
  <si>
    <t>48.514506</t>
  </si>
  <si>
    <t>39.299563</t>
  </si>
  <si>
    <t>https://t.me/medvedev_note/3740</t>
  </si>
  <si>
    <t>CIV0284</t>
  </si>
  <si>
    <t>Oil refinery damaged by strike, reportedly by Tochka ballistic missile.</t>
  </si>
  <si>
    <t>UW1884</t>
  </si>
  <si>
    <t>https://bellingcat-archive.nyc3.cdn.digitaloceanspaces.com/Ukraine_Witness_Datasheet/Worksheet/telegram_df5d17c124.mp4</t>
  </si>
  <si>
    <t>2022-03-08T23:07:40.352167+00:00</t>
  </si>
  <si>
    <t>https://bellingcat-archive.nyc3.cdn.digitaloceanspaces.com/Ukraine_Witness_Datasheet/Worksheet/telegram__medvedev_note_37402022-03-08T23:06:40.485490.png</t>
  </si>
  <si>
    <t>991b67cef15fc0c66b0cea4f350d22040b1accd1ced288c566770e4d8c35b8e6</t>
  </si>
  <si>
    <t>https://bellingcat-archive.nyc3.cdn.digitaloceanspaces.com/Ukraine_Witness_Datasheet/Worksheet/telegram_df5d17c124/index.html</t>
  </si>
  <si>
    <t>2022-03-07T04:39:07+00:00</t>
  </si>
  <si>
    <t>https://t.me/rian_ru/151722</t>
  </si>
  <si>
    <t>UW1885</t>
  </si>
  <si>
    <t>https://bellingcat-archive.nyc3.cdn.digitaloceanspaces.com/Ukraine_Witness_Datasheet/Worksheet/telegram_d5e754b441.mp4</t>
  </si>
  <si>
    <t>2022-03-08T23:07:59.530686+00:00</t>
  </si>
  <si>
    <t>https://bellingcat-archive.nyc3.cdn.digitaloceanspaces.com/Ukraine_Witness_Datasheet/Worksheet/telegram__rian_ru_1517222022-03-08T23:07:41.084610.png</t>
  </si>
  <si>
    <t>658ec58b4414540cdeaf80c083212cf7bb03009708162c76e1fc26a93cfebf68</t>
  </si>
  <si>
    <t>https://bellingcat-archive.nyc3.cdn.digitaloceanspaces.com/Ukraine_Witness_Datasheet/Worksheet/telegram_d5e754b441/index.html</t>
  </si>
  <si>
    <t>2022-03-07T05:07:29+00:00</t>
  </si>
  <si>
    <t>https://t.me/LIC_LPR/19779</t>
  </si>
  <si>
    <t>UW1886</t>
  </si>
  <si>
    <t>https://bellingcat-archive.nyc3.cdn.digitaloceanspaces.com/Ukraine_Witness_Datasheet/Worksheet/telegram_9cc60898af.mp4</t>
  </si>
  <si>
    <t>2022-03-08T23:08:18.728795+00:00</t>
  </si>
  <si>
    <t>https://bellingcat-archive.nyc3.cdn.digitaloceanspaces.com/Ukraine_Witness_Datasheet/Worksheet/telegram__LIC_LPR_197792022-03-08T23:08:00.327131.png</t>
  </si>
  <si>
    <t>0b2850bae7405bdb0c3a36eb339d42069bc5c9c928cddeec4327494f4f1ad52b</t>
  </si>
  <si>
    <t>https://bellingcat-archive.nyc3.cdn.digitaloceanspaces.com/Ukraine_Witness_Datasheet/Worksheet/telegram_9cc60898af/index.html</t>
  </si>
  <si>
    <t>PLS ADD</t>
  </si>
  <si>
    <t>https://twitter.com/hjbertschi/status/1500689422114861057?s=20&amp;t=Nak_DcdGk0OiNiYxIadcTg</t>
  </si>
  <si>
    <t>CIV0285</t>
  </si>
  <si>
    <t xml:space="preserve">Swiss journalist Guillaume Briquet wounded after shooting at a checkpoint. </t>
  </si>
  <si>
    <t>UW1887</t>
  </si>
  <si>
    <t>https://bellingcat-archive.nyc3.cdn.digitaloceanspaces.com/Ukraine_Witness_Datasheet/Worksheet/twitter__hjbertschi_status_1500689422114861057.html</t>
  </si>
  <si>
    <t>2022-03-08T23:08:31.200886+00:00</t>
  </si>
  <si>
    <t>https://bellingcat-archive.nyc3.cdn.digitaloceanspaces.com/Ukraine_Witness_Datasheet/Worksheet/twitter__hjbertschi_status_15006894221148610572022-03-08T23:08:21.165168.png</t>
  </si>
  <si>
    <t>7eebd58fce112f612df438010465fae6579bf342572d6d2a002e0edfa098516b</t>
  </si>
  <si>
    <t>2022-03-07T04:26:54+00:00</t>
  </si>
  <si>
    <t>https://metro.co.uk/2022/03/07/swiss-journalist-wounded-after-being-shot-at-by-russian-soldiers-16229092/</t>
  </si>
  <si>
    <t>UW1888</t>
  </si>
  <si>
    <t>https://web.archive.org/web/20220308230914/https://metro.co.uk/2022/03/07/swiss-journalist-wounded-after-being-shot-at-by-russian-soldiers-16229092/</t>
  </si>
  <si>
    <t>2022-03-08T23:10:55.224123+00:00</t>
  </si>
  <si>
    <t>https://bellingcat-archive.nyc3.cdn.digitaloceanspaces.com/Ukraine_Witness_Datasheet/Worksheet/wayback__2022_03_07_swiss-journalist-wounded-after-being-shot-at-by-russian-soldiers-16229092_2022-03-08T23:10:45.731283.png</t>
  </si>
  <si>
    <t>Swiss journalist wounded after being 'shot at by Russian soldiers' | Metro News</t>
  </si>
  <si>
    <t>https://www.instagram.com/p/Ca2kDMqIUfG/</t>
  </si>
  <si>
    <t>UW1889</t>
  </si>
  <si>
    <t>https://web.archive.org/web/20220308231146/https://www.instagram.com/accounts/login/?next=/p/Ca2kDMqIUfG/</t>
  </si>
  <si>
    <t>2022-03-08T23:12:06.599686+00:00</t>
  </si>
  <si>
    <t>https://bellingcat-archive.nyc3.cdn.digitaloceanspaces.com/Ukraine_Witness_Datasheet/Worksheet/wayback__p_Ca2kDMqIUfG_2022-03-08T23:11:58.269160.png</t>
  </si>
  <si>
    <t>Login • Instagram</t>
  </si>
  <si>
    <t>https://rsf.org/fr/actualites/guerre-en-ukraine-les-journalistes-risquent-leur-vie-chaque-instant</t>
  </si>
  <si>
    <t>UW1890</t>
  </si>
  <si>
    <t>https://web.archive.org/web/20220308231244/https://rsf.org/fr/actualites/guerre-en-ukraine-les-journalistes-risquent-leur-vie-chaque-instant</t>
  </si>
  <si>
    <t>2022-03-08T23:13:05.956456+00:00</t>
  </si>
  <si>
    <t>https://bellingcat-archive.nyc3.cdn.digitaloceanspaces.com/Ukraine_Witness_Datasheet/Worksheet/wayback__fr_actualites_guerre-en-ukraine-les-journalistes-risquent-leur-vie-chaque-instant2022-03-08T23:12:57.926868.png</t>
  </si>
  <si>
    <t>46.842734</t>
  </si>
  <si>
    <t>32.005031</t>
  </si>
  <si>
    <t>https://twitter.com/GirkinGirkin/status/1500804490106179589?s=20&amp;t=RPU0dUCUzl58CQX8cvVI8A</t>
  </si>
  <si>
    <t>CIV0287</t>
  </si>
  <si>
    <t>MLRS strike on residential area.</t>
  </si>
  <si>
    <t>UW1891</t>
  </si>
  <si>
    <t>https://bellingcat-archive.nyc3.cdn.digitaloceanspaces.com/Ukraine_Witness_Datasheet/Worksheet/youtube_dl_1500804490106179589.mp4</t>
  </si>
  <si>
    <t>2022-03-08T23:13:20.567544+00:00</t>
  </si>
  <si>
    <t>https://bellingcat-archive.nyc3.cdn.digitaloceanspaces.com/Ukraine_Witness_Datasheet/Worksheet/youtube_dl__GirkinGirkin_status_15008044901061795892022-03-08T23:13:08.391044.png</t>
  </si>
  <si>
    <t>cdad1a074a72b565a6ef829e7c86bafe926478436ef48e839d5c9151495ba32e</t>
  </si>
  <si>
    <t>https://bellingcat-archive.nyc3.cdn.digitaloceanspaces.com/Ukraine_Witness_Datasheet/Worksheet/youtube_dl_1500804490106179589/index.html</t>
  </si>
  <si>
    <t>IgorGirkin - русская армия ведет артобстрел жилой застройки  Николаев, Балабановка</t>
  </si>
  <si>
    <t>2022-03-07T12:04:08+00:00</t>
  </si>
  <si>
    <t>49.98062</t>
  </si>
  <si>
    <t>36.360366</t>
  </si>
  <si>
    <t>https://twitter.com/no_itsmyturn/status/1500833207348232192?s=20&amp;t=8l6tS51JwKJ6JsNLeL83gw</t>
  </si>
  <si>
    <t>CIV0288</t>
  </si>
  <si>
    <t>Fire in residential tower block.</t>
  </si>
  <si>
    <t>UW1892</t>
  </si>
  <si>
    <t>https://bellingcat-archive.nyc3.cdn.digitaloceanspaces.com/Ukraine_Witness_Datasheet/Worksheet/youtube_dl_1500833207348232192.mp4</t>
  </si>
  <si>
    <t>2022-03-08T23:13:34.579644+00:00</t>
  </si>
  <si>
    <t>https://bellingcat-archive.nyc3.cdn.digitaloceanspaces.com/Ukraine_Witness_Datasheet/Worksheet/youtube_dl__no_itsmyturn_status_15008332073482321922022-03-08T23:13:22.897409.png</t>
  </si>
  <si>
    <t>d302f5c2d2478def118605d87dfc73b2edbfef7e453dda8a03df4b8c736fb852</t>
  </si>
  <si>
    <t>https://bellingcat-archive.nyc3.cdn.digitaloceanspaces.com/Ukraine_Witness_Datasheet/Worksheet/youtube_dl_1500833207348232192/index.html</t>
  </si>
  <si>
    <t>Aleph א #IStandWithUkraine 🇺🇦 - Krasnodars'ka, Kharkiv  #Ukraine 🇺🇦</t>
  </si>
  <si>
    <t>2022-03-07T13:58:15+00:00</t>
  </si>
  <si>
    <t>50.040521</t>
  </si>
  <si>
    <t>36.226183</t>
  </si>
  <si>
    <t>https://twitter.com/maria_avdv/status/1500852898837716998</t>
  </si>
  <si>
    <t>CIV0289</t>
  </si>
  <si>
    <t>Heavy damage to residential area and school</t>
  </si>
  <si>
    <t>UW1893</t>
  </si>
  <si>
    <t>https://bellingcat-archive.nyc3.cdn.digitaloceanspaces.com/Ukraine_Witness_Datasheet/Worksheet/youtube_dl_1500852898837716998.mp4</t>
  </si>
  <si>
    <t>2022-03-08T23:13:49.713575+00:00</t>
  </si>
  <si>
    <t>https://bellingcat-archive.nyc3.cdn.digitaloceanspaces.com/Ukraine_Witness_Datasheet/Worksheet/youtube_dl__maria_avdv_status_15008528988377169982022-03-08T23:13:36.999251.png</t>
  </si>
  <si>
    <t>e7c2f0ae64f2a73f190e1c5fcb22cee617b3bb46ce5d60f6f5ef539b5f0cc5b9</t>
  </si>
  <si>
    <t>https://bellingcat-archive.nyc3.cdn.digitaloceanspaces.com/Ukraine_Witness_Datasheet/Worksheet/youtube_dl_1500852898837716998/index.html</t>
  </si>
  <si>
    <t>Maria Avdeeva - New evidence of Putin’s war crimes in Kharkiv, Ukraine. Derevyanko Street 6a and 14a, kindergarten 354 and lyceum 89. This is what Putin calls denazification. Footage by @inhere_ua</t>
  </si>
  <si>
    <t>2022-03-07T15:16:30+00:00</t>
  </si>
  <si>
    <t>Brady (duplicate - UW1608)</t>
  </si>
  <si>
    <t>https://twitter.com/RALee85/status/1501330141783343104</t>
  </si>
  <si>
    <t xml:space="preserve">Wreckage of BM-27 Uragan MLRS 9M27K-series rocket booster and cargo sections in Mikolaiv for cluster munitions. </t>
  </si>
  <si>
    <t>UW1894</t>
  </si>
  <si>
    <t>https://bellingcat-archive.nyc3.cdn.digitaloceanspaces.com/Ukraine_Witness_Datasheet/Worksheet/twitter__RALee85_status_1501330141783343104.html</t>
  </si>
  <si>
    <t>2022-03-08T23:15:22.407101+00:00</t>
  </si>
  <si>
    <t>https://bellingcat-archive.nyc3.cdn.digitaloceanspaces.com/Ukraine_Witness_Datasheet/Worksheet/twitter__RALee85_status_15013301417833431042022-03-08T23:15:14.204150.png</t>
  </si>
  <si>
    <t>88effddec68679e84a685ddcc24326a66ecbfdaa455404ee210d781a4e53722c</t>
  </si>
  <si>
    <t>2022-03-08T22:52:53+00:00</t>
  </si>
  <si>
    <t>49.189244</t>
  </si>
  <si>
    <t xml:space="preserve"> 37.273764</t>
  </si>
  <si>
    <t>https://twitter.com/EmineDzheppar/status/1501202129586905089</t>
  </si>
  <si>
    <t>CIV0290</t>
  </si>
  <si>
    <t>UW1895</t>
  </si>
  <si>
    <t>https://bellingcat-archive.nyc3.cdn.digitaloceanspaces.com/Ukraine_Witness_Datasheet/Worksheet/youtube_dl_1501202129586905089.mp4</t>
  </si>
  <si>
    <t>2022-03-09T05:05:27.209296+00:00</t>
  </si>
  <si>
    <t>https://bellingcat-archive.nyc3.cdn.digitaloceanspaces.com/Ukraine_Witness_Datasheet/Worksheet/youtube_dl__EmineDzheppar_status_15012021295869050892022-03-09T05:05:13.140665.png</t>
  </si>
  <si>
    <t>5483f7df340594d5b753bea717f5bdd78fd36f96f07a40d1effb65f81820b412</t>
  </si>
  <si>
    <t>https://bellingcat-archive.nyc3.cdn.digitaloceanspaces.com/Ukraine_Witness_Datasheet/Worksheet/youtube_dl_1501202129586905089/index.html</t>
  </si>
  <si>
    <t>Emine Dzheppar - #Izyum, Kharkiv region. This hospital with modern equipment was saving the lives of Ukrainians, but it was bombed by Russian troops. #StandWithUkraine  #StopRussianAgression</t>
  </si>
  <si>
    <t>2022-03-08T14:24:13+00:00</t>
  </si>
  <si>
    <t>https://twitter.com/Liveuamap/status/1501288560015527937?s=20&amp;t=JH6s1sfOxDKPD_ytllVJCA</t>
  </si>
  <si>
    <t>CIV0291</t>
  </si>
  <si>
    <t xml:space="preserve">Two civillians, including a 7 year old child, reported killed in strike. Crater visible. </t>
  </si>
  <si>
    <t>UW1896</t>
  </si>
  <si>
    <t>https://bellingcat-archive.nyc3.cdn.digitaloceanspaces.com/Ukraine_Witness_Datasheet/Worksheet/twitter__Liveuamap_status_1501288560015527937.html</t>
  </si>
  <si>
    <t>2022-03-09T05:05:41.083295+00:00</t>
  </si>
  <si>
    <t>https://bellingcat-archive.nyc3.cdn.digitaloceanspaces.com/Ukraine_Witness_Datasheet/Worksheet/twitter__Liveuamap_status_15012885600155279372022-03-09T05:05:32.391289.png</t>
  </si>
  <si>
    <t>6e55e2fa3d4953ee9f971672df8208d369e68d3701aa78e7226f5b17e2f87786</t>
  </si>
  <si>
    <t>2022-03-08T20:07:39+00:00</t>
  </si>
  <si>
    <t>https://twitter.com/YWNReporter/status/1501504889050087428</t>
  </si>
  <si>
    <t>46.118621,32.910217</t>
  </si>
  <si>
    <t>UW1897</t>
  </si>
  <si>
    <t xml:space="preserve">filmed from residential building </t>
  </si>
  <si>
    <t>https://bellingcat-archive.nyc3.cdn.digitaloceanspaces.com/Ukraine_Witness_Datasheet/Worksheet/youtube_dl_1501504889050087428.mp4</t>
  </si>
  <si>
    <t>2022-03-09T10:40:28.561815+00:00</t>
  </si>
  <si>
    <t>https://bellingcat-archive.nyc3.cdn.digitaloceanspaces.com/Ukraine_Witness_Datasheet/Worksheet/youtube_dl__YWNReporter_status_15015048890500874282022-03-09T10:40:12.966755.png</t>
  </si>
  <si>
    <t>bd4b5eb84bb165fbaef21d7d8a5dc8b95b72edd5566dce58b56a5da69d5e98bf</t>
  </si>
  <si>
    <t>https://bellingcat-archive.nyc3.cdn.digitaloceanspaces.com/Ukraine_Witness_Datasheet/Worksheet/youtube_dl_1501504889050087428/index.html</t>
  </si>
  <si>
    <t>Moshe Schwartz - I've geolocated this video showing a large convoy of Russian armored, troop transport, and supply vehicles in Skadovsk, Kherson region, Ukraine.   📍46.118621,32.910217  Interestingly, the convoy is driving south – in the direction of the waterfront.</t>
  </si>
  <si>
    <t>2022-03-09T10:27:16+00:00</t>
  </si>
  <si>
    <t>09/03/2022</t>
  </si>
  <si>
    <t>https://twitter.com/no_itsmyturn/status/1501491738342576131</t>
  </si>
  <si>
    <t>CIV0292</t>
  </si>
  <si>
    <t>Russian shelling of residential buildings</t>
  </si>
  <si>
    <t>Lebedyn</t>
  </si>
  <si>
    <t>50.583740, 34.487535</t>
  </si>
  <si>
    <t>UW1898</t>
  </si>
  <si>
    <t>Russian shelling</t>
  </si>
  <si>
    <t>https://bellingcat-archive.nyc3.cdn.digitaloceanspaces.com/Ukraine_Witness_Datasheet/Worksheet/youtube_dl_1501491738342576131.mp4</t>
  </si>
  <si>
    <t>2022-03-09T11:00:29.849090+00:00</t>
  </si>
  <si>
    <t>https://bellingcat-archive.nyc3.cdn.digitaloceanspaces.com/Ukraine_Witness_Datasheet/Worksheet/youtube_dl__no_itsmyturn_status_15014917383425761312022-03-09T11:00:15.721163.png</t>
  </si>
  <si>
    <t>d48448de99a90537d5a85323828e2a75d5dea167922e689f4c5f82c8c8c59599</t>
  </si>
  <si>
    <t>https://bellingcat-archive.nyc3.cdn.digitaloceanspaces.com/Ukraine_Witness_Datasheet/Worksheet/youtube_dl_1501491738342576131/index.html</t>
  </si>
  <si>
    <t>Aleph א #IStandWithUkraine 🇺🇦 - Aftermath of nightly shelling by Russians in Lebedyn Sumy oblast #Ukraine🇺🇦</t>
  </si>
  <si>
    <t>2022-03-09T09:35:01+00:00</t>
  </si>
  <si>
    <t>https://t.me/Pravda_Gerashchenko/2549</t>
  </si>
  <si>
    <t>The consequences of a night strike on the student campus, ХАИ №8.</t>
  </si>
  <si>
    <t>https://www.google.de/maps/place/%D0%93%D1%83%D1%80%D1%82%D0%BE%D0%B6%D0%B8%D1%82%D0%BE%D0%BA+%D0%9D%D0%90%D0%A3+%22%D0%A5%D0%90%D0%86%22+%E2%84%968/@50.0427306,36.2803482,1106m/data=!3m1!1e3!4m9!1m2!2m1!1z0JPRg9GA0YLQvtC20LjRgtC-0Log4oSWOCDQpdCQ0IY!3m5!1s0x4127a6e3b10ead11:0xe6de782741f58653!8m2!3d50.0441899!4d36.2777107!15sCiDQk9GD0YDRgtC-0LbQuNGC0L7QuiDihJY4INCl0JDQhpIBEXN0dWRlbnRfZG9ybWl0b3J5!5m1!1e4</t>
  </si>
  <si>
    <t>UW1899</t>
  </si>
  <si>
    <t>Civilian infrastracture damage</t>
  </si>
  <si>
    <t>https://bellingcat-archive.nyc3.cdn.digitaloceanspaces.com/Ukraine_Witness_Datasheet/Worksheet/telegram__Pravda_Gerashchenko_2549.html</t>
  </si>
  <si>
    <t>2022-03-09T10:55:23.225633+00:00</t>
  </si>
  <si>
    <t>https://bellingcat-archive.nyc3.cdn.digitaloceanspaces.com/Ukraine_Witness_Datasheet/Worksheet/telegram__Pravda_Gerashchenko_25492022-03-09T10:55:09.801319.png</t>
  </si>
  <si>
    <t>83033c0cc0816f87c47bbf70fe148734539537c06cd376f92f9f4d8edee92929</t>
  </si>
  <si>
    <t>2022-03-07T21:08:20+00:00</t>
  </si>
  <si>
    <t>https://t.me/Pravda_Gerashchenko/2542</t>
  </si>
  <si>
    <t>Tserkva Heorhiyivsʹka church (Свято-Георгіївська церква), built in 1878, destroyed</t>
  </si>
  <si>
    <t>https://www.google.de/maps/place/Tserkva+Heorhiyivs%CA%B9ka+1878R/@50.7054392,31.1239577,2182m/data=!3m1!1e3!4m13!1m7!3m6!1s0x40d53cea1cb86fcd:0xbbe68fd6bba5c14b!2sSaworytschi,+Oblast+Kiew,+Ukraine,+07424!3b1!8m2!3d50.706734!4d31.1337602!3m4!1s0x40d53ce4d8733a43:0x3f93412570d742f6!8m2!3d50.7038814!4d31.1503544!5m2!1e1!1e4</t>
  </si>
  <si>
    <t>UW1900</t>
  </si>
  <si>
    <t>https://bellingcat-archive.nyc3.cdn.digitaloceanspaces.com/Ukraine_Witness_Datasheet/Worksheet/telegram_e3f70ace9d.mp4</t>
  </si>
  <si>
    <t>2022-03-09T11:01:20.959840+00:00</t>
  </si>
  <si>
    <t>https://bellingcat-archive.nyc3.cdn.digitaloceanspaces.com/Ukraine_Witness_Datasheet/Worksheet/telegram__Pravda_Gerashchenko_25422022-03-09T11:00:30.846819.png</t>
  </si>
  <si>
    <t>73426fc8ac76ddbdbaf09b09180606391eed3fe9de7e4a678c61ba21dfafc825</t>
  </si>
  <si>
    <t>https://bellingcat-archive.nyc3.cdn.digitaloceanspaces.com/Ukraine_Witness_Datasheet/Worksheet/telegram_e3f70ace9d/index.html</t>
  </si>
  <si>
    <t>2022-03-07T20:58:19+00:00</t>
  </si>
  <si>
    <t>https://t.me/suspilnemykolaiv/4751</t>
  </si>
  <si>
    <t>Images 2-4: remnants of multiple rocket launchers.</t>
  </si>
  <si>
    <t>https://www.google.de/maps/@46.9433499,32.0367294,3a,75y,246.12h,114.6t/data=!3m8!1e1!3m6!1sAF1QipPTu0tmsvyjam0c-qS_fhc4FR4fzH1CvFiH7rEj!2e10!3e11!6shttps:%2F%2Flh5.googleusercontent.com%2Fp%2FAF1QipPTu0tmsvyjam0c-qS_fhc4FR4fzH1CvFiH7rEj%3Dw203-h100-k-no-pi0-ya313.6199-ro-0-fo100!7i10240!8i5120!5m1!1e1</t>
  </si>
  <si>
    <t>UW1901</t>
  </si>
  <si>
    <t>https://bellingcat-archive.nyc3.cdn.digitaloceanspaces.com/Ukraine_Witness_Datasheet/Worksheet/telegram__suspilnemykolaiv_4751.html</t>
  </si>
  <si>
    <t>2022-03-09T11:55:26.776563+00:00</t>
  </si>
  <si>
    <t>https://bellingcat-archive.nyc3.cdn.digitaloceanspaces.com/Ukraine_Witness_Datasheet/Worksheet/telegram__suspilnemykolaiv_47512022-03-09T11:55:11.016013.png</t>
  </si>
  <si>
    <t>3caeeb97bb9f3bd7dc7dc9c39c22ee582f1b865daecdc9d8a1ac086924f91992</t>
  </si>
  <si>
    <t>https://t.me/insiderUKR/24607</t>
  </si>
  <si>
    <t>Flight of multiple missiles over Vasylkiv, reportedly in the direction of Chernyhiv.</t>
  </si>
  <si>
    <t>https://www.google.de/maps/place/Ivana+Franka+St,+8,+Vasylkiv,+Kyivs'ka+oblast,+Ukraine,+08602/@50.1796404,30.3149585,17z/data=!3m1!4b1!4m5!3m4!1s0x40d4a54db13d9447:0xab086a07984ce616!8m2!3d50.1796404!4d30.3171525!5m1!1e1</t>
  </si>
  <si>
    <t>One can see handwritten "ул. Франко 8" on the grey building righthandside, stands for Ivana Franka St. 8 on the google map. Speaker in the video mentions 5 missiles, Kyiv Oblast; video title: "Flight of 5 missiles over Vasilkov in the direction of Chernigov. Subscriber video."</t>
  </si>
  <si>
    <t>UW1902</t>
  </si>
  <si>
    <t>filmed from residential area, one can see even see fro where exactly.</t>
  </si>
  <si>
    <t>https://bellingcat-archive.nyc3.cdn.digitaloceanspaces.com/Ukraine_Witness_Datasheet/Worksheet/telegram_9b8b9715e0.mp4</t>
  </si>
  <si>
    <t>2022-03-09T12:21:53.428448+00:00</t>
  </si>
  <si>
    <t>https://bellingcat-archive.nyc3.cdn.digitaloceanspaces.com/Ukraine_Witness_Datasheet/Worksheet/telegram__insiderUKR_246072022-03-09T12:20:11.064531.png</t>
  </si>
  <si>
    <t>8c43557dfbcbb675f9d1d05135c866f4c3a1415fd70e599df80b22826183d91b</t>
  </si>
  <si>
    <t>https://bellingcat-archive.nyc3.cdn.digitaloceanspaces.com/Ukraine_Witness_Datasheet/Worksheet/telegram_9b8b9715e0/index.html</t>
  </si>
  <si>
    <t>2022-03-07T15:31:48+00:00</t>
  </si>
  <si>
    <t>https://t.me/Pravda_Gerashchenko/2582</t>
  </si>
  <si>
    <t>Images-caption: "Last night, Russian fascist pilots committed another crime against humanity in Sumy. 500-kilogram bombs were dropped on residential buildings on the St. Romenskaya and St. Spartacus. Debris clearing is still ongoing [...]".</t>
  </si>
  <si>
    <t>https://www.google.com/maps/place/Spartaka+St,+3,+Sumy,+Sums'ka+oblast,+Ukraine,+40000/@50.8992103,34.7672294,17z/data=!4m5!3m4!1s0x412901a281f6c841:0xb37e34b5052f31b0!8m2!3d50.8973698!4d34.7668324</t>
  </si>
  <si>
    <t>Sums'ka oblast</t>
  </si>
  <si>
    <t xml:space="preserve">Here is a video of the same location, mentioning the same location in the caption (ул. Спартака г. Сумы), also speaker names ул. Спартака, and you can see the street number Nr 3 in the same video. Also cloth of the dead bodies has the same coloring as the on the telegram-image - https://www.youtube.com/watch?v=mQYvo2YyFVs </t>
  </si>
  <si>
    <t>UW1903</t>
  </si>
  <si>
    <t>civilian casualties</t>
  </si>
  <si>
    <t>https://bellingcat-archive.nyc3.cdn.digitaloceanspaces.com/Ukraine_Witness_Datasheet/Worksheet/telegram__Pravda_Gerashchenko_2582.html</t>
  </si>
  <si>
    <t>2022-03-09T13:25:28.017724+00:00</t>
  </si>
  <si>
    <t>https://bellingcat-archive.nyc3.cdn.digitaloceanspaces.com/Ukraine_Witness_Datasheet/Worksheet/telegram__Pravda_Gerashchenko_25822022-03-09T13:25:12.075737.png</t>
  </si>
  <si>
    <t>9f6a6774ebb54a989ad537be1699ca9b372e812ee111a703e8300845be4fa50b</t>
  </si>
  <si>
    <t>2022-03-08T06:51:18+00:00</t>
  </si>
  <si>
    <t>https://www.youtube.com/watch?v=mQYvo2YyFVs</t>
  </si>
  <si>
    <t>Damages on civilian infrastructure and multiple casualties visible.</t>
  </si>
  <si>
    <r>
      <rPr>
        <sz val="11.0"/>
      </rPr>
      <t xml:space="preserve">High res images of the same bodies from Telegram, showing the same location and same bodies can be seen here: </t>
    </r>
    <r>
      <rPr>
        <color rgb="FF1155CC"/>
        <sz val="11.0"/>
        <u/>
      </rPr>
      <t>https://t.me/Pravda_Gerashchenko/2582</t>
    </r>
  </si>
  <si>
    <t>filmed by the resident of the area</t>
  </si>
  <si>
    <t>https://bellingcat-archive.nyc3.cdn.digitaloceanspaces.com/Ukraine_Witness_Datasheet/Worksheet/youtube_dl_mQYvo2YyFVs.mp4</t>
  </si>
  <si>
    <t>2022-03-09T15:00:36.933685+00:00</t>
  </si>
  <si>
    <t>https://bellingcat-archive.nyc3.cdn.digitaloceanspaces.com/Ukraine_Witness_Datasheet/Worksheet/youtube_dl__watch2022-03-09T15:00:17.115225.png</t>
  </si>
  <si>
    <t>3485d53ec641eefc18272d9520b92dc8bb394c3277ad5bca1e2c96e627a8ed22</t>
  </si>
  <si>
    <t>https://bellingcat-archive.nyc3.cdn.digitaloceanspaces.com/Ukraine_Witness_Datasheet/Worksheet/youtube_dl_mQYvo2YyFVs/index.html</t>
  </si>
  <si>
    <t>8 марта 2022г. ул.Спартака г.Сумы. То, что от нее осталось. Это не покажут по ТВ.</t>
  </si>
  <si>
    <t>2022-03-08T00:00:00+00:00</t>
  </si>
  <si>
    <t>50.0043</t>
  </si>
  <si>
    <t>36.2376</t>
  </si>
  <si>
    <t>https://twitter.com/GirkinGirkin/status/1501422413485154306?cxt=HHwWhIC92d3uj9YpAAAA</t>
  </si>
  <si>
    <t>Widespread destruction after strike</t>
  </si>
  <si>
    <t>UW1904</t>
  </si>
  <si>
    <t>https://bellingcat-archive.nyc3.cdn.digitaloceanspaces.com/Ukraine_Witness_Datasheet/Worksheet/youtube_dl_1501422413485154306.mp4</t>
  </si>
  <si>
    <t>2022-03-09T11:05:27.166184+00:00</t>
  </si>
  <si>
    <t>https://bellingcat-archive.nyc3.cdn.digitaloceanspaces.com/Ukraine_Witness_Datasheet/Worksheet/youtube_dl__GirkinGirkin_status_15014224134851543062022-03-09T11:05:14.182527.png</t>
  </si>
  <si>
    <t>72e901b945282a3d6820f5e2c4fad97a23817914bd8d0560fce73db3da09540a</t>
  </si>
  <si>
    <t>https://bellingcat-archive.nyc3.cdn.digitaloceanspaces.com/Ukraine_Witness_Datasheet/Worksheet/youtube_dl_1501422413485154306/index.html</t>
  </si>
  <si>
    <t>IgorGirkin - русская армия уничтожает Харьков  8 марта</t>
  </si>
  <si>
    <t>2022-03-09T04:59:33+00:00</t>
  </si>
  <si>
    <t>50.498014</t>
  </si>
  <si>
    <t>31.259219</t>
  </si>
  <si>
    <t>https://twitter.com/BackAndAlive/status/1500447665024348168?s=20&amp;t=3LvW9DVNBIIQR8JNJRAflw</t>
  </si>
  <si>
    <t>CIV0294</t>
  </si>
  <si>
    <t>MLRS firing from civillian area towards SW.</t>
  </si>
  <si>
    <t>UW1905</t>
  </si>
  <si>
    <t>2022-03-09T11:05:49.436724+00:00</t>
  </si>
  <si>
    <t>https://bellingcat-archive.nyc3.cdn.digitaloceanspaces.com/Ukraine_Witness_Datasheet/Worksheet/youtube_dl__BackAndAlive_status_15004476650243481682022-03-09T11:05:28.944724.png</t>
  </si>
  <si>
    <t>https://t.me/dvish_alive/9562</t>
  </si>
  <si>
    <t>Wreckage of either Flanker or Fulcrum series jet fighter, remains of pilot</t>
  </si>
  <si>
    <t>UW1906</t>
  </si>
  <si>
    <t>https://bellingcat-archive.nyc3.cdn.digitaloceanspaces.com/Ukraine_Witness_Datasheet/Worksheet/telegram__dvish_alive_9562.html</t>
  </si>
  <si>
    <t>2022-03-09T12:10:25.584030+00:00</t>
  </si>
  <si>
    <t>https://bellingcat-archive.nyc3.cdn.digitaloceanspaces.com/Ukraine_Witness_Datasheet/Worksheet/telegram__dvish_alive_95622022-03-09T12:10:11.089618.png</t>
  </si>
  <si>
    <t>ba400717d7f4e37228214473ccfbc502a5028d16bc4fe9c11a13196ce8a76481</t>
  </si>
  <si>
    <t>2022-03-09T11:36:58+00:00</t>
  </si>
  <si>
    <t>https://twitter.com/no_itsmyturn/status/1501449834791944192</t>
  </si>
  <si>
    <t>Destruction after missile strike between appartment blocks</t>
  </si>
  <si>
    <t>UW1907</t>
  </si>
  <si>
    <t>https://bellingcat-archive.nyc3.cdn.digitaloceanspaces.com/Ukraine_Witness_Datasheet/Worksheet/youtube_dl_1501449834791944192.mp4</t>
  </si>
  <si>
    <t>2022-03-09T12:15:35.309343+00:00</t>
  </si>
  <si>
    <t>https://bellingcat-archive.nyc3.cdn.digitaloceanspaces.com/Ukraine_Witness_Datasheet/Worksheet/youtube_dl__no_itsmyturn_status_15014498347919441922022-03-09T12:15:17.557274.png</t>
  </si>
  <si>
    <t>b5b0b0e0c2a82665f017137f1392db8b4ccc83af9b93bacca997920af87c0458</t>
  </si>
  <si>
    <t>https://bellingcat-archive.nyc3.cdn.digitaloceanspaces.com/Ukraine_Witness_Datasheet/Worksheet/youtube_dl_1501449834791944192/index.html</t>
  </si>
  <si>
    <t>Aleph א #IStandWithUkraine 🇺🇦 - Aftermath of Russian shelling in 23-ho Serpnya St Kharkiv #Ukraine 🇺🇦</t>
  </si>
  <si>
    <t>2022-03-09T06:48:30+00:00</t>
  </si>
  <si>
    <t>https://twitter.com/666_mancer/status/1501530809345454082</t>
  </si>
  <si>
    <t>Wreckage of Russian tank</t>
  </si>
  <si>
    <t>UW1908</t>
  </si>
  <si>
    <t>https://bellingcat-archive.nyc3.cdn.digitaloceanspaces.com/Ukraine_Witness_Datasheet/Worksheet/youtube_dl_1501530809345454082.mp4</t>
  </si>
  <si>
    <t>2022-03-09T12:15:50.825425+00:00</t>
  </si>
  <si>
    <t>https://bellingcat-archive.nyc3.cdn.digitaloceanspaces.com/Ukraine_Witness_Datasheet/Worksheet/youtube_dl__666_mancer_status_15015308093454540822022-03-09T12:15:38.184101.png</t>
  </si>
  <si>
    <t>3c1c169e5df6802463af723791d0f333f8c43f254f6c5e28aaf6f672819c8163</t>
  </si>
  <si>
    <t>https://bellingcat-archive.nyc3.cdn.digitaloceanspaces.com/Ukraine_Witness_Datasheet/Worksheet/youtube_dl_1501530809345454082/index.html</t>
  </si>
  <si>
    <t>Necro Mancer - Сумская обл., танчик метнул башню #RussianUkrainianWar</t>
  </si>
  <si>
    <t>2022-03-09T12:10:16+00:00</t>
  </si>
  <si>
    <t>https://twitter.com/666_mancer/status/1501531197008232449</t>
  </si>
  <si>
    <t>Captured Russian vehicle with ambulance markings</t>
  </si>
  <si>
    <t>UW1909</t>
  </si>
  <si>
    <t>https://bellingcat-archive.nyc3.cdn.digitaloceanspaces.com/Ukraine_Witness_Datasheet/Worksheet/youtube_dl_1501531197008232449.mp4</t>
  </si>
  <si>
    <t>2022-03-09T12:22:07.802072+00:00</t>
  </si>
  <si>
    <t>https://bellingcat-archive.nyc3.cdn.digitaloceanspaces.com/Ukraine_Witness_Datasheet/Worksheet/youtube_dl__666_mancer_status_15015311970082324492022-03-09T12:21:56.702855.png</t>
  </si>
  <si>
    <t>046a9723703a44e0d9d5b5fc18c9166ad5729a6b343554f5f3fd9ad61539003d</t>
  </si>
  <si>
    <t>https://bellingcat-archive.nyc3.cdn.digitaloceanspaces.com/Ukraine_Witness_Datasheet/Worksheet/youtube_dl_1501531197008232449/index.html</t>
  </si>
  <si>
    <t>Necro Mancer - Сумская обл., приехали #RussianUkrainianWar</t>
  </si>
  <si>
    <t>2022-03-09T12:11:49+00:00</t>
  </si>
  <si>
    <t>https://twitter.com/no_itsmyturn/status/1501449372713816064</t>
  </si>
  <si>
    <t>Fire in appartment building</t>
  </si>
  <si>
    <t>UW1910</t>
  </si>
  <si>
    <t>https://bellingcat-archive.nyc3.cdn.digitaloceanspaces.com/Ukraine_Witness_Datasheet/Worksheet/youtube_dl_1501449372713816064.mp4</t>
  </si>
  <si>
    <t>2022-03-09T12:22:23.048017+00:00</t>
  </si>
  <si>
    <t>https://bellingcat-archive.nyc3.cdn.digitaloceanspaces.com/Ukraine_Witness_Datasheet/Worksheet/youtube_dl__no_itsmyturn_status_15014493727138160642022-03-09T12:22:10.162089.png</t>
  </si>
  <si>
    <t>33c9d9ecf5a302562367a711c80876b37980f20d84f0e0045b5c4df7dc6d20c6</t>
  </si>
  <si>
    <t>https://bellingcat-archive.nyc3.cdn.digitaloceanspaces.com/Ukraine_Witness_Datasheet/Worksheet/youtube_dl_1501449372713816064/index.html</t>
  </si>
  <si>
    <t>Aleph א #IStandWithUkraine 🇺🇦 - Kharkiv,  #Ukraine 🇺🇦</t>
  </si>
  <si>
    <t>2022-03-09T06:46:40+00:00</t>
  </si>
  <si>
    <t>https://twitter.com/no_itsmyturn/status/1501462954075693060</t>
  </si>
  <si>
    <t>Russian forces at the police station</t>
  </si>
  <si>
    <t>Skadovs'k</t>
  </si>
  <si>
    <t>UW1911</t>
  </si>
  <si>
    <t>https://bellingcat-archive.nyc3.cdn.digitaloceanspaces.com/Ukraine_Witness_Datasheet/Worksheet/youtube_dl_1501462954075693060.mp4</t>
  </si>
  <si>
    <t>2022-03-09T12:30:27.027214+00:00</t>
  </si>
  <si>
    <t>https://bellingcat-archive.nyc3.cdn.digitaloceanspaces.com/Ukraine_Witness_Datasheet/Worksheet/youtube_dl__no_itsmyturn_status_15014629540756930602022-03-09T12:30:15.263180.png</t>
  </si>
  <si>
    <t>bfd71c82b2a6fc0a0e49dab584f0247a8b350908b2a0b2f6d4a5dc89f176142e</t>
  </si>
  <si>
    <t>https://bellingcat-archive.nyc3.cdn.digitaloceanspaces.com/Ukraine_Witness_Datasheet/Worksheet/youtube_dl_1501462954075693060/index.html</t>
  </si>
  <si>
    <t>Aleph א #IStandWithUkraine 🇺🇦 - Russian column spotted near the police station in Skadovs'k  Kherson oblast #Ukraine🇺🇦</t>
  </si>
  <si>
    <t>2022-03-09T07:40:38+00:00</t>
  </si>
  <si>
    <t>https://twitter.com/YWNReporter/status/1501522573850468352</t>
  </si>
  <si>
    <t>UW1912</t>
  </si>
  <si>
    <t>https://bellingcat-archive.nyc3.cdn.digitaloceanspaces.com/Ukraine_Witness_Datasheet/Worksheet/youtube_dl_1501522573850468352.mp4</t>
  </si>
  <si>
    <t>2022-03-09T12:30:44.815589+00:00</t>
  </si>
  <si>
    <t>https://bellingcat-archive.nyc3.cdn.digitaloceanspaces.com/Ukraine_Witness_Datasheet/Worksheet/youtube_dl__YWNReporter_status_15015225738504683522022-03-09T12:30:30.420021.png</t>
  </si>
  <si>
    <t>6fe00fceb80aadc6998b1fb83276b063a095d3d1f9af92aa5a3439aac5577695</t>
  </si>
  <si>
    <t>https://bellingcat-archive.nyc3.cdn.digitaloceanspaces.com/Ukraine_Witness_Datasheet/Worksheet/youtube_dl_1501522573850468352/index.html</t>
  </si>
  <si>
    <t>Moshe Schwartz - I've geolocated this video which shows a convoy of Russian armored and supply vehicles in Skadovsk, Kherson region of Ukraine.  📍46.113391,32.929247  Thread👇</t>
  </si>
  <si>
    <t>2022-03-09T11:37:33+00:00</t>
  </si>
  <si>
    <t>https://twitter.com/no_itsmyturn/status/1501480168304660484</t>
  </si>
  <si>
    <t>UW1913</t>
  </si>
  <si>
    <t>https://bellingcat-archive.nyc3.cdn.digitaloceanspaces.com/Ukraine_Witness_Datasheet/Worksheet/twitter__no_itsmyturn_status_1501480168304660484.html</t>
  </si>
  <si>
    <t>2022-03-09T12:35:23.120870+00:00</t>
  </si>
  <si>
    <t>https://bellingcat-archive.nyc3.cdn.digitaloceanspaces.com/Ukraine_Witness_Datasheet/Worksheet/twitter__no_itsmyturn_status_15014801683046604842022-03-09T12:35:14.171383.png</t>
  </si>
  <si>
    <t>d73744da34f18dba841c03e3890cf5acadc1ef97b4b938643560d3d81f938cc5</t>
  </si>
  <si>
    <t>2022-03-09T08:49:02+00:00</t>
  </si>
  <si>
    <t>https://twitter.com/no_itsmyturn/status/1501486077848469504/photo/2</t>
  </si>
  <si>
    <t>Destruction after missile strikes</t>
  </si>
  <si>
    <t>UW1914</t>
  </si>
  <si>
    <t>https://bellingcat-archive.nyc3.cdn.digitaloceanspaces.com/Ukraine_Witness_Datasheet/Worksheet/twitter__no_itsmyturn_status_1501486077848469504_photo_2.html</t>
  </si>
  <si>
    <t>2022-03-09T12:35:36.539095+00:00</t>
  </si>
  <si>
    <t>https://bellingcat-archive.nyc3.cdn.digitaloceanspaces.com/Ukraine_Witness_Datasheet/Worksheet/twitter__no_itsmyturn_status_1501486077848469504_photo_22022-03-09T12:35:26.998806.png</t>
  </si>
  <si>
    <t>985ef0f963e98593903c082fafbcf598e5143a5656289c095a5788079a4c7571</t>
  </si>
  <si>
    <t>2022-03-09T09:12:31+00:00</t>
  </si>
  <si>
    <t>deleted link, not archived</t>
  </si>
  <si>
    <t>remnants of a missile</t>
  </si>
  <si>
    <t>Yasnohirka</t>
  </si>
  <si>
    <t>UW1915</t>
  </si>
  <si>
    <t>wayback: Internet Archive failed: {'status': 'error', 'duration_sec': 4.596, 'status_ext': 'error:not-found', 'resources': [], 'message': 'The server cannot find the requested resource https://twitter.com/no_itsmyturn/status/15014921774903009 (HTTP status=404).', 'job_id': 'spn2-f1fc76e25a8e8368458857bbfd29645a0ea6ba57-3c54e5b2'}</t>
  </si>
  <si>
    <t>2022-03-09T12:55:28.454291+00:00</t>
  </si>
  <si>
    <t>https://twitter.com/no_itsmyturn/status/1501543044180582403/photo/1</t>
  </si>
  <si>
    <t xml:space="preserve">residential shelling </t>
  </si>
  <si>
    <t>50.035150, 36.241928</t>
  </si>
  <si>
    <t>UW1916</t>
  </si>
  <si>
    <t>https://bellingcat-archive.nyc3.cdn.digitaloceanspaces.com/Ukraine_Witness_Datasheet/Worksheet/twitter__no_itsmyturn_status_1501543044180582403_photo_1.html</t>
  </si>
  <si>
    <t>2022-03-09T13:25:40.480777+00:00</t>
  </si>
  <si>
    <t>https://bellingcat-archive.nyc3.cdn.digitaloceanspaces.com/Ukraine_Witness_Datasheet/Worksheet/twitter__no_itsmyturn_status_1501543044180582403_photo_12022-03-09T13:25:32.024531.png</t>
  </si>
  <si>
    <t>83ab81e00b9dcdc9fac5e2063cc8df011ca34a77a334d169d83b9194bf8453d6</t>
  </si>
  <si>
    <t>2022-03-09T12:58:53+00:00</t>
  </si>
  <si>
    <t>https://twitter.com/no_itsmyturn/status/1501554239516155912</t>
  </si>
  <si>
    <t xml:space="preserve">Center of Kharkiv shelling </t>
  </si>
  <si>
    <t>UW1917</t>
  </si>
  <si>
    <t>https://bellingcat-archive.nyc3.cdn.digitaloceanspaces.com/Ukraine_Witness_Datasheet/Worksheet/youtube_dl_1501554239516155912.mp4</t>
  </si>
  <si>
    <t>2022-03-09T14:10:33.992912+00:00</t>
  </si>
  <si>
    <t>https://bellingcat-archive.nyc3.cdn.digitaloceanspaces.com/Ukraine_Witness_Datasheet/Worksheet/youtube_dl__no_itsmyturn_status_15015542395161559122022-03-09T14:10:21.952180.png</t>
  </si>
  <si>
    <t>3f94c2a9d2cb5f9a75a40702578f75256778af23f93dc589315628e9541de81b</t>
  </si>
  <si>
    <t>https://bellingcat-archive.nyc3.cdn.digitaloceanspaces.com/Ukraine_Witness_Datasheet/Worksheet/youtube_dl_1501554239516155912/index.html</t>
  </si>
  <si>
    <t>Aleph א #IStandWithUkraine 🇺🇦 - Aftermath of Russian strikes Center of Kharkiv #Ukraine🇺🇦</t>
  </si>
  <si>
    <t>2022-03-09T13:43:22+00:00</t>
  </si>
  <si>
    <t>https://twitter.com/buch10_04/status/1501229036403507206?s=20&amp;t=HIx5AnhcU81_BnyKsWT7Rw</t>
  </si>
  <si>
    <t>CIV0295</t>
  </si>
  <si>
    <t>Kharkiv tram depot struck.</t>
  </si>
  <si>
    <t>UW1918</t>
  </si>
  <si>
    <t>https://bellingcat-archive.nyc3.cdn.digitaloceanspaces.com/Ukraine_Witness_Datasheet/Worksheet/twitter__buch10_04_status_1501229036403507206.html</t>
  </si>
  <si>
    <t>2022-03-09T14:20:24.849485+00:00</t>
  </si>
  <si>
    <t>https://bellingcat-archive.nyc3.cdn.digitaloceanspaces.com/Ukraine_Witness_Datasheet/Worksheet/twitter__buch10_04_status_15012290364035072062022-03-09T14:20:15.484227.png</t>
  </si>
  <si>
    <t>c42ab6e7eb64cf295237a85ee7b86c9fb667a3f0748ddba72664bb1d80e129f4</t>
  </si>
  <si>
    <t>2022-03-08T16:11:08+00:00</t>
  </si>
  <si>
    <t>https://www.facebook.com/photo/?fbid=265785982396900&amp;set=pcb.265788295730002</t>
  </si>
  <si>
    <t>CIV0296</t>
  </si>
  <si>
    <t>Images and videos reportedly showing the removal of munitions. Images include rocket motors and at least two 9n235 submunitions.</t>
  </si>
  <si>
    <t xml:space="preserve">Mykolaiv </t>
  </si>
  <si>
    <t>UW1919</t>
  </si>
  <si>
    <t>https://web.archive.org/web/20220309142100/https://www.facebook.com/photo/?fbid=265785982396900&amp;set=pcb.265788295730002</t>
  </si>
  <si>
    <t>2022-03-09T14:21:16.426397+00:00</t>
  </si>
  <si>
    <t>https://bellingcat-archive.nyc3.cdn.digitaloceanspaces.com/Ukraine_Witness_Datasheet/Worksheet/wayback__photo_2022-03-09T14:21:08.396076.png</t>
  </si>
  <si>
    <t>https://www.facebook.com/photo/?fbid=265786085730223&amp;set=pcb.265788295730002</t>
  </si>
  <si>
    <t>UW1920</t>
  </si>
  <si>
    <t>https://web.archive.org/web/20220309142148/https://www.facebook.com/photo/?fbid=265786085730223&amp;set=pcb.265788295730002</t>
  </si>
  <si>
    <t>2022-03-09T14:22:02.209476+00:00</t>
  </si>
  <si>
    <t>https://bellingcat-archive.nyc3.cdn.digitaloceanspaces.com/Ukraine_Witness_Datasheet/Worksheet/wayback__photo_2022-03-09T14:21:54.165102.png</t>
  </si>
  <si>
    <t>https://www.facebook.com/DSNSMYKOL/posts/265788295730002</t>
  </si>
  <si>
    <t>UW1921</t>
  </si>
  <si>
    <t>https://web.archive.org/web/20220309142207/https://www.facebook.com/login/?next=https%3A%2F%2Fwww.facebook.com%2FDSNSMYKOL%2Fposts%2F265788295730002</t>
  </si>
  <si>
    <t>2022-03-09T14:22:31.877412+00:00</t>
  </si>
  <si>
    <t>https://bellingcat-archive.nyc3.cdn.digitaloceanspaces.com/Ukraine_Witness_Datasheet/Worksheet/wayback__DSNSMYKOL_posts_2657882957300022022-03-09T14:22:23.946811.png</t>
  </si>
  <si>
    <t>https://www.facebook.com/photo/?fbid=265786142396884&amp;set=pcb.265788295730002</t>
  </si>
  <si>
    <t>UW1922</t>
  </si>
  <si>
    <t>https://web.archive.org/web/20220309142248/https://www.facebook.com/photo/?fbid=265786142396884&amp;set=pcb.265788295730002</t>
  </si>
  <si>
    <t>2022-03-09T14:23:03.723751+00:00</t>
  </si>
  <si>
    <t>https://bellingcat-archive.nyc3.cdn.digitaloceanspaces.com/Ukraine_Witness_Datasheet/Worksheet/wayback__photo_2022-03-09T14:22:55.568943.png</t>
  </si>
  <si>
    <t>https://www.facebook.com/photo/?fbid=265786395730192&amp;set=pcb.265788295730002</t>
  </si>
  <si>
    <t>UW1923</t>
  </si>
  <si>
    <t>https://web.archive.org/web/20220309142307/https://www.facebook.com/photo/?fbid=265786395730192&amp;set=pcb.265788295730002</t>
  </si>
  <si>
    <t>2022-03-09T14:23:23.230894+00:00</t>
  </si>
  <si>
    <t>https://bellingcat-archive.nyc3.cdn.digitaloceanspaces.com/Ukraine_Witness_Datasheet/Worksheet/wayback__photo_2022-03-09T14:23:15.503216.png</t>
  </si>
  <si>
    <t>https://t.me/truexanewsua/31311</t>
  </si>
  <si>
    <t>Shelling in Kharkiv</t>
  </si>
  <si>
    <t>UW1924</t>
  </si>
  <si>
    <t>https://bellingcat-archive.nyc3.cdn.digitaloceanspaces.com/Ukraine_Witness_Datasheet/Worksheet/telegram_0882018a0f.mp4</t>
  </si>
  <si>
    <t>2022-03-09T14:25:38.853819+00:00</t>
  </si>
  <si>
    <t>https://bellingcat-archive.nyc3.cdn.digitaloceanspaces.com/Ukraine_Witness_Datasheet/Worksheet/telegram__truexanewsua_313112022-03-09T14:23:23.925434.png</t>
  </si>
  <si>
    <t>d9cfc1cfd744775242007ef6856ca14cd49f213d1f6f4bf24f52f89c30878704</t>
  </si>
  <si>
    <t>https://bellingcat-archive.nyc3.cdn.digitaloceanspaces.com/Ukraine_Witness_Datasheet/Worksheet/telegram_0882018a0f/index.html</t>
  </si>
  <si>
    <t>2022-03-09T14:05:06+00:00</t>
  </si>
  <si>
    <t>https://www.facebook.com/photo/?fbid=265786955730136&amp;set=pcb.265788295730002</t>
  </si>
  <si>
    <t>UW1925</t>
  </si>
  <si>
    <t>https://web.archive.org/web/20220309143026/https://www.facebook.com/photo/?fbid=265786955730136&amp;set=pcb.265788295730002</t>
  </si>
  <si>
    <t>2022-03-09T14:30:42.924931+00:00</t>
  </si>
  <si>
    <t>https://bellingcat-archive.nyc3.cdn.digitaloceanspaces.com/Ukraine_Witness_Datasheet/Worksheet/wayback__photo_2022-03-09T14:30:34.463679.png</t>
  </si>
  <si>
    <t>https://www.facebook.com/photo/?fbid=265787352396763&amp;set=pcb.265788295730002</t>
  </si>
  <si>
    <t>videos</t>
  </si>
  <si>
    <t>UW1926</t>
  </si>
  <si>
    <t>https://web.archive.org/web/20220309143047/https://www.facebook.com/photo/?fbid=265787352396763&amp;set=pcb.265788295730002</t>
  </si>
  <si>
    <t>2022-03-09T14:31:03.234600+00:00</t>
  </si>
  <si>
    <t>https://bellingcat-archive.nyc3.cdn.digitaloceanspaces.com/Ukraine_Witness_Datasheet/Worksheet/wayback__photo_2022-03-09T14:30:55.160560.png</t>
  </si>
  <si>
    <t>https://www.facebook.com/photo?fbid=265785665730265&amp;set=pcb.265788295730002</t>
  </si>
  <si>
    <t>UW1927</t>
  </si>
  <si>
    <t>https://web.archive.org/web/20220309143111/https://www.facebook.com/photo?fbid=265785665730265&amp;set=pcb.265788295730002</t>
  </si>
  <si>
    <t>2022-03-09T14:31:27.915542+00:00</t>
  </si>
  <si>
    <t>https://bellingcat-archive.nyc3.cdn.digitaloceanspaces.com/Ukraine_Witness_Datasheet/Worksheet/wayback__photo2022-03-09T14:31:20.134690.png</t>
  </si>
  <si>
    <t>https://www.facebook.com/100068965007598/videos/pcb.265788295730002/646866249743295</t>
  </si>
  <si>
    <t>UW1928</t>
  </si>
  <si>
    <t>https://bellingcat-archive.nyc3.cdn.digitaloceanspaces.com/Ukraine_Witness_Datasheet/Worksheet/youtube_dl_646866249743295.mkv</t>
  </si>
  <si>
    <t>2022-03-09T14:31:45.113653+00:00</t>
  </si>
  <si>
    <t>https://bellingcat-archive.nyc3.cdn.digitaloceanspaces.com/Ukraine_Witness_Datasheet/Worksheet/youtube_dl__100068965007598_videos_pcb.265788295730002_6468662497432952022-03-09T14:31:33.987777.png</t>
  </si>
  <si>
    <t>e40c2b537b891b52c9c3433f413a4a240d7a89ba82df4bb7df38468d0c0a5efe</t>
  </si>
  <si>
    <t>https://bellingcat-archive.nyc3.cdn.digitaloceanspaces.com/Ukraine_Witness_Datasheet/Worksheet/youtube_dl_646866249743295/index.html</t>
  </si>
  <si>
    <t>Facebook video #646866249743295</t>
  </si>
  <si>
    <t>https://www.facebook.com/DSNSMYKOL/posts/265327395776092?__cft__[0]=AZU-YYKRMd1iJaegbs5elxLU4IfxCdajDvTvUpn0GNC3QQeH3eEghPviVusH4aQzdi6TMiPJPDQNeqabTtvUcQkaOYDODN55KL_v4YkNN-lZPwnAjr6nvVf5kVt2VbhSFHSnRqxSGNIAxCWUGtqs64xXsuBt66o6OUu6KfKupWrbMA&amp;__tn__=%2CP-R</t>
  </si>
  <si>
    <t>UW1929</t>
  </si>
  <si>
    <t>wayback: Internet Archive failed: {'status': 'error', 'duration_sec': 3.335, 'status_ext': 'error:unknown', 'resources': [], 'message': 'Unknown error for chrome-error://chromewebdata/ (HTTP status=0).', 'job_id': 'spn2-8ecef89cbf5d24a9c297287b89a5c03dcebc7c62-361a5c16'}</t>
  </si>
  <si>
    <t>2022-03-09T14:31:52.408892+00:00</t>
  </si>
  <si>
    <t>https://twitter.com/SputnikATO/status/1501184212203941897/photo/2</t>
  </si>
  <si>
    <t>Okhtyrka City Council destroyed.</t>
  </si>
  <si>
    <t>UW1930</t>
  </si>
  <si>
    <t>https://bellingcat-archive.nyc3.cdn.digitaloceanspaces.com/Ukraine_Witness_Datasheet/Worksheet/twitter__SputnikATO_status_1501184212203941897_photo_2.html</t>
  </si>
  <si>
    <t>2022-03-09T14:35:21.462446+00:00</t>
  </si>
  <si>
    <t>https://bellingcat-archive.nyc3.cdn.digitaloceanspaces.com/Ukraine_Witness_Datasheet/Worksheet/twitter__SputnikATO_status_1501184212203941897_photo_22022-03-09T14:35:13.173105.png</t>
  </si>
  <si>
    <t>e0dd4f67b44089804a95705b282e7f27c15c591911b12efa94dbdf4d3a73b7ae</t>
  </si>
  <si>
    <t>https://twitter.com/berdynskykh_k/status/1501583568589492237</t>
  </si>
  <si>
    <t>Burning apartment block</t>
  </si>
  <si>
    <t>UW1931</t>
  </si>
  <si>
    <t>https://bellingcat-archive.nyc3.cdn.digitaloceanspaces.com/Ukraine_Witness_Datasheet/Worksheet/twitter__berdynskykh_k_status_1501583568589492237.html</t>
  </si>
  <si>
    <t>2022-03-09T15:45:21.753099+00:00</t>
  </si>
  <si>
    <t>https://bellingcat-archive.nyc3.cdn.digitaloceanspaces.com/Ukraine_Witness_Datasheet/Worksheet/twitter__berdynskykh_k_status_15015835685894922372022-03-09T15:45:13.036517.png</t>
  </si>
  <si>
    <t>cbbd0e00a8cd18792bbabb140a6ffcfaed497e6929265d25df540854cbbebfc5</t>
  </si>
  <si>
    <t>2022-03-09T15:39:55+00:00</t>
  </si>
  <si>
    <t>https://twitter.com/GirkinGirkin/status/1501574204868677635</t>
  </si>
  <si>
    <t>Deceased next to military medical vehicle</t>
  </si>
  <si>
    <t>https://twitter.com/AUT_INT/status/1501580038331932673</t>
  </si>
  <si>
    <t>Staromlynivka</t>
  </si>
  <si>
    <t>UW1932</t>
  </si>
  <si>
    <t>https://bellingcat-archive.nyc3.cdn.digitaloceanspaces.com/Ukraine_Witness_Datasheet/Worksheet/youtube_dl_1501574204868677635.mp4</t>
  </si>
  <si>
    <t>2022-03-09T15:45:38.263476+00:00</t>
  </si>
  <si>
    <t>https://bellingcat-archive.nyc3.cdn.digitaloceanspaces.com/Ukraine_Witness_Datasheet/Worksheet/youtube_dl__GirkinGirkin_status_15015742048686776352022-03-09T15:45:24.529105.png</t>
  </si>
  <si>
    <t>044fdf5ccf76695eac61dbe31c8f2569b80716fcf6d35dca96764582afe91818</t>
  </si>
  <si>
    <t>https://bellingcat-archive.nyc3.cdn.digitaloceanspaces.com/Ukraine_Witness_Datasheet/Worksheet/youtube_dl_1501574204868677635/index.html</t>
  </si>
  <si>
    <t>IgorGirkin - 🔞Донецкая обл, warcrime</t>
  </si>
  <si>
    <t>2022-03-09T15:02:42+00:00</t>
  </si>
  <si>
    <t>https://twitter.com/no_itsmyturn/status/1501576206059282432</t>
  </si>
  <si>
    <t xml:space="preserve">Children hospital damaged in Mariupol </t>
  </si>
  <si>
    <t>UW1933</t>
  </si>
  <si>
    <t>https://bellingcat-archive.nyc3.cdn.digitaloceanspaces.com/Ukraine_Witness_Datasheet/Worksheet/youtube_dl_1501576206059282432.mp4</t>
  </si>
  <si>
    <t>2022-03-09T15:45:55.810006+00:00</t>
  </si>
  <si>
    <t>https://bellingcat-archive.nyc3.cdn.digitaloceanspaces.com/Ukraine_Witness_Datasheet/Worksheet/youtube_dl__no_itsmyturn_status_15015762060592824322022-03-09T15:45:40.957179.png</t>
  </si>
  <si>
    <t>d33b37e2d9c577871b1039fd037a6678ab292463f782e100f6db026038936706</t>
  </si>
  <si>
    <t>https://bellingcat-archive.nyc3.cdn.digitaloceanspaces.com/Ukraine_Witness_Datasheet/Worksheet/youtube_dl_1501576206059282432/index.html</t>
  </si>
  <si>
    <t>Aleph א #IStandWithUkraine 🇺🇦 - Children hospital was targeted by Russians Mariupol</t>
  </si>
  <si>
    <t>2022-03-09T15:10:40+00:00</t>
  </si>
  <si>
    <t>https://twitter.com/RevelateursFTV/status/1501574503335354375?s=20&amp;t=krVCAkRS56ycvEiv0uY1mA</t>
  </si>
  <si>
    <t>UW1934</t>
  </si>
  <si>
    <t>https://bellingcat-archive.nyc3.cdn.digitaloceanspaces.com/Ukraine_Witness_Datasheet/Worksheet/youtube_dl_1501574503335354375.mp4</t>
  </si>
  <si>
    <t>2022-03-09T16:05:27.402213+00:00</t>
  </si>
  <si>
    <t>https://bellingcat-archive.nyc3.cdn.digitaloceanspaces.com/Ukraine_Witness_Datasheet/Worksheet/youtube_dl__RevelateursFTV_status_15015745033353543752022-03-09T16:05:15.257802.png</t>
  </si>
  <si>
    <t>b1059422785dc6bbef3f52db6695bf08a108c3ef0a7644f2fc96f7afd8291a1d</t>
  </si>
  <si>
    <t>https://bellingcat-archive.nyc3.cdn.digitaloceanspaces.com/Ukraine_Witness_Datasheet/Worksheet/youtube_dl_1501574503335354375/index.html</t>
  </si>
  <si>
    <t>Les Révélateurs de FranceTV - Une clinique pour enfants de #Marioupol a subi de gros dégâts aujourd'hui.   Vidéo filmée ici : 47.09656912368629, 37.533339605420785</t>
  </si>
  <si>
    <t>2022-03-09T15:03:54+00:00</t>
  </si>
  <si>
    <t>https://twitter.com/ThomasVLinge/status/1501581589213589514</t>
  </si>
  <si>
    <t>UW1935</t>
  </si>
  <si>
    <t>https://bellingcat-archive.nyc3.cdn.digitaloceanspaces.com/Ukraine_Witness_Datasheet/Worksheet/youtube_dl_1501581589213589514.mp4</t>
  </si>
  <si>
    <t>2022-03-09T16:05:52.703632+00:00</t>
  </si>
  <si>
    <t>https://bellingcat-archive.nyc3.cdn.digitaloceanspaces.com/Ukraine_Witness_Datasheet/Worksheet/youtube_dl__ThomasVLinge_status_15015815892135895142022-03-09T16:05:34.047430.png</t>
  </si>
  <si>
    <t>f97851785a6679cdda486548588c404805bf8147c7e448788be6d4318f8e26c0</t>
  </si>
  <si>
    <t>https://bellingcat-archive.nyc3.cdn.digitaloceanspaces.com/Ukraine_Witness_Datasheet/Worksheet/youtube_dl_1501581589213589514/index.html</t>
  </si>
  <si>
    <t>Thomas van Linge - #Ukraine 🇺🇦: footage from inside the children's hospital in #Mariupol. The hospital has been totally wracked, debris is everywhere.  This is a clear-cut case of a war crime, another one by the Russian invasion force.</t>
  </si>
  <si>
    <t>2022-03-09T15:32:03+00:00</t>
  </si>
  <si>
    <t>https://twitter.com/Conflicts/status/1501583918583230468?s=20&amp;t=krVCAkRS56ycvEiv0uY1mA</t>
  </si>
  <si>
    <t xml:space="preserve">Crater at Children hospital </t>
  </si>
  <si>
    <t>UW1936</t>
  </si>
  <si>
    <t>https://bellingcat-archive.nyc3.cdn.digitaloceanspaces.com/Ukraine_Witness_Datasheet/Worksheet/youtube_dl_1501583918583230468.mp4</t>
  </si>
  <si>
    <t>2022-03-09T16:06:06.597121+00:00</t>
  </si>
  <si>
    <t>https://bellingcat-archive.nyc3.cdn.digitaloceanspaces.com/Ukraine_Witness_Datasheet/Worksheet/youtube_dl__Conflicts_status_15015839185832304682022-03-09T16:05:55.166310.png</t>
  </si>
  <si>
    <t>a40ebc7cef73972314d08819b6ee30adf42200f6806379f98681f1e41483b819</t>
  </si>
  <si>
    <t>https://bellingcat-archive.nyc3.cdn.digitaloceanspaces.com/Ukraine_Witness_Datasheet/Worksheet/youtube_dl_1501583918583230468/index.html</t>
  </si>
  <si>
    <t>Conflict News - VIDEO: Large crater left following Russian strike that hit a hospital in Mariupol.</t>
  </si>
  <si>
    <t>2022-03-09T15:41:18+00:00</t>
  </si>
  <si>
    <t>wayback: Internet archive failed: http://duplicate/ URL syntax is not valid.</t>
  </si>
  <si>
    <t>2022-03-09T16:20:13.089681+00:00</t>
  </si>
  <si>
    <t>https://t.me/Ratnik2nd/3396</t>
  </si>
  <si>
    <t>Russian forces on the moving towards Mariupol</t>
  </si>
  <si>
    <t>https://twitter.com/kargolow/status/1501572824225439746</t>
  </si>
  <si>
    <t>Manhush</t>
  </si>
  <si>
    <t>UW1938</t>
  </si>
  <si>
    <t>https://bellingcat-archive.nyc3.cdn.digitaloceanspaces.com/Ukraine_Witness_Datasheet/Worksheet/telegram_df4d6fcfe7.mp4</t>
  </si>
  <si>
    <t>2022-03-09T16:21:51.397965+00:00</t>
  </si>
  <si>
    <t>https://bellingcat-archive.nyc3.cdn.digitaloceanspaces.com/Ukraine_Witness_Datasheet/Worksheet/telegram__Ratnik2nd_33962022-03-09T16:20:13.784596.png</t>
  </si>
  <si>
    <t>673fe594321762daa318fbc76ef9a956f537dbd4789153158070a18f21ab4af0</t>
  </si>
  <si>
    <t>https://bellingcat-archive.nyc3.cdn.digitaloceanspaces.com/Ukraine_Witness_Datasheet/Worksheet/telegram_df4d6fcfe7/index.html</t>
  </si>
  <si>
    <t>2022-03-09T12:46:06+00:00</t>
  </si>
  <si>
    <t>https://twitter.com/no_itsmyturn/status/1501589837782126598</t>
  </si>
  <si>
    <t>Shelling of hospital by Russian forces</t>
  </si>
  <si>
    <t>UW1939</t>
  </si>
  <si>
    <t>https://bellingcat-archive.nyc3.cdn.digitaloceanspaces.com/Ukraine_Witness_Datasheet/Worksheet/youtube_dl_1501589837782126598.mp4</t>
  </si>
  <si>
    <t>2022-03-09T16:25:29.053739+00:00</t>
  </si>
  <si>
    <t>https://bellingcat-archive.nyc3.cdn.digitaloceanspaces.com/Ukraine_Witness_Datasheet/Worksheet/youtube_dl__no_itsmyturn_status_15015898377821265982022-03-09T16:25:14.267950.png</t>
  </si>
  <si>
    <t>bc023081cb41142ad92571ba94486e4d07566481a514f5bcd5750470d0a04640</t>
  </si>
  <si>
    <t>https://bellingcat-archive.nyc3.cdn.digitaloceanspaces.com/Ukraine_Witness_Datasheet/Worksheet/youtube_dl_1501589837782126598/index.html</t>
  </si>
  <si>
    <t>Aleph א #IStandWithUkraine 🇺🇦 - Mariupol #Ukraine 🇺🇦</t>
  </si>
  <si>
    <t>2022-03-09T16:04:50+00:00</t>
  </si>
  <si>
    <t>https://twitter.com/TpyxaNews/status/1500890667349909505</t>
  </si>
  <si>
    <t>Russian forces after attack Ukrainian positions</t>
  </si>
  <si>
    <t>https://twitter.com/GeoConfirmed</t>
  </si>
  <si>
    <t>Tsyrkuny</t>
  </si>
  <si>
    <t>UW1940</t>
  </si>
  <si>
    <t>https://bellingcat-archive.nyc3.cdn.digitaloceanspaces.com/Ukraine_Witness_Datasheet/Worksheet/youtube_dl_1500890667349909505.mp4</t>
  </si>
  <si>
    <t>2022-03-09T16:25:44.630127+00:00</t>
  </si>
  <si>
    <t>https://bellingcat-archive.nyc3.cdn.digitaloceanspaces.com/Ukraine_Witness_Datasheet/Worksheet/youtube_dl__TpyxaNews_status_15008906673499095052022-03-09T16:25:32.320308.png</t>
  </si>
  <si>
    <t>e0b89ac24b4fd0a7c9bf2194edc362fe4348da634f05d37fa929ccd2b842739d</t>
  </si>
  <si>
    <t>https://bellingcat-archive.nyc3.cdn.digitaloceanspaces.com/Ukraine_Witness_Datasheet/Worksheet/youtube_dl_1500890667349909505/index.html</t>
  </si>
  <si>
    <t>ТРУХА⚡️English - The work of the division of the Russian National Guard on the positions of the Armed Forces of Ukraine,   —2 kilometers from Kharkov.  #Ukraine #Russia #Kyiv #Odessa #Kharkiv #TPYXA #TPYXAEnglish</t>
  </si>
  <si>
    <t>2022-03-07T17:46:34+00:00</t>
  </si>
  <si>
    <t>9/03/2022</t>
  </si>
  <si>
    <t>https://twitter.com/Militarylandnet/status/1501495683953704962</t>
  </si>
  <si>
    <t>Russian armed forces standing allegedly occupying svadovs'k</t>
  </si>
  <si>
    <t>https://twitter.com/AosiGeo/status/1501498741739642884</t>
  </si>
  <si>
    <t>svadovs'k</t>
  </si>
  <si>
    <t>UW1941</t>
  </si>
  <si>
    <t>possibly recognizable faces</t>
  </si>
  <si>
    <t>https://bellingcat-archive.nyc3.cdn.digitaloceanspaces.com/Ukraine_Witness_Datasheet/Worksheet/youtube_dl_1501495683953704962.mp4</t>
  </si>
  <si>
    <t>2022-03-09T16:30:30.323986+00:00</t>
  </si>
  <si>
    <t>https://bellingcat-archive.nyc3.cdn.digitaloceanspaces.com/Ukraine_Witness_Datasheet/Worksheet/youtube_dl__Militarylandnet_status_15014956839537049622022-03-09T16:30:17.025877.png</t>
  </si>
  <si>
    <t>9fafad3c8233bb5daa1aebeac37b30959b5bfa4a716560f63aeed911dd1dde4c</t>
  </si>
  <si>
    <t>https://bellingcat-archive.nyc3.cdn.digitaloceanspaces.com/Ukraine_Witness_Datasheet/Worksheet/youtube_dl_1501495683953704962/index.html</t>
  </si>
  <si>
    <t>MilitaryLand.net - 📽️ Russian National Guard arrived to occupied Skadovsk, #Kherson Region #Ukraine #UkraineRussiaWar</t>
  </si>
  <si>
    <t>2022-03-09T09:50:42+00:00</t>
  </si>
  <si>
    <t>gav, finished entry</t>
  </si>
  <si>
    <t>https://twitter.com/Michael1Sheldon/status/1501362495721811968</t>
  </si>
  <si>
    <t>mortar setup on a transport truck parking lot</t>
  </si>
  <si>
    <t>Oblast charkov</t>
  </si>
  <si>
    <t>UW1942</t>
  </si>
  <si>
    <t>https://bellingcat-archive.nyc3.cdn.digitaloceanspaces.com/Ukraine_Witness_Datasheet/Worksheet/twitter__Michael1Sheldon_status_1501362495721811968.html</t>
  </si>
  <si>
    <t>2022-03-09T16:30:42.151072+00:00</t>
  </si>
  <si>
    <t>https://bellingcat-archive.nyc3.cdn.digitaloceanspaces.com/Ukraine_Witness_Datasheet/Worksheet/twitter__Michael1Sheldon_status_15013624957218119682022-03-09T16:30:33.206976.png</t>
  </si>
  <si>
    <t>573efacd2081f8d2a4ca03d65a30f230c60835619e04b96b75d032eb0fbbccfb</t>
  </si>
  <si>
    <t>2022-03-09T01:01:27+00:00</t>
  </si>
  <si>
    <t>https://twitter.com/dtcdonetskua/status/1501494107004354561</t>
  </si>
  <si>
    <t>destroyed public transport building</t>
  </si>
  <si>
    <t>https://twitter.com/GertVHoecke/status/1501496662358958081</t>
  </si>
  <si>
    <t>Izium</t>
  </si>
  <si>
    <t>UW1943</t>
  </si>
  <si>
    <t>https://bellingcat-archive.nyc3.cdn.digitaloceanspaces.com/Ukraine_Witness_Datasheet/Worksheet/twitter__dtcdonetskua_status_1501494107004354561.html</t>
  </si>
  <si>
    <t>2022-03-09T16:30:53.159793+00:00</t>
  </si>
  <si>
    <t>https://bellingcat-archive.nyc3.cdn.digitaloceanspaces.com/Ukraine_Witness_Datasheet/Worksheet/twitter__dtcdonetskua_status_15014941070043545612022-03-09T16:30:44.322711.png</t>
  </si>
  <si>
    <t>309176125ef28391dd46fbb6e2dbe9a35050efad257ca8588b541c4824ad333b</t>
  </si>
  <si>
    <t>2022-03-09T09:44:26+00:00</t>
  </si>
  <si>
    <t>https://twitter.com/Bylbyleva/status/1501418568042352641</t>
  </si>
  <si>
    <t>Destroyed vehicles</t>
  </si>
  <si>
    <t>UW1944</t>
  </si>
  <si>
    <t>https://bellingcat-archive.nyc3.cdn.digitaloceanspaces.com/Ukraine_Witness_Datasheet/Worksheet/twitter__Bylbyleva_status_1501418568042352641.html</t>
  </si>
  <si>
    <t>2022-03-09T16:31:04.837890+00:00</t>
  </si>
  <si>
    <t>https://bellingcat-archive.nyc3.cdn.digitaloceanspaces.com/Ukraine_Witness_Datasheet/Worksheet/twitter__Bylbyleva_status_15014185680423526412022-03-09T16:30:55.988838.png</t>
  </si>
  <si>
    <t>5f399e3e7c8f2a300b5ac8129b44dac6dbfdd8d2bbd712506e4496bbbcb27239</t>
  </si>
  <si>
    <t>2022-03-09T04:44:16+00:00</t>
  </si>
  <si>
    <t>https://twitter.com/no_itsmyturn/status/1501596148049616906</t>
  </si>
  <si>
    <t>49.950073, 36.155667</t>
  </si>
  <si>
    <t>UW1945</t>
  </si>
  <si>
    <t>https://bellingcat-archive.nyc3.cdn.digitaloceanspaces.com/Ukraine_Witness_Datasheet/Worksheet/youtube_dl_1501596148049616906.mp4</t>
  </si>
  <si>
    <t>2022-03-09T16:35:28.508138+00:00</t>
  </si>
  <si>
    <t>https://bellingcat-archive.nyc3.cdn.digitaloceanspaces.com/Ukraine_Witness_Datasheet/Worksheet/youtube_dl__no_itsmyturn_status_15015961480496169062022-03-09T16:35:13.787067.png</t>
  </si>
  <si>
    <t>f4bfee845b0e91f45d5efe49d6d4eaf7f4eb06a6ff25f4d076da9582ef3d2dce</t>
  </si>
  <si>
    <t>https://bellingcat-archive.nyc3.cdn.digitaloceanspaces.com/Ukraine_Witness_Datasheet/Worksheet/youtube_dl_1501596148049616906/index.html</t>
  </si>
  <si>
    <t>Aleph א #IStandWithUkraine 🇺🇦 - New Bavaria Kharkiv oblast #Ukraine🇺🇦</t>
  </si>
  <si>
    <t>2022-03-09T16:29:54+00:00</t>
  </si>
  <si>
    <t>https://twitter.com/aldin_ww/status/1501211040754843649</t>
  </si>
  <si>
    <t>Russian troops in Bohdanivka, Kyiv Oblast</t>
  </si>
  <si>
    <t>https://twitter.com/zcjbrooker/status/1501222143232782336</t>
  </si>
  <si>
    <t>Mahazyn U Dyachenka storefront visible on streetview</t>
  </si>
  <si>
    <t>UW1946</t>
  </si>
  <si>
    <t>https://bellingcat-archive.nyc3.cdn.digitaloceanspaces.com/Ukraine_Witness_Datasheet/Worksheet/youtube_dl_1501211040754843649.mp4</t>
  </si>
  <si>
    <t>2022-03-09T16:35:45.705886+00:00</t>
  </si>
  <si>
    <t>https://bellingcat-archive.nyc3.cdn.digitaloceanspaces.com/Ukraine_Witness_Datasheet/Worksheet/youtube_dl__aldin_ww_status_15012110407548436492022-03-09T16:35:31.276361.png</t>
  </si>
  <si>
    <t>ae60d5ff4238cc9015a747b177992c5965f7f51d17e7cba3d7ba131caf2f13c9</t>
  </si>
  <si>
    <t>https://bellingcat-archive.nyc3.cdn.digitaloceanspaces.com/Ukraine_Witness_Datasheet/Worksheet/youtube_dl_1501211040754843649/index.html</t>
  </si>
  <si>
    <t>Aldin 🇧🇦 - Russian Forces in Bohdanivka, Kyiv Oblast</t>
  </si>
  <si>
    <t>2022-03-08T14:59:37+00:00</t>
  </si>
  <si>
    <t>https://twitter.com/antiputler_news/status/1501216279167913996</t>
  </si>
  <si>
    <t>alleged missile shrapnel landed on a warehouse/building supplies plant</t>
  </si>
  <si>
    <t>https://twitter.com/GeoConfirmed/status/1501231980478107648</t>
  </si>
  <si>
    <t>Brovary</t>
  </si>
  <si>
    <t>UW1947</t>
  </si>
  <si>
    <t>explosion</t>
  </si>
  <si>
    <t>https://bellingcat-archive.nyc3.cdn.digitaloceanspaces.com/Ukraine_Witness_Datasheet/Worksheet/twitter__antiputler_news_status_1501216279167913996.html</t>
  </si>
  <si>
    <t>2022-03-09T16:35:57.959741+00:00</t>
  </si>
  <si>
    <t>https://bellingcat-archive.nyc3.cdn.digitaloceanspaces.com/Ukraine_Witness_Datasheet/Worksheet/twitter__antiputler_news_status_15012162791679139962022-03-09T16:35:48.923509.png</t>
  </si>
  <si>
    <t>66cc6273fcb9a9d853d569a8ca9a25de3348f8343775b2c9800aecdbba06b568</t>
  </si>
  <si>
    <t>2022-03-08T15:20:26+00:00</t>
  </si>
  <si>
    <t>https://twitter.com/BBCDanielS/status/1501191302871928835</t>
  </si>
  <si>
    <t>tanks driving over a hydroelectric plant dam</t>
  </si>
  <si>
    <t>https://twitter.com/COUPSURE/status/1501192613147332616</t>
  </si>
  <si>
    <t>kozats'ke</t>
  </si>
  <si>
    <t>UW1948</t>
  </si>
  <si>
    <t>https://bellingcat-archive.nyc3.cdn.digitaloceanspaces.com/Ukraine_Witness_Datasheet/Worksheet/youtube_dl_1501191302871928835.mp4</t>
  </si>
  <si>
    <t>2022-03-09T16:36:18.597717+00:00</t>
  </si>
  <si>
    <t>https://bellingcat-archive.nyc3.cdn.digitaloceanspaces.com/Ukraine_Witness_Datasheet/Worksheet/youtube_dl__BBCDanielS_status_15011913028719288352022-03-09T16:36:01.940161.png</t>
  </si>
  <si>
    <t>223033a9e165bb16c1fea8c6034daa7f56acc08f9b9dc165dfe6f7ced3f3b959</t>
  </si>
  <si>
    <t>https://bellingcat-archive.nyc3.cdn.digitaloceanspaces.com/Ukraine_Witness_Datasheet/Worksheet/youtube_dl_1501191302871928835/index.html</t>
  </si>
  <si>
    <t>Daniel Sandford - Russian MOD posted this on Telegram showing artillery driving past Ukrainian flag-painted lampposts. Geolocation anyone?</t>
  </si>
  <si>
    <t>2022-03-08T13:41:12+00:00</t>
  </si>
  <si>
    <t>https://twitter.com/GirkinGirkin/status/1501178400609816578</t>
  </si>
  <si>
    <t>intersection with debris and damaged buildings</t>
  </si>
  <si>
    <t>https://twitter.com/AosiGeo/status/1501195800809902080</t>
  </si>
  <si>
    <t>UW1949</t>
  </si>
  <si>
    <t>https://bellingcat-archive.nyc3.cdn.digitaloceanspaces.com/Ukraine_Witness_Datasheet/Worksheet/youtube_dl_1501178400609816578.mp4</t>
  </si>
  <si>
    <t>2022-03-09T16:36:33.905272+00:00</t>
  </si>
  <si>
    <t>https://bellingcat-archive.nyc3.cdn.digitaloceanspaces.com/Ukraine_Witness_Datasheet/Worksheet/youtube_dl__GirkinGirkin_status_15011784006098165782022-03-09T16:36:21.099499.png</t>
  </si>
  <si>
    <t>82a1bdf35816a061eba3d18cb3ec457704b2f4e5f6431f962bc62cadb9b3e832</t>
  </si>
  <si>
    <t>https://bellingcat-archive.nyc3.cdn.digitaloceanspaces.com/Ukraine_Witness_Datasheet/Worksheet/youtube_dl_1501178400609816578/index.html</t>
  </si>
  <si>
    <t>IgorGirkin - руская армия обстреливает жилые кварталы  Северодонецк</t>
  </si>
  <si>
    <t>2022-03-08T12:49:55+00:00</t>
  </si>
  <si>
    <t>https://twitter.com/YWNReporter/status/1501142211412611074</t>
  </si>
  <si>
    <t>Russian military using a pontoon bridge to cross a river in Ukraine</t>
  </si>
  <si>
    <t>https://twitter.com/Noobieshunta_/status/1501178663944994818</t>
  </si>
  <si>
    <t>unsure if the imagery/geolocation is adequate</t>
  </si>
  <si>
    <t>UW1950</t>
  </si>
  <si>
    <t>https://bellingcat-archive.nyc3.cdn.digitaloceanspaces.com/Ukraine_Witness_Datasheet/Worksheet/youtube_dl_1501142211412611074.mp4</t>
  </si>
  <si>
    <t>2022-03-09T16:40:44.801447+00:00</t>
  </si>
  <si>
    <t>https://bellingcat-archive.nyc3.cdn.digitaloceanspaces.com/Ukraine_Witness_Datasheet/Worksheet/youtube_dl__YWNReporter_status_15011422114126110742022-03-09T16:40:25.469953.png</t>
  </si>
  <si>
    <t>70edfb9dc2901df0b9f9d0197b1ad19741731bd07cd950130e8fafac7a65578d</t>
  </si>
  <si>
    <t>https://bellingcat-archive.nyc3.cdn.digitaloceanspaces.com/Ukraine_Witness_Datasheet/Worksheet/youtube_dl_1501142211412611074/index.html</t>
  </si>
  <si>
    <t>Moshe Schwartz - Russian military forced to use a pontoon bridge to cross a river in Ukraine, after Ukrainian forces destroyed a nearby bridge.  Note the helicopter nearby.</t>
  </si>
  <si>
    <t>2022-03-08T10:26:07+00:00</t>
  </si>
  <si>
    <t>https://twitter.com/bradyafr/status/1501092542078767105</t>
  </si>
  <si>
    <t>Destruction of civillian infrastructure in downtown Okhtyrka</t>
  </si>
  <si>
    <t>UW1951</t>
  </si>
  <si>
    <t>https://bellingcat-archive.nyc3.cdn.digitaloceanspaces.com/Ukraine_Witness_Datasheet/Worksheet/twitter__bradyafr_status_1501092542078767105.html</t>
  </si>
  <si>
    <t>2022-03-09T16:40:56.501216+00:00</t>
  </si>
  <si>
    <t>https://bellingcat-archive.nyc3.cdn.digitaloceanspaces.com/Ukraine_Witness_Datasheet/Worksheet/twitter__bradyafr_status_15010925420787671052022-03-09T16:40:47.335476.png</t>
  </si>
  <si>
    <t>319365d2d307a4517a7d40272989b79b68894ded0c044999aab24f070f7a85e2</t>
  </si>
  <si>
    <t>2022-03-08T07:08:45+00:00</t>
  </si>
  <si>
    <t>https://twitter.com/nexta_tv/status/1501085508960722944</t>
  </si>
  <si>
    <t>Extensive damage to shops and main road</t>
  </si>
  <si>
    <t>https://twitter.com/kargolow/status/1501116048069824515</t>
  </si>
  <si>
    <t>UW1952</t>
  </si>
  <si>
    <t>https://bellingcat-archive.nyc3.cdn.digitaloceanspaces.com/Ukraine_Witness_Datasheet/Worksheet/youtube_dl_1501085508960722944.mp4</t>
  </si>
  <si>
    <t>2022-03-09T16:41:11.036464+00:00</t>
  </si>
  <si>
    <t>https://bellingcat-archive.nyc3.cdn.digitaloceanspaces.com/Ukraine_Witness_Datasheet/Worksheet/youtube_dl__nexta_tv_status_15010855089607229442022-03-09T16:40:59.067313.png</t>
  </si>
  <si>
    <t>060a4f637accf425c057e2cbfab715b89822cb2ec2846c5a072498f64df09369</t>
  </si>
  <si>
    <t>https://bellingcat-archive.nyc3.cdn.digitaloceanspaces.com/Ukraine_Witness_Datasheet/Worksheet/youtube_dl_1501085508960722944/index.html</t>
  </si>
  <si>
    <t>NEXTA - https://t.co/LSi4wBxaXB</t>
  </si>
  <si>
    <t>2022-03-08T06:40:48+00:00</t>
  </si>
  <si>
    <t>https://twitter.com/EuromaidanPress/status/1500906857711472643</t>
  </si>
  <si>
    <t>Image 1: Destruction of building</t>
  </si>
  <si>
    <t>https://twitter.com/Noobieshunta_/status/1500959887626485762</t>
  </si>
  <si>
    <t>UW1953</t>
  </si>
  <si>
    <t>https://bellingcat-archive.nyc3.cdn.digitaloceanspaces.com/Ukraine_Witness_Datasheet/Worksheet/twitter__EuromaidanPress_status_1500906857711472643.html</t>
  </si>
  <si>
    <t>2022-03-09T16:41:23.359503+00:00</t>
  </si>
  <si>
    <t>https://bellingcat-archive.nyc3.cdn.digitaloceanspaces.com/Ukraine_Witness_Datasheet/Worksheet/twitter__EuromaidanPress_status_15009068577114726432022-03-09T16:41:14.428009.png</t>
  </si>
  <si>
    <t>4867337d24037e54530b4470a57f3c1a3370b815c9c6b6d96d0abad64100bbb1</t>
  </si>
  <si>
    <t>2022-03-07T18:50:55+00:00</t>
  </si>
  <si>
    <t>Image 2: Destruction in town center</t>
  </si>
  <si>
    <t>UW1954</t>
  </si>
  <si>
    <t>2022-03-09T16:41:35.343104+00:00</t>
  </si>
  <si>
    <t>https://bellingcat-archive.nyc3.cdn.digitaloceanspaces.com/Ukraine_Witness_Datasheet/Worksheet/twitter__EuromaidanPress_status_15009068577114726432022-03-09T16:41:26.466545.png</t>
  </si>
  <si>
    <t>4dc6c6df96994b9ae56fce74710f548f8fd2a53e541bdf6a36bee52b9b948bce</t>
  </si>
  <si>
    <t>Image 3: Destruction of building</t>
  </si>
  <si>
    <t>https://twitter.com/Noobieshunta_/status/1501156632402796551</t>
  </si>
  <si>
    <t>UW1955</t>
  </si>
  <si>
    <t>2022-03-09T16:41:48.997549+00:00</t>
  </si>
  <si>
    <t>https://bellingcat-archive.nyc3.cdn.digitaloceanspaces.com/Ukraine_Witness_Datasheet/Worksheet/twitter__EuromaidanPress_status_15009068577114726432022-03-09T16:41:38.470220.png</t>
  </si>
  <si>
    <t>998191a2380473b512e0decbcf7731b98e0a6d17c42675c374f52a68d56ece10</t>
  </si>
  <si>
    <t>Image 4: Destruction in town center</t>
  </si>
  <si>
    <t>UW1956</t>
  </si>
  <si>
    <t>2022-03-09T16:42:01.170151+00:00</t>
  </si>
  <si>
    <t>https://bellingcat-archive.nyc3.cdn.digitaloceanspaces.com/Ukraine_Witness_Datasheet/Worksheet/twitter__EuromaidanPress_status_15009068577114726432022-03-09T16:41:52.036997.png</t>
  </si>
  <si>
    <t>https://twitter.com/aldin_ww/status/1501595926439542784?s=20&amp;t=946cXkbcXSxbGbei_CfX8A</t>
  </si>
  <si>
    <t>Heavy street fighting in Voznesensk</t>
  </si>
  <si>
    <t>Voznesensk</t>
  </si>
  <si>
    <t>UW1957</t>
  </si>
  <si>
    <t>https://bellingcat-archive.nyc3.cdn.digitaloceanspaces.com/Ukraine_Witness_Datasheet/Worksheet/youtube_dl_1501595926439542784.mp4</t>
  </si>
  <si>
    <t>2022-03-09T16:45:27.013309+00:00</t>
  </si>
  <si>
    <t>https://bellingcat-archive.nyc3.cdn.digitaloceanspaces.com/Ukraine_Witness_Datasheet/Worksheet/youtube_dl__aldin_ww_status_15015959264395427842022-03-09T16:45:15.528210.png</t>
  </si>
  <si>
    <t>8f12c64fd3724be5e1591eb997a019658931a00b653fc6c97a622212f1b1b7d7</t>
  </si>
  <si>
    <t>https://bellingcat-archive.nyc3.cdn.digitaloceanspaces.com/Ukraine_Witness_Datasheet/Worksheet/youtube_dl_1501595926439542784/index.html</t>
  </si>
  <si>
    <t>Aldin 🇧🇦 - Heavy street fighting in Voznesensk.</t>
  </si>
  <si>
    <t>2022-03-09T16:29:01+00:00</t>
  </si>
  <si>
    <t>https://twitter.com/no_itsmyturn/status/1501493322673790978</t>
  </si>
  <si>
    <t>Damaged residential building</t>
  </si>
  <si>
    <t>https://twitter.com/zwedowz/status/1501509110746992645</t>
  </si>
  <si>
    <t>50.034794, 36.229362</t>
  </si>
  <si>
    <t>https://www.google.com/maps/@50.0346651,36.2292214,3a,75y,74.97h,83.29t/data=!3m6!1e1!3m4!1s88R8GNpk-Bml-90GK1H4tA!2e0!7i13312!8i6656</t>
  </si>
  <si>
    <t>UW1958</t>
  </si>
  <si>
    <t>https://bellingcat-archive.nyc3.cdn.digitaloceanspaces.com/Ukraine_Witness_Datasheet/Worksheet/twitter__no_itsmyturn_status_1501493322673790978.html</t>
  </si>
  <si>
    <t>2022-03-09T16:45:41.139304+00:00</t>
  </si>
  <si>
    <t>https://bellingcat-archive.nyc3.cdn.digitaloceanspaces.com/Ukraine_Witness_Datasheet/Worksheet/twitter__no_itsmyturn_status_15014933226737909782022-03-09T16:45:30.430365.png</t>
  </si>
  <si>
    <t>4fd34d38fe7323bace9ec4aab06e5ea7a2a5a96595a976a3f4e4c883feaf0273</t>
  </si>
  <si>
    <t>2022-03-09T09:41:19+00:00</t>
  </si>
  <si>
    <t>https://t.me/insiderUKR/24550</t>
  </si>
  <si>
    <t>civilians chanting towards armed forces, loud sounds in the background</t>
  </si>
  <si>
    <t>https://twitter.com/GeoConfirmed/status/1500947928692711428</t>
  </si>
  <si>
    <t>Chaplynka</t>
  </si>
  <si>
    <t>UW1959</t>
  </si>
  <si>
    <t>https://bellingcat-archive.nyc3.cdn.digitaloceanspaces.com/Ukraine_Witness_Datasheet/Worksheet/telegram_46cdc9b284.mp4</t>
  </si>
  <si>
    <t>2022-03-09T16:46:20.452994+00:00</t>
  </si>
  <si>
    <t>https://bellingcat-archive.nyc3.cdn.digitaloceanspaces.com/Ukraine_Witness_Datasheet/Worksheet/telegram__insiderUKR_245502022-03-09T16:45:42.822702.png</t>
  </si>
  <si>
    <t>c8ce5768d9db8437e1a29ea401b1266a079c6fec56e2b097301a5c46bf202fda</t>
  </si>
  <si>
    <t>https://bellingcat-archive.nyc3.cdn.digitaloceanspaces.com/Ukraine_Witness_Datasheet/Worksheet/telegram_46cdc9b284/index.html</t>
  </si>
  <si>
    <t>https://twitter.com/TpyxaNews/status/1500847070479065098</t>
  </si>
  <si>
    <t>Fire near the Lavina Mall</t>
  </si>
  <si>
    <t>https://twitter.com/Sabados7/status/1500863755248357379</t>
  </si>
  <si>
    <t>Berkovets</t>
  </si>
  <si>
    <t>UW1960</t>
  </si>
  <si>
    <t>https://bellingcat-archive.nyc3.cdn.digitaloceanspaces.com/Ukraine_Witness_Datasheet/Worksheet/twitter__TpyxaNews_status_1500847070479065098.html</t>
  </si>
  <si>
    <t>2022-03-09T16:50:21.473620+00:00</t>
  </si>
  <si>
    <t>https://bellingcat-archive.nyc3.cdn.digitaloceanspaces.com/Ukraine_Witness_Datasheet/Worksheet/twitter__TpyxaNews_status_15008470704790650982022-03-09T16:50:12.915461.png</t>
  </si>
  <si>
    <t>1c9fa0b4f8ed0e432f1a7e3cac387ecbbe8996618a657c3a78ecd2196793c877</t>
  </si>
  <si>
    <t>2022-03-07T14:53:20+00:00</t>
  </si>
  <si>
    <t>https://twitter.com/aldin_ww/status/1501599776940384262?s=20&amp;t=946cXkbcXSxbGbei_CfX8A</t>
  </si>
  <si>
    <t>Evacuation of civilians in Sumy</t>
  </si>
  <si>
    <t>50.891786, 34.755201</t>
  </si>
  <si>
    <t>UW1961</t>
  </si>
  <si>
    <t>https://bellingcat-archive.nyc3.cdn.digitaloceanspaces.com/Ukraine_Witness_Datasheet/Worksheet/youtube_dl_1501599776940384262.mp4</t>
  </si>
  <si>
    <t>2022-03-09T16:50:35.731939+00:00</t>
  </si>
  <si>
    <t>https://bellingcat-archive.nyc3.cdn.digitaloceanspaces.com/Ukraine_Witness_Datasheet/Worksheet/youtube_dl__aldin_ww_status_15015997769403842622022-03-09T16:50:24.257075.png</t>
  </si>
  <si>
    <t>b2a9bc279ae50fa1b7003a5a6cc5dc6f15ec0155fa2ddd38cb7e39545f12e70e</t>
  </si>
  <si>
    <t>https://bellingcat-archive.nyc3.cdn.digitaloceanspaces.com/Ukraine_Witness_Datasheet/Worksheet/youtube_dl_1501599776940384262/index.html</t>
  </si>
  <si>
    <t>Aldin 🇧🇦 - Evacuation of civilians from Sumy</t>
  </si>
  <si>
    <t>2022-03-09T16:44:19+00:00</t>
  </si>
  <si>
    <t>https://twitter.com/TreyYingst/status/1500842733048668172</t>
  </si>
  <si>
    <t>Artillery fire can be heard coming from Kyiv</t>
  </si>
  <si>
    <t>https://twitter.com/zwedowz/status/1500859018612518916</t>
  </si>
  <si>
    <t xml:space="preserve">Church has been repainted since SW drive-by but can be seen here https://www.google.com/maps/place/All-Ukrainian+Union+of+Evagelical+Christians-Baptist/@50.5044351,30.238685,16.01z/data=!4m9!1m2!2m1!1schurch!3m5!1s0x472b33c17cc88113:0x52adcf990ca25aca!8m2!3d50.504461!4d30.2397716!15sCgZjaHVyY2iSAQZjaHVyY2g </t>
  </si>
  <si>
    <t>UW1962</t>
  </si>
  <si>
    <t>https://bellingcat-archive.nyc3.cdn.digitaloceanspaces.com/Ukraine_Witness_Datasheet/Worksheet/youtube_dl_1500842733048668172.mp4</t>
  </si>
  <si>
    <t>2022-03-09T16:50:50.331614+00:00</t>
  </si>
  <si>
    <t>https://bellingcat-archive.nyc3.cdn.digitaloceanspaces.com/Ukraine_Witness_Datasheet/Worksheet/youtube_dl__TreyYingst_status_15008427330486681722022-03-09T16:50:38.315494.png</t>
  </si>
  <si>
    <t>da7cf3f11c1bb4edd116ad168d81865b7c46319d2c1e9e5c700a3e194de44043</t>
  </si>
  <si>
    <t>https://bellingcat-archive.nyc3.cdn.digitaloceanspaces.com/Ukraine_Witness_Datasheet/Worksheet/youtube_dl_1500842733048668172/index.html</t>
  </si>
  <si>
    <t>Trey Yingst - Irpin, Ukraine.  March 7, 2022.</t>
  </si>
  <si>
    <t>2022-03-07T14:36:06+00:00</t>
  </si>
  <si>
    <t>https://twitter.com/Den_2042/status/1500744519242985473</t>
  </si>
  <si>
    <t>Rockets hidden in cargo train cars in Homieĺ, Belarus</t>
  </si>
  <si>
    <t>https://twitter.com/GeoConfirmed/status/1500856205643759616</t>
  </si>
  <si>
    <t>Homieĺ</t>
  </si>
  <si>
    <t>UW1963</t>
  </si>
  <si>
    <t>https://bellingcat-archive.nyc3.cdn.digitaloceanspaces.com/Ukraine_Witness_Datasheet/Worksheet/twitter__Den_2042_status_1500744519242985473.html</t>
  </si>
  <si>
    <t>2022-03-09T16:51:01.542168+00:00</t>
  </si>
  <si>
    <t>https://bellingcat-archive.nyc3.cdn.digitaloceanspaces.com/Ukraine_Witness_Datasheet/Worksheet/twitter__Den_2042_status_15007445192429854732022-03-09T16:50:52.469437.png</t>
  </si>
  <si>
    <t>b132d498ac1d2e0256aa71a0a387dde129b6f5b797d54d6649ab404736339a6c</t>
  </si>
  <si>
    <t>2022-03-07T08:05:50+00:00</t>
  </si>
  <si>
    <t>https://twitter.com/GirkinGirkin/status/1500797349878190084</t>
  </si>
  <si>
    <t>Destroyed Russian military vehicles</t>
  </si>
  <si>
    <t>https://twitter.com/GeoConfirmed/status/1500823652044099584</t>
  </si>
  <si>
    <t>UW1964</t>
  </si>
  <si>
    <t>https://bellingcat-archive.nyc3.cdn.digitaloceanspaces.com/Ukraine_Witness_Datasheet/Worksheet/youtube_dl_1500797349878190084.mp4</t>
  </si>
  <si>
    <t>2022-03-09T16:51:23.922827+00:00</t>
  </si>
  <si>
    <t>https://bellingcat-archive.nyc3.cdn.digitaloceanspaces.com/Ukraine_Witness_Datasheet/Worksheet/youtube_dl__GirkinGirkin_status_15007973498781900842022-03-09T16:51:04.941488.png</t>
  </si>
  <si>
    <t>bc59a17b2397cf510527c1b15995b9d0916558c83e15e41a18e59c7d42167b21</t>
  </si>
  <si>
    <t>https://bellingcat-archive.nyc3.cdn.digitaloceanspaces.com/Ukraine_Witness_Datasheet/Worksheet/youtube_dl_1500797349878190084/index.html</t>
  </si>
  <si>
    <t>IgorGirkin - Уничтоженная колонна русской армии  Харьковская обл</t>
  </si>
  <si>
    <t>2022-03-07T11:35:46+00:00</t>
  </si>
  <si>
    <t>https://twitter.com/666_mancer/status/1501545844457283585?s=20&amp;t=946cXkbcXSxbGbei_CfX8A</t>
  </si>
  <si>
    <t>Russian military equipment arriving on a train in Kherson</t>
  </si>
  <si>
    <t>UW1965</t>
  </si>
  <si>
    <t>https://bellingcat-archive.nyc3.cdn.digitaloceanspaces.com/Ukraine_Witness_Datasheet/Worksheet/youtube_dl_1501545844457283585.mp4</t>
  </si>
  <si>
    <t>2022-03-09T17:00:29.639094+00:00</t>
  </si>
  <si>
    <t>https://bellingcat-archive.nyc3.cdn.digitaloceanspaces.com/Ukraine_Witness_Datasheet/Worksheet/youtube_dl__666_mancer_status_15015458444572835852022-03-09T17:00:14.636496.png</t>
  </si>
  <si>
    <t>5632e51b1707dc81ef1f6f863f209d9ebcaa93ce4cfa017886954f928d11d04a</t>
  </si>
  <si>
    <t>https://bellingcat-archive.nyc3.cdn.digitaloceanspaces.com/Ukraine_Witness_Datasheet/Worksheet/youtube_dl_1501545844457283585/index.html</t>
  </si>
  <si>
    <t>Necro Mancer - #Херсон, в город стали поступать ж/д составы противника</t>
  </si>
  <si>
    <t>2022-03-09T13:10:01+00:00</t>
  </si>
  <si>
    <t>https://twitter.com/TpyxaNews/status/1500810192086306816</t>
  </si>
  <si>
    <t>Destroyed building</t>
  </si>
  <si>
    <t>https://twitter.com/Sabados7/status/1500811147846500353</t>
  </si>
  <si>
    <t>UW1966</t>
  </si>
  <si>
    <t>https://bellingcat-archive.nyc3.cdn.digitaloceanspaces.com/Ukraine_Witness_Datasheet/Worksheet/youtube_dl_1500810192086306816.mp4</t>
  </si>
  <si>
    <t>2022-03-09T17:00:46.455701+00:00</t>
  </si>
  <si>
    <t>https://bellingcat-archive.nyc3.cdn.digitaloceanspaces.com/Ukraine_Witness_Datasheet/Worksheet/youtube_dl__TpyxaNews_status_15008101920863068162022-03-09T17:00:32.546065.png</t>
  </si>
  <si>
    <t>cace535572ab5a5cec41321bb9e1f2d3e08fafc2f8d72a5a8f5d61e89683322f</t>
  </si>
  <si>
    <t>https://bellingcat-archive.nyc3.cdn.digitaloceanspaces.com/Ukraine_Witness_Datasheet/Worksheet/youtube_dl_1500810192086306816/index.html</t>
  </si>
  <si>
    <t>ТРУХА⚡️English - Kharkiv, —Academician Proskura Street.  #Ukraine #Russia #Kyiv #Odessa #Kharkiv #TPYXA #TPYXAEnglish</t>
  </si>
  <si>
    <t>2022-03-07T12:26:48+00:00</t>
  </si>
  <si>
    <t>https://www.amnesty.org/en/latest/news/2022/03/ukraine-russian-dumb-bomb-air-strike-kills-civilians-in-chernihiv-new-investigation-and-testimony/</t>
  </si>
  <si>
    <t>UW1967</t>
  </si>
  <si>
    <t>https://web.archive.org/web/20220309170515/https://www.amnesty.org/en/latest/news/2022/03/ukraine-russian-dumb-bomb-air-strike-kills-civilians-in-chernihiv-new-investigation-and-testimony/</t>
  </si>
  <si>
    <t>2022-03-09T17:05:31.023080+00:00</t>
  </si>
  <si>
    <t>https://bellingcat-archive.nyc3.cdn.digitaloceanspaces.com/Ukraine_Witness_Datasheet/Worksheet/wayback__03_ukraine-russian-dumb-bomb-air-strike-kills-civilians-in-chernihiv-new-investigation-and-testimony_2022-03-09T17:05:22.637536.png</t>
  </si>
  <si>
    <t>Ukraine: Russian ‘dumb bomb’ air strike killed civilians in Chernihiv – new investigation and testimony - Amnesty International</t>
  </si>
  <si>
    <t>https://t.me/truexanewsua/31239</t>
  </si>
  <si>
    <t>CIV0297</t>
  </si>
  <si>
    <t>Cargo warhead impacted on road in residential area.</t>
  </si>
  <si>
    <t>UW1968</t>
  </si>
  <si>
    <t>https://bellingcat-archive.nyc3.cdn.digitaloceanspaces.com/Ukraine_Witness_Datasheet/Worksheet/telegram__truexanewsua_31239.html</t>
  </si>
  <si>
    <t>2022-03-09T17:05:39.646413+00:00</t>
  </si>
  <si>
    <t>https://bellingcat-archive.nyc3.cdn.digitaloceanspaces.com/Ukraine_Witness_Datasheet/Worksheet/telegram__truexanewsua_312392022-03-09T17:05:31.797970.png</t>
  </si>
  <si>
    <t>6f527864d28bb151c5375a1229de532faf2c2fc8ce2c657866224fc69f73efed</t>
  </si>
  <si>
    <t>2022-03-09T11:08:51+00:00</t>
  </si>
  <si>
    <t>https://twitter.com/GirkinGirkin/status/1501443803722440711?s=20&amp;t=xv9Fevg8aRkgHjrhdtPlqw</t>
  </si>
  <si>
    <t>UW1969</t>
  </si>
  <si>
    <t>https://bellingcat-archive.nyc3.cdn.digitaloceanspaces.com/Ukraine_Witness_Datasheet/Worksheet/youtube_dl_1501443803722440711.mp4</t>
  </si>
  <si>
    <t>2022-03-09T17:05:53.798482+00:00</t>
  </si>
  <si>
    <t>https://bellingcat-archive.nyc3.cdn.digitaloceanspaces.com/Ukraine_Witness_Datasheet/Worksheet/youtube_dl__GirkinGirkin_status_15014438037224407112022-03-09T17:05:42.004371.png</t>
  </si>
  <si>
    <t>a1f45c9e006c63f664bc55fb0dfb7a70c3b509f2f84be694a48d65dc98627977</t>
  </si>
  <si>
    <t>https://bellingcat-archive.nyc3.cdn.digitaloceanspaces.com/Ukraine_Witness_Datasheet/Worksheet/youtube_dl_1501443803722440711/index.html</t>
  </si>
  <si>
    <t>IgorGirkin - Краматорск, 9 марта</t>
  </si>
  <si>
    <t>2022-03-09T06:24:32+00:00</t>
  </si>
  <si>
    <t>CIV0298</t>
  </si>
  <si>
    <t>Cargo section for an Iskander-M 9M723 ballistic missile</t>
  </si>
  <si>
    <t>UW1970</t>
  </si>
  <si>
    <t>2022-03-09T17:06:08.172857+00:00</t>
  </si>
  <si>
    <t>https://bellingcat-archive.nyc3.cdn.digitaloceanspaces.com/Ukraine_Witness_Datasheet/Worksheet/youtube_dl__GirkinGirkin_status_15014438037224407112022-03-09T17:05:55.474578.png</t>
  </si>
  <si>
    <t>https://t.me/truexanewsua/31218</t>
  </si>
  <si>
    <t>UW1971</t>
  </si>
  <si>
    <t>https://bellingcat-archive.nyc3.cdn.digitaloceanspaces.com/Ukraine_Witness_Datasheet/Worksheet/telegram_15e2790352.mp4</t>
  </si>
  <si>
    <t>2022-03-09T17:06:33.981015+00:00</t>
  </si>
  <si>
    <t>https://bellingcat-archive.nyc3.cdn.digitaloceanspaces.com/Ukraine_Witness_Datasheet/Worksheet/telegram__truexanewsua_312182022-03-09T17:06:08.883674.png</t>
  </si>
  <si>
    <t>1818960506d92184b5bbaef0748bdf6fe65fadc9f715099b973477dfc6ad2f97</t>
  </si>
  <si>
    <t>https://bellingcat-archive.nyc3.cdn.digitaloceanspaces.com/Ukraine_Witness_Datasheet/Worksheet/telegram_15e2790352/index.html</t>
  </si>
  <si>
    <t>2022-03-09T10:00:33+00:00</t>
  </si>
  <si>
    <t>https://twitter.com/MVS_UA/status/1501554498816331778?s=20&amp;t=n0e7DjsQ2_x1CaVdbyqnXw</t>
  </si>
  <si>
    <t>UW1972</t>
  </si>
  <si>
    <t>https://bellingcat-archive.nyc3.cdn.digitaloceanspaces.com/Ukraine_Witness_Datasheet/Worksheet/twitter__MVS_UA_status_1501554498816331778.html</t>
  </si>
  <si>
    <t>2022-03-09T17:06:46.250825+00:00</t>
  </si>
  <si>
    <t>https://bellingcat-archive.nyc3.cdn.digitaloceanspaces.com/Ukraine_Witness_Datasheet/Worksheet/twitter__MVS_UA_status_15015544988163317782022-03-09T17:06:37.095796.png</t>
  </si>
  <si>
    <t>c7e80e8fc6819c1e260017a484130b11220d4b3549752e2299df82d549a7f150</t>
  </si>
  <si>
    <t>2022-03-09T13:44:24+00:00</t>
  </si>
  <si>
    <t>https://www.facebook.com/photo/?fbid=286603603609677&amp;set=pcb.286603826942988</t>
  </si>
  <si>
    <t>UW1973</t>
  </si>
  <si>
    <t>https://web.archive.org/web/20220309170726/https://www.facebook.com/photo/?fbid=286603603609677&amp;set=pcb.286603826942988</t>
  </si>
  <si>
    <t>2022-03-09T17:07:43.592662+00:00</t>
  </si>
  <si>
    <t>https://bellingcat-archive.nyc3.cdn.digitaloceanspaces.com/Ukraine_Witness_Datasheet/Worksheet/wayback__photo_2022-03-09T17:07:35.241342.png</t>
  </si>
  <si>
    <t>https://t.me/truexanewsua/31192?single</t>
  </si>
  <si>
    <t>CIV0299</t>
  </si>
  <si>
    <t>Large crater is residential area of Kharkiv, reportedly 5th district August 23rd Street</t>
  </si>
  <si>
    <t>UW1974</t>
  </si>
  <si>
    <t>https://web.archive.org/web/20220309170802/https://t.me/truexanewsua/31192?single</t>
  </si>
  <si>
    <t>2022-03-09T17:09:46.739731+00:00</t>
  </si>
  <si>
    <t>https://bellingcat-archive.nyc3.cdn.digitaloceanspaces.com/Ukraine_Witness_Datasheet/Worksheet/wayback__truexanewsua_311922022-03-09T17:09:38.485078.png</t>
  </si>
  <si>
    <t>https://t.me/truexanewsua/31150?single</t>
  </si>
  <si>
    <t>UW1975</t>
  </si>
  <si>
    <t>https://web.archive.org/web/20220309170959/https://t.me/truexanewsua/31150?single</t>
  </si>
  <si>
    <t>2022-03-09T17:11:41.948418+00:00</t>
  </si>
  <si>
    <t>https://bellingcat-archive.nyc3.cdn.digitaloceanspaces.com/Ukraine_Witness_Datasheet/Worksheet/wayback__truexanewsua_311502022-03-09T17:11:33.366249.png</t>
  </si>
  <si>
    <t>https://t.me/truexanewsua/31173</t>
  </si>
  <si>
    <t>CIV0300</t>
  </si>
  <si>
    <t xml:space="preserve">Damage caused to various areas of the town. </t>
  </si>
  <si>
    <t>UW1976</t>
  </si>
  <si>
    <t>https://bellingcat-archive.nyc3.cdn.digitaloceanspaces.com/Ukraine_Witness_Datasheet/Worksheet/telegram__truexanewsua_31173.html</t>
  </si>
  <si>
    <t>2022-03-09T17:11:55.018338+00:00</t>
  </si>
  <si>
    <t>https://bellingcat-archive.nyc3.cdn.digitaloceanspaces.com/Ukraine_Witness_Datasheet/Worksheet/telegram__truexanewsua_311732022-03-09T17:11:42.708578.png</t>
  </si>
  <si>
    <t>0991d131800a20def18a510c260777855a4d380d50bf7b438dd3bcf3b9a615bb</t>
  </si>
  <si>
    <t>2022-03-09T08:10:34+00:00</t>
  </si>
  <si>
    <t>50.033172</t>
  </si>
  <si>
    <t>36.348792</t>
  </si>
  <si>
    <t>https://twitter.com/_tredecim_/status/1501448809003507712?s=20&amp;t=n0e7DjsQ2_x1CaVdbyqnXw</t>
  </si>
  <si>
    <t>CIV0301</t>
  </si>
  <si>
    <t>Residential towerblock on fire.</t>
  </si>
  <si>
    <t>https://www.google.com/maps/@50.032755,36.349055,3a,75y,324.94h,94.58t/data=!3m8!1e1!3m6!1sAF1QipNsW2LeI82byJjP5NElVAYPWomJEvRHwYSKTWhd!2e10!3e11!6shttps:%2F%2Flh5.googleusercontent.com%2Fp%2FAF1QipNsW2LeI82byJjP5NElVAYPWomJEvRHwYSKTWhd%3Dw203-h100-k-no-pi-0-ya110.805504-ro-0-fo100!7i6656!8i3328</t>
  </si>
  <si>
    <t>UW1977</t>
  </si>
  <si>
    <t>https://bellingcat-archive.nyc3.cdn.digitaloceanspaces.com/Ukraine_Witness_Datasheet/Worksheet/youtube_dl_1501448809003507712.mp4</t>
  </si>
  <si>
    <t>2022-03-09T17:12:09.554918+00:00</t>
  </si>
  <si>
    <t>https://bellingcat-archive.nyc3.cdn.digitaloceanspaces.com/Ukraine_Witness_Datasheet/Worksheet/youtube_dl___tredecim__status_15014488090035077122022-03-09T17:11:57.339530.png</t>
  </si>
  <si>
    <t>f1a27079ae56d051249c3c4398985c8409de521a00298f2e2205feb10cfd97fa</t>
  </si>
  <si>
    <t>https://bellingcat-archive.nyc3.cdn.digitaloceanspaces.com/Ukraine_Witness_Datasheet/Worksheet/youtube_dl_1501448809003507712/index.html</t>
  </si>
  <si>
    <t>Thirteen Bitcoins - Еще Харьков.  Сука, свинособаки вы будете гореть в аду</t>
  </si>
  <si>
    <t>2022-03-09T06:44:26+00:00</t>
  </si>
  <si>
    <t>https://twitter.com/AlexandruC4/status/1501496022526271488</t>
  </si>
  <si>
    <t>UW1978</t>
  </si>
  <si>
    <t>https://bellingcat-archive.nyc3.cdn.digitaloceanspaces.com/Ukraine_Witness_Datasheet/Worksheet/youtube_dl_1501496022526271488.mp4</t>
  </si>
  <si>
    <t>2022-03-09T17:12:23.157914+00:00</t>
  </si>
  <si>
    <t>https://bellingcat-archive.nyc3.cdn.digitaloceanspaces.com/Ukraine_Witness_Datasheet/Worksheet/youtube_dl__AlexandruC4_status_15014960225262714882022-03-09T17:12:11.556860.png</t>
  </si>
  <si>
    <t>995c7da86b56ec57b23d827d1249d77deb8c286e85562edb8ce4307af62e8630</t>
  </si>
  <si>
    <t>https://bellingcat-archive.nyc3.cdn.digitaloceanspaces.com/Ukraine_Witness_Datasheet/Worksheet/youtube_dl_1501496022526271488/index.html</t>
  </si>
  <si>
    <t>AlexandruC4 - Residential building caught fire at Saltivka district in Kharkiv after Russian army shelling</t>
  </si>
  <si>
    <t>2022-03-09T09:52:02+00:00</t>
  </si>
  <si>
    <t>https://t.me/truexanewsua/31143</t>
  </si>
  <si>
    <t>UW1979</t>
  </si>
  <si>
    <t>https://bellingcat-archive.nyc3.cdn.digitaloceanspaces.com/Ukraine_Witness_Datasheet/Worksheet/telegram__truexanewsua_31143.html</t>
  </si>
  <si>
    <t>2022-03-09T17:12:31.766475+00:00</t>
  </si>
  <si>
    <t>https://bellingcat-archive.nyc3.cdn.digitaloceanspaces.com/Ukraine_Witness_Datasheet/Worksheet/telegram__truexanewsua_311432022-03-09T17:12:23.956683.png</t>
  </si>
  <si>
    <t>5a17857139c5b1d0d1d191fb7a9f002c533c82aee14ca5d91dec2ee43b77e9c0</t>
  </si>
  <si>
    <t>2022-03-09T05:55:07+00:00</t>
  </si>
  <si>
    <t>https://t.me/truexanewsua/31148</t>
  </si>
  <si>
    <t>UW1980</t>
  </si>
  <si>
    <t>https://bellingcat-archive.nyc3.cdn.digitaloceanspaces.com/Ukraine_Witness_Datasheet/Worksheet/telegram_89a3252c58.mp4</t>
  </si>
  <si>
    <t>2022-03-09T17:12:53.392116+00:00</t>
  </si>
  <si>
    <t>https://bellingcat-archive.nyc3.cdn.digitaloceanspaces.com/Ukraine_Witness_Datasheet/Worksheet/telegram__truexanewsua_311482022-03-09T17:12:32.576939.png</t>
  </si>
  <si>
    <t>22171794016a3aad040d88e4ffc4404361e5e76bd28fa261ab9398fdde976d98</t>
  </si>
  <si>
    <t>https://bellingcat-archive.nyc3.cdn.digitaloceanspaces.com/Ukraine_Witness_Datasheet/Worksheet/telegram_89a3252c58/index.html</t>
  </si>
  <si>
    <t>https://www.tiktok.com/@blacklist.niko/video/7071720567228910854?is_from_webapp=1&amp;sender_device=pc&amp;web_id7062675792325559813</t>
  </si>
  <si>
    <t>CIV0302</t>
  </si>
  <si>
    <t xml:space="preserve">Rocket impacted close to homes </t>
  </si>
  <si>
    <t>UW1981</t>
  </si>
  <si>
    <t>https://bellingcat-archive.nyc3.cdn.digitaloceanspaces.com/Ukraine_Witness_Datasheet/Worksheet/youtube_dl_7071720567228910854.mp4</t>
  </si>
  <si>
    <t>2022-03-09T17:24:45.368081+00:00</t>
  </si>
  <si>
    <t>https://bellingcat-archive.nyc3.cdn.digitaloceanspaces.com/Ukraine_Witness_Datasheet/Worksheet/youtube_dl__@blacklist.niko_video_70717205672289108542022-03-09T17:24:34.426564.png</t>
  </si>
  <si>
    <t>b155e2afa7e5bb27ebf96766755ad5efc0d9ad02b86a307da6e851dfa26ed325</t>
  </si>
  <si>
    <t>https://bellingcat-archive.nyc3.cdn.digitaloceanspaces.com/Ukraine_Witness_Datasheet/Worksheet/youtube_dl_7071720567228910854/index.html</t>
  </si>
  <si>
    <t>#николаев  #україна</t>
  </si>
  <si>
    <t>2022-03-05T20:47:32+00:00</t>
  </si>
  <si>
    <t>50.040794</t>
  </si>
  <si>
    <t>36.226768</t>
  </si>
  <si>
    <t>https://twitter.com/no_itsmyturn/status/1501543044180582403?s=20&amp;t=Oz1z1qQq9mQH7-5Hi9Y9Kg</t>
  </si>
  <si>
    <t xml:space="preserve">Residential buildings damaged </t>
  </si>
  <si>
    <t>5-Y Mikrorayon</t>
  </si>
  <si>
    <t>UW1982</t>
  </si>
  <si>
    <t>https://bellingcat-archive.nyc3.cdn.digitaloceanspaces.com/Ukraine_Witness_Datasheet/Worksheet/twitter__no_itsmyturn_status_1501543044180582403.html</t>
  </si>
  <si>
    <t>2022-03-09T17:25:24.259876+00:00</t>
  </si>
  <si>
    <t>https://bellingcat-archive.nyc3.cdn.digitaloceanspaces.com/Ukraine_Witness_Datasheet/Worksheet/twitter__no_itsmyturn_status_15015430441805824032022-03-09T17:25:15.281060.png</t>
  </si>
  <si>
    <t>75f223156d33aa9cb31e9fcf725eef94e7a94d078f31acc1c6e70d43e8db5c3c</t>
  </si>
  <si>
    <t>https://twitter.com/ua_industrial/status/1501606161472176135</t>
  </si>
  <si>
    <t>UW1983</t>
  </si>
  <si>
    <t>https://bellingcat-archive.nyc3.cdn.digitaloceanspaces.com/Ukraine_Witness_Datasheet/Worksheet/youtube_dl_1501606161472176135.mp4</t>
  </si>
  <si>
    <t>2022-03-09T17:40:23.835464+00:00</t>
  </si>
  <si>
    <t>https://bellingcat-archive.nyc3.cdn.digitaloceanspaces.com/Ukraine_Witness_Datasheet/Worksheet/youtube_dl__ua_industrial_status_15016061614721761352022-03-09T17:40:13.140075.png</t>
  </si>
  <si>
    <t>5b54dd74655a2e5b491a620dba69a00d401831bc281188ffd4b9b935093d0055</t>
  </si>
  <si>
    <t>https://bellingcat-archive.nyc3.cdn.digitaloceanspaces.com/Ukraine_Witness_Datasheet/Worksheet/youtube_dl_1501606161472176135/index.html</t>
  </si>
  <si>
    <t>Промисловий Портал - На відео потрапило як російські терористи обстріляли дома де мешкають мирні жителі, Миколаївська область.</t>
  </si>
  <si>
    <t>2022-03-09T17:09:42+00:00</t>
  </si>
  <si>
    <t>49.950075</t>
  </si>
  <si>
    <t>36.155304</t>
  </si>
  <si>
    <t>https://twitter.com/no_itsmyturn/status/1501596148049616906?s=20&amp;t=Oz1z1qQq9mQH7-5Hi9Y9Kg</t>
  </si>
  <si>
    <t>Damaged residential and industrial area</t>
  </si>
  <si>
    <t>New Bavaria</t>
  </si>
  <si>
    <t>https://www.google.com/maps/@49.950082,36.1554778,3a,75y,7.42h,77.34t/data=!3m6!1e1!3m4!1skEzlsEbtR_5ldpvbzIQ9eg!2e0!7i13312!8i6656</t>
  </si>
  <si>
    <t>UW1984</t>
  </si>
  <si>
    <t>kangoo note: notice there was an alleged thermo baric explosion filmed by a car exactly here (occupants died it seems)</t>
  </si>
  <si>
    <t>2022-03-09T17:40:41.615104+00:00</t>
  </si>
  <si>
    <t>https://bellingcat-archive.nyc3.cdn.digitaloceanspaces.com/Ukraine_Witness_Datasheet/Worksheet/youtube_dl__no_itsmyturn_status_15015961480496169062022-03-09T17:40:25.803636.png</t>
  </si>
  <si>
    <t>50.04100788</t>
  </si>
  <si>
    <t>36.22658611</t>
  </si>
  <si>
    <t>https://twitter.com/TpyxaNews/status/1500797138632073219</t>
  </si>
  <si>
    <t>Damaged residential buildings and a Kindergarten</t>
  </si>
  <si>
    <t>https://twitter.com/Sabados7/status/1500803906984681477</t>
  </si>
  <si>
    <t>https://www.google.com/maps/@50.0414146,36.2269997,3a,25.9y,200.03h,102.03t/data=!3m6!1e1!3m4!1sCT40f9NnGE-tn28TS2_zYQ!2e0!7i13312!8i6656</t>
  </si>
  <si>
    <t>UW1985</t>
  </si>
  <si>
    <t>https://bellingcat-archive.nyc3.cdn.digitaloceanspaces.com/Ukraine_Witness_Datasheet/Worksheet/youtube_dl_1500797138632073219.mp4</t>
  </si>
  <si>
    <t>2022-03-09T17:45:25.109703+00:00</t>
  </si>
  <si>
    <t>https://bellingcat-archive.nyc3.cdn.digitaloceanspaces.com/Ukraine_Witness_Datasheet/Worksheet/youtube_dl__TpyxaNews_status_15007971386320732192022-03-09T17:45:13.542115.png</t>
  </si>
  <si>
    <t>6cc6159a7f5a1755c1aee340bed7c18bf0c83dc7820a3e6d2fb5e4d8562cbdce</t>
  </si>
  <si>
    <t>https://bellingcat-archive.nyc3.cdn.digitaloceanspaces.com/Ukraine_Witness_Datasheet/Worksheet/youtube_dl_1500797138632073219/index.html</t>
  </si>
  <si>
    <t>ТРУХА⚡️English - Kharkiv, Derevyanko Street.  Of course, kindergarten is a very important object of military infrastructure 🤦‍♂️  #Ukraine #Russia #Kyiv #Odessa #Kharkiv #TPYXA #TPYXAEnglish</t>
  </si>
  <si>
    <t>2022-03-07T11:34:55+00:00</t>
  </si>
  <si>
    <t>https://twitter.com/NotWoofers/status/1501610507672899585?s=20&amp;t=946cXkbcXSxbGbei_CfX8A</t>
  </si>
  <si>
    <t>UW1986</t>
  </si>
  <si>
    <t>https://bellingcat-archive.nyc3.cdn.digitaloceanspaces.com/Ukraine_Witness_Datasheet/Worksheet/youtube_dl_1501610507672899585.mp4</t>
  </si>
  <si>
    <t>2022-03-09T17:45:38.253619+00:00</t>
  </si>
  <si>
    <t>https://bellingcat-archive.nyc3.cdn.digitaloceanspaces.com/Ukraine_Witness_Datasheet/Worksheet/youtube_dl__NotWoofers_status_15016105076728995852022-03-09T17:45:27.272008.png</t>
  </si>
  <si>
    <t>ee383cc912ad06aaeefd9f90f7397ba74349f3f6177eb3efbfff36eb2b2458a6</t>
  </si>
  <si>
    <t>https://bellingcat-archive.nyc3.cdn.digitaloceanspaces.com/Ukraine_Witness_Datasheet/Worksheet/youtube_dl_1501610507672899585/index.html</t>
  </si>
  <si>
    <t>Woofers - Moment when Russian MLRS barrage hits a suburb of Mylolaiv</t>
  </si>
  <si>
    <t>2022-03-09T17:26:58+00:00</t>
  </si>
  <si>
    <t>50.05734354</t>
  </si>
  <si>
    <t>36.194865684</t>
  </si>
  <si>
    <t>https://twitter.com/TpyxaNews/status/1500707092709183489</t>
  </si>
  <si>
    <t xml:space="preserve">Damage to a school and a residential building </t>
  </si>
  <si>
    <t>https://twitter.com/Sabados7/status/1500749001662025728</t>
  </si>
  <si>
    <t>UW1987</t>
  </si>
  <si>
    <t>https://bellingcat-archive.nyc3.cdn.digitaloceanspaces.com/Ukraine_Witness_Datasheet/Worksheet/youtube_dl_1500707092709183489.mp4</t>
  </si>
  <si>
    <t>2022-03-09T17:45:53.113065+00:00</t>
  </si>
  <si>
    <t>https://bellingcat-archive.nyc3.cdn.digitaloceanspaces.com/Ukraine_Witness_Datasheet/Worksheet/youtube_dl__TpyxaNews_status_15007070927091834892022-03-09T17:45:40.806202.png</t>
  </si>
  <si>
    <t>5a623577d89961678bf3b621cdd572e8bf422eaf396cea9ae49a36d7277955ed</t>
  </si>
  <si>
    <t>https://bellingcat-archive.nyc3.cdn.digitaloceanspaces.com/Ukraine_Witness_Datasheet/Worksheet/youtube_dl_1500707092709183489/index.html</t>
  </si>
  <si>
    <t>ТРУХА⚡️English - Kharkov  #Ukraine #Russia #Kyiv #Odessa #Kharkiv #TPYXA #TPYXAEnglish</t>
  </si>
  <si>
    <t>2022-03-07T05:37:07+00:00</t>
  </si>
  <si>
    <t>51.567215</t>
  </si>
  <si>
    <t>31.214964</t>
  </si>
  <si>
    <t>https://t.me/vorposte/15271</t>
  </si>
  <si>
    <t>Pieces of a Balistic missile in Desnianka</t>
  </si>
  <si>
    <t>https://twitter.com/GeoConfirmed/status/1500745952570888192</t>
  </si>
  <si>
    <t>Desnianka</t>
  </si>
  <si>
    <t>UW1988</t>
  </si>
  <si>
    <t>https://bellingcat-archive.nyc3.cdn.digitaloceanspaces.com/Ukraine_Witness_Datasheet/Worksheet/telegram_40c9fdd752.mp4</t>
  </si>
  <si>
    <t>2022-03-09T17:46:21.596658+00:00</t>
  </si>
  <si>
    <t>https://bellingcat-archive.nyc3.cdn.digitaloceanspaces.com/Ukraine_Witness_Datasheet/Worksheet/telegram__vorposte_152712022-03-09T17:45:53.933984.png</t>
  </si>
  <si>
    <t>ccd1b1b892ff9932a400cf51539b72369471e789fb5cfef8ae8f5ca21c632af6</t>
  </si>
  <si>
    <t>https://bellingcat-archive.nyc3.cdn.digitaloceanspaces.com/Ukraine_Witness_Datasheet/Worksheet/telegram_40c9fdd752/index.html</t>
  </si>
  <si>
    <t>2022-03-06T13:54:10+00:00</t>
  </si>
  <si>
    <t>51.514788</t>
  </si>
  <si>
    <t>31.238038</t>
  </si>
  <si>
    <t>https://twitter.com/ua_industrial/status/1500073702414766090</t>
  </si>
  <si>
    <t>Unexploded bomb</t>
  </si>
  <si>
    <t>https://twitter.com/GeoConfirmed/status/1500579616896995341</t>
  </si>
  <si>
    <t>UW1989</t>
  </si>
  <si>
    <t>https://bellingcat-archive.nyc3.cdn.digitaloceanspaces.com/Ukraine_Witness_Datasheet/Worksheet/twitter__ua_industrial_status_1500073702414766090.html</t>
  </si>
  <si>
    <t>2022-03-09T17:50:23.313465+00:00</t>
  </si>
  <si>
    <t>https://bellingcat-archive.nyc3.cdn.digitaloceanspaces.com/Ukraine_Witness_Datasheet/Worksheet/twitter__ua_industrial_status_15000737024147660902022-03-09T17:50:14.277548.png</t>
  </si>
  <si>
    <t>8f825dbf9e080be28a3d569097c50497044c51c9a8090315c2cb18ee8642f77a</t>
  </si>
  <si>
    <t>2022-03-05T11:40:15+00:00</t>
  </si>
  <si>
    <t>53.653005</t>
  </si>
  <si>
    <t>37.228760</t>
  </si>
  <si>
    <t>https://twitter.com/GirkinGirkin/status/1500505543580217344</t>
  </si>
  <si>
    <t xml:space="preserve">Train on the move with Russian howitzers </t>
  </si>
  <si>
    <t>https://twitter.com/Noobieshunta_/status/1500567810807939076</t>
  </si>
  <si>
    <t>Molochnye Dvory</t>
  </si>
  <si>
    <t>check the picture visible on google earth at  53.653492, 37.228635</t>
  </si>
  <si>
    <t>UW1990</t>
  </si>
  <si>
    <t>https://bellingcat-archive.nyc3.cdn.digitaloceanspaces.com/Ukraine_Witness_Datasheet/Worksheet/youtube_dl_1500505543580217344.mp4</t>
  </si>
  <si>
    <t>2022-03-09T17:50:38.745673+00:00</t>
  </si>
  <si>
    <t>https://bellingcat-archive.nyc3.cdn.digitaloceanspaces.com/Ukraine_Witness_Datasheet/Worksheet/youtube_dl__GirkinGirkin_status_15005055435802173442022-03-09T17:50:26.426008.png</t>
  </si>
  <si>
    <t>aef5a0bc82f1e892aa143ee6d132a4b6b1572fcc0df207b16a4b7f0803810501</t>
  </si>
  <si>
    <t>https://bellingcat-archive.nyc3.cdn.digitaloceanspaces.com/Ukraine_Witness_Datasheet/Worksheet/youtube_dl_1500505543580217344/index.html</t>
  </si>
  <si>
    <t>IgorGirkin - Тульская обл</t>
  </si>
  <si>
    <t>2022-03-06T16:16:14+00:00</t>
  </si>
  <si>
    <t>46.2165416</t>
  </si>
  <si>
    <t>34.6685697</t>
  </si>
  <si>
    <t>https://twitter.com/GirkinGirkin/status/1500502033526370304</t>
  </si>
  <si>
    <t xml:space="preserve">Russian artillery on the move </t>
  </si>
  <si>
    <t>https://twitter.com/zwedowz/status/1500512472414961665</t>
  </si>
  <si>
    <t>https://www.google.com/maps/@46.2165416,34.6685697,3a,75y,207.24h,75.92t/data=!3m7!1e1!3m5!1sAF1QipObiYciwvGYDWyvNi2k3R5vA26UaKsfmrHKW0P5!2e10!3e11!7i5760!8i2880</t>
  </si>
  <si>
    <t>UW1991</t>
  </si>
  <si>
    <t>https://bellingcat-archive.nyc3.cdn.digitaloceanspaces.com/Ukraine_Witness_Datasheet/Worksheet/youtube_dl_1500502033526370304.mp4</t>
  </si>
  <si>
    <t>2022-03-09T17:50:52.638625+00:00</t>
  </si>
  <si>
    <t>https://bellingcat-archive.nyc3.cdn.digitaloceanspaces.com/Ukraine_Witness_Datasheet/Worksheet/youtube_dl__GirkinGirkin_status_15005020335263703042022-03-09T17:50:41.197761.png</t>
  </si>
  <si>
    <t>ec8872f40247f124518c910302e42639d85e12ebac6f7ee9ce14172935c6fb60</t>
  </si>
  <si>
    <t>https://bellingcat-archive.nyc3.cdn.digitaloceanspaces.com/Ukraine_Witness_Datasheet/Worksheet/youtube_dl_1500502033526370304/index.html</t>
  </si>
  <si>
    <t>IgorGirkin - Геническ</t>
  </si>
  <si>
    <t>2022-03-06T16:02:17+00:00</t>
  </si>
  <si>
    <t>50.5397896</t>
  </si>
  <si>
    <t>30.1917601</t>
  </si>
  <si>
    <t>https://t.me/irpininteresting/4049</t>
  </si>
  <si>
    <t xml:space="preserve">Damaged residential buildings </t>
  </si>
  <si>
    <t>https://twitter.com/zwedowz/status/1500485152316829696</t>
  </si>
  <si>
    <t>https://www.google.com/maps/@50.5397231,30.1920041,3a,75y,272.12h,90t/data=!3m8!1e1!3m6!1sAF1QipOqrUCQs44GDMsBDcDyx0ep4GtupexUD5fOdl6v!2e10!3e11!6shttps:%2F%2Flh5.googleusercontent.com%2Fp%2FAF1QipOqrUCQs44GDMsBDcDyx0ep4GtupexUD5fOdl6v%3Dw203-h100-k-no-pi0-ya249.61722-ro-0-fo100!7i8000!8i4000</t>
  </si>
  <si>
    <t>UW1992</t>
  </si>
  <si>
    <t>https://bellingcat-archive.nyc3.cdn.digitaloceanspaces.com/Ukraine_Witness_Datasheet/Worksheet/telegram_07ceda6112.mp4</t>
  </si>
  <si>
    <t>2022-03-09T17:56:24.367868+00:00</t>
  </si>
  <si>
    <t>https://bellingcat-archive.nyc3.cdn.digitaloceanspaces.com/Ukraine_Witness_Datasheet/Worksheet/telegram__irpininteresting_40492022-03-09T17:55:10.428079.png</t>
  </si>
  <si>
    <t>c397fe90d729a93d7ccd54c4728319cecc6a2db0b8f6e585638a294a7f837167</t>
  </si>
  <si>
    <t>https://bellingcat-archive.nyc3.cdn.digitaloceanspaces.com/Ukraine_Witness_Datasheet/Worksheet/telegram_07ceda6112/index.html</t>
  </si>
  <si>
    <t>2022-03-05T07:46:30+00:00</t>
  </si>
  <si>
    <t>https://twitter.com/RALee85/status/1497840077665452036</t>
  </si>
  <si>
    <t>https://twitter.com/GeoConfirmed/status/1500490784335876098</t>
  </si>
  <si>
    <t>UW1993</t>
  </si>
  <si>
    <t>2022-03-09T17:56:35.702236+00:00</t>
  </si>
  <si>
    <t>https://bellingcat-archive.nyc3.cdn.digitaloceanspaces.com/Ukraine_Witness_Datasheet/Worksheet/twitter__RALee85_status_14978400776654520362022-03-09T17:56:27.551433.png</t>
  </si>
  <si>
    <t>73cc919b540cfa78394faa5c992a291b3027ebdb9e9605a131d9f99eca2f7a64</t>
  </si>
  <si>
    <t>2022-02-27T07:44:37+00:00</t>
  </si>
  <si>
    <t>50.532533</t>
  </si>
  <si>
    <t>30.200190</t>
  </si>
  <si>
    <t>https://twitter.com/Osinttechnical/status/1499699405477322754</t>
  </si>
  <si>
    <t>Russian troops in Bucha</t>
  </si>
  <si>
    <t>https://twitter.com/zcjbrooker/status/1499725948937248772</t>
  </si>
  <si>
    <t>UW1994</t>
  </si>
  <si>
    <t>https://bellingcat-archive.nyc3.cdn.digitaloceanspaces.com/Ukraine_Witness_Datasheet/Worksheet/youtube_dl_1499699405477322754.mp4</t>
  </si>
  <si>
    <t>2022-03-09T17:56:50.647010+00:00</t>
  </si>
  <si>
    <t>https://bellingcat-archive.nyc3.cdn.digitaloceanspaces.com/Ukraine_Witness_Datasheet/Worksheet/youtube_dl__Osinttechnical_status_14996994054773227542022-03-09T17:56:38.061120.png</t>
  </si>
  <si>
    <t>31a4e8d979c2bd34e6c0c9b2c39f0f27a7ffe9b1db2d89bf8cfcb1dfb00dc794</t>
  </si>
  <si>
    <t>https://bellingcat-archive.nyc3.cdn.digitaloceanspaces.com/Ukraine_Witness_Datasheet/Worksheet/youtube_dl_1499699405477322754/index.html</t>
  </si>
  <si>
    <t>OSINTtechnical - Bucha, Russian forces trying to make another push towards Kyiv</t>
  </si>
  <si>
    <t>2022-03-04T10:52:55+00:00</t>
  </si>
  <si>
    <t>48.726308</t>
  </si>
  <si>
    <t>37.606818</t>
  </si>
  <si>
    <t>https://t.me/istorijaoruzija/40164</t>
  </si>
  <si>
    <t>https://twitter.com/GeoConfirmed/status/1500459200853516295</t>
  </si>
  <si>
    <t>UW1995</t>
  </si>
  <si>
    <t>https://bellingcat-archive.nyc3.cdn.digitaloceanspaces.com/Ukraine_Witness_Datasheet/Worksheet/telegram__istorijaoruzija_40164.html</t>
  </si>
  <si>
    <t>2022-03-09T17:57:04.231010+00:00</t>
  </si>
  <si>
    <t>https://bellingcat-archive.nyc3.cdn.digitaloceanspaces.com/Ukraine_Witness_Datasheet/Worksheet/telegram__istorijaoruzija_401642022-03-09T17:56:51.858220.png</t>
  </si>
  <si>
    <t>98307a4457c1a152667ef694d262587d0c6170c2d617558ee860fafa90894fcf</t>
  </si>
  <si>
    <t>2022-03-06T12:12:49+00:00</t>
  </si>
  <si>
    <t>50.420056</t>
  </si>
  <si>
    <t>30.044669</t>
  </si>
  <si>
    <t>https://twitter.com/Liveuamap/status/1500413691958865923</t>
  </si>
  <si>
    <t>https://twitter.com/Noobieshunta_/status/1500427324830924801</t>
  </si>
  <si>
    <t>UW1996</t>
  </si>
  <si>
    <t>https://bellingcat-archive.nyc3.cdn.digitaloceanspaces.com/Ukraine_Witness_Datasheet/Worksheet/twitter__Liveuamap_status_1500413691958865923.html</t>
  </si>
  <si>
    <t>2022-03-09T17:57:17.114578+00:00</t>
  </si>
  <si>
    <t>https://bellingcat-archive.nyc3.cdn.digitaloceanspaces.com/Ukraine_Witness_Datasheet/Worksheet/twitter__Liveuamap_status_15004136919588659232022-03-09T17:57:08.317853.png</t>
  </si>
  <si>
    <t>2dc842e26d4cd6e3192500e36949f195d6a59bee7297146b1b7dde3f62c4cde2</t>
  </si>
  <si>
    <t>2022-03-06T10:11:15+00:00</t>
  </si>
  <si>
    <t>47.095212</t>
  </si>
  <si>
    <t>37.714268</t>
  </si>
  <si>
    <t>https://twitter.com/Archer83Able/status/1501613527676723205?s=20&amp;t=Oz1z1qQq9mQH7-5Hi9Y9Kg</t>
  </si>
  <si>
    <t>Russian MRLS firing in the direction of Mariupol</t>
  </si>
  <si>
    <t>https://twitter.com/Archer83Able/status/1501613837287624713?s=20&amp;t=Oz1z1qQq9mQH7-5Hi9Y9Kg</t>
  </si>
  <si>
    <t>Vynohradne</t>
  </si>
  <si>
    <t>UW1997</t>
  </si>
  <si>
    <t>https://bellingcat-archive.nyc3.cdn.digitaloceanspaces.com/Ukraine_Witness_Datasheet/Worksheet/youtube_dl_1501613527676723205.mp4</t>
  </si>
  <si>
    <t>2022-03-09T17:57:32.174409+00:00</t>
  </si>
  <si>
    <t>https://bellingcat-archive.nyc3.cdn.digitaloceanspaces.com/Ukraine_Witness_Datasheet/Worksheet/youtube_dl__Archer83Able_status_15016135276767232052022-03-09T17:57:19.270102.png</t>
  </si>
  <si>
    <t>94da1b68e0b4fcb25bb2835b095f0e4efdf5c2b5fa9ae49e4455c397265e4236</t>
  </si>
  <si>
    <t>https://bellingcat-archive.nyc3.cdn.digitaloceanspaces.com/Ukraine_Witness_Datasheet/Worksheet/youtube_dl_1501613527676723205/index.html</t>
  </si>
  <si>
    <t>Status-6 - War Gonzo on March 9 published footage of MLRS fire targeting the city of Mariupol from the east. Geolocation in the next tweet.</t>
  </si>
  <si>
    <t>2022-03-09T17:38:58+00:00</t>
  </si>
  <si>
    <t>51.327808</t>
  </si>
  <si>
    <t>28.801761</t>
  </si>
  <si>
    <t>https://twitter.com/SputnikATO/status/1500330516913999876</t>
  </si>
  <si>
    <t>Shelling in Ovruch, Zhytomyr Oblast</t>
  </si>
  <si>
    <t>https://twitter.com/Noobieshunta_/status/1500387977238822916</t>
  </si>
  <si>
    <t>UW1998</t>
  </si>
  <si>
    <t>https://bellingcat-archive.nyc3.cdn.digitaloceanspaces.com/Ukraine_Witness_Datasheet/Worksheet/youtube_dl_1500330516913999876.mp4</t>
  </si>
  <si>
    <t>2022-03-09T18:00:24.424604+00:00</t>
  </si>
  <si>
    <t>https://bellingcat-archive.nyc3.cdn.digitaloceanspaces.com/Ukraine_Witness_Datasheet/Worksheet/youtube_dl__SputnikATO_status_15003305169139998762022-03-09T18:00:13.351978.png</t>
  </si>
  <si>
    <t>57e8c952ae644db3aaa2a284aecb484c479c3a0abafacaefec3c5546d3931b33</t>
  </si>
  <si>
    <t>https://bellingcat-archive.nyc3.cdn.digitaloceanspaces.com/Ukraine_Witness_Datasheet/Worksheet/youtube_dl_1500330516913999876/index.html</t>
  </si>
  <si>
    <t>⚡️Спутник News АТО 🇺🇦 - Город Овруч (Житомирская область) сегодня попала ракета ночью. Людям крыши сорвало от такого взрыва.</t>
  </si>
  <si>
    <t>2022-03-06T04:40:44+00:00</t>
  </si>
  <si>
    <t>50.023945</t>
  </si>
  <si>
    <t>36.218280</t>
  </si>
  <si>
    <t>https://t.me/suspilnekharkiv/8797</t>
  </si>
  <si>
    <t>Images 1/2/4: Damage to hall</t>
  </si>
  <si>
    <t>UW1999</t>
  </si>
  <si>
    <t>https://bellingcat-archive.nyc3.cdn.digitaloceanspaces.com/Ukraine_Witness_Datasheet/Worksheet/telegram__suspilnekharkiv_8797.html</t>
  </si>
  <si>
    <t>2022-03-09T18:00:40.146228+00:00</t>
  </si>
  <si>
    <t>https://bellingcat-archive.nyc3.cdn.digitaloceanspaces.com/Ukraine_Witness_Datasheet/Worksheet/telegram__suspilnekharkiv_87972022-03-09T18:00:25.182245.png</t>
  </si>
  <si>
    <t>05bcbee172b6e76a7803b1be6349e1da5b54d547156960a5215eef8fc0d19f93</t>
  </si>
  <si>
    <t>2022-03-05T13:14:42+00:00</t>
  </si>
  <si>
    <t>50.024582</t>
  </si>
  <si>
    <t>36.218608</t>
  </si>
  <si>
    <t>Image 3: Damage to residential buildings</t>
  </si>
  <si>
    <t>UW2000</t>
  </si>
  <si>
    <t>2022-03-09T18:00:54.225281+00:00</t>
  </si>
  <si>
    <t>https://bellingcat-archive.nyc3.cdn.digitaloceanspaces.com/Ukraine_Witness_Datasheet/Worksheet/telegram__suspilnekharkiv_87972022-03-09T18:00:40.896613.png</t>
  </si>
  <si>
    <t>d5124c255fbe0b69e940ab88dfdca043bbfa8a21ca03530a06682bfd3fdf1dac</t>
  </si>
  <si>
    <t>49.99613</t>
  </si>
  <si>
    <t>36.34102</t>
  </si>
  <si>
    <t>https://twitter.com/no_itsmyturn/status/1500197847047839749</t>
  </si>
  <si>
    <t>Shell explodes in Novosaltovsky market,Kharkiv</t>
  </si>
  <si>
    <t>https://twitter.com/GeoConfirmed/status/1500208071653707780</t>
  </si>
  <si>
    <t>UW2001</t>
  </si>
  <si>
    <t>https://bellingcat-archive.nyc3.cdn.digitaloceanspaces.com/Ukraine_Witness_Datasheet/Worksheet/twitter__no_itsmyturn_status_1500197847047839749.html</t>
  </si>
  <si>
    <t>2022-03-09T18:05:23.140980+00:00</t>
  </si>
  <si>
    <t>https://bellingcat-archive.nyc3.cdn.digitaloceanspaces.com/Ukraine_Witness_Datasheet/Worksheet/twitter__no_itsmyturn_status_15001978470478397492022-03-09T18:05:13.096652.png</t>
  </si>
  <si>
    <t>790b0f2cd4a30486ce08ba65227c0faa2ddcc15472cbad601a10b3957d49ac7f</t>
  </si>
  <si>
    <t>2022-03-05T19:53:33+00:00</t>
  </si>
  <si>
    <t>50.2114</t>
  </si>
  <si>
    <t>28.6947</t>
  </si>
  <si>
    <t>https://twitter.com/aldin_ww/status/1500163131422744577</t>
  </si>
  <si>
    <t>Zhytomyr Armour Plant, completely destroyed</t>
  </si>
  <si>
    <t>https://twitter.com/AosiGeo/status/1500175184774451205</t>
  </si>
  <si>
    <t>Novohuivynske</t>
  </si>
  <si>
    <t>UW2002</t>
  </si>
  <si>
    <t>https://bellingcat-archive.nyc3.cdn.digitaloceanspaces.com/Ukraine_Witness_Datasheet/Worksheet/youtube_dl_1500163131422744577.mp4</t>
  </si>
  <si>
    <t>2022-03-09T18:05:48.428074+00:00</t>
  </si>
  <si>
    <t>https://bellingcat-archive.nyc3.cdn.digitaloceanspaces.com/Ukraine_Witness_Datasheet/Worksheet/youtube_dl__aldin_ww_status_15001631314227445772022-03-09T18:05:26.188322.png</t>
  </si>
  <si>
    <t>9cd31a33a712f3d9badbd116066d9f2c3c48664b8339a59afa090abaf21dae2c</t>
  </si>
  <si>
    <t>https://bellingcat-archive.nyc3.cdn.digitaloceanspaces.com/Ukraine_Witness_Datasheet/Worksheet/youtube_dl_1500163131422744577/index.html</t>
  </si>
  <si>
    <t>Aldin 🇧🇦 - Zhytomyr Armour Plant, completely destroyed.</t>
  </si>
  <si>
    <t>2022-03-05T17:35:36+00:00</t>
  </si>
  <si>
    <t>47.56229430556943</t>
  </si>
  <si>
    <t>31.34108988108274</t>
  </si>
  <si>
    <t>https://t.me/OSINTUKRAINE/2234</t>
  </si>
  <si>
    <t>Ukrainian troops firing an RPG during fighting in Voznesensk</t>
  </si>
  <si>
    <t>https://twitter.com/GeoConfirmed/status/1500074699379945476</t>
  </si>
  <si>
    <t>UW2003</t>
  </si>
  <si>
    <t>Gunfire, fighting, battle</t>
  </si>
  <si>
    <t>https://bellingcat-archive.nyc3.cdn.digitaloceanspaces.com/Ukraine_Witness_Datasheet/Worksheet/telegram_8fdf050771.mp4</t>
  </si>
  <si>
    <t>2022-03-09T18:06:34.278776+00:00</t>
  </si>
  <si>
    <t>https://bellingcat-archive.nyc3.cdn.digitaloceanspaces.com/Ukraine_Witness_Datasheet/Worksheet/telegram__OSINTUKRAINE_22342022-03-09T18:05:49.092404.png</t>
  </si>
  <si>
    <t>5e358812b4ff910a3de3e3dcf02087c36b59573803aba73158c3c300e44d7100</t>
  </si>
  <si>
    <t>https://bellingcat-archive.nyc3.cdn.digitaloceanspaces.com/Ukraine_Witness_Datasheet/Worksheet/telegram_8fdf050771/index.html</t>
  </si>
  <si>
    <t>2022-03-05T09:36:00+00:00</t>
  </si>
  <si>
    <t>50.553234</t>
  </si>
  <si>
    <t>30.280922</t>
  </si>
  <si>
    <t>https://twitter.com/RALee85/status/1499814376873902081</t>
  </si>
  <si>
    <t xml:space="preserve">Russian casualties </t>
  </si>
  <si>
    <t>https://twitter.com/AKMcKeever/status/1499820341320896520</t>
  </si>
  <si>
    <t>UW2004</t>
  </si>
  <si>
    <t>https://bellingcat-archive.nyc3.cdn.digitaloceanspaces.com/Ukraine_Witness_Datasheet/Worksheet/youtube_dl_1499814376873902081.mp4</t>
  </si>
  <si>
    <t>2022-03-09T18:06:57.145134+00:00</t>
  </si>
  <si>
    <t>https://bellingcat-archive.nyc3.cdn.digitaloceanspaces.com/Ukraine_Witness_Datasheet/Worksheet/youtube_dl__RALee85_status_14998143768739020812022-03-09T18:06:36.776159.png</t>
  </si>
  <si>
    <t>a79dd0ce43b983de2c8f60acd53874e6ec0abc040a7a345561685af2f04400a6</t>
  </si>
  <si>
    <t>https://bellingcat-archive.nyc3.cdn.digitaloceanspaces.com/Ukraine_Witness_Datasheet/Worksheet/youtube_dl_1499814376873902081/index.html</t>
  </si>
  <si>
    <t>Rob Lee - Another video of the ambush of Russian forces in Hostomel from yesterday, including VDV and Rosgvardia troops.</t>
  </si>
  <si>
    <t>2022-03-04T18:29:47+00:00</t>
  </si>
  <si>
    <t>https://twitter.com/UkraineNews0/status/1499754662047752193</t>
  </si>
  <si>
    <t>https://twitter.com/nl_osint/status/1499799248342237184</t>
  </si>
  <si>
    <t>UW2005</t>
  </si>
  <si>
    <t>https://bellingcat-archive.nyc3.cdn.digitaloceanspaces.com/Ukraine_Witness_Datasheet/Worksheet/youtube_dl_1499754662047752193.mp4</t>
  </si>
  <si>
    <t>2022-03-09T18:07:11.770648+00:00</t>
  </si>
  <si>
    <t>https://bellingcat-archive.nyc3.cdn.digitaloceanspaces.com/Ukraine_Witness_Datasheet/Worksheet/youtube_dl__UkraineNews0_status_14997546620477521932022-03-09T18:06:59.658796.png</t>
  </si>
  <si>
    <t>c41ff190c73d7a87bad4ca4385aaa5e172a3f03fe1862d28cde3a65835ae9e3a</t>
  </si>
  <si>
    <t>https://bellingcat-archive.nyc3.cdn.digitaloceanspaces.com/Ukraine_Witness_Datasheet/Worksheet/youtube_dl_1499754662047752193/index.html</t>
  </si>
  <si>
    <t>Ukraine News 🇺🇦 - 🇺🇦Russian shelling hits residential buildings somewhere in the Kyiv #Ukraine</t>
  </si>
  <si>
    <t>2022-03-04T14:32:30+00:00</t>
  </si>
  <si>
    <t>50.564757</t>
  </si>
  <si>
    <t>30.266260</t>
  </si>
  <si>
    <t>https://twitter.com/GeoConfirmed/status/1499828113261346826</t>
  </si>
  <si>
    <t xml:space="preserve">Abandoned Russian vehicle </t>
  </si>
  <si>
    <t>UW2006</t>
  </si>
  <si>
    <t>https://bellingcat-archive.nyc3.cdn.digitaloceanspaces.com/Ukraine_Witness_Datasheet/Worksheet/twitter__GeoConfirmed_status_1499828113261346826.html</t>
  </si>
  <si>
    <t>2022-03-09T18:07:23.402836+00:00</t>
  </si>
  <si>
    <t>https://bellingcat-archive.nyc3.cdn.digitaloceanspaces.com/Ukraine_Witness_Datasheet/Worksheet/twitter__GeoConfirmed_status_14998281132613468262022-03-09T18:07:14.279437.png</t>
  </si>
  <si>
    <t>572121f6dc20fb3707e3acb29eba5acd003029513238e9d9ee1a93ec50e597dd</t>
  </si>
  <si>
    <t>2022-03-04T19:24:22+00:00</t>
  </si>
  <si>
    <t>46.8509301</t>
  </si>
  <si>
    <t>35.3722446</t>
  </si>
  <si>
    <t>https://twitter.com/Blue_Sauron/status/1499799964347772930</t>
  </si>
  <si>
    <t xml:space="preserve">Destroyed Ukrainian vehicle </t>
  </si>
  <si>
    <t>https://twitter.com/GeoConfirmed/status/1499824744627064837</t>
  </si>
  <si>
    <t>UW2007</t>
  </si>
  <si>
    <t>https://bellingcat-archive.nyc3.cdn.digitaloceanspaces.com/Ukraine_Witness_Datasheet/Worksheet/youtube_dl_1499799964347772930.mp4</t>
  </si>
  <si>
    <t>2022-03-09T18:07:39.966075+00:00</t>
  </si>
  <si>
    <t>https://bellingcat-archive.nyc3.cdn.digitaloceanspaces.com/Ukraine_Witness_Datasheet/Worksheet/youtube_dl__Blue_Sauron_status_14997999643477729302022-03-09T18:07:26.765309.png</t>
  </si>
  <si>
    <t>dd5a91ae44432e1d768fb246543acce3e743d0c20d3ad529cb9d1b3a85939e91</t>
  </si>
  <si>
    <t>https://bellingcat-archive.nyc3.cdn.digitaloceanspaces.com/Ukraine_Witness_Datasheet/Worksheet/youtube_dl_1499799964347772930/index.html</t>
  </si>
  <si>
    <t>BlueSauron👁️ - Video : Knocked out Ukrainian BTR-4 APC in Melitopol city. #Ukraine #Russia</t>
  </si>
  <si>
    <t>2022-03-04T17:32:31+00:00</t>
  </si>
  <si>
    <t>50.440088</t>
  </si>
  <si>
    <t>30.295366</t>
  </si>
  <si>
    <t>https://twitter.com/HillridgeOSINT/status/1499738789685694468</t>
  </si>
  <si>
    <t xml:space="preserve">Destroyed commercial buildings </t>
  </si>
  <si>
    <t>https://twitter.com/HillridgeOSINT/status/1499739188312383493</t>
  </si>
  <si>
    <t>UW2008</t>
  </si>
  <si>
    <t>https://bellingcat-archive.nyc3.cdn.digitaloceanspaces.com/Ukraine_Witness_Datasheet/Worksheet/youtube_dl_1499738789685694468.mp4</t>
  </si>
  <si>
    <t>2022-03-09T18:07:56.268043+00:00</t>
  </si>
  <si>
    <t>https://bellingcat-archive.nyc3.cdn.digitaloceanspaces.com/Ukraine_Witness_Datasheet/Worksheet/youtube_dl__HillridgeOSINT_status_14997387896856944682022-03-09T18:07:42.796631.png</t>
  </si>
  <si>
    <t>ef7e28636ca2c6d8280c4498fd54ac37007c5aa9cdedf0444664e72376f4fde4</t>
  </si>
  <si>
    <t>https://bellingcat-archive.nyc3.cdn.digitaloceanspaces.com/Ukraine_Witness_Datasheet/Worksheet/youtube_dl_1499738789685694468/index.html</t>
  </si>
  <si>
    <t>Heuvelrug Intelligence - Western #Kyiv proper being bombed right now. Seems to be the outskirts.</t>
  </si>
  <si>
    <t>2022-03-04T13:29:25+00:00</t>
  </si>
  <si>
    <t>50.4404</t>
  </si>
  <si>
    <t>30.2948</t>
  </si>
  <si>
    <t>https://twitter.com/OsintTv/status/1499725490684416002</t>
  </si>
  <si>
    <t>https://twitter.com/AosiGeo/status/1499733761231142914</t>
  </si>
  <si>
    <t>UW2009</t>
  </si>
  <si>
    <t>https://bellingcat-archive.nyc3.cdn.digitaloceanspaces.com/Ukraine_Witness_Datasheet/Worksheet/youtube_dl_1499725490684416002.mp4</t>
  </si>
  <si>
    <t>2022-03-09T18:10:25.381396+00:00</t>
  </si>
  <si>
    <t>https://bellingcat-archive.nyc3.cdn.digitaloceanspaces.com/Ukraine_Witness_Datasheet/Worksheet/youtube_dl__OsintTv_status_14997254906844160022022-03-09T18:10:14.251455.png</t>
  </si>
  <si>
    <t>99a3b30ef37bf6c56312f319b995067118935f7be7cffe841a7cc76c81844162</t>
  </si>
  <si>
    <t>https://bellingcat-archive.nyc3.cdn.digitaloceanspaces.com/Ukraine_Witness_Datasheet/Worksheet/youtube_dl_1499725490684416002/index.html</t>
  </si>
  <si>
    <t>OsintTv - Sofiyivska Borshchagovka near Kiev.</t>
  </si>
  <si>
    <t>2022-03-04T12:36:35+00:00</t>
  </si>
  <si>
    <t>47.104142</t>
  </si>
  <si>
    <t>37.558582</t>
  </si>
  <si>
    <t>https://twitter.com/Mike_Eckel/status/1501618185518338051?s=20&amp;t=Oz1z1qQq9mQH7-5Hi9Y9Kg</t>
  </si>
  <si>
    <t>Image 1 &amp; 2 : destroyed buildings in the city center</t>
  </si>
  <si>
    <t>UW2010</t>
  </si>
  <si>
    <t>https://bellingcat-archive.nyc3.cdn.digitaloceanspaces.com/Ukraine_Witness_Datasheet/Worksheet/twitter__Mike_Eckel_status_1501618185518338051.html</t>
  </si>
  <si>
    <t>2022-03-09T18:10:37.880413+00:00</t>
  </si>
  <si>
    <t>https://bellingcat-archive.nyc3.cdn.digitaloceanspaces.com/Ukraine_Witness_Datasheet/Worksheet/twitter__Mike_Eckel_status_15016181855183380512022-03-09T18:10:28.776584.png</t>
  </si>
  <si>
    <t>e1a2aa532cce41525cdedf8c9e474c17afc32f98f1ffb03a0794d9eda702df52</t>
  </si>
  <si>
    <t>2022-03-09T17:57:28+00:00</t>
  </si>
  <si>
    <t>47.099723</t>
  </si>
  <si>
    <t>37.504250</t>
  </si>
  <si>
    <r>
      <rPr>
        <color rgb="FF1155CC"/>
        <sz val="11.0"/>
        <u/>
      </rPr>
      <t>https://twitter.com/Mike_Eckel/status/1501618185518338051?s=20&amp;t=Oz1z1qQq9mQH7-5Hi9Y9Kg</t>
    </r>
    <r>
      <rPr>
        <sz val="11.0"/>
      </rPr>
      <t>g</t>
    </r>
  </si>
  <si>
    <t>Image 3 &amp; 4 : destroyed grocery stores and shopping malls</t>
  </si>
  <si>
    <t>UW2011</t>
  </si>
  <si>
    <t>2022-03-09T18:10:50.154254+00:00</t>
  </si>
  <si>
    <t>https://bellingcat-archive.nyc3.cdn.digitaloceanspaces.com/Ukraine_Witness_Datasheet/Worksheet/twitter__Mike_Eckel_status_15016181855183380512022-03-09T18:10:41.069140.png</t>
  </si>
  <si>
    <t>578d29b897062f2f77865f7c8d05f0e03144be702f226717269119d6fd977d92</t>
  </si>
  <si>
    <t>47.115793</t>
  </si>
  <si>
    <t>37.507683</t>
  </si>
  <si>
    <t>https://twitter.com/Mike_Eckel/status/1501618514796466177?s=20&amp;t=Oz1z1qQq9mQH7-5Hi9Y9Kg</t>
  </si>
  <si>
    <t>Image 1 &amp; 2 : destroyed grocery stores and shopping malls</t>
  </si>
  <si>
    <t>UW2012</t>
  </si>
  <si>
    <t>https://bellingcat-archive.nyc3.cdn.digitaloceanspaces.com/Ukraine_Witness_Datasheet/Worksheet/twitter__Mike_Eckel_status_1501618514796466177.html</t>
  </si>
  <si>
    <t>2022-03-09T18:11:02.072856+00:00</t>
  </si>
  <si>
    <t>https://bellingcat-archive.nyc3.cdn.digitaloceanspaces.com/Ukraine_Witness_Datasheet/Worksheet/twitter__Mike_Eckel_status_15016185147964661772022-03-09T18:10:53.146386.png</t>
  </si>
  <si>
    <t>10b52e57eefcff489a6a97c37a29766e06347fb3c13373603f17cb315f87084c</t>
  </si>
  <si>
    <t>2022-03-09T17:58:47+00:00</t>
  </si>
  <si>
    <t>50.471595</t>
  </si>
  <si>
    <t>34.960363</t>
  </si>
  <si>
    <t>https://twitter.com/michaelh992/status/1499697849998745602</t>
  </si>
  <si>
    <t>Russian trucks in central Trostianets</t>
  </si>
  <si>
    <t>https://twitter.com/GeoConfirmed/status/1499711276347445256</t>
  </si>
  <si>
    <t>Trostianets</t>
  </si>
  <si>
    <t>UW2013</t>
  </si>
  <si>
    <t>photo taken from apartment window</t>
  </si>
  <si>
    <t>https://bellingcat-archive.nyc3.cdn.digitaloceanspaces.com/Ukraine_Witness_Datasheet/Worksheet/twitter__michaelh992_status_1499697849998745602.html</t>
  </si>
  <si>
    <t>2022-03-09T18:11:15.656773+00:00</t>
  </si>
  <si>
    <t>https://bellingcat-archive.nyc3.cdn.digitaloceanspaces.com/Ukraine_Witness_Datasheet/Worksheet/twitter__michaelh992_status_14996978499987456022022-03-09T18:11:05.040354.png</t>
  </si>
  <si>
    <t>b00b6b76d0efc5b53b70c184e6b0f3182fed24c10f95d3e4ca4202b918168df1</t>
  </si>
  <si>
    <t>2022-03-04T10:46:45+00:00</t>
  </si>
  <si>
    <t>47.097343</t>
  </si>
  <si>
    <t>37.659285</t>
  </si>
  <si>
    <t>Image 3 &amp; 4 : destroyed homes</t>
  </si>
  <si>
    <t>UW2014</t>
  </si>
  <si>
    <t>2022-03-09T18:11:27.972267+00:00</t>
  </si>
  <si>
    <t>https://bellingcat-archive.nyc3.cdn.digitaloceanspaces.com/Ukraine_Witness_Datasheet/Worksheet/twitter__Mike_Eckel_status_15016185147964661772022-03-09T18:11:18.785759.png</t>
  </si>
  <si>
    <t>47.096880</t>
  </si>
  <si>
    <t>37.533509</t>
  </si>
  <si>
    <t>https://twitter.com/Mike_Eckel/status/1501618856359510031?s=20&amp;t=Oz1z1qQq9mQH7-5Hi9Y9Kg</t>
  </si>
  <si>
    <t xml:space="preserve">Image 1 : maternity hospital before it was hit </t>
  </si>
  <si>
    <t>UW2015</t>
  </si>
  <si>
    <t>https://bellingcat-archive.nyc3.cdn.digitaloceanspaces.com/Ukraine_Witness_Datasheet/Worksheet/twitter__Mike_Eckel_status_1501618856359510031.html</t>
  </si>
  <si>
    <t>2022-03-09T18:11:39.730791+00:00</t>
  </si>
  <si>
    <t>https://bellingcat-archive.nyc3.cdn.digitaloceanspaces.com/Ukraine_Witness_Datasheet/Worksheet/twitter__Mike_Eckel_status_15016188563595100312022-03-09T18:11:30.498044.png</t>
  </si>
  <si>
    <t>afad1b21b87f7f257a997fe8b446090b3ef7a1160fb4d4b4e2256c91910d88a4</t>
  </si>
  <si>
    <t>2022-03-09T18:00:08+00:00</t>
  </si>
  <si>
    <t>46.05679</t>
  </si>
  <si>
    <t>30.40766</t>
  </si>
  <si>
    <t>https://t.me/vorposte/14886</t>
  </si>
  <si>
    <t>Video of airstrike on ammunition depot near Odesa</t>
  </si>
  <si>
    <t>https://twitter.com/GeoConfirmed/status/1499528243443113994</t>
  </si>
  <si>
    <t xml:space="preserve">Bilhorod-Dnistrovs'kyi </t>
  </si>
  <si>
    <t>UW2016</t>
  </si>
  <si>
    <t>https://bellingcat-archive.nyc3.cdn.digitaloceanspaces.com/Ukraine_Witness_Datasheet/Worksheet/telegram_8059088726.mp4</t>
  </si>
  <si>
    <t>2022-03-09T18:12:17.342361+00:00</t>
  </si>
  <si>
    <t>https://bellingcat-archive.nyc3.cdn.digitaloceanspaces.com/Ukraine_Witness_Datasheet/Worksheet/telegram__vorposte_148862022-03-09T18:11:41.046809.png</t>
  </si>
  <si>
    <t>28fb3fea52ad3478bf555c02b1a7a8d6bfb252f7da7d352d9780464902d0fc2e</t>
  </si>
  <si>
    <t>https://bellingcat-archive.nyc3.cdn.digitaloceanspaces.com/Ukraine_Witness_Datasheet/Worksheet/telegram_8059088726/index.html</t>
  </si>
  <si>
    <t>50.010556</t>
  </si>
  <si>
    <t xml:space="preserve">36.409306 </t>
  </si>
  <si>
    <t>https://t.me/dvish_alive/9521</t>
  </si>
  <si>
    <t>Deceased Russian soldiers</t>
  </si>
  <si>
    <t>https://twitter.com/khalfaguliyev/status/1501297980061540353</t>
  </si>
  <si>
    <t>UW2017</t>
  </si>
  <si>
    <t>https://bellingcat-archive.nyc3.cdn.digitaloceanspaces.com/Ukraine_Witness_Datasheet/Worksheet/telegram_1558392ce9.mp4</t>
  </si>
  <si>
    <t>2022-03-09T18:12:39.794000+00:00</t>
  </si>
  <si>
    <t>https://bellingcat-archive.nyc3.cdn.digitaloceanspaces.com/Ukraine_Witness_Datasheet/Worksheet/telegram__dvish_alive_95212022-03-09T18:12:18.314559.png</t>
  </si>
  <si>
    <t>cc1c592f35e97e72a6742d589407f71a24b6a2a9e753979290a7ea0bb45f975c</t>
  </si>
  <si>
    <t>https://bellingcat-archive.nyc3.cdn.digitaloceanspaces.com/Ukraine_Witness_Datasheet/Worksheet/telegram_1558392ce9/index.html</t>
  </si>
  <si>
    <t>2022-03-08T17:59:16+00:00</t>
  </si>
  <si>
    <t>47.096490</t>
  </si>
  <si>
    <t>37.533467</t>
  </si>
  <si>
    <t>https://twitter.com/no_itsmyturn/status/1501617315191926784</t>
  </si>
  <si>
    <t>Victims taken from hospital after strike</t>
  </si>
  <si>
    <t>UW2018</t>
  </si>
  <si>
    <t>https://web.archive.org/web/20220309181553/https://twitter.com/no_itsmyturn/status/1501617315191926784</t>
  </si>
  <si>
    <t>2022-03-09T18:16:13.438562+00:00</t>
  </si>
  <si>
    <t>https://bellingcat-archive.nyc3.cdn.digitaloceanspaces.com/Ukraine_Witness_Datasheet/Worksheet/wayback__no_itsmyturn_status_15016173151919267842022-03-09T18:16:04.439976.png</t>
  </si>
  <si>
    <t>47.095799</t>
  </si>
  <si>
    <t>37.540469</t>
  </si>
  <si>
    <t>https://twitter.com/leonidragozin/status/1501590915521122306</t>
  </si>
  <si>
    <t>Destruction of Pryazovskyi State Technical University</t>
  </si>
  <si>
    <t>UW2019</t>
  </si>
  <si>
    <t>https://bellingcat-archive.nyc3.cdn.digitaloceanspaces.com/Ukraine_Witness_Datasheet/Worksheet/youtube_dl_1501590915521122306.mp4</t>
  </si>
  <si>
    <t>2022-03-09T18:30:24.850624+00:00</t>
  </si>
  <si>
    <t>https://bellingcat-archive.nyc3.cdn.digitaloceanspaces.com/Ukraine_Witness_Datasheet/Worksheet/youtube_dl__leonidragozin_status_15015909155211223062022-03-09T18:30:12.706317.png</t>
  </si>
  <si>
    <t>71ad0ec42cf233c9816e5ec7f3490fa19c1785657a5979ddcb4ba7476b8951e9</t>
  </si>
  <si>
    <t>https://bellingcat-archive.nyc3.cdn.digitaloceanspaces.com/Ukraine_Witness_Datasheet/Worksheet/youtube_dl_1501590915521122306/index.html</t>
  </si>
  <si>
    <t>Leonid Ragozin - “The strike hit Azov Technical University. Here is the university, fully destroyed. Here is the city government. Here are the cars and here is the road”.  Mariupol today. A Russian-speaking city leveled by Russian bombs.</t>
  </si>
  <si>
    <t>2022-03-09T16:09:07+00:00</t>
  </si>
  <si>
    <t>47.093437</t>
  </si>
  <si>
    <t>37.560002</t>
  </si>
  <si>
    <t>https://twitter.com/GirkinGirkin/status/1501510292534136834</t>
  </si>
  <si>
    <t>Image 1 and 3: Destruction in city center</t>
  </si>
  <si>
    <t>UW2020</t>
  </si>
  <si>
    <t>https://bellingcat-archive.nyc3.cdn.digitaloceanspaces.com/Ukraine_Witness_Datasheet/Worksheet/twitter__GirkinGirkin_status_1501510292534136834.html</t>
  </si>
  <si>
    <t>2022-03-09T18:35:21.818704+00:00</t>
  </si>
  <si>
    <t>https://bellingcat-archive.nyc3.cdn.digitaloceanspaces.com/Ukraine_Witness_Datasheet/Worksheet/twitter__GirkinGirkin_status_15015102925341368342022-03-09T18:35:13.687760.png</t>
  </si>
  <si>
    <t>48e33e4830080840beb9a2890649e3c0a3381eb80d12fddc31b6e90010c5bca5</t>
  </si>
  <si>
    <t>2022-03-09T10:48:45+00:00</t>
  </si>
  <si>
    <t>47.104000</t>
  </si>
  <si>
    <t>37.560000</t>
  </si>
  <si>
    <t>https://twitter.com/Maxar/status/1501630236357799945</t>
  </si>
  <si>
    <t>sat image</t>
  </si>
  <si>
    <t>Satellite imagery showing destruction of homes and buildings</t>
  </si>
  <si>
    <t>UW2021</t>
  </si>
  <si>
    <t>satellite image</t>
  </si>
  <si>
    <t>https://bellingcat-archive.nyc3.cdn.digitaloceanspaces.com/Ukraine_Witness_Datasheet/Worksheet/youtube_dl_1501630236357799945.mp4</t>
  </si>
  <si>
    <t>2022-03-09T18:50:21.763312+00:00</t>
  </si>
  <si>
    <t>https://bellingcat-archive.nyc3.cdn.digitaloceanspaces.com/Ukraine_Witness_Datasheet/Worksheet/youtube_dl__Maxar_status_15016302363577999452022-03-09T18:50:12.941967.png</t>
  </si>
  <si>
    <t>6f910100f261e9899798cc4647c14c586f6159a3fe7d1ca34bf4f3cfcf347fec</t>
  </si>
  <si>
    <t>https://bellingcat-archive.nyc3.cdn.digitaloceanspaces.com/Ukraine_Witness_Datasheet/Worksheet/youtube_dl_1501630236357799945/index.html</t>
  </si>
  <si>
    <t>Maxar Technologies - Our latest #satellite imagery from this morning, March 9, 2022, 10:16 a.m. local time, of the crisis in Ukraine. This set of before and after images show destroyed homes and buildings of the besieged southern #Ukraine city of #Mariupol. (Location: 47.104, 37.560)</t>
  </si>
  <si>
    <t>2022-03-09T18:45:21+00:00</t>
  </si>
  <si>
    <t>Done</t>
  </si>
  <si>
    <t>48.627348</t>
  </si>
  <si>
    <t>37.545903</t>
  </si>
  <si>
    <t>https://www.facebook.com/photo?fbid=286821770254527&amp;set=pcb.286822220254482</t>
  </si>
  <si>
    <t>Image 2 &amp; 3: Train station. Extensive damage to civilian infrastructure around the Druzhkivka train station</t>
  </si>
  <si>
    <t>Druzhkivka</t>
  </si>
  <si>
    <t>https://www.google.com/maps/place/Druzhkovka/@48.6270845,37.5460449,3a,75y,90t/data=!3m8!1e2!3m6!1sAF1QipNXnx2VDaTd7ONQHsCaijeCU-JA3tYFDA9qVkzO!2e10!3e12!6shttps:%2F%2Flh5.googleusercontent.com%2Fp%2FAF1QipNXnx2VDaTd7ONQHsCaijeCU-JA3tYFDA9qVkzO%3Dw203-h134-k-no!7i4944!8i3280!4m13!1m7!3m6!1s0x0:0x691aadf482ca0957!2zNDjCsDM3JzM4LjciTiAzN8KwMzInNDYuNSJF!3b1!8m2!3d48.627419!4d37.54625!3m4!1s0x40dfbe959256a16f:0x3f5a80f03e41dfb1!8m2!3d48.627126!4d37.5461266</t>
  </si>
  <si>
    <t>UW2022</t>
  </si>
  <si>
    <t>https://web.archive.org/web/20220309221553/https://www.facebook.com/photo?fbid=286821770254527&amp;set=pcb.286822220254482</t>
  </si>
  <si>
    <t>2022-03-09T22:16:10.143863+00:00</t>
  </si>
  <si>
    <t>https://bellingcat-archive.nyc3.cdn.digitaloceanspaces.com/Ukraine_Witness_Datasheet/Worksheet/wayback__photo2022-03-09T22:16:01.515404.png</t>
  </si>
  <si>
    <t>48.628297</t>
  </si>
  <si>
    <t>37.546799</t>
  </si>
  <si>
    <t>https://www.facebook.com/photo/?fbid=286822010254503&amp;set=pcb.286822220254482</t>
  </si>
  <si>
    <t>Image 1: Blue face with chimney. Extensive damage to civilian infrastructure around the Druzhkivka train station</t>
  </si>
  <si>
    <t>UW2023</t>
  </si>
  <si>
    <t>2022-03-09T22:20:24.831733+00:00</t>
  </si>
  <si>
    <t>https://bellingcat-archive.nyc3.cdn.digitaloceanspaces.com/Ukraine_Witness_Datasheet/Worksheet/wayback__photo2022-03-09T22:20:16.349204.png</t>
  </si>
  <si>
    <t>UW2024</t>
  </si>
  <si>
    <t>50.632798</t>
  </si>
  <si>
    <t>30.023603</t>
  </si>
  <si>
    <t>https://twitter.com/200_zoka/status/1501161299937529860</t>
  </si>
  <si>
    <t>Chechen troops, including General Magomed Tushayev, moving through Babyntsi</t>
  </si>
  <si>
    <t>Distinctive roof can be seen at 0:52</t>
  </si>
  <si>
    <t>UW2025</t>
  </si>
  <si>
    <t>https://bellingcat-archive.nyc3.cdn.digitaloceanspaces.com/Ukraine_Witness_Datasheet/Worksheet/youtube_dl_1501161299937529860.mp4</t>
  </si>
  <si>
    <t>2022-03-09T22:50:25.723993+00:00</t>
  </si>
  <si>
    <t>https://bellingcat-archive.nyc3.cdn.digitaloceanspaces.com/Ukraine_Witness_Datasheet/Worksheet/youtube_dl__200_zoka_status_15011612999375298602022-03-09T22:50:12.740253.png</t>
  </si>
  <si>
    <t>f27bdcf4685a6343389a273e61c6a0c8945ecdce7ee4b3fc44bf0e1f8873d7ac</t>
  </si>
  <si>
    <t>https://bellingcat-archive.nyc3.cdn.digitaloceanspaces.com/Ukraine_Witness_Datasheet/Worksheet/youtube_dl_1501161299937529860/index.html</t>
  </si>
  <si>
    <t>ZOKA - Ahmad Sila ☝️</t>
  </si>
  <si>
    <t>2022-03-08T11:41:58+00:00</t>
  </si>
  <si>
    <t>10/03/2022</t>
  </si>
  <si>
    <t>47.109967</t>
  </si>
  <si>
    <t>37.515613</t>
  </si>
  <si>
    <t>https://twitter.com/Polk_Azov/status/1501826352076533761/photo/3</t>
  </si>
  <si>
    <t>Building with pharmacy hit by strike in Mariupol</t>
  </si>
  <si>
    <t>UW2026</t>
  </si>
  <si>
    <t>https://bellingcat-archive.nyc3.cdn.digitaloceanspaces.com/Ukraine_Witness_Datasheet/Worksheet/twitter__Polk_Azov_status_1501826352076533761_photo_3.html</t>
  </si>
  <si>
    <t>2022-03-10T08:25:23.354769+00:00</t>
  </si>
  <si>
    <t>https://bellingcat-archive.nyc3.cdn.digitaloceanspaces.com/Ukraine_Witness_Datasheet/Worksheet/twitter__Polk_Azov_status_1501826352076533761_photo_32022-03-10T08:25:14.893029.png</t>
  </si>
  <si>
    <t>0b9db19f5ee574d22f8a894bf092d3720478a62a8cb059ff57db2aca5413072c</t>
  </si>
  <si>
    <t>2022-03-10T07:44:39+00:00</t>
  </si>
  <si>
    <t>49.842925</t>
  </si>
  <si>
    <t>36.709510</t>
  </si>
  <si>
    <t>https://twitter.com/no_itsmyturn/status/1501829375825793024</t>
  </si>
  <si>
    <t>destroyed residential building in Chuhuiv Kharkiv</t>
  </si>
  <si>
    <t>49.842925, 36.709510</t>
  </si>
  <si>
    <t>Distinctive color (blue) of auto repair shop</t>
  </si>
  <si>
    <t>UW2027</t>
  </si>
  <si>
    <t>Civilian infrastructure Damage</t>
  </si>
  <si>
    <t>https://bellingcat-archive.nyc3.cdn.digitaloceanspaces.com/Ukraine_Witness_Datasheet/Worksheet/twitter__no_itsmyturn_status_1501829375825793024.html</t>
  </si>
  <si>
    <t>2022-03-10T08:30:23.522627+00:00</t>
  </si>
  <si>
    <t>https://bellingcat-archive.nyc3.cdn.digitaloceanspaces.com/Ukraine_Witness_Datasheet/Worksheet/twitter__no_itsmyturn_status_15018293758257930242022-03-10T08:30:13.245398.png</t>
  </si>
  <si>
    <t>bea74a4bf8d01a3391aaf8950e3be076d07e66232de309756f12f9fb1ec5aea4</t>
  </si>
  <si>
    <t>2022-03-10T07:56:40+00:00</t>
  </si>
  <si>
    <t>49.894511</t>
  </si>
  <si>
    <t>36.448649</t>
  </si>
  <si>
    <t>https://twitter.com/no_itsmyturn/status/1501828667802107905</t>
  </si>
  <si>
    <t>destroyed university building</t>
  </si>
  <si>
    <t>49.894511, 36.448649</t>
  </si>
  <si>
    <t>Distinctive color of entry to university</t>
  </si>
  <si>
    <t>UW2028</t>
  </si>
  <si>
    <t>https://bellingcat-archive.nyc3.cdn.digitaloceanspaces.com/Ukraine_Witness_Datasheet/Worksheet/twitter__no_itsmyturn_status_1501828667802107905.html</t>
  </si>
  <si>
    <t>2022-03-10T08:45:23.329098+00:00</t>
  </si>
  <si>
    <t>https://bellingcat-archive.nyc3.cdn.digitaloceanspaces.com/Ukraine_Witness_Datasheet/Worksheet/twitter__no_itsmyturn_status_15018286678021079052022-03-10T08:45:14.418965.png</t>
  </si>
  <si>
    <t>974c08f1bdd73f966c80291773660ff817a7d211ba3dcb7bf549dc55a7ecae9d</t>
  </si>
  <si>
    <t>2022-03-10T07:53:51+00:00</t>
  </si>
  <si>
    <t>49.840301</t>
  </si>
  <si>
    <t>36.687102</t>
  </si>
  <si>
    <t>https://twitter.com/antiputler_news/status/1501832094225518593</t>
  </si>
  <si>
    <t>Video of a supermarket damaged in Chuhuiv after an explosion</t>
  </si>
  <si>
    <t>https://www.google.com/maps/place/Dars/@49.8404475,36.68645,19z/data=!4m5!3m4!1s0x412715ca014471e7:0xdff67b0538aed5b0!8m2!3d49.8403885!4d36.6870365</t>
  </si>
  <si>
    <t>UW2029</t>
  </si>
  <si>
    <t>https://bellingcat-archive.nyc3.cdn.digitaloceanspaces.com/Ukraine_Witness_Datasheet/Worksheet/youtube_dl_1501832094225518593.mp4</t>
  </si>
  <si>
    <t>2022-03-10T09:10:23.766880+00:00</t>
  </si>
  <si>
    <t>https://bellingcat-archive.nyc3.cdn.digitaloceanspaces.com/Ukraine_Witness_Datasheet/Worksheet/youtube_dl__antiputler_news_status_15018320942255185932022-03-10T09:10:12.926011.png</t>
  </si>
  <si>
    <t>c03941b61194b0c9b91200de266d431d6a2fc8f4016f3b18c06f3559ed22f41f</t>
  </si>
  <si>
    <t>https://bellingcat-archive.nyc3.cdn.digitaloceanspaces.com/Ukraine_Witness_Datasheet/Worksheet/youtube_dl_1501832094225518593/index.html</t>
  </si>
  <si>
    <t>Аслан - Чугуев после взрыва🤬</t>
  </si>
  <si>
    <t>2022-03-10T08:07:28+00:00</t>
  </si>
  <si>
    <t>50.585145</t>
  </si>
  <si>
    <t>30.838238</t>
  </si>
  <si>
    <t>https://www.facebook.com/UkrainianLandForces/videos/250734993932774/?__tn__=%2CO</t>
  </si>
  <si>
    <t>Drone footage of Russian armoured column coming under artillery fire and withdrawing to the northwest</t>
  </si>
  <si>
    <t>Brovarskiy</t>
  </si>
  <si>
    <t>Skybyn</t>
  </si>
  <si>
    <t>UW2030</t>
  </si>
  <si>
    <t>https://bellingcat-archive.nyc3.cdn.digitaloceanspaces.com/Ukraine_Witness_Datasheet/Worksheet/youtube_dl_250734993932774.mkv</t>
  </si>
  <si>
    <t>2022-03-10T11:00:36.100580+00:00</t>
  </si>
  <si>
    <t>https://bellingcat-archive.nyc3.cdn.digitaloceanspaces.com/Ukraine_Witness_Datasheet/Worksheet/youtube_dl__UkrainianLandForces_videos_250734993932774_2022-03-10T11:00:21.132861.png</t>
  </si>
  <si>
    <t>32c21283cce4b27ba0eaa0343bf365c317ea775be01f253d5d1f9a2a4371aa8d</t>
  </si>
  <si>
    <t>https://bellingcat-archive.nyc3.cdn.digitaloceanspaces.com/Ukraine_Witness_Datasheet/Worksheet/youtube_dl_250734993932774/index.html</t>
  </si>
  <si>
    <t>Від наших колег з СтратКом ЗСУ / AFU StratCom  "Українське сафарі 2.0" Професійна робота українських військових. Бій в Броварському районі.</t>
  </si>
  <si>
    <t>2022-03-10T08:35:16+00:00</t>
  </si>
  <si>
    <t>50.304799</t>
  </si>
  <si>
    <t xml:space="preserve"> 34.893091</t>
  </si>
  <si>
    <t>https://twitter.com/EuromaidanPress/status/1501705314407694347</t>
  </si>
  <si>
    <t>Image 4: shell crater and damage to surrounding buildings</t>
  </si>
  <si>
    <t>50.304799, 34.893091</t>
  </si>
  <si>
    <t>UW2031</t>
  </si>
  <si>
    <t>https://bellingcat-archive.nyc3.cdn.digitaloceanspaces.com/Ukraine_Witness_Datasheet/Worksheet/twitter__EuromaidanPress_status_1501705314407694347.html</t>
  </si>
  <si>
    <t>2022-03-10T11:00:49.435184+00:00</t>
  </si>
  <si>
    <t>https://bellingcat-archive.nyc3.cdn.digitaloceanspaces.com/Ukraine_Witness_Datasheet/Worksheet/twitter__EuromaidanPress_status_15017053144076943472022-03-10T11:00:40.255880.png</t>
  </si>
  <si>
    <t>bc9be5c840aacfb15e2c13beb176dc0ef448d04b26aaf3c7d757512c52a0377b</t>
  </si>
  <si>
    <t>2022-03-09T23:43:41+00:00</t>
  </si>
  <si>
    <t>https://twitter.com/ukraine_world/status/1501457377022857216</t>
  </si>
  <si>
    <t>shell crater and damage to surrounding buildings</t>
  </si>
  <si>
    <t>UW2032</t>
  </si>
  <si>
    <t>https://bellingcat-archive.nyc3.cdn.digitaloceanspaces.com/Ukraine_Witness_Datasheet/Worksheet/twitter__ukraine_world_status_1501457377022857216.html</t>
  </si>
  <si>
    <t>2022-03-10T11:05:21.847121+00:00</t>
  </si>
  <si>
    <t>https://bellingcat-archive.nyc3.cdn.digitaloceanspaces.com/Ukraine_Witness_Datasheet/Worksheet/twitter__ukraine_world_status_15014573770228572162022-03-10T11:05:12.577847.png</t>
  </si>
  <si>
    <t>812fd6e4352f3d128d8e4e770b698dbaf0e4929d364e646a74566340822c69cc</t>
  </si>
  <si>
    <t>2022-03-09T07:18:29+00:00</t>
  </si>
  <si>
    <t>https://twitter.com/revishvilig/status/1501086765020553219</t>
  </si>
  <si>
    <t>UW2033</t>
  </si>
  <si>
    <t>https://bellingcat-archive.nyc3.cdn.digitaloceanspaces.com/Ukraine_Witness_Datasheet/Worksheet/youtube_dl_1501086765020553219.mp4</t>
  </si>
  <si>
    <t>2022-03-10T11:05:35.820704+00:00</t>
  </si>
  <si>
    <t>https://bellingcat-archive.nyc3.cdn.digitaloceanspaces.com/Ukraine_Witness_Datasheet/Worksheet/youtube_dl__revishvilig_status_15010867650205532192022-03-10T11:05:24.451076.png</t>
  </si>
  <si>
    <t>4e3f2bf0bbdd2cb57ad4c5745ee7cbe3737d5b075758b266675175bda65907fa</t>
  </si>
  <si>
    <t>https://bellingcat-archive.nyc3.cdn.digitaloceanspaces.com/Ukraine_Witness_Datasheet/Worksheet/youtube_dl_1501086765020553219/index.html</t>
  </si>
  <si>
    <t>Giorgi Revishvili - City center of #Okhtyrka, #Sumy Oblast after #Russia's continuous bombardment</t>
  </si>
  <si>
    <t>2022-03-08T06:45:48+00:00</t>
  </si>
  <si>
    <t>49.991433</t>
  </si>
  <si>
    <t>36.234289</t>
  </si>
  <si>
    <t>https://twitter.com/no_itsmyturn/status/1501830382634901506</t>
  </si>
  <si>
    <t>Damage at Nikolsky Mall after strike</t>
  </si>
  <si>
    <t>49.991433, 36.234289</t>
  </si>
  <si>
    <t>UW2034</t>
  </si>
  <si>
    <t>https://bellingcat-archive.nyc3.cdn.digitaloceanspaces.com/Ukraine_Witness_Datasheet/Worksheet/twitter__no_itsmyturn_status_1501830382634901506.html</t>
  </si>
  <si>
    <t>2022-03-10T11:10:24.007057+00:00</t>
  </si>
  <si>
    <t>https://bellingcat-archive.nyc3.cdn.digitaloceanspaces.com/Ukraine_Witness_Datasheet/Worksheet/twitter__no_itsmyturn_status_15018303826349015062022-03-10T11:10:14.272575.png</t>
  </si>
  <si>
    <t>8f179f99129c7459a0ef6756cf9110467460657240a89547f590348a5e61fde2</t>
  </si>
  <si>
    <t>2022-03-10T08:00:40+00:00</t>
  </si>
  <si>
    <t>49.841091</t>
  </si>
  <si>
    <t>36.683988</t>
  </si>
  <si>
    <t>https://twitter.com/no_itsmyturn/status/1501829793549107200</t>
  </si>
  <si>
    <t>Alleged SBU building destroyed in strike</t>
  </si>
  <si>
    <t>UW2035</t>
  </si>
  <si>
    <t>https://bellingcat-archive.nyc3.cdn.digitaloceanspaces.com/Ukraine_Witness_Datasheet/Worksheet/twitter__no_itsmyturn_status_1501829793549107200.html</t>
  </si>
  <si>
    <t>2022-03-10T11:20:21.799241+00:00</t>
  </si>
  <si>
    <t>https://bellingcat-archive.nyc3.cdn.digitaloceanspaces.com/Ukraine_Witness_Datasheet/Worksheet/twitter__no_itsmyturn_status_15018297935491072002022-03-10T11:20:13.349628.png</t>
  </si>
  <si>
    <t>75c6f4c7e5a6ade8730d7d19234bae2a9ec1a53bcd500f8589cb6830de2f3171</t>
  </si>
  <si>
    <t>2022-03-10T07:58:20+00:00</t>
  </si>
  <si>
    <t>49.113915</t>
  </si>
  <si>
    <t>36.805156</t>
  </si>
  <si>
    <t>https://twitter.com/no_itsmyturn/status/1501826196660793344</t>
  </si>
  <si>
    <t>Image 1: Damage after shelling</t>
  </si>
  <si>
    <t>Chervonyi Lyman</t>
  </si>
  <si>
    <t>UW2036</t>
  </si>
  <si>
    <t>https://bellingcat-archive.nyc3.cdn.digitaloceanspaces.com/Ukraine_Witness_Datasheet/Worksheet/twitter__no_itsmyturn_status_1501826196660793344.html</t>
  </si>
  <si>
    <t>2022-03-10T11:40:25.520574+00:00</t>
  </si>
  <si>
    <t>https://bellingcat-archive.nyc3.cdn.digitaloceanspaces.com/Ukraine_Witness_Datasheet/Worksheet/twitter__no_itsmyturn_status_15018261966607933442022-03-10T11:40:15.565840.png</t>
  </si>
  <si>
    <t>78e7a4a6efbdcaa9bd91f9d6b40ae6459fdc1c4c3505e6ce7edaacaf056d2013</t>
  </si>
  <si>
    <t>2022-03-10T07:44:02+00:00</t>
  </si>
  <si>
    <t>49.893342</t>
  </si>
  <si>
    <t>36.450322</t>
  </si>
  <si>
    <t>https://twitter.com/no_itsmyturn/status/1501796950944923650</t>
  </si>
  <si>
    <t>Damage to residential building after being hit by strike</t>
  </si>
  <si>
    <t>Dokuchaev</t>
  </si>
  <si>
    <t>UW2037</t>
  </si>
  <si>
    <t>https://bellingcat-archive.nyc3.cdn.digitaloceanspaces.com/Ukraine_Witness_Datasheet/Worksheet/twitter__no_itsmyturn_status_1501796950944923650.html</t>
  </si>
  <si>
    <t>2022-03-10T12:00:23.363840+00:00</t>
  </si>
  <si>
    <t>https://bellingcat-archive.nyc3.cdn.digitaloceanspaces.com/Ukraine_Witness_Datasheet/Worksheet/twitter__no_itsmyturn_status_15017969509449236502022-03-10T12:00:14.455326.png</t>
  </si>
  <si>
    <t>3f1dae8b3fea463947a4bc1154442bcdd52675eabd95f49f25d2ff531def4168</t>
  </si>
  <si>
    <t>2022-03-10T05:47:49+00:00</t>
  </si>
  <si>
    <t>50.008438</t>
  </si>
  <si>
    <t>36.245358</t>
  </si>
  <si>
    <t>https://twitter.com/no_itsmyturn/status/1501793841925472257</t>
  </si>
  <si>
    <t>Crater in road and damage to surrounding buildings</t>
  </si>
  <si>
    <t>UW2038</t>
  </si>
  <si>
    <t>https://bellingcat-archive.nyc3.cdn.digitaloceanspaces.com/Ukraine_Witness_Datasheet/Worksheet/youtube_dl_1501793841925472257.mp4</t>
  </si>
  <si>
    <t>2022-03-10T12:05:25.694454+00:00</t>
  </si>
  <si>
    <t>https://bellingcat-archive.nyc3.cdn.digitaloceanspaces.com/Ukraine_Witness_Datasheet/Worksheet/youtube_dl__no_itsmyturn_status_15017938419254722572022-03-10T12:05:13.993413.png</t>
  </si>
  <si>
    <t>1e24870a6a363149e6591bc8143b33c5009889847de5cee3c1ddc4fb0b4d0102</t>
  </si>
  <si>
    <t>https://bellingcat-archive.nyc3.cdn.digitaloceanspaces.com/Ukraine_Witness_Datasheet/Worksheet/youtube_dl_1501793841925472257/index.html</t>
  </si>
  <si>
    <t>Aleph א #IStandWithUkraine 🇺🇦 - Kostomarivs'ka Kharkiv #Ukraine🇺🇦</t>
  </si>
  <si>
    <t>2022-03-10T05:35:28+00:00</t>
  </si>
  <si>
    <t>47.107591</t>
  </si>
  <si>
    <t xml:space="preserve"> 37.517912</t>
  </si>
  <si>
    <t>https://twitter.com/TWMCLtd/status/1501875154292465672</t>
  </si>
  <si>
    <t>Destruction of a fire station after strike</t>
  </si>
  <si>
    <t>UW2039</t>
  </si>
  <si>
    <t>https://bellingcat-archive.nyc3.cdn.digitaloceanspaces.com/Ukraine_Witness_Datasheet/Worksheet/youtube_dl_1501875154292465672.mp4</t>
  </si>
  <si>
    <t>2022-03-10T13:30:27.758619+00:00</t>
  </si>
  <si>
    <t>https://bellingcat-archive.nyc3.cdn.digitaloceanspaces.com/Ukraine_Witness_Datasheet/Worksheet/youtube_dl__TWMCLtd_status_15018751542924656722022-03-10T13:30:14.641038.png</t>
  </si>
  <si>
    <t>424da33280c6b1b53da986e6d93fe7e9e55e062d76f8b5421c0cbb62f36ea5ae</t>
  </si>
  <si>
    <t>https://bellingcat-archive.nyc3.cdn.digitaloceanspaces.com/Ukraine_Witness_Datasheet/Worksheet/youtube_dl_1501875154292465672/index.html</t>
  </si>
  <si>
    <t>Tim White - #Mariupol' is like a post-apocalyptic movie set.  Firefighters dodge fire to try to put out the flames and rescue the injured and trapped</t>
  </si>
  <si>
    <t>2022-03-10T10:58:34+00:00</t>
  </si>
  <si>
    <t>https://twitter.com/no_itsmyturn/status/1501878985449484288</t>
  </si>
  <si>
    <t>Damage to a residential building in Lyubotyn, Kharkiv</t>
  </si>
  <si>
    <t>UW2040</t>
  </si>
  <si>
    <t>https://bellingcat-archive.nyc3.cdn.digitaloceanspaces.com/Ukraine_Witness_Datasheet/Worksheet/youtube_dl_1501878985449484288.mp4</t>
  </si>
  <si>
    <t>2022-03-10T12:25:23.589753+00:00</t>
  </si>
  <si>
    <t>https://bellingcat-archive.nyc3.cdn.digitaloceanspaces.com/Ukraine_Witness_Datasheet/Worksheet/youtube_dl__no_itsmyturn_status_15018789854494842882022-03-10T12:25:12.346018.png</t>
  </si>
  <si>
    <t>ef2e8f094c1182b9a317370f5e155fae3d07cc6cd82e57204778a5daa2513362</t>
  </si>
  <si>
    <t>https://bellingcat-archive.nyc3.cdn.digitaloceanspaces.com/Ukraine_Witness_Datasheet/Worksheet/youtube_dl_1501878985449484288/index.html</t>
  </si>
  <si>
    <t>Aleph א #IStandWithUkraine 🇺🇦 - Damage to residential buildings in Lyubotyn  Kharkiv oblast #Ukraine🇺🇦</t>
  </si>
  <si>
    <t>2022-03-10T11:13:48+00:00</t>
  </si>
  <si>
    <t>50.585473</t>
  </si>
  <si>
    <t>30.838590</t>
  </si>
  <si>
    <t>https://t.me/dvish_alive/9649</t>
  </si>
  <si>
    <t>Destroyed Russian military vehicle</t>
  </si>
  <si>
    <t>UW2041</t>
  </si>
  <si>
    <t>https://bellingcat-archive.nyc3.cdn.digitaloceanspaces.com/Ukraine_Witness_Datasheet/Worksheet/telegram_351ba4a76e.mp4</t>
  </si>
  <si>
    <t>2022-03-10T13:10:59.279617+00:00</t>
  </si>
  <si>
    <t>https://bellingcat-archive.nyc3.cdn.digitaloceanspaces.com/Ukraine_Witness_Datasheet/Worksheet/telegram__dvish_alive_96492022-03-10T13:10:10.592110.png</t>
  </si>
  <si>
    <t>67b08ba5861b659b9ef100f53691004dde3c3d56603feeb597f3a14e095ac01d</t>
  </si>
  <si>
    <t>https://bellingcat-archive.nyc3.cdn.digitaloceanspaces.com/Ukraine_Witness_Datasheet/Worksheet/telegram_351ba4a76e/index.html</t>
  </si>
  <si>
    <t>2022-03-10T06:30:47+00:00</t>
  </si>
  <si>
    <t>50.585636</t>
  </si>
  <si>
    <t>30.838670</t>
  </si>
  <si>
    <t>https://twitter.com/RALee85/status/1501820753905344514</t>
  </si>
  <si>
    <t>UW2042</t>
  </si>
  <si>
    <t>https://bellingcat-archive.nyc3.cdn.digitaloceanspaces.com/Ukraine_Witness_Datasheet/Worksheet/youtube_dl_1501820753905344514.mp4</t>
  </si>
  <si>
    <t>2022-03-10T13:11:12.995902+00:00</t>
  </si>
  <si>
    <t>https://bellingcat-archive.nyc3.cdn.digitaloceanspaces.com/Ukraine_Witness_Datasheet/Worksheet/youtube_dl__RALee85_status_15018207539053445142022-03-10T13:11:02.167474.png</t>
  </si>
  <si>
    <t>a55b8b617e0fa54b44615ecb017dcd399e951dea56918a855836eaefa9df2fcd</t>
  </si>
  <si>
    <t>https://bellingcat-archive.nyc3.cdn.digitaloceanspaces.com/Ukraine_Witness_Datasheet/Worksheet/youtube_dl_1501820753905344514/index.html</t>
  </si>
  <si>
    <t>Rob Lee - Video from the same area. A BTR-82 and a tank on fire. 2/</t>
  </si>
  <si>
    <t>2022-03-10T07:22:24+00:00</t>
  </si>
  <si>
    <t>50.603875</t>
  </si>
  <si>
    <t>30.864690</t>
  </si>
  <si>
    <t>0:38-0:45 Russian forces retreating</t>
  </si>
  <si>
    <t>50.603875, 30.864690</t>
  </si>
  <si>
    <t>UW2043</t>
  </si>
  <si>
    <t>2022-03-10T13:15:32.681039+00:00</t>
  </si>
  <si>
    <t>https://bellingcat-archive.nyc3.cdn.digitaloceanspaces.com/Ukraine_Witness_Datasheet/Worksheet/youtube_dl__UkrainianLandForces_videos_250734993932774_2022-03-10T13:15:18.487655.png</t>
  </si>
  <si>
    <t>4799ea963730f3a539625ee84bf34f33701e797b85b3c31eecd497e28f1f5704</t>
  </si>
  <si>
    <t>50.309233</t>
  </si>
  <si>
    <t>34.878881</t>
  </si>
  <si>
    <t>Image 1/3: Damage after strike</t>
  </si>
  <si>
    <t>50.309233, 34.878881</t>
  </si>
  <si>
    <t>UW2044</t>
  </si>
  <si>
    <t>2022-03-10T13:25:22.930198+00:00</t>
  </si>
  <si>
    <t>https://bellingcat-archive.nyc3.cdn.digitaloceanspaces.com/Ukraine_Witness_Datasheet/Worksheet/twitter__EuromaidanPress_status_15017053144076943472022-03-10T13:25:14.722438.png</t>
  </si>
  <si>
    <t>9c6c6f20dd9cac8b56852776e1196f01fb0a8f1ba9350b83766fc7ca42f478dc</t>
  </si>
  <si>
    <t>46.836887</t>
  </si>
  <si>
    <t>31.998383</t>
  </si>
  <si>
    <t>https://t.me/u_now/26560</t>
  </si>
  <si>
    <t>Missile strike on civilian housing area</t>
  </si>
  <si>
    <t>https://twitter.com/Arthur_Crpt/status/1501896022645215232</t>
  </si>
  <si>
    <t>46.836887, 31.998383</t>
  </si>
  <si>
    <t>UW2045</t>
  </si>
  <si>
    <t>https://bellingcat-archive.nyc3.cdn.digitaloceanspaces.com/Ukraine_Witness_Datasheet/Worksheet/telegram_b18aa9ed17.mp4</t>
  </si>
  <si>
    <t>2022-03-10T13:40:35.859034+00:00</t>
  </si>
  <si>
    <t>https://bellingcat-archive.nyc3.cdn.digitaloceanspaces.com/Ukraine_Witness_Datasheet/Worksheet/telegram__u_now_265602022-03-10T13:40:10.425143.png</t>
  </si>
  <si>
    <t>488e0d66511042b202a2f25b6729c683a1683d967cde0eaa1f3bd346aa43e493</t>
  </si>
  <si>
    <t>https://bellingcat-archive.nyc3.cdn.digitaloceanspaces.com/Ukraine_Witness_Datasheet/Worksheet/telegram_b18aa9ed17/index.html</t>
  </si>
  <si>
    <t>2022-03-09T17:00:43+00:00</t>
  </si>
  <si>
    <t>47.097537</t>
  </si>
  <si>
    <t xml:space="preserve"> 37.543648</t>
  </si>
  <si>
    <t>https://twitter.com/michaelh992/status/1501908509973258245</t>
  </si>
  <si>
    <t>Destruction and large crater after missile strike</t>
  </si>
  <si>
    <t>47.097537, 37.543648</t>
  </si>
  <si>
    <t>UW2046</t>
  </si>
  <si>
    <t>https://bellingcat-archive.nyc3.cdn.digitaloceanspaces.com/Ukraine_Witness_Datasheet/Worksheet/youtube_dl_1501908509973258245.mp4</t>
  </si>
  <si>
    <t>2022-03-10T13:45:27.011237+00:00</t>
  </si>
  <si>
    <t>https://bellingcat-archive.nyc3.cdn.digitaloceanspaces.com/Ukraine_Witness_Datasheet/Worksheet/youtube_dl__michaelh992_status_15019085099732582452022-03-10T13:45:15.394046.png</t>
  </si>
  <si>
    <t>35beb24e5c297c26f2da7865999d2d4189f42b61998332e03f6277ccd844de13</t>
  </si>
  <si>
    <t>https://bellingcat-archive.nyc3.cdn.digitaloceanspaces.com/Ukraine_Witness_Datasheet/Worksheet/youtube_dl_1501908509973258245/index.html</t>
  </si>
  <si>
    <t>Michael A. Horowitz - Video from Mariupol</t>
  </si>
  <si>
    <t>2022-03-10T13:11:07+00:00</t>
  </si>
  <si>
    <t>47.104988</t>
  </si>
  <si>
    <t xml:space="preserve"> 37.646067</t>
  </si>
  <si>
    <t>https://twitter.com/EuropeOsint/status/1501646900168212492</t>
  </si>
  <si>
    <t>0:34-0:46 Drone footage showing Russian strike</t>
  </si>
  <si>
    <t>https://twitter.com/GertVHoecke/status/1501661242045440010</t>
  </si>
  <si>
    <t>47.104988, 37.646067</t>
  </si>
  <si>
    <t>UW2047</t>
  </si>
  <si>
    <t>https://bellingcat-archive.nyc3.cdn.digitaloceanspaces.com/Ukraine_Witness_Datasheet/Worksheet/youtube_dl_1501646900168212492.mp4</t>
  </si>
  <si>
    <t>2022-03-10T13:50:30.746903+00:00</t>
  </si>
  <si>
    <t>https://bellingcat-archive.nyc3.cdn.digitaloceanspaces.com/Ukraine_Witness_Datasheet/Worksheet/youtube_dl__EuropeOsint_status_15016469001682124922022-03-10T13:50:14.576911.png</t>
  </si>
  <si>
    <t>6d80cea343533e5702d7f1d7e15f9c057c0570f7da450e3e0d0db40ddf8cb246</t>
  </si>
  <si>
    <t>https://bellingcat-archive.nyc3.cdn.digitaloceanspaces.com/Ukraine_Witness_Datasheet/Worksheet/youtube_dl_1501646900168212492/index.html</t>
  </si>
  <si>
    <t>OSINTCentralEurope - Fighting in Mariupol footage from Russian UAV ZALA 421-08.  Boje v Mariupole, zábery z ruského dronu ZALA 421-08.  #Mariupol  #UkraineRussiaWar  #VojnaNaUkrajine</t>
  </si>
  <si>
    <t>2022-03-09T19:51:34+00:00</t>
  </si>
  <si>
    <t>47.133527</t>
  </si>
  <si>
    <t xml:space="preserve"> 37.666897</t>
  </si>
  <si>
    <t>0:23-0:32 Russian forces engaging Ukrainian forces at the outskirts of the city</t>
  </si>
  <si>
    <t>47.133527, 37.666897</t>
  </si>
  <si>
    <t>UW2048</t>
  </si>
  <si>
    <t>2022-03-10T14:00:31.948815+00:00</t>
  </si>
  <si>
    <t>https://bellingcat-archive.nyc3.cdn.digitaloceanspaces.com/Ukraine_Witness_Datasheet/Worksheet/youtube_dl__EuropeOsint_status_15016469001682124922022-03-10T14:00:14.725392.png</t>
  </si>
  <si>
    <t>49.032901</t>
  </si>
  <si>
    <t>38.373129</t>
  </si>
  <si>
    <t>https://twitter.com/rescuero/status/1501915834310086661</t>
  </si>
  <si>
    <t>Damage to city counsil</t>
  </si>
  <si>
    <t>Rubizhne</t>
  </si>
  <si>
    <t>49.032901, 38.373129</t>
  </si>
  <si>
    <t>UW2049</t>
  </si>
  <si>
    <t>https://bellingcat-archive.nyc3.cdn.digitaloceanspaces.com/Ukraine_Witness_Datasheet/Worksheet/youtube_dl_1501915834310086661.mp4</t>
  </si>
  <si>
    <t>2022-03-10T14:05:24.262400+00:00</t>
  </si>
  <si>
    <t>https://bellingcat-archive.nyc3.cdn.digitaloceanspaces.com/Ukraine_Witness_Datasheet/Worksheet/youtube_dl__rescuero_status_15019158343100866612022-03-10T14:05:13.521825.png</t>
  </si>
  <si>
    <t>d951382ecd35b1afac35549d6b1396ccc0bf4e5660e33f32e876fc815007c999</t>
  </si>
  <si>
    <t>https://bellingcat-archive.nyc3.cdn.digitaloceanspaces.com/Ukraine_Witness_Datasheet/Worksheet/youtube_dl_1501915834310086661/index.html</t>
  </si>
  <si>
    <t>Pavlo - Рубіжанська міська рада. Вночі двічі прицільно по ній 😡  Відео: Євген Жданов #Рубіжне</t>
  </si>
  <si>
    <t>2022-03-10T13:40:13+00:00</t>
  </si>
  <si>
    <t>47.095284</t>
  </si>
  <si>
    <t xml:space="preserve"> 37.713808</t>
  </si>
  <si>
    <t>https://t.me/dvish_alive/9626</t>
  </si>
  <si>
    <t>Area from which Russian forces shell Mariupol</t>
  </si>
  <si>
    <t>47.095284, 37.713808</t>
  </si>
  <si>
    <t>UW2050</t>
  </si>
  <si>
    <t>https://bellingcat-archive.nyc3.cdn.digitaloceanspaces.com/Ukraine_Witness_Datasheet/Worksheet/telegram_3e323a289c.mp4</t>
  </si>
  <si>
    <t>2022-03-10T14:15:57.872715+00:00</t>
  </si>
  <si>
    <t>https://bellingcat-archive.nyc3.cdn.digitaloceanspaces.com/Ukraine_Witness_Datasheet/Worksheet/telegram__dvish_alive_96262022-03-10T14:15:10.665475.png</t>
  </si>
  <si>
    <t>6db83bfc8498fa2ec1c659cfd9833e9b75d4afe19b1b8c4e8edd0c2db54adfad</t>
  </si>
  <si>
    <t>https://bellingcat-archive.nyc3.cdn.digitaloceanspaces.com/Ukraine_Witness_Datasheet/Worksheet/telegram_3e323a289c/index.html</t>
  </si>
  <si>
    <t>2022-03-09T18:22:33+00:00</t>
  </si>
  <si>
    <t>51.499964</t>
  </si>
  <si>
    <t xml:space="preserve"> 31.277590</t>
  </si>
  <si>
    <t>https://t.me/dvish_alive/9477</t>
  </si>
  <si>
    <t>Widespread damage after strike</t>
  </si>
  <si>
    <t>https://twitter.com/Noobieshunta_/status/1501641028205481987</t>
  </si>
  <si>
    <t>51.499964, 31.277590</t>
  </si>
  <si>
    <t>UW2051</t>
  </si>
  <si>
    <t>Filmed from app</t>
  </si>
  <si>
    <t>https://bellingcat-archive.nyc3.cdn.digitaloceanspaces.com/Ukraine_Witness_Datasheet/Worksheet/telegram__dvish_alive_9477.html</t>
  </si>
  <si>
    <t>2022-03-10T14:16:07.700683+00:00</t>
  </si>
  <si>
    <t>https://bellingcat-archive.nyc3.cdn.digitaloceanspaces.com/Ukraine_Witness_Datasheet/Worksheet/telegram__dvish_alive_94772022-03-10T14:15:59.236065.png</t>
  </si>
  <si>
    <t>dde246f6cc099723603c374976de7f49f42c87c6e293555c0571e57a1e93d5cd</t>
  </si>
  <si>
    <t>2022-03-08T13:55:15+00:00</t>
  </si>
  <si>
    <t>50.033879</t>
  </si>
  <si>
    <t xml:space="preserve"> 36.366062</t>
  </si>
  <si>
    <t>https://twitter.com/TpyxaNews/status/1501597965294702597</t>
  </si>
  <si>
    <t>https://twitter.com/Sabados7/status/1501640701221691403</t>
  </si>
  <si>
    <t>50.033879, 36.366062</t>
  </si>
  <si>
    <t>UW2052</t>
  </si>
  <si>
    <t>https://bellingcat-archive.nyc3.cdn.digitaloceanspaces.com/Ukraine_Witness_Datasheet/Worksheet/twitter__TpyxaNews_status_1501597965294702597.html</t>
  </si>
  <si>
    <t>2022-03-10T14:25:21.743411+00:00</t>
  </si>
  <si>
    <t>https://bellingcat-archive.nyc3.cdn.digitaloceanspaces.com/Ukraine_Witness_Datasheet/Worksheet/twitter__TpyxaNews_status_15015979652947025972022-03-10T14:25:13.582130.png</t>
  </si>
  <si>
    <t>9b885af481ab104ef03dd6cadb3eeee892268e62150d1f564c6e5c6a003d95c8</t>
  </si>
  <si>
    <t>2022-03-09T16:37:07+00:00</t>
  </si>
  <si>
    <t>https://twitter.com/RALee85/status/1501621542391853059</t>
  </si>
  <si>
    <t>UW2053</t>
  </si>
  <si>
    <t>https://bellingcat-archive.nyc3.cdn.digitaloceanspaces.com/Ukraine_Witness_Datasheet/Worksheet/youtube_dl_1501621542391853059.mp4</t>
  </si>
  <si>
    <t>2022-03-10T14:30:33.553368+00:00</t>
  </si>
  <si>
    <t>https://bellingcat-archive.nyc3.cdn.digitaloceanspaces.com/Ukraine_Witness_Datasheet/Worksheet/youtube_dl__RALee85_status_15016215423918530592022-03-10T14:30:14.495562.png</t>
  </si>
  <si>
    <t>ae58a971ebc0060f0937f436f72f64fe09162fd1722cfdf98815ed52295a258b</t>
  </si>
  <si>
    <t>https://bellingcat-archive.nyc3.cdn.digitaloceanspaces.com/Ukraine_Witness_Datasheet/Worksheet/youtube_dl_1501621542391853059/index.html</t>
  </si>
  <si>
    <t>Rob Lee - Debris from a Russian Iskander-M 9M723-1 ballistic missile in Kramatorsk.</t>
  </si>
  <si>
    <t>2022-03-09T18:10:49+00:00</t>
  </si>
  <si>
    <t>49.191140</t>
  </si>
  <si>
    <t>37.274502</t>
  </si>
  <si>
    <t>https://twitter.com/aldin_ww/status/1501617674211758084</t>
  </si>
  <si>
    <t>https://twitter.com/zcjbrooker/status/1501622066260365314</t>
  </si>
  <si>
    <t>49.191140, 37.274502</t>
  </si>
  <si>
    <t>UW2054</t>
  </si>
  <si>
    <t>https://bellingcat-archive.nyc3.cdn.digitaloceanspaces.com/Ukraine_Witness_Datasheet/Worksheet/youtube_dl_1501617674211758084.mp4</t>
  </si>
  <si>
    <t>2022-03-10T14:35:27.347653+00:00</t>
  </si>
  <si>
    <t>https://bellingcat-archive.nyc3.cdn.digitaloceanspaces.com/Ukraine_Witness_Datasheet/Worksheet/youtube_dl__aldin_ww_status_15016176742117580842022-03-10T14:35:14.032391.png</t>
  </si>
  <si>
    <t>aeac513ec15a69949446946fc7d4c4a9ce9097cd03b42b8ef7500f7053d9599c</t>
  </si>
  <si>
    <t>https://bellingcat-archive.nyc3.cdn.digitaloceanspaces.com/Ukraine_Witness_Datasheet/Worksheet/youtube_dl_1501617674211758084/index.html</t>
  </si>
  <si>
    <t>Aldin 🇧🇦 - Izyum</t>
  </si>
  <si>
    <t>2022-03-09T17:55:26+00:00</t>
  </si>
  <si>
    <t>48.627275</t>
  </si>
  <si>
    <t>37.547448</t>
  </si>
  <si>
    <t>https://t.me/truexanewsua/31504</t>
  </si>
  <si>
    <t>Damage to buildings around train station</t>
  </si>
  <si>
    <t>48.627275, 37.547448</t>
  </si>
  <si>
    <t>UW2055</t>
  </si>
  <si>
    <t>https://bellingcat-archive.nyc3.cdn.digitaloceanspaces.com/Ukraine_Witness_Datasheet/Worksheet/telegram_309dc2677f.mp4</t>
  </si>
  <si>
    <t>2022-03-10T14:41:36.396371+00:00</t>
  </si>
  <si>
    <t>https://bellingcat-archive.nyc3.cdn.digitaloceanspaces.com/Ukraine_Witness_Datasheet/Worksheet/telegram__truexanewsua_315042022-03-10T14:40:10.683048.png</t>
  </si>
  <si>
    <t>8c47a4e8db4f9c18256d230eb98a46d76f10ed740b4c6d56ce2f9ea64b1b45a9</t>
  </si>
  <si>
    <t>https://bellingcat-archive.nyc3.cdn.digitaloceanspaces.com/Ukraine_Witness_Datasheet/Worksheet/telegram_309dc2677f/index.html</t>
  </si>
  <si>
    <t>2022-03-10T06:06:09+00:00</t>
  </si>
  <si>
    <t>49.840378</t>
  </si>
  <si>
    <t>36.683368</t>
  </si>
  <si>
    <t>https://t.me/truexanewsua/31621</t>
  </si>
  <si>
    <t>Missile remnents at school nr 8</t>
  </si>
  <si>
    <t>49.840378, 36.683368</t>
  </si>
  <si>
    <t>UW2056</t>
  </si>
  <si>
    <t>https://bellingcat-archive.nyc3.cdn.digitaloceanspaces.com/Ukraine_Witness_Datasheet/Worksheet/telegram_1f8fc30456.mp4</t>
  </si>
  <si>
    <t>2022-03-10T14:56:09.375508+00:00</t>
  </si>
  <si>
    <t>https://bellingcat-archive.nyc3.cdn.digitaloceanspaces.com/Ukraine_Witness_Datasheet/Worksheet/telegram__truexanewsua_316212022-03-10T14:55:10.748222.png</t>
  </si>
  <si>
    <t>8dcb95946ed3a3e6e38324be11920a295fd5f37d5a3b20233ba402a42ddb6c3b</t>
  </si>
  <si>
    <t>https://bellingcat-archive.nyc3.cdn.digitaloceanspaces.com/Ukraine_Witness_Datasheet/Worksheet/telegram_1f8fc30456/index.html</t>
  </si>
  <si>
    <t>2022-03-10T11:15:13+00:00</t>
  </si>
  <si>
    <t>50.492273</t>
  </si>
  <si>
    <t>30.256604</t>
  </si>
  <si>
    <t>https://t.me/truexanewsua/31476</t>
  </si>
  <si>
    <t>Damage to car after being shot at</t>
  </si>
  <si>
    <t>50.492273, 30.256604</t>
  </si>
  <si>
    <t>UW2057</t>
  </si>
  <si>
    <t>https://bellingcat-archive.nyc3.cdn.digitaloceanspaces.com/Ukraine_Witness_Datasheet/Worksheet/telegram__truexanewsua_31476.html</t>
  </si>
  <si>
    <t>2022-03-10T15:05:21.562462+00:00</t>
  </si>
  <si>
    <t>https://bellingcat-archive.nyc3.cdn.digitaloceanspaces.com/Ukraine_Witness_Datasheet/Worksheet/telegram__truexanewsua_314762022-03-10T15:05:10.781772.png</t>
  </si>
  <si>
    <t>943528d26c1fc2f4e62d833d6b4e2e53a256a242178f9fda8570684982e12d75</t>
  </si>
  <si>
    <t>2022-03-09T23:49:58+00:00</t>
  </si>
  <si>
    <t>49.991444</t>
  </si>
  <si>
    <t>36.234994</t>
  </si>
  <si>
    <t>https://t.me/truexanewsua/31462</t>
  </si>
  <si>
    <t>49.991444, 36.234994</t>
  </si>
  <si>
    <t>https://www.google.com/maps/place/Nikolsky+Mall/@49.9915796,36.2344063,3a,75y/data=!3m8!1e2!3m6!1sAF1QipP3hXr6JhzO5pyKHtPuNtOAZX5ruoGyfgGGqw1j!2e10!3e12!6shttps:%2F%2Flh5.googleusercontent.com%2Fp%2FAF1QipP3hXr6JhzO5pyKHtPuNtOAZX5ruoGyfgGGqw1j%3Dw203-h152-k-no!7i4000!8i3000!4m7!3m6!1s0x4127a0f1b04aa383:0x95193f4aa08177cb!8m2!3d49.9915796!4d36.2344063!14m1!1BCgIgAQ</t>
  </si>
  <si>
    <t>UW2058</t>
  </si>
  <si>
    <t>https://bellingcat-archive.nyc3.cdn.digitaloceanspaces.com/Ukraine_Witness_Datasheet/Worksheet/telegram_71ab9bcac7.mp4</t>
  </si>
  <si>
    <t>2022-03-10T15:11:01.426176+00:00</t>
  </si>
  <si>
    <t>https://bellingcat-archive.nyc3.cdn.digitaloceanspaces.com/Ukraine_Witness_Datasheet/Worksheet/telegram__truexanewsua_314622022-03-10T15:10:11.145543.png</t>
  </si>
  <si>
    <t>79f3eccc862b48b9fcc11b72ab22e21c8f9e4b850bf3becfae545f2568182a3a</t>
  </si>
  <si>
    <t>https://bellingcat-archive.nyc3.cdn.digitaloceanspaces.com/Ukraine_Witness_Datasheet/Worksheet/telegram_71ab9bcac7/index.html</t>
  </si>
  <si>
    <t>2022-03-09T20:54:52+00:00</t>
  </si>
  <si>
    <t>50.036136</t>
  </si>
  <si>
    <t xml:space="preserve"> 36.230898</t>
  </si>
  <si>
    <t>https://t.me/truexanewsua/31453</t>
  </si>
  <si>
    <t>Damage to Gym after shelling</t>
  </si>
  <si>
    <t>50.036136, 36.230898</t>
  </si>
  <si>
    <t>UW2059</t>
  </si>
  <si>
    <t>https://bellingcat-archive.nyc3.cdn.digitaloceanspaces.com/Ukraine_Witness_Datasheet/Worksheet/telegram__truexanewsua_31453.html</t>
  </si>
  <si>
    <t>2022-03-10T15:15:18.274328+00:00</t>
  </si>
  <si>
    <t>https://bellingcat-archive.nyc3.cdn.digitaloceanspaces.com/Ukraine_Witness_Datasheet/Worksheet/telegram__truexanewsua_314532022-03-10T15:15:10.040630.png</t>
  </si>
  <si>
    <t>ff8eb929f4267a9445bd2fb40625e9723586290b2e207b3ee0e8c4d335694cc1</t>
  </si>
  <si>
    <t>2022-03-09T20:25:06+00:00</t>
  </si>
  <si>
    <t>50.000878</t>
  </si>
  <si>
    <t xml:space="preserve"> 36.237797</t>
  </si>
  <si>
    <t>https://t.me/truexanewsua/31289</t>
  </si>
  <si>
    <t>Damage after strike near bar and klinik</t>
  </si>
  <si>
    <t>50.000878, 36.237797</t>
  </si>
  <si>
    <t>UW2060</t>
  </si>
  <si>
    <t>https://bellingcat-archive.nyc3.cdn.digitaloceanspaces.com/Ukraine_Witness_Datasheet/Worksheet/telegram_49054ea64b.mp4</t>
  </si>
  <si>
    <t>2022-03-10T15:25:51.799132+00:00</t>
  </si>
  <si>
    <t>https://bellingcat-archive.nyc3.cdn.digitaloceanspaces.com/Ukraine_Witness_Datasheet/Worksheet/telegram__truexanewsua_312892022-03-10T15:25:10.431726.png</t>
  </si>
  <si>
    <t>665f09992c6bc77a9add27c5f959970ed50639859d146a5f2449a853e18d8c35</t>
  </si>
  <si>
    <t>https://bellingcat-archive.nyc3.cdn.digitaloceanspaces.com/Ukraine_Witness_Datasheet/Worksheet/telegram_49054ea64b/index.html</t>
  </si>
  <si>
    <t>2022-03-09T13:05:26+00:00</t>
  </si>
  <si>
    <t>51.487673740544004</t>
  </si>
  <si>
    <t>31.288140366162708</t>
  </si>
  <si>
    <t>https://www.youtube.com/watch?v=iq50X9cM_hU</t>
  </si>
  <si>
    <t>Damaged houses and church fence. The occupiers shelled peaceful areas of Chernihiv.</t>
  </si>
  <si>
    <t>51.487674, 31.288140</t>
  </si>
  <si>
    <t>https://suspilne.media/214937-poskodzeni-zitlovi-budinki-i-parkan-cerkvi-okupanti-vkotre-obstrilali-mirni-rajoni-cernigova/</t>
  </si>
  <si>
    <t>UW2061</t>
  </si>
  <si>
    <t>https://bellingcat-archive.nyc3.cdn.digitaloceanspaces.com/Ukraine_Witness_Datasheet/Worksheet/youtube_dl_iq50X9cM_hU.webm</t>
  </si>
  <si>
    <t>2022-03-10T15:26:42.838221+00:00</t>
  </si>
  <si>
    <t>https://bellingcat-archive.nyc3.cdn.digitaloceanspaces.com/Ukraine_Witness_Datasheet/Worksheet/youtube_dl__watch2022-03-10T15:26:08.664673.png</t>
  </si>
  <si>
    <t>360e1b46b679a1d1ba151fea5fd7de38177add02376aa08b71637fd303b47d03</t>
  </si>
  <si>
    <t>https://bellingcat-archive.nyc3.cdn.digitaloceanspaces.com/Ukraine_Witness_Datasheet/Worksheet/youtube_dl_iq50X9cM_hU/index.html</t>
  </si>
  <si>
    <t>Пошкоджені житлові будинки і паркан церкви. Окупанти вкотре обстріляли мирні райони Чернігова</t>
  </si>
  <si>
    <t>46.486722</t>
  </si>
  <si>
    <t>32.974123</t>
  </si>
  <si>
    <t>https://www.youtube.com/watch?v=SHnxKirW6e0</t>
  </si>
  <si>
    <t>Ca. 3 min footage of the column Z movement to Kherson.</t>
  </si>
  <si>
    <t>Welyki Kopani</t>
  </si>
  <si>
    <t>46.486722, 32.974123</t>
  </si>
  <si>
    <t>You can see same green building with triangle windows in the video (0:41)  and in the google maps street view.</t>
  </si>
  <si>
    <t>Privat youtube account</t>
  </si>
  <si>
    <t>https://bellingcat-archive.nyc3.cdn.digitaloceanspaces.com/Ukraine_Witness_Datasheet/Worksheet/youtube_dl_SHnxKirW6e0.webm</t>
  </si>
  <si>
    <t>2022-03-10T16:40:52.268896+00:00</t>
  </si>
  <si>
    <t>https://bellingcat-archive.nyc3.cdn.digitaloceanspaces.com/Ukraine_Witness_Datasheet/Worksheet/youtube_dl__watch2022-03-10T16:40:21.499990.png</t>
  </si>
  <si>
    <t>3fbb84a0e79668f458b6500097f3249bcdb5906329c62a0bd7272a5675eecd85</t>
  </si>
  <si>
    <t>https://bellingcat-archive.nyc3.cdn.digitaloceanspaces.com/Ukraine_Witness_Datasheet/Worksheet/youtube_dl_SHnxKirW6e0/index.html</t>
  </si>
  <si>
    <t>Херсон  Б  Копани  Движение колонны Z на Херсон</t>
  </si>
  <si>
    <t>46.55784688489915</t>
  </si>
  <si>
    <t>32.922634540992505</t>
  </si>
  <si>
    <t>https://www.youtube.com/watch?v=uR9zfWq253Y</t>
  </si>
  <si>
    <t>Ca. 6 min footage of the columt Z movement to Kherson.</t>
  </si>
  <si>
    <t>46.557847, 32.922635</t>
  </si>
  <si>
    <t>You can see Tatneft gas station in the video, same as on google maps.</t>
  </si>
  <si>
    <t>https://bellingcat-archive.nyc3.cdn.digitaloceanspaces.com/Ukraine_Witness_Datasheet/Worksheet/youtube_dl_uR9zfWq253Y.webm</t>
  </si>
  <si>
    <t>2022-03-10T16:46:11.580208+00:00</t>
  </si>
  <si>
    <t>https://bellingcat-archive.nyc3.cdn.digitaloceanspaces.com/Ukraine_Witness_Datasheet/Worksheet/youtube_dl__watch2022-03-10T16:45:27.418180.png</t>
  </si>
  <si>
    <t>61206ea8b4fd7c14471dc84b82bc6c5e20cc8d89e0bcb459f07177a46f5a44ee</t>
  </si>
  <si>
    <t>https://bellingcat-archive.nyc3.cdn.digitaloceanspaces.com/Ukraine_Witness_Datasheet/Worksheet/youtube_dl_uR9zfWq253Y/index.html</t>
  </si>
  <si>
    <t>Херсон. Движение колонны в с. Раденск. Акунин – что происходит с Россией / вДудь.</t>
  </si>
  <si>
    <t>52.450043148115874</t>
  </si>
  <si>
    <t>30.988612042285272</t>
  </si>
  <si>
    <t>https://t.me/uniannet/36351</t>
  </si>
  <si>
    <t>Railway station, a moving train with equipment of the airborne troops of the Russian Federation.</t>
  </si>
  <si>
    <t>Title states: "Gomel, near the railway station ""Гомель-Нечётный", a train with equipment of the airborne troops of the Russian Federation was spotted." You can also see the railway structures in the video.</t>
  </si>
  <si>
    <t>https://bellingcat-archive.nyc3.cdn.digitaloceanspaces.com/Ukraine_Witness_Datasheet/Worksheet/telegram_fa8e490cab.mov</t>
  </si>
  <si>
    <t>2022-03-10T17:15:45.177791+00:00</t>
  </si>
  <si>
    <t>https://bellingcat-archive.nyc3.cdn.digitaloceanspaces.com/Ukraine_Witness_Datasheet/Worksheet/telegram__uniannet_363512022-03-10T17:15:10.115230.png</t>
  </si>
  <si>
    <t>2deab80adbb7b2388eb33d91adcc03de7415c8c308a2b0284c5e4bf73d618880</t>
  </si>
  <si>
    <t>https://bellingcat-archive.nyc3.cdn.digitaloceanspaces.com/Ukraine_Witness_Datasheet/Worksheet/telegram_fa8e490cab/index.html</t>
  </si>
  <si>
    <t>2022-03-08T11:25:05+00:00</t>
  </si>
  <si>
    <t>49.949299</t>
  </si>
  <si>
    <t>36.362954</t>
  </si>
  <si>
    <t>https://t.me/truexanewsua/31185</t>
  </si>
  <si>
    <t>Damage to building after strike near school</t>
  </si>
  <si>
    <t>49.949299, 36.362954</t>
  </si>
  <si>
    <t>https://bellingcat-archive.nyc3.cdn.digitaloceanspaces.com/Ukraine_Witness_Datasheet/Worksheet/telegram__truexanewsua_31185.html</t>
  </si>
  <si>
    <t>2022-03-10T15:35:21.779964+00:00</t>
  </si>
  <si>
    <t>https://bellingcat-archive.nyc3.cdn.digitaloceanspaces.com/Ukraine_Witness_Datasheet/Worksheet/telegram__truexanewsua_311852022-03-10T15:35:10.697632.png</t>
  </si>
  <si>
    <t>172042dc9fb29cdba88c6d34bd317c6f21b540316ee5b2cfdec220f58aeeaeea</t>
  </si>
  <si>
    <t>2022-03-09T08:31:15+00:00</t>
  </si>
  <si>
    <t>45.992032</t>
  </si>
  <si>
    <t xml:space="preserve"> 34.547281</t>
  </si>
  <si>
    <t>https://twitter.com/ThomasVLinge/status/1501532907571236866</t>
  </si>
  <si>
    <t>Russian forces in control of Checkpoint Chonhar (Ukraine - Crimea)</t>
  </si>
  <si>
    <t>https://twitter.com/Noobieshunta_/status/1501539075416854529</t>
  </si>
  <si>
    <t>Chonhar</t>
  </si>
  <si>
    <t>45.992032, 34.547281</t>
  </si>
  <si>
    <t>https://bellingcat-archive.nyc3.cdn.digitaloceanspaces.com/Ukraine_Witness_Datasheet/Worksheet/youtube_dl_1501532907571236866.mp4</t>
  </si>
  <si>
    <t>2022-03-10T15:45:29.871964+00:00</t>
  </si>
  <si>
    <t>https://bellingcat-archive.nyc3.cdn.digitaloceanspaces.com/Ukraine_Witness_Datasheet/Worksheet/youtube_dl__ThomasVLinge_status_15015329075712368662022-03-10T15:45:13.987626.png</t>
  </si>
  <si>
    <t>d2ff4f83b2f56f85775b3ec2a16a531e3054fc873ecf1ea897a2dccf6e334cf3</t>
  </si>
  <si>
    <t>https://bellingcat-archive.nyc3.cdn.digitaloceanspaces.com/Ukraine_Witness_Datasheet/Worksheet/youtube_dl_1501532907571236866/index.html</t>
  </si>
  <si>
    <t>Thomas van Linge - #Ukraine 🇺🇦: footage from the Chongar checkpoint between #Kherson and occupied #Crimea, now firmly under the control of the Russian invasion force</t>
  </si>
  <si>
    <t>2022-03-09T12:18:36+00:00</t>
  </si>
  <si>
    <t>AFFILIATION</t>
  </si>
  <si>
    <t>COORDINATES</t>
  </si>
  <si>
    <t>Category</t>
  </si>
  <si>
    <t>https://twitter.com/RALee85/status/1496806319973675013</t>
  </si>
  <si>
    <t>Helicopter being downed in the distance</t>
  </si>
  <si>
    <t>50.567716, 30.203996</t>
  </si>
  <si>
    <t>EOR00001</t>
  </si>
  <si>
    <t>https://twitter.com/Militarylandnet/status/1496813872912777219</t>
  </si>
  <si>
    <t>Downed Russian Ka-52 helicopter</t>
  </si>
  <si>
    <t>Russian</t>
  </si>
  <si>
    <t>https://twitter.com/AlexandruC4/status/1496826486908719104</t>
  </si>
  <si>
    <t>Downed helicopter</t>
  </si>
  <si>
    <t>50.238472, 30.725583</t>
  </si>
  <si>
    <t>EOR00002</t>
  </si>
  <si>
    <t>https://twitter.com/coupsure/status/1496808919246716928?s=21</t>
  </si>
  <si>
    <t>Destroyed Russian heavy weaponry</t>
  </si>
  <si>
    <t>https://twitter.com/coupsure/status/1496813788997332995?s=21</t>
  </si>
  <si>
    <t>https://twitter.com/ruslantrad/status/1496787941464719361?s=21</t>
  </si>
  <si>
    <t>50.269454, 36.285998</t>
  </si>
  <si>
    <t>EOR00006</t>
  </si>
  <si>
    <t>https://twitter.com/UAWeapons/status/1496827765462646784?s=20&amp;t=sNaO-qGAVkQXEeLFh5R4Ew</t>
  </si>
  <si>
    <t>https://twitter.com/Osinttechnical/status/1496829736865386498</t>
  </si>
  <si>
    <t>video of crash on lake</t>
  </si>
  <si>
    <t>https://twitter.com/IntelCrab/status/1496829706355806209?s=20&amp;t=sNaO-qGAVkQXEeLFh5R4Ew</t>
  </si>
  <si>
    <t>https://twitter.com/osinttechnical/status/1496830220543967238?s=21</t>
  </si>
  <si>
    <t>BMPs on road, poss Russian, burned out, poss UA MT-LBu on side of road</t>
  </si>
  <si>
    <t>https://twitter.com/Osinttechnical/status/1496833708069990408?s=20&amp;t=2Nt-srmDCVaBdg-T9vsA0A</t>
  </si>
  <si>
    <t>Two Ukrainian T-64 tanks, one on fire</t>
  </si>
  <si>
    <t>T-64BV tanks</t>
  </si>
  <si>
    <t>https://twitter.com/AdityaRajKaul/status/1496863216307085315</t>
  </si>
  <si>
    <t xml:space="preserve">Helicopter downing </t>
  </si>
  <si>
    <t>https://twitter.com/UAWeapons/status/1496972759557189638</t>
  </si>
  <si>
    <t>Russian KamAZ-63968 Typhoon MRAP captured</t>
  </si>
  <si>
    <t>https://twitter.com/UAWeapons/status/1496936856159588360</t>
  </si>
  <si>
    <t>IMR-2 heavy combat engineering vehicle burning in Snovsk</t>
  </si>
  <si>
    <t>STATUS</t>
  </si>
  <si>
    <t>Examples:</t>
  </si>
  <si>
    <t>Verification note</t>
  </si>
  <si>
    <t>INVESTIGATORS:</t>
  </si>
  <si>
    <t xml:space="preserve">Date of incident </t>
  </si>
  <si>
    <t xml:space="preserve">LAT of incident </t>
  </si>
  <si>
    <t xml:space="preserve">LONG of incident </t>
  </si>
  <si>
    <t xml:space="preserve">Presence of Miltary </t>
  </si>
  <si>
    <t>Link to footage</t>
  </si>
  <si>
    <t xml:space="preserve">Investigation # or </t>
  </si>
  <si>
    <t>Brief description of what is seen in footage</t>
  </si>
  <si>
    <t xml:space="preserve">If geolocated or verified by twitteraty, credit here by adding link to tweet </t>
  </si>
  <si>
    <t>Add</t>
  </si>
  <si>
    <t>AUTOMATED</t>
  </si>
  <si>
    <t>Add information how you were able to geolocate the entry</t>
  </si>
  <si>
    <t>If certain, add info on arms/munitions</t>
  </si>
  <si>
    <t xml:space="preserve">Entry no. </t>
  </si>
  <si>
    <t>CHAT FEB 28</t>
  </si>
  <si>
    <t>WORK IN PROGRESS</t>
  </si>
  <si>
    <t>Who did it?</t>
  </si>
  <si>
    <t>Add analysis notes</t>
  </si>
  <si>
    <t>ALL AUTOMATED, DO NOT TOUCH</t>
  </si>
  <si>
    <t>Initials Analist</t>
  </si>
  <si>
    <t>Initials reviewer</t>
  </si>
  <si>
    <t>NAME/INITIAL</t>
  </si>
  <si>
    <t>Initials of investigator</t>
  </si>
  <si>
    <t>Mild</t>
  </si>
  <si>
    <t>Damage</t>
  </si>
  <si>
    <t xml:space="preserve">CIVCAS # </t>
  </si>
  <si>
    <t xml:space="preserve">All entries with status 'blue' </t>
  </si>
  <si>
    <t>If it is claimed, suggested or guessed add to other analysis section</t>
  </si>
  <si>
    <t>For example:</t>
  </si>
  <si>
    <t>Trigger warning tags</t>
  </si>
  <si>
    <t>BS - BENJAMIN STRICK</t>
  </si>
  <si>
    <t>Work in Progress</t>
  </si>
  <si>
    <t>Moderate</t>
  </si>
  <si>
    <t>Bombing, explosion, missile</t>
  </si>
  <si>
    <t>Text</t>
  </si>
  <si>
    <t>Filmed from someones home</t>
  </si>
  <si>
    <t>GRAPHIC</t>
  </si>
  <si>
    <t xml:space="preserve">BEN B - Dutch Ben </t>
  </si>
  <si>
    <t>Geolocated on twitter, entered by investigator</t>
  </si>
  <si>
    <t>Severe</t>
  </si>
  <si>
    <t xml:space="preserve">News article </t>
  </si>
  <si>
    <t>ID able faces</t>
  </si>
  <si>
    <t>Kangoo</t>
  </si>
  <si>
    <t>Verified and entered by investigator</t>
  </si>
  <si>
    <t>Very Severe</t>
  </si>
  <si>
    <t>Dead bodies, Graphic</t>
  </si>
  <si>
    <t xml:space="preserve">etc. </t>
  </si>
  <si>
    <t>Injuries</t>
  </si>
  <si>
    <t xml:space="preserve">Enter number, coulour fills automaticly </t>
  </si>
  <si>
    <t>Headshot</t>
  </si>
  <si>
    <t>REVIEWERS:</t>
  </si>
  <si>
    <t>Humiliation</t>
  </si>
  <si>
    <t>Entry reviewed by reviewer</t>
  </si>
  <si>
    <t>Loud sounds</t>
  </si>
  <si>
    <t>..</t>
  </si>
  <si>
    <t>Entry incomplete</t>
  </si>
  <si>
    <t>Wrong entry, comment in 'reviewe notes' column</t>
  </si>
  <si>
    <t>Attack tags (tag when expected to be):</t>
  </si>
  <si>
    <t>Cluster munition</t>
  </si>
  <si>
    <t>shelling</t>
  </si>
  <si>
    <t>Airstrike</t>
  </si>
  <si>
    <t>Gunshots</t>
  </si>
  <si>
    <t>MAP:</t>
  </si>
  <si>
    <t>Russian Military Movements Jan 2021</t>
  </si>
  <si>
    <t>Russian Military Movements Jan 2022</t>
  </si>
  <si>
    <t>Weapons tags (tag when seen in footage):</t>
  </si>
  <si>
    <t>Firearms</t>
  </si>
  <si>
    <t>Other weapons</t>
  </si>
  <si>
    <t>UXO</t>
  </si>
  <si>
    <t>Serial Numbers</t>
  </si>
  <si>
    <t>Military Vehicle</t>
  </si>
  <si>
    <t>Aircraft</t>
  </si>
  <si>
    <t>Helicopter</t>
  </si>
  <si>
    <t xml:space="preserve">Drone </t>
  </si>
  <si>
    <t xml:space="preserve">munition </t>
  </si>
  <si>
    <t>Identifications tags (tag if seen in footage):</t>
  </si>
  <si>
    <t>Russian ID</t>
  </si>
  <si>
    <t>Ukrainian/victim ID</t>
  </si>
  <si>
    <t>Other ID</t>
  </si>
  <si>
    <t>Filmer ID</t>
  </si>
  <si>
    <t>Insignias</t>
  </si>
  <si>
    <t xml:space="preserve">Uniform </t>
  </si>
  <si>
    <t>children</t>
  </si>
  <si>
    <t xml:space="preserve">Women </t>
  </si>
  <si>
    <t xml:space="preserve">LGBTQI </t>
  </si>
  <si>
    <t>Medic</t>
  </si>
  <si>
    <t>Links</t>
  </si>
  <si>
    <t>Account Name</t>
  </si>
  <si>
    <t>Platform</t>
  </si>
  <si>
    <t>Details</t>
  </si>
  <si>
    <t>https://t.me/grey_zone</t>
  </si>
  <si>
    <t>RSOTM</t>
  </si>
  <si>
    <t>Pro-Russia</t>
  </si>
  <si>
    <t>Likely Prigozhin Org</t>
  </si>
  <si>
    <t>https://t.me/milinfolive</t>
  </si>
  <si>
    <t>Военный Осведомитель</t>
  </si>
  <si>
    <t>https://t.me/sashakots</t>
  </si>
  <si>
    <t>Kotsnews</t>
  </si>
  <si>
    <t>Active participant in military disinformation operations</t>
  </si>
  <si>
    <t>https://www.facebook.com/alexander.kots.7</t>
  </si>
  <si>
    <t>Alexander Kots</t>
  </si>
  <si>
    <t>https://t.me/Ugolok_Sitha</t>
  </si>
  <si>
    <t>Уголок Ситха</t>
  </si>
  <si>
    <t>https://t.me/vladlentatarsky</t>
  </si>
  <si>
    <t>Владлен Татарский</t>
  </si>
  <si>
    <t>Need review</t>
  </si>
  <si>
    <t>https://twitter.com/zvezdanews</t>
  </si>
  <si>
    <t>TV Zvezda</t>
  </si>
  <si>
    <t>Pro Russia</t>
  </si>
  <si>
    <t>Official Russian military news channel</t>
  </si>
  <si>
    <t>https://t.me/rybar</t>
  </si>
  <si>
    <t>Rybar</t>
  </si>
  <si>
    <t>https://t.me/Ateobreaking</t>
  </si>
  <si>
    <t>Ateo Breaking</t>
  </si>
  <si>
    <t>Neutral</t>
  </si>
  <si>
    <t>Nominally liberal, run by Robert Petrosyan</t>
  </si>
  <si>
    <t>https://t.me/wargonzo</t>
  </si>
  <si>
    <t>War Gonzo</t>
  </si>
  <si>
    <t>Channel of Semyon Pegov, associate of Kots and major disinfo merchant during conflicts</t>
  </si>
  <si>
    <t>https://t.me/epoddubny</t>
  </si>
  <si>
    <t>Evgeny Poddubny</t>
  </si>
  <si>
    <t>Another war pornographer disinfo merchant. Works for VGTRK (state media)</t>
  </si>
  <si>
    <t>https://t.me/DmitriySteshin</t>
  </si>
  <si>
    <t>Russkiy Tarantas</t>
  </si>
  <si>
    <t>Channel of Dmitri Steshin, colleague of Sasha Kots</t>
  </si>
  <si>
    <t>https://t.me/warjournaltg</t>
  </si>
  <si>
    <t>War Journal</t>
  </si>
  <si>
    <t>https://www.tiktok.com/@real_belarus</t>
  </si>
  <si>
    <t>Real Belarus</t>
  </si>
  <si>
    <t>Tiktok</t>
  </si>
  <si>
    <t>Posting military equipment</t>
  </si>
  <si>
    <t>https://t.me/s/Radioskaner</t>
  </si>
  <si>
    <t>Записки охотника</t>
  </si>
  <si>
    <t>Really good VHF and ADS-B watcher</t>
  </si>
  <si>
    <t>https://twitter.com/nexta_tv</t>
  </si>
  <si>
    <t>Nexta media</t>
  </si>
  <si>
    <t>Belarusian media outlet, established by a Belarusian blogger Stsiapan Putsila</t>
  </si>
  <si>
    <t>https://t.me/nexta_live</t>
  </si>
  <si>
    <t xml:space="preserve">Nexta media </t>
  </si>
  <si>
    <t>Belarusian media outlet</t>
  </si>
  <si>
    <t>https://twitter.com/ELINTNews/status/1499351053384527876</t>
  </si>
  <si>
    <t>Elint news</t>
  </si>
  <si>
    <t>Independent coverage. Not an official organisation</t>
  </si>
  <si>
    <t>https://twitter.com/GirkinGirkin/status/1499352556300079109</t>
  </si>
  <si>
    <t>IgorGirkin</t>
  </si>
  <si>
    <t>https://twitter.com/IAPonomarenko</t>
  </si>
  <si>
    <t>Illia Ponomarenko</t>
  </si>
  <si>
    <t>Defense reporter with The Kyiv Independent</t>
  </si>
  <si>
    <t>https://t.me/HersonDN</t>
  </si>
  <si>
    <t>херсон днем и ночью</t>
  </si>
  <si>
    <t>Local news</t>
  </si>
  <si>
    <t xml:space="preserve">News from Kherson. 2652 subscribers </t>
  </si>
  <si>
    <t>WarJournal [Z]</t>
  </si>
  <si>
    <t>https://twitter.com/AuroraIntel</t>
  </si>
  <si>
    <t>Aurora Intel</t>
  </si>
  <si>
    <t>https://twitter.com/4emberlen/</t>
  </si>
  <si>
    <t>4emberlen</t>
  </si>
  <si>
    <t>https://twitter.com/JC_Monitoring</t>
  </si>
  <si>
    <t>https://t.me/Pravda_Gerashchenko</t>
  </si>
  <si>
    <t>https://t.me/truexanewsua</t>
  </si>
  <si>
    <t>https://twitter.com/200_zoka/</t>
  </si>
  <si>
    <t>https://twitter.com/666_mancer</t>
  </si>
  <si>
    <t>https://twitter.com/Idzanagi4</t>
  </si>
  <si>
    <t>https://twitter.com/KyleJGlen</t>
  </si>
  <si>
    <t>https://twitter.com/markito0171</t>
  </si>
  <si>
    <t>https://twitter.com/MarQs__</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</si>
</sst>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dd/yyyy"/>
    <numFmt numFmtId="165" formatCode="m/d/yy"/>
    <numFmt numFmtId="166" formatCode="yyyy-mm-dd h:mm:ss"/>
  </numFmts>
  <fonts count="157">
    <font>
      <sz val="12.0"/>
      <color theme="1"/>
      <name val="Calibri"/>
    </font>
    <font>
      <b/>
      <sz val="14.0"/>
      <color theme="1"/>
      <name val="Calibri"/>
    </font>
    <font>
      <sz val="14.0"/>
      <color theme="1"/>
      <name val="Calibri"/>
    </font>
    <font>
      <sz val="11.0"/>
      <color theme="1"/>
      <name val="Calibri"/>
    </font>
    <font>
      <b/>
      <sz val="14.0"/>
      <color rgb="FFFF0000"/>
      <name val="Calibri"/>
    </font>
    <font>
      <sz val="11.0"/>
      <color rgb="FF000000"/>
      <name val="Inconsolata"/>
    </font>
    <font>
      <sz val="11.0"/>
      <color rgb="FF000000"/>
      <name val="Calibri"/>
    </font>
    <font>
      <u/>
      <sz val="11.0"/>
      <color rgb="FF0563C1"/>
    </font>
    <font>
      <sz val="11.0"/>
      <color rgb="FF000000"/>
      <name val="Docs-Calibri"/>
    </font>
    <font>
      <u/>
      <sz val="11.0"/>
      <color theme="1"/>
    </font>
    <font>
      <u/>
      <sz val="11.0"/>
      <color rgb="FF0000FF"/>
    </font>
    <font>
      <u/>
      <sz val="11.0"/>
      <color theme="1"/>
    </font>
    <font>
      <u/>
      <sz val="11.0"/>
      <color rgb="FF0000FF"/>
    </font>
    <font>
      <u/>
      <sz val="11.0"/>
      <color rgb="FF0000FF"/>
    </font>
    <font>
      <i/>
      <sz val="11.0"/>
      <color rgb="FF980000"/>
      <name val="Calibri"/>
    </font>
    <font>
      <u/>
      <sz val="11.0"/>
      <color rgb="FF0000FF"/>
    </font>
    <font>
      <sz val="11.0"/>
      <color rgb="FF0F1419"/>
      <name val="Calibri"/>
    </font>
    <font>
      <u/>
      <sz val="11.0"/>
      <color rgb="FF0563C1"/>
    </font>
    <font>
      <u/>
      <sz val="11.0"/>
      <color theme="1"/>
      <name val="Calibri"/>
    </font>
    <font>
      <sz val="11.0"/>
      <color rgb="FFBC5C60"/>
      <name val="Calibri"/>
    </font>
    <font>
      <sz val="11.0"/>
      <color rgb="FF980000"/>
      <name val="Calibri"/>
    </font>
    <font>
      <u/>
      <sz val="11.0"/>
      <color theme="1"/>
      <name val="Calibri"/>
    </font>
    <font>
      <u/>
      <sz val="11.0"/>
      <color rgb="FF0563C1"/>
    </font>
    <font>
      <u/>
      <sz val="11.0"/>
      <color rgb="FF1155CC"/>
    </font>
    <font>
      <u/>
      <sz val="11.0"/>
      <color rgb="FF1155CC"/>
    </font>
    <font>
      <u/>
      <sz val="11.0"/>
      <color rgb="FF0563C1"/>
    </font>
    <font>
      <u/>
      <sz val="11.0"/>
      <color rgb="FF0000FF"/>
    </font>
    <font>
      <u/>
      <sz val="11.0"/>
      <color rgb="FF0563C1"/>
    </font>
    <font>
      <u/>
      <sz val="11.0"/>
      <color rgb="FF0000FF"/>
    </font>
    <font>
      <u/>
      <sz val="11.0"/>
      <color rgb="FF0000FF"/>
    </font>
    <font>
      <u/>
      <sz val="11.0"/>
      <color theme="1"/>
      <name val="Calibri"/>
    </font>
    <font>
      <u/>
      <sz val="11.0"/>
      <color rgb="FF0000FF"/>
    </font>
    <font>
      <u/>
      <sz val="11.0"/>
      <color rgb="FF0000FF"/>
    </font>
    <font>
      <u/>
      <sz val="11.0"/>
      <color rgb="FF0563C1"/>
    </font>
    <font>
      <u/>
      <sz val="11.0"/>
      <color rgb="FF0563C1"/>
    </font>
    <font>
      <u/>
      <sz val="11.0"/>
      <color rgb="FF0000FF"/>
    </font>
    <font>
      <u/>
      <sz val="11.0"/>
      <color rgb="FF1155CC"/>
    </font>
    <font>
      <u/>
      <sz val="11.0"/>
      <color rgb="FF0000FF"/>
    </font>
    <font>
      <u/>
      <sz val="11.0"/>
      <color rgb="FF1155CC"/>
    </font>
    <font>
      <u/>
      <sz val="11.0"/>
      <color rgb="FF0000FF"/>
    </font>
    <font>
      <i/>
      <sz val="11.0"/>
      <color theme="1"/>
      <name val="Calibri"/>
    </font>
    <font>
      <u/>
      <sz val="11.0"/>
      <color rgb="FF1155CC"/>
    </font>
    <font>
      <u/>
      <sz val="11.0"/>
      <color rgb="FF0000FF"/>
    </font>
    <font>
      <u/>
      <sz val="11.0"/>
      <color rgb="FF0000FF"/>
    </font>
    <font>
      <u/>
      <sz val="11.0"/>
      <color rgb="FF0563C1"/>
    </font>
    <font>
      <u/>
      <sz val="11.0"/>
      <color rgb="FF0000FF"/>
    </font>
    <font>
      <b/>
      <sz val="11.0"/>
      <color theme="1"/>
      <name val="Calibri"/>
    </font>
    <font>
      <u/>
      <sz val="11.0"/>
      <color rgb="FF0000FF"/>
    </font>
    <font>
      <u/>
      <sz val="11.0"/>
      <color rgb="FF0000FF"/>
    </font>
    <font>
      <u/>
      <sz val="11.0"/>
      <color rgb="FF0000FF"/>
    </font>
    <font>
      <sz val="11.0"/>
      <color rgb="FF000000"/>
      <name val="Roboto"/>
    </font>
    <font>
      <u/>
      <sz val="11.0"/>
      <color rgb="FF0000FF"/>
    </font>
    <font>
      <u/>
      <sz val="11.0"/>
      <color rgb="FF0000FF"/>
    </font>
    <font>
      <sz val="11.0"/>
      <color rgb="FF1D1C1D"/>
      <name val="Slack-Lato"/>
    </font>
    <font>
      <u/>
      <sz val="11.0"/>
      <color rgb="FF1155CC"/>
      <name val="Calibri"/>
    </font>
    <font>
      <sz val="11.0"/>
      <color theme="1"/>
      <name val="Arial"/>
    </font>
    <font>
      <u/>
      <sz val="11.0"/>
      <color rgb="FF1155CC"/>
    </font>
    <font>
      <u/>
      <sz val="11.0"/>
      <color rgb="FF1155CC"/>
    </font>
    <font>
      <u/>
      <sz val="11.0"/>
      <color rgb="FF1155CC"/>
    </font>
    <font>
      <u/>
      <sz val="11.0"/>
      <color rgb="FF1155CC"/>
    </font>
    <font>
      <u/>
      <sz val="11.0"/>
      <color rgb="FF1155CC"/>
    </font>
    <font>
      <u/>
      <sz val="11.0"/>
      <color rgb="FF000000"/>
    </font>
    <font>
      <color rgb="FF000000"/>
      <name val="Roboto"/>
    </font>
    <font>
      <u/>
      <sz val="11.0"/>
      <color rgb="FF0000FF"/>
    </font>
    <font>
      <u/>
      <color rgb="FF0000FF"/>
    </font>
    <font>
      <u/>
      <sz val="11.0"/>
      <color rgb="FF1155CC"/>
    </font>
    <font>
      <sz val="11.0"/>
      <color rgb="FF3C4043"/>
      <name val="Roboto"/>
    </font>
    <font>
      <sz val="11.0"/>
      <color rgb="FF3C4043"/>
      <name val="Calibri"/>
    </font>
    <font>
      <u/>
      <color rgb="FF0000FF"/>
    </font>
    <font>
      <color theme="1"/>
      <name val="Calibri"/>
    </font>
    <font>
      <u/>
      <sz val="11.0"/>
      <color rgb="FF0563C1"/>
    </font>
    <font>
      <u/>
      <sz val="11.0"/>
      <color rgb="FF0563C1"/>
    </font>
    <font>
      <u/>
      <sz val="11.0"/>
      <color rgb="FF0563C1"/>
    </font>
    <font>
      <u/>
      <color rgb="FF1155CC"/>
      <name val="Calibri"/>
    </font>
    <font>
      <u/>
      <sz val="11.0"/>
      <color rgb="FF0563C1"/>
    </font>
    <font>
      <u/>
      <sz val="11.0"/>
      <color rgb="FF0563C1"/>
    </font>
    <font>
      <u/>
      <sz val="11.0"/>
      <color rgb="FF0563C1"/>
    </font>
    <font>
      <u/>
      <sz val="11.0"/>
      <color rgb="FF0563C1"/>
    </font>
    <font>
      <u/>
      <color rgb="FF0000FF"/>
    </font>
    <font>
      <u/>
      <color rgb="FF1155CC"/>
    </font>
    <font>
      <u/>
      <sz val="11.0"/>
      <color rgb="FF0563C1"/>
    </font>
    <font>
      <u/>
      <sz val="11.0"/>
      <color rgb="FF0563C1"/>
    </font>
    <font>
      <sz val="11.0"/>
      <color rgb="FFFF0000"/>
      <name val="Calibri"/>
    </font>
    <font>
      <u/>
      <color rgb="FF0563C1"/>
    </font>
    <font>
      <u/>
      <sz val="11.0"/>
      <color rgb="FF0563C1"/>
      <name val="&quot;Times New Roman&quot;"/>
    </font>
    <font>
      <color theme="1"/>
      <name val="Arial"/>
    </font>
    <font>
      <u/>
      <sz val="11.0"/>
      <color rgb="FF0563C1"/>
    </font>
    <font>
      <u/>
      <sz val="11.0"/>
      <color rgb="FF0000FF"/>
    </font>
    <font>
      <sz val="11.0"/>
      <color rgb="FF1D1C1D"/>
      <name val="Arial"/>
    </font>
    <font>
      <color theme="1"/>
      <name val="Roboto"/>
    </font>
    <font>
      <u/>
      <sz val="10.0"/>
      <color rgb="FF1155CC"/>
      <name val="Arial"/>
    </font>
    <font>
      <sz val="11.0"/>
      <color rgb="FF38444D"/>
      <name val="Calibri"/>
    </font>
    <font>
      <u/>
      <sz val="11.0"/>
      <color rgb="FF0563C1"/>
    </font>
    <font>
      <u/>
      <sz val="11.0"/>
      <color rgb="FF0563C1"/>
    </font>
    <font>
      <sz val="11.0"/>
      <color rgb="FF0563C1"/>
      <name val="Calibri"/>
    </font>
    <font>
      <u/>
      <color rgb="FF0000FF"/>
    </font>
    <font>
      <u/>
      <sz val="11.0"/>
      <color rgb="FF0563C1"/>
    </font>
    <font>
      <u/>
      <sz val="11.0"/>
      <color rgb="FF0000FF"/>
    </font>
    <font>
      <u/>
      <sz val="11.0"/>
      <color rgb="FF0000FF"/>
    </font>
    <font>
      <u/>
      <sz val="11.0"/>
      <color rgb="FF1155CC"/>
    </font>
    <font>
      <u/>
      <sz val="11.0"/>
      <color rgb="FF1155CC"/>
    </font>
    <font>
      <u/>
      <sz val="11.0"/>
      <color rgb="FF1155CC"/>
    </font>
    <font>
      <color rgb="FF000000"/>
      <name val="Calibri"/>
    </font>
    <font>
      <u/>
      <sz val="11.0"/>
      <color rgb="FF1155CC"/>
    </font>
    <font>
      <u/>
      <sz val="11.0"/>
      <color rgb="FF0000FF"/>
    </font>
    <font>
      <sz val="11.0"/>
      <color theme="1"/>
      <name val="&quot;Calibri&quot;"/>
    </font>
    <font>
      <u/>
      <sz val="11.0"/>
      <color rgb="FF0000FF"/>
      <name val="Calibri"/>
    </font>
    <font>
      <sz val="12.0"/>
      <color rgb="FF38444D"/>
      <name val="Calibri"/>
    </font>
    <font>
      <sz val="12.0"/>
      <color rgb="FF000000"/>
      <name val="Calibri"/>
    </font>
    <font>
      <u/>
      <sz val="11.0"/>
      <color rgb="FF0000FF"/>
    </font>
    <font>
      <u/>
      <sz val="11.0"/>
      <color rgb="FF0000FF"/>
    </font>
    <font>
      <u/>
      <sz val="11.0"/>
      <color rgb="FF0000FF"/>
    </font>
    <font>
      <u/>
      <sz val="11.0"/>
      <color rgb="FF0000FF"/>
    </font>
    <font>
      <u/>
      <sz val="11.0"/>
      <color rgb="FF1155CC"/>
    </font>
    <font>
      <u/>
      <color rgb="FF0000FF"/>
    </font>
    <font>
      <u/>
      <sz val="11.0"/>
      <color rgb="FF1155CC"/>
    </font>
    <font>
      <u/>
      <sz val="11.0"/>
      <color rgb="FF0000FF"/>
    </font>
    <font>
      <u/>
      <sz val="11.0"/>
      <color rgb="FF0000FF"/>
      <name val="Times"/>
    </font>
    <font>
      <sz val="11.0"/>
      <color rgb="FF202122"/>
      <name val="Calibri"/>
    </font>
    <font>
      <u/>
      <color rgb="FF0563C1"/>
    </font>
    <font>
      <u/>
      <sz val="11.0"/>
      <color rgb="FF0563C1"/>
    </font>
    <font>
      <u/>
      <sz val="11.0"/>
      <color rgb="FF0563C1"/>
    </font>
    <font>
      <u/>
      <sz val="11.0"/>
      <color rgb="FF000000"/>
      <name val="&quot;Times New Roman&quot;"/>
    </font>
    <font>
      <u/>
      <sz val="11.0"/>
      <color rgb="FF1155CC"/>
      <name val="Calibri"/>
    </font>
    <font>
      <u/>
      <sz val="11.0"/>
      <color rgb="FF0000FF"/>
    </font>
    <font>
      <u/>
      <sz val="11.0"/>
      <color rgb="FF0000FF"/>
    </font>
    <font>
      <i/>
      <sz val="11.0"/>
      <color rgb="FFCC0000"/>
      <name val="Calibri"/>
    </font>
    <font>
      <sz val="11.0"/>
      <color rgb="FF1D1C1D"/>
      <name val="Calibri"/>
    </font>
    <font>
      <u/>
      <sz val="11.0"/>
      <color rgb="FF000000"/>
    </font>
    <font>
      <sz val="11.0"/>
      <color theme="1"/>
      <name val="Roboto"/>
    </font>
    <font>
      <u/>
      <sz val="11.0"/>
      <color rgb="FF0000FF"/>
    </font>
    <font>
      <sz val="11.0"/>
      <color theme="1"/>
      <name val="Docs-Calibri"/>
    </font>
    <font>
      <u/>
      <sz val="11.0"/>
      <color rgb="FF1155CC"/>
    </font>
    <font>
      <color rgb="FF000000"/>
      <name val="&quot;Google Sans&quot;"/>
    </font>
    <font>
      <u/>
      <sz val="11.0"/>
      <color rgb="FF0563C1"/>
    </font>
    <font>
      <color theme="1"/>
      <name val="Docs-Roboto"/>
    </font>
    <font>
      <u/>
      <color rgb="FF1155CC"/>
      <name val="Arial"/>
    </font>
    <font>
      <u/>
      <color rgb="FF1155CC"/>
      <name val="Arial"/>
    </font>
    <font>
      <u/>
      <color rgb="FF1155CC"/>
      <name val="Arial"/>
    </font>
    <font>
      <b/>
      <color theme="1"/>
      <name val="Calibri"/>
    </font>
    <font>
      <b/>
      <sz val="11.0"/>
      <color rgb="FF000000"/>
      <name val="Calibri"/>
    </font>
    <font>
      <b/>
      <sz val="11.0"/>
      <color rgb="FF1D1C1D"/>
      <name val="Arial"/>
    </font>
    <font>
      <b/>
      <sz val="11.0"/>
      <color rgb="FF1D1C1D"/>
      <name val="Slack-Lato"/>
    </font>
    <font>
      <b/>
      <sz val="24.0"/>
      <color theme="1"/>
      <name val="Calibri"/>
    </font>
    <font>
      <sz val="12.0"/>
      <color rgb="FF000000"/>
      <name val="Docs-Roboto"/>
    </font>
    <font>
      <b/>
      <sz val="14.0"/>
      <color theme="0"/>
      <name val="Calibri"/>
    </font>
    <font>
      <b/>
      <sz val="14.0"/>
      <color rgb="FFFFFFFF"/>
      <name val="Calibri"/>
    </font>
    <font>
      <u/>
      <color rgb="FF0563C1"/>
    </font>
    <font>
      <u/>
      <color rgb="FF1155CC"/>
    </font>
    <font>
      <sz val="11.0"/>
      <color theme="1"/>
      <name val="Sans-serif"/>
    </font>
    <font>
      <sz val="11.0"/>
      <color theme="1"/>
      <name val="TwitterChirp"/>
    </font>
    <font>
      <color rgb="FF000000"/>
      <name val="Arial"/>
    </font>
    <font>
      <sz val="11.0"/>
      <color rgb="FF0000E9"/>
      <name val="Times"/>
    </font>
    <font>
      <u/>
      <sz val="11.0"/>
      <color rgb="FF1155CC"/>
      <name val="Times"/>
    </font>
    <font>
      <u/>
      <color rgb="FF0000E9"/>
    </font>
    <font>
      <color rgb="FF0000E9"/>
    </font>
    <font>
      <u/>
      <color rgb="FF1155CC"/>
    </font>
  </fonts>
  <fills count="46">
    <fill>
      <patternFill patternType="none"/>
    </fill>
    <fill>
      <patternFill patternType="lightGray"/>
    </fill>
    <fill>
      <patternFill patternType="solid">
        <fgColor rgb="FFBC5C60"/>
        <bgColor rgb="FFBC5C60"/>
      </patternFill>
    </fill>
    <fill>
      <patternFill patternType="solid">
        <fgColor rgb="FFFEF2CB"/>
        <bgColor rgb="FFFEF2CB"/>
      </patternFill>
    </fill>
    <fill>
      <patternFill patternType="solid">
        <fgColor rgb="FFE2EFD9"/>
        <bgColor rgb="FFE2EFD9"/>
      </patternFill>
    </fill>
    <fill>
      <patternFill patternType="solid">
        <fgColor rgb="FFD9E2F3"/>
        <bgColor rgb="FFD9E2F3"/>
      </patternFill>
    </fill>
    <fill>
      <patternFill patternType="solid">
        <fgColor rgb="FFD9EAD3"/>
        <bgColor rgb="FFD9EAD3"/>
      </patternFill>
    </fill>
    <fill>
      <patternFill patternType="solid">
        <fgColor rgb="FFF7CAAC"/>
        <bgColor rgb="FFF7CAAC"/>
      </patternFill>
    </fill>
    <fill>
      <patternFill patternType="solid">
        <fgColor rgb="FFC5E0B3"/>
        <bgColor rgb="FFC5E0B3"/>
      </patternFill>
    </fill>
    <fill>
      <patternFill patternType="solid">
        <fgColor theme="9"/>
        <bgColor theme="9"/>
      </patternFill>
    </fill>
    <fill>
      <patternFill patternType="solid">
        <fgColor rgb="FFFFFFFF"/>
        <bgColor rgb="FFFFFFFF"/>
      </patternFill>
    </fill>
    <fill>
      <patternFill patternType="solid">
        <fgColor rgb="FF93C47D"/>
        <bgColor rgb="FF93C47D"/>
      </patternFill>
    </fill>
    <fill>
      <patternFill patternType="solid">
        <fgColor rgb="FF6AA84F"/>
        <bgColor rgb="FF6AA84F"/>
      </patternFill>
    </fill>
    <fill>
      <patternFill patternType="solid">
        <fgColor rgb="FF3C78D8"/>
        <bgColor rgb="FF3C78D8"/>
      </patternFill>
    </fill>
    <fill>
      <patternFill patternType="solid">
        <fgColor theme="0"/>
        <bgColor theme="0"/>
      </patternFill>
    </fill>
    <fill>
      <patternFill patternType="solid">
        <fgColor rgb="FF980000"/>
        <bgColor rgb="FF980000"/>
      </patternFill>
    </fill>
    <fill>
      <patternFill patternType="solid">
        <fgColor rgb="FFFFE599"/>
        <bgColor rgb="FFFFE599"/>
      </patternFill>
    </fill>
    <fill>
      <patternFill patternType="solid">
        <fgColor rgb="FFF4CCCC"/>
        <bgColor rgb="FFF4CCCC"/>
      </patternFill>
    </fill>
    <fill>
      <patternFill patternType="solid">
        <fgColor rgb="FFFFFF00"/>
        <bgColor rgb="FFFFFF00"/>
      </patternFill>
    </fill>
    <fill>
      <patternFill patternType="solid">
        <fgColor rgb="FFF9CB9C"/>
        <bgColor rgb="FFF9CB9C"/>
      </patternFill>
    </fill>
    <fill>
      <patternFill patternType="solid">
        <fgColor rgb="FFE06666"/>
        <bgColor rgb="FFE06666"/>
      </patternFill>
    </fill>
    <fill>
      <patternFill patternType="solid">
        <fgColor rgb="FFFFD966"/>
        <bgColor rgb="FFFFD966"/>
      </patternFill>
    </fill>
    <fill>
      <patternFill patternType="solid">
        <fgColor theme="4"/>
        <bgColor theme="4"/>
      </patternFill>
    </fill>
    <fill>
      <patternFill patternType="solid">
        <fgColor rgb="FFFF0000"/>
        <bgColor rgb="FFFF0000"/>
      </patternFill>
    </fill>
    <fill>
      <patternFill patternType="solid">
        <fgColor rgb="FFE69138"/>
        <bgColor rgb="FFE69138"/>
      </patternFill>
    </fill>
    <fill>
      <patternFill patternType="solid">
        <fgColor rgb="FFCC0000"/>
        <bgColor rgb="FFCC0000"/>
      </patternFill>
    </fill>
    <fill>
      <patternFill patternType="solid">
        <fgColor rgb="FFDD7E6B"/>
        <bgColor rgb="FFDD7E6B"/>
      </patternFill>
    </fill>
    <fill>
      <patternFill patternType="solid">
        <fgColor rgb="FFEA9999"/>
        <bgColor rgb="FFEA9999"/>
      </patternFill>
    </fill>
    <fill>
      <patternFill patternType="solid">
        <fgColor rgb="FF08FFFF"/>
        <bgColor rgb="FF08FFFF"/>
      </patternFill>
    </fill>
    <fill>
      <patternFill patternType="solid">
        <fgColor rgb="FFF4C7C3"/>
        <bgColor rgb="FFF4C7C3"/>
      </patternFill>
    </fill>
    <fill>
      <patternFill patternType="solid">
        <fgColor rgb="FFF1C232"/>
        <bgColor rgb="FFF1C232"/>
      </patternFill>
    </fill>
    <fill>
      <patternFill patternType="solid">
        <fgColor rgb="FFF6B26B"/>
        <bgColor rgb="FFF6B26B"/>
      </patternFill>
    </fill>
    <fill>
      <patternFill patternType="solid">
        <fgColor rgb="FFF8F8F8"/>
        <bgColor rgb="FFF8F8F8"/>
      </patternFill>
    </fill>
    <fill>
      <patternFill patternType="solid">
        <fgColor rgb="FFF1F3F4"/>
        <bgColor rgb="FFF1F3F4"/>
      </patternFill>
    </fill>
    <fill>
      <patternFill patternType="solid">
        <fgColor rgb="FF00FFFF"/>
        <bgColor rgb="FF00FFFF"/>
      </patternFill>
    </fill>
    <fill>
      <patternFill patternType="solid">
        <fgColor rgb="FFFFF2CC"/>
        <bgColor rgb="FFFFF2CC"/>
      </patternFill>
    </fill>
    <fill>
      <patternFill patternType="solid">
        <fgColor rgb="FFCC4125"/>
        <bgColor rgb="FFCC4125"/>
      </patternFill>
    </fill>
    <fill>
      <patternFill patternType="solid">
        <fgColor rgb="FF0563C1"/>
        <bgColor rgb="FF0563C1"/>
      </patternFill>
    </fill>
    <fill>
      <patternFill patternType="solid">
        <fgColor rgb="FFFF9900"/>
        <bgColor rgb="FFFF9900"/>
      </patternFill>
    </fill>
    <fill>
      <patternFill patternType="solid">
        <fgColor theme="5"/>
        <bgColor theme="5"/>
      </patternFill>
    </fill>
    <fill>
      <patternFill patternType="solid">
        <fgColor rgb="FFD0E0E3"/>
        <bgColor rgb="FFD0E0E3"/>
      </patternFill>
    </fill>
    <fill>
      <patternFill patternType="solid">
        <fgColor rgb="FFFCE5CD"/>
        <bgColor rgb="FFFCE5CD"/>
      </patternFill>
    </fill>
    <fill>
      <patternFill patternType="solid">
        <fgColor rgb="FF38761D"/>
        <bgColor rgb="FF38761D"/>
      </patternFill>
    </fill>
    <fill>
      <patternFill patternType="solid">
        <fgColor rgb="FFCCCCCC"/>
        <bgColor rgb="FFCCCCCC"/>
      </patternFill>
    </fill>
    <fill>
      <patternFill patternType="solid">
        <fgColor rgb="FFA4C2F4"/>
        <bgColor rgb="FFA4C2F4"/>
      </patternFill>
    </fill>
    <fill>
      <patternFill patternType="solid">
        <fgColor rgb="FF666666"/>
        <bgColor rgb="FF666666"/>
      </patternFill>
    </fill>
  </fills>
  <borders count="13">
    <border/>
    <border>
      <left style="thick">
        <color rgb="FF000000"/>
      </left>
      <right style="thick">
        <color rgb="FF000000"/>
      </right>
    </border>
    <border>
      <left style="thick">
        <color rgb="FF000000"/>
      </left>
    </border>
    <border>
      <right style="thick">
        <color rgb="FF000000"/>
      </right>
    </border>
    <border>
      <left style="thin">
        <color rgb="FF000000"/>
      </left>
      <right style="thin">
        <color rgb="FF000000"/>
      </right>
      <top style="thin">
        <color rgb="FF000000"/>
      </top>
      <bottom style="thin">
        <color rgb="FF000000"/>
      </bottom>
    </border>
    <border>
      <left style="thick">
        <color rgb="FF000000"/>
      </left>
      <right style="thick">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n">
        <color rgb="FF000000"/>
      </left>
      <top style="thin">
        <color rgb="FF000000"/>
      </top>
      <bottom style="thin">
        <color rgb="FF000000"/>
      </bottom>
    </border>
    <border>
      <bottom style="thick">
        <color rgb="FF000000"/>
      </bottom>
    </border>
    <border>
      <left style="thick">
        <color rgb="FF000000"/>
      </left>
      <right style="thick">
        <color rgb="FF000000"/>
      </right>
      <bottom style="thick">
        <color rgb="FF000000"/>
      </bottom>
    </border>
    <border>
      <left style="thick">
        <color rgb="FF000000"/>
      </left>
      <bottom style="thick">
        <color rgb="FF000000"/>
      </bottom>
    </border>
    <border>
      <right style="thick">
        <color rgb="FF000000"/>
      </right>
      <bottom style="thick">
        <color rgb="FF000000"/>
      </bottom>
    </border>
    <border>
      <left style="thin">
        <color rgb="FFC1C1C1"/>
      </left>
      <right style="thin">
        <color rgb="FFC1C1C1"/>
      </right>
      <top style="thin">
        <color rgb="FFC1C1C1"/>
      </top>
      <bottom style="thin">
        <color rgb="FFC1C1C1"/>
      </bottom>
    </border>
  </borders>
  <cellStyleXfs count="1">
    <xf borderId="0" fillId="0" fontId="0" numFmtId="0" applyAlignment="1" applyFont="1"/>
  </cellStyleXfs>
  <cellXfs count="698">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wrapText="1"/>
    </xf>
    <xf borderId="0" fillId="3" fontId="2" numFmtId="0" xfId="0" applyAlignment="1" applyFill="1" applyFont="1">
      <alignment readingOrder="0" shrinkToFit="0" wrapText="0"/>
    </xf>
    <xf borderId="2" fillId="3" fontId="1" numFmtId="49" xfId="0" applyAlignment="1" applyBorder="1" applyFont="1" applyNumberFormat="1">
      <alignment readingOrder="0" shrinkToFit="0" wrapText="0"/>
    </xf>
    <xf borderId="0" fillId="3" fontId="2" numFmtId="0" xfId="0" applyAlignment="1" applyFont="1">
      <alignment horizontal="left" readingOrder="0" shrinkToFit="0" wrapText="0"/>
    </xf>
    <xf borderId="2" fillId="4" fontId="1" numFmtId="0" xfId="0" applyAlignment="1" applyBorder="1" applyFill="1" applyFont="1">
      <alignment horizontal="left" readingOrder="0" shrinkToFit="0" wrapText="0"/>
    </xf>
    <xf borderId="0" fillId="4" fontId="2" numFmtId="0" xfId="0" applyAlignment="1" applyFont="1">
      <alignment readingOrder="0" shrinkToFit="0" wrapText="0"/>
    </xf>
    <xf borderId="0" fillId="4" fontId="2" numFmtId="0" xfId="0" applyAlignment="1" applyFont="1">
      <alignment readingOrder="0" shrinkToFit="0" wrapText="0"/>
    </xf>
    <xf borderId="3" fillId="4" fontId="3" numFmtId="0" xfId="0" applyAlignment="1" applyBorder="1" applyFont="1">
      <alignment readingOrder="0" shrinkToFit="0" wrapText="0"/>
    </xf>
    <xf borderId="2" fillId="5" fontId="1" numFmtId="0" xfId="0" applyAlignment="1" applyBorder="1" applyFill="1" applyFont="1">
      <alignment readingOrder="0" shrinkToFit="0" wrapText="0"/>
    </xf>
    <xf borderId="1" fillId="4" fontId="1" numFmtId="0" xfId="0" applyAlignment="1" applyBorder="1" applyFont="1">
      <alignment readingOrder="0" shrinkToFit="0" wrapText="0"/>
    </xf>
    <xf borderId="2" fillId="3" fontId="1" numFmtId="0" xfId="0" applyAlignment="1" applyBorder="1" applyFont="1">
      <alignment readingOrder="0" shrinkToFit="0" wrapText="0"/>
    </xf>
    <xf borderId="0" fillId="3" fontId="4" numFmtId="0" xfId="0" applyAlignment="1" applyFont="1">
      <alignment readingOrder="0" shrinkToFit="0" wrapText="1"/>
    </xf>
    <xf borderId="0" fillId="3" fontId="1" numFmtId="0" xfId="0" applyAlignment="1" applyFont="1">
      <alignment readingOrder="0" shrinkToFit="0" wrapText="1"/>
    </xf>
    <xf borderId="1" fillId="5" fontId="1" numFmtId="0" xfId="0" applyAlignment="1" applyBorder="1" applyFont="1">
      <alignment readingOrder="0" shrinkToFit="0" wrapText="0"/>
    </xf>
    <xf borderId="2" fillId="4" fontId="1" numFmtId="0" xfId="0" applyAlignment="1" applyBorder="1" applyFont="1">
      <alignment readingOrder="0" shrinkToFit="0" wrapText="0"/>
    </xf>
    <xf borderId="0" fillId="4" fontId="4" numFmtId="0" xfId="0" applyAlignment="1" applyFont="1">
      <alignment readingOrder="0" shrinkToFit="0" wrapText="1"/>
    </xf>
    <xf borderId="3" fillId="6" fontId="3" numFmtId="0" xfId="0" applyAlignment="1" applyBorder="1" applyFill="1" applyFont="1">
      <alignment horizontal="center" readingOrder="0"/>
    </xf>
    <xf borderId="2" fillId="5" fontId="1" numFmtId="0" xfId="0" applyAlignment="1" applyBorder="1" applyFont="1">
      <alignment readingOrder="0" shrinkToFit="0" wrapText="0"/>
    </xf>
    <xf borderId="0" fillId="5" fontId="2" numFmtId="0" xfId="0" applyAlignment="1" applyFont="1">
      <alignment shrinkToFit="0" wrapText="0"/>
    </xf>
    <xf borderId="0" fillId="5" fontId="2" numFmtId="0" xfId="0" applyAlignment="1" applyFont="1">
      <alignment readingOrder="0" shrinkToFit="0" wrapText="0"/>
    </xf>
    <xf borderId="3" fillId="5" fontId="4" numFmtId="0" xfId="0" applyAlignment="1" applyBorder="1" applyFont="1">
      <alignment readingOrder="0" shrinkToFit="0" wrapText="1"/>
    </xf>
    <xf borderId="2" fillId="7" fontId="1" numFmtId="0" xfId="0" applyAlignment="1" applyBorder="1" applyFill="1" applyFont="1">
      <alignment horizontal="left" readingOrder="0" shrinkToFit="0" vertical="bottom" wrapText="0"/>
    </xf>
    <xf borderId="0" fillId="7" fontId="3" numFmtId="49" xfId="0" applyAlignment="1" applyFont="1" applyNumberFormat="1">
      <alignment readingOrder="0" shrinkToFit="0" vertical="bottom" wrapText="0"/>
    </xf>
    <xf borderId="0" fillId="7" fontId="2" numFmtId="0" xfId="0" applyAlignment="1" applyFont="1">
      <alignment shrinkToFit="0" vertical="bottom" wrapText="0"/>
    </xf>
    <xf borderId="3" fillId="7" fontId="2" numFmtId="0" xfId="0" applyAlignment="1" applyBorder="1" applyFont="1">
      <alignment shrinkToFit="0" vertical="bottom" wrapText="0"/>
    </xf>
    <xf borderId="2" fillId="8" fontId="1" numFmtId="0" xfId="0" applyAlignment="1" applyBorder="1" applyFill="1" applyFont="1">
      <alignment horizontal="center" readingOrder="0" shrinkToFit="0" wrapText="0"/>
    </xf>
    <xf borderId="0" fillId="8" fontId="2" numFmtId="0" xfId="0" applyAlignment="1" applyFont="1">
      <alignment horizontal="center" shrinkToFit="0" wrapText="0"/>
    </xf>
    <xf borderId="3" fillId="8" fontId="2" numFmtId="0" xfId="0" applyAlignment="1" applyBorder="1" applyFont="1">
      <alignment shrinkToFit="0" wrapText="0"/>
    </xf>
    <xf borderId="1" fillId="2" fontId="3" numFmtId="0" xfId="0" applyAlignment="1" applyBorder="1" applyFont="1">
      <alignment readingOrder="0" shrinkToFit="0" wrapText="1"/>
    </xf>
    <xf borderId="0" fillId="3" fontId="3" numFmtId="0" xfId="0" applyAlignment="1" applyFont="1">
      <alignment readingOrder="0" shrinkToFit="0" wrapText="1"/>
    </xf>
    <xf borderId="2" fillId="3" fontId="3" numFmtId="49" xfId="0" applyAlignment="1" applyBorder="1" applyFont="1" applyNumberFormat="1">
      <alignment readingOrder="0" shrinkToFit="0" wrapText="1"/>
    </xf>
    <xf borderId="0" fillId="3" fontId="3" numFmtId="0" xfId="0" applyAlignment="1" applyFont="1">
      <alignment horizontal="left" readingOrder="0" shrinkToFit="0" wrapText="1"/>
    </xf>
    <xf borderId="2" fillId="4" fontId="3" numFmtId="0" xfId="0" applyAlignment="1" applyBorder="1" applyFont="1">
      <alignment horizontal="center" readingOrder="0" shrinkToFit="0" wrapText="1"/>
    </xf>
    <xf borderId="0" fillId="4" fontId="3" numFmtId="0" xfId="0" applyAlignment="1" applyFont="1">
      <alignment readingOrder="0" shrinkToFit="0" wrapText="0"/>
    </xf>
    <xf borderId="0" fillId="4" fontId="3" numFmtId="0" xfId="0" applyAlignment="1" applyFont="1">
      <alignment shrinkToFit="0" wrapText="1"/>
    </xf>
    <xf borderId="3" fillId="4" fontId="3" numFmtId="0" xfId="0" applyAlignment="1" applyBorder="1" applyFont="1">
      <alignment shrinkToFit="0" wrapText="0"/>
    </xf>
    <xf borderId="2" fillId="5" fontId="3" numFmtId="0" xfId="0" applyAlignment="1" applyBorder="1" applyFont="1">
      <alignment readingOrder="0" shrinkToFit="0" wrapText="0"/>
    </xf>
    <xf borderId="1" fillId="4" fontId="3" numFmtId="0" xfId="0" applyAlignment="1" applyBorder="1" applyFont="1">
      <alignment readingOrder="0" shrinkToFit="0" wrapText="1"/>
    </xf>
    <xf borderId="2" fillId="3" fontId="3" numFmtId="0" xfId="0" applyAlignment="1" applyBorder="1" applyFont="1">
      <alignment readingOrder="0" shrinkToFit="0" wrapText="1"/>
    </xf>
    <xf borderId="0" fillId="3" fontId="3" numFmtId="0" xfId="0" applyAlignment="1" applyFont="1">
      <alignment readingOrder="0" shrinkToFit="0" wrapText="0"/>
    </xf>
    <xf borderId="1" fillId="5" fontId="3" numFmtId="0" xfId="0" applyAlignment="1" applyBorder="1" applyFont="1">
      <alignment readingOrder="0" shrinkToFit="0" wrapText="1"/>
    </xf>
    <xf borderId="2" fillId="4" fontId="3" numFmtId="0" xfId="0" applyAlignment="1" applyBorder="1" applyFont="1">
      <alignment readingOrder="0" shrinkToFit="0" wrapText="1"/>
    </xf>
    <xf borderId="3" fillId="4" fontId="3" numFmtId="0" xfId="0" applyAlignment="1" applyBorder="1" applyFont="1">
      <alignment horizontal="center" readingOrder="0" shrinkToFit="0" wrapText="1"/>
    </xf>
    <xf borderId="0" fillId="5" fontId="3" numFmtId="0" xfId="0" applyAlignment="1" applyFont="1">
      <alignment shrinkToFit="0" wrapText="1"/>
    </xf>
    <xf borderId="0" fillId="5" fontId="3" numFmtId="0" xfId="0" applyAlignment="1" applyFont="1">
      <alignment shrinkToFit="0" textRotation="90" wrapText="1"/>
    </xf>
    <xf borderId="3" fillId="5" fontId="3" numFmtId="0" xfId="0" applyAlignment="1" applyBorder="1" applyFont="1">
      <alignment shrinkToFit="0" wrapText="0"/>
    </xf>
    <xf borderId="2" fillId="7" fontId="3" numFmtId="0" xfId="0" applyAlignment="1" applyBorder="1" applyFont="1">
      <alignment horizontal="left" shrinkToFit="0" vertical="bottom" wrapText="0"/>
    </xf>
    <xf borderId="0" fillId="7" fontId="3" numFmtId="49" xfId="0" applyAlignment="1" applyFont="1" applyNumberFormat="1">
      <alignment shrinkToFit="0" vertical="bottom" wrapText="0"/>
    </xf>
    <xf borderId="0" fillId="7" fontId="3" numFmtId="0" xfId="0" applyAlignment="1" applyFont="1">
      <alignment readingOrder="0" shrinkToFit="0" vertical="bottom" wrapText="0"/>
    </xf>
    <xf borderId="0" fillId="7" fontId="3" numFmtId="0" xfId="0" applyAlignment="1" applyFont="1">
      <alignment shrinkToFit="0" vertical="bottom" wrapText="0"/>
    </xf>
    <xf borderId="3" fillId="7" fontId="3" numFmtId="0" xfId="0" applyAlignment="1" applyBorder="1" applyFont="1">
      <alignment shrinkToFit="0" vertical="bottom" wrapText="0"/>
    </xf>
    <xf borderId="2" fillId="8" fontId="3" numFmtId="0" xfId="0" applyAlignment="1" applyBorder="1" applyFont="1">
      <alignment horizontal="center" shrinkToFit="0" wrapText="1"/>
    </xf>
    <xf borderId="0" fillId="8" fontId="3" numFmtId="0" xfId="0" applyAlignment="1" applyFont="1">
      <alignment horizontal="center" shrinkToFit="0" wrapText="1"/>
    </xf>
    <xf borderId="3" fillId="8" fontId="3" numFmtId="0" xfId="0" applyAlignment="1" applyBorder="1" applyFont="1">
      <alignment readingOrder="0" shrinkToFit="0" wrapText="1"/>
    </xf>
    <xf borderId="1" fillId="9" fontId="3" numFmtId="0" xfId="0" applyAlignment="1" applyBorder="1" applyFill="1" applyFont="1">
      <alignment horizontal="center" readingOrder="0"/>
    </xf>
    <xf borderId="0" fillId="10" fontId="5" numFmtId="0" xfId="0" applyFill="1" applyFont="1"/>
    <xf borderId="2" fillId="0" fontId="3" numFmtId="49" xfId="0" applyAlignment="1" applyBorder="1" applyFont="1" applyNumberFormat="1">
      <alignment readingOrder="0"/>
    </xf>
    <xf borderId="0" fillId="0" fontId="6" numFmtId="0" xfId="0" applyAlignment="1" applyFont="1">
      <alignment horizontal="left" readingOrder="0"/>
    </xf>
    <xf borderId="2" fillId="11" fontId="3" numFmtId="0" xfId="0" applyAlignment="1" applyBorder="1" applyFill="1" applyFont="1">
      <alignment horizontal="center" readingOrder="0"/>
    </xf>
    <xf borderId="0" fillId="0" fontId="7" numFmtId="0" xfId="0" applyAlignment="1" applyFont="1">
      <alignment readingOrder="0" shrinkToFit="0" wrapText="0"/>
    </xf>
    <xf borderId="0" fillId="0" fontId="3" numFmtId="0" xfId="0" applyAlignment="1" applyFont="1">
      <alignment readingOrder="0"/>
    </xf>
    <xf borderId="3" fillId="0" fontId="3" numFmtId="0" xfId="0" applyAlignment="1" applyBorder="1" applyFont="1">
      <alignment readingOrder="0" shrinkToFit="0" wrapText="0"/>
    </xf>
    <xf borderId="2" fillId="0" fontId="3" numFmtId="0" xfId="0" applyAlignment="1" applyBorder="1" applyFont="1">
      <alignment readingOrder="0" shrinkToFit="0" wrapText="0"/>
    </xf>
    <xf borderId="1" fillId="0" fontId="3" numFmtId="0" xfId="0" applyAlignment="1" applyBorder="1" applyFont="1">
      <alignment readingOrder="0" shrinkToFit="0" wrapText="0"/>
    </xf>
    <xf borderId="2" fillId="0" fontId="3" numFmtId="0" xfId="0" applyAlignment="1" applyBorder="1" applyFont="1">
      <alignment readingOrder="0"/>
    </xf>
    <xf borderId="0" fillId="10" fontId="8" numFmtId="0" xfId="0" applyAlignment="1" applyFont="1">
      <alignment horizontal="left" readingOrder="0"/>
    </xf>
    <xf borderId="0" fillId="0" fontId="6" numFmtId="0" xfId="0" applyAlignment="1" applyFont="1">
      <alignment horizontal="left" readingOrder="0" shrinkToFit="0" wrapText="0"/>
    </xf>
    <xf borderId="0" fillId="0" fontId="9" numFmtId="0" xfId="0" applyAlignment="1" applyFont="1">
      <alignment readingOrder="0" shrinkToFit="0" wrapText="0"/>
    </xf>
    <xf borderId="1" fillId="0" fontId="3" numFmtId="0" xfId="0" applyAlignment="1" applyBorder="1" applyFont="1">
      <alignment shrinkToFit="0" wrapText="0"/>
    </xf>
    <xf borderId="2" fillId="0" fontId="3" numFmtId="0" xfId="0" applyBorder="1" applyFont="1"/>
    <xf borderId="0" fillId="0" fontId="3" numFmtId="0" xfId="0" applyAlignment="1" applyFont="1">
      <alignment readingOrder="0" shrinkToFit="0" wrapText="0"/>
    </xf>
    <xf borderId="3" fillId="12" fontId="3" numFmtId="0" xfId="0" applyAlignment="1" applyBorder="1" applyFill="1" applyFont="1">
      <alignment horizontal="center" readingOrder="0"/>
    </xf>
    <xf borderId="0" fillId="0" fontId="3" numFmtId="0" xfId="0" applyFont="1"/>
    <xf borderId="0" fillId="10" fontId="6" numFmtId="0" xfId="0" applyAlignment="1" applyFont="1">
      <alignment horizontal="left" readingOrder="0"/>
    </xf>
    <xf borderId="3" fillId="0" fontId="3" numFmtId="0" xfId="0" applyAlignment="1" applyBorder="1" applyFont="1">
      <alignment shrinkToFit="0" wrapText="0"/>
    </xf>
    <xf borderId="2" fillId="0" fontId="3" numFmtId="0" xfId="0" applyAlignment="1" applyBorder="1" applyFont="1">
      <alignment horizontal="left" readingOrder="0" shrinkToFit="0" wrapText="0"/>
    </xf>
    <xf borderId="0" fillId="0" fontId="10" numFmtId="49" xfId="0" applyAlignment="1" applyFont="1" applyNumberFormat="1">
      <alignment readingOrder="0" shrinkToFit="0" wrapText="0"/>
    </xf>
    <xf borderId="0" fillId="0" fontId="11" numFmtId="0" xfId="0" applyAlignment="1" applyFont="1">
      <alignment readingOrder="0" shrinkToFit="0" wrapText="0"/>
    </xf>
    <xf borderId="2" fillId="0" fontId="3" numFmtId="0" xfId="0" applyAlignment="1" applyBorder="1" applyFont="1">
      <alignment horizontal="center" readingOrder="0"/>
    </xf>
    <xf borderId="0" fillId="0" fontId="3" numFmtId="0" xfId="0" applyAlignment="1" applyFont="1">
      <alignment horizontal="center" readingOrder="0"/>
    </xf>
    <xf borderId="3" fillId="0" fontId="3" numFmtId="0" xfId="0" applyBorder="1" applyFont="1"/>
    <xf borderId="3" fillId="0" fontId="3" numFmtId="0" xfId="0" applyAlignment="1" applyBorder="1" applyFont="1">
      <alignment shrinkToFit="0" wrapText="0"/>
    </xf>
    <xf borderId="0" fillId="0" fontId="12" numFmtId="49" xfId="0" applyAlignment="1" applyFont="1" applyNumberFormat="1">
      <alignment readingOrder="0" shrinkToFit="0" wrapText="0"/>
    </xf>
    <xf borderId="0" fillId="0" fontId="13" numFmtId="0" xfId="0" applyAlignment="1" applyFont="1">
      <alignment readingOrder="0" shrinkToFit="0" wrapText="0"/>
    </xf>
    <xf borderId="0" fillId="0" fontId="14" numFmtId="0" xfId="0" applyAlignment="1" applyFont="1">
      <alignment readingOrder="0"/>
    </xf>
    <xf borderId="2" fillId="0" fontId="14" numFmtId="49" xfId="0" applyAlignment="1" applyBorder="1" applyFont="1" applyNumberFormat="1">
      <alignment readingOrder="0"/>
    </xf>
    <xf borderId="1" fillId="13" fontId="3" numFmtId="0" xfId="0" applyAlignment="1" applyBorder="1" applyFill="1" applyFont="1">
      <alignment horizontal="center" readingOrder="0"/>
    </xf>
    <xf borderId="1" fillId="0" fontId="15" numFmtId="0" xfId="0" applyAlignment="1" applyBorder="1" applyFont="1">
      <alignment readingOrder="0" shrinkToFit="0" wrapText="0"/>
    </xf>
    <xf borderId="2" fillId="0" fontId="3" numFmtId="0" xfId="0" applyAlignment="1" applyBorder="1" applyFont="1">
      <alignment horizontal="center"/>
    </xf>
    <xf borderId="0" fillId="0" fontId="3" numFmtId="0" xfId="0" applyAlignment="1" applyFont="1">
      <alignment horizontal="center"/>
    </xf>
    <xf borderId="0" fillId="10" fontId="6" numFmtId="0" xfId="0" applyAlignment="1" applyFont="1">
      <alignment readingOrder="0"/>
    </xf>
    <xf borderId="0" fillId="14" fontId="3" numFmtId="0" xfId="0" applyAlignment="1" applyFill="1" applyFont="1">
      <alignment horizontal="left" readingOrder="0"/>
    </xf>
    <xf borderId="0" fillId="14" fontId="3" numFmtId="0" xfId="0" applyAlignment="1" applyFont="1">
      <alignment readingOrder="0"/>
    </xf>
    <xf borderId="0" fillId="10" fontId="16" numFmtId="0" xfId="0" applyAlignment="1" applyFont="1">
      <alignment readingOrder="0"/>
    </xf>
    <xf borderId="1" fillId="12" fontId="3" numFmtId="0" xfId="0" applyAlignment="1" applyBorder="1" applyFont="1">
      <alignment horizontal="center" readingOrder="0"/>
    </xf>
    <xf borderId="0" fillId="10" fontId="3" numFmtId="0" xfId="0" applyAlignment="1" applyFont="1">
      <alignment horizontal="left" readingOrder="0"/>
    </xf>
    <xf borderId="0" fillId="14" fontId="17" numFmtId="0" xfId="0" applyAlignment="1" applyFont="1">
      <alignment horizontal="left" readingOrder="0" shrinkToFit="0" wrapText="0"/>
    </xf>
    <xf borderId="0" fillId="0" fontId="18" numFmtId="0" xfId="0" applyAlignment="1" applyFont="1">
      <alignment readingOrder="0" shrinkToFit="0" wrapText="0"/>
    </xf>
    <xf borderId="0" fillId="0" fontId="3" numFmtId="0" xfId="0" applyAlignment="1" applyFont="1">
      <alignment shrinkToFit="0" wrapText="0"/>
    </xf>
    <xf borderId="0" fillId="0" fontId="3" numFmtId="164" xfId="0" applyAlignment="1" applyFont="1" applyNumberFormat="1">
      <alignment horizontal="left" readingOrder="0"/>
    </xf>
    <xf borderId="2" fillId="0" fontId="3" numFmtId="49" xfId="0" applyAlignment="1" applyBorder="1" applyFont="1" applyNumberFormat="1">
      <alignment horizontal="left" readingOrder="0"/>
    </xf>
    <xf borderId="3" fillId="0" fontId="19" numFmtId="0" xfId="0" applyAlignment="1" applyBorder="1" applyFont="1">
      <alignment readingOrder="0" shrinkToFit="0" wrapText="0"/>
    </xf>
    <xf borderId="3" fillId="4" fontId="20" numFmtId="0" xfId="0" applyAlignment="1" applyBorder="1" applyFont="1">
      <alignment readingOrder="0" shrinkToFit="0" wrapText="0"/>
    </xf>
    <xf borderId="0" fillId="0" fontId="3" numFmtId="0" xfId="0" applyAlignment="1" applyFont="1">
      <alignment horizontal="left" readingOrder="0"/>
    </xf>
    <xf borderId="0" fillId="0" fontId="21" numFmtId="0" xfId="0" applyAlignment="1" applyFont="1">
      <alignment readingOrder="0" shrinkToFit="0" wrapText="0"/>
    </xf>
    <xf borderId="2" fillId="10" fontId="6" numFmtId="0" xfId="0" applyAlignment="1" applyBorder="1" applyFont="1">
      <alignment horizontal="left" readingOrder="0" shrinkToFit="0" wrapText="0"/>
    </xf>
    <xf borderId="0" fillId="10" fontId="6" numFmtId="0" xfId="0" applyAlignment="1" applyFont="1">
      <alignment horizontal="left" readingOrder="0" shrinkToFit="0" wrapText="0"/>
    </xf>
    <xf borderId="1" fillId="10" fontId="6" numFmtId="0" xfId="0" applyAlignment="1" applyBorder="1" applyFill="1" applyFont="1">
      <alignment readingOrder="0" shrinkToFit="0" wrapText="0"/>
    </xf>
    <xf borderId="3" fillId="14" fontId="3" numFmtId="0" xfId="0" applyAlignment="1" applyBorder="1" applyFont="1">
      <alignment shrinkToFit="0" wrapText="0"/>
    </xf>
    <xf borderId="2" fillId="14" fontId="3" numFmtId="0" xfId="0" applyAlignment="1" applyBorder="1" applyFont="1">
      <alignment horizontal="left" readingOrder="0"/>
    </xf>
    <xf borderId="0" fillId="14" fontId="3" numFmtId="0" xfId="0" applyAlignment="1" applyFont="1">
      <alignment horizontal="left"/>
    </xf>
    <xf borderId="3" fillId="14" fontId="19" numFmtId="0" xfId="0" applyAlignment="1" applyBorder="1" applyFont="1">
      <alignment readingOrder="0" shrinkToFit="0" wrapText="0"/>
    </xf>
    <xf borderId="3" fillId="15" fontId="3" numFmtId="0" xfId="0" applyAlignment="1" applyBorder="1" applyFill="1" applyFont="1">
      <alignment shrinkToFit="0" wrapText="0"/>
    </xf>
    <xf borderId="1" fillId="0" fontId="22" numFmtId="0" xfId="0" applyAlignment="1" applyBorder="1" applyFont="1">
      <alignment readingOrder="0" shrinkToFit="0" wrapText="0"/>
    </xf>
    <xf borderId="1" fillId="10" fontId="6" numFmtId="0" xfId="0" applyAlignment="1" applyBorder="1" applyFont="1">
      <alignment horizontal="left" readingOrder="0" shrinkToFit="0" wrapText="0"/>
    </xf>
    <xf borderId="3" fillId="14" fontId="20" numFmtId="0" xfId="0" applyAlignment="1" applyBorder="1" applyFont="1">
      <alignment readingOrder="0" shrinkToFit="0" wrapText="0"/>
    </xf>
    <xf borderId="0" fillId="0" fontId="14" numFmtId="164" xfId="0" applyAlignment="1" applyFont="1" applyNumberFormat="1">
      <alignment horizontal="left" readingOrder="0"/>
    </xf>
    <xf borderId="2" fillId="0" fontId="14" numFmtId="49" xfId="0" applyAlignment="1" applyBorder="1" applyFont="1" applyNumberFormat="1">
      <alignment horizontal="left" readingOrder="0"/>
    </xf>
    <xf borderId="3" fillId="14" fontId="3" numFmtId="0" xfId="0" applyAlignment="1" applyBorder="1" applyFont="1">
      <alignment readingOrder="0" shrinkToFit="0" wrapText="0"/>
    </xf>
    <xf borderId="1" fillId="16" fontId="3" numFmtId="0" xfId="0" applyAlignment="1" applyBorder="1" applyFill="1" applyFont="1">
      <alignment horizontal="center" readingOrder="0"/>
    </xf>
    <xf borderId="0" fillId="0" fontId="3" numFmtId="0" xfId="0" applyAlignment="1" applyFont="1">
      <alignment horizontal="left"/>
    </xf>
    <xf borderId="3" fillId="17" fontId="3" numFmtId="0" xfId="0" applyAlignment="1" applyBorder="1" applyFill="1" applyFont="1">
      <alignment horizontal="center" readingOrder="0"/>
    </xf>
    <xf borderId="0" fillId="10" fontId="16" numFmtId="0" xfId="0" applyAlignment="1" applyFont="1">
      <alignment horizontal="left" readingOrder="0"/>
    </xf>
    <xf borderId="0" fillId="14" fontId="14" numFmtId="0" xfId="0" applyAlignment="1" applyFont="1">
      <alignment horizontal="left" readingOrder="0"/>
    </xf>
    <xf borderId="0" fillId="14" fontId="3" numFmtId="0" xfId="0" applyAlignment="1" applyFont="1">
      <alignment horizontal="left" readingOrder="0" shrinkToFit="0" textRotation="0" wrapText="0"/>
    </xf>
    <xf borderId="2" fillId="14" fontId="3" numFmtId="0" xfId="0" applyAlignment="1" applyBorder="1" applyFont="1">
      <alignment horizontal="left" readingOrder="0" shrinkToFit="0" textRotation="0" wrapText="0"/>
    </xf>
    <xf borderId="0" fillId="10" fontId="8" numFmtId="0" xfId="0" applyAlignment="1" applyFont="1">
      <alignment horizontal="left" readingOrder="0" shrinkToFit="0" wrapText="0"/>
    </xf>
    <xf borderId="1" fillId="0" fontId="6" numFmtId="0" xfId="0" applyAlignment="1" applyBorder="1" applyFont="1">
      <alignment readingOrder="0" shrinkToFit="0" wrapText="0"/>
    </xf>
    <xf borderId="0" fillId="0" fontId="3" numFmtId="165" xfId="0" applyAlignment="1" applyFont="1" applyNumberFormat="1">
      <alignment horizontal="left" readingOrder="0"/>
    </xf>
    <xf borderId="0" fillId="0" fontId="23" numFmtId="0" xfId="0" applyAlignment="1" applyFont="1">
      <alignment readingOrder="0" shrinkToFit="0" wrapText="0"/>
    </xf>
    <xf borderId="1" fillId="0" fontId="24" numFmtId="0" xfId="0" applyAlignment="1" applyBorder="1" applyFont="1">
      <alignment readingOrder="0" shrinkToFit="0" wrapText="0"/>
    </xf>
    <xf borderId="2" fillId="0" fontId="3" numFmtId="49" xfId="0" applyAlignment="1" applyBorder="1" applyFont="1" applyNumberFormat="1">
      <alignment horizontal="left"/>
    </xf>
    <xf borderId="2" fillId="0" fontId="3" numFmtId="0" xfId="0" applyAlignment="1" applyBorder="1" applyFont="1">
      <alignment shrinkToFit="0" wrapText="0"/>
    </xf>
    <xf borderId="2" fillId="14" fontId="3" numFmtId="0" xfId="0" applyAlignment="1" applyBorder="1" applyFont="1">
      <alignment horizontal="left"/>
    </xf>
    <xf borderId="0" fillId="10" fontId="3" numFmtId="0" xfId="0" applyAlignment="1" applyFont="1">
      <alignment horizontal="left" readingOrder="0"/>
    </xf>
    <xf borderId="2" fillId="17" fontId="3" numFmtId="0" xfId="0" applyAlignment="1" applyBorder="1" applyFont="1">
      <alignment horizontal="left" readingOrder="0" shrinkToFit="0" wrapText="0"/>
    </xf>
    <xf borderId="0" fillId="17" fontId="3" numFmtId="49" xfId="0" applyAlignment="1" applyFont="1" applyNumberFormat="1">
      <alignment readingOrder="0" shrinkToFit="0" wrapText="0"/>
    </xf>
    <xf borderId="0" fillId="17" fontId="3" numFmtId="0" xfId="0" applyAlignment="1" applyFont="1">
      <alignment readingOrder="0" shrinkToFit="0" wrapText="0"/>
    </xf>
    <xf borderId="0" fillId="17" fontId="3" numFmtId="0" xfId="0" applyAlignment="1" applyFont="1">
      <alignment shrinkToFit="0" wrapText="0"/>
    </xf>
    <xf borderId="0" fillId="14" fontId="3" numFmtId="0" xfId="0" applyAlignment="1" applyFont="1">
      <alignment horizontal="left" readingOrder="0" shrinkToFit="0" wrapText="0"/>
    </xf>
    <xf borderId="0" fillId="18" fontId="25" numFmtId="0" xfId="0" applyAlignment="1" applyFill="1" applyFont="1">
      <alignment readingOrder="0" shrinkToFit="0" wrapText="0"/>
    </xf>
    <xf borderId="1" fillId="18" fontId="26" numFmtId="0" xfId="0" applyAlignment="1" applyBorder="1" applyFont="1">
      <alignment readingOrder="0" shrinkToFit="0" wrapText="0"/>
    </xf>
    <xf borderId="1" fillId="10" fontId="27" numFmtId="0" xfId="0" applyAlignment="1" applyBorder="1" applyFont="1">
      <alignment horizontal="left" readingOrder="0" shrinkToFit="0" wrapText="0"/>
    </xf>
    <xf borderId="1" fillId="0" fontId="3" numFmtId="0" xfId="0" applyAlignment="1" applyBorder="1" applyFont="1">
      <alignment horizontal="center" readingOrder="0"/>
    </xf>
    <xf borderId="0" fillId="18" fontId="28" numFmtId="0" xfId="0" applyAlignment="1" applyFont="1">
      <alignment readingOrder="0" shrinkToFit="0" wrapText="0"/>
    </xf>
    <xf borderId="3" fillId="17" fontId="3" numFmtId="0" xfId="0" applyAlignment="1" applyBorder="1" applyFont="1">
      <alignment horizontal="center"/>
    </xf>
    <xf borderId="0" fillId="17" fontId="29" numFmtId="49" xfId="0" applyAlignment="1" applyFont="1" applyNumberFormat="1">
      <alignment readingOrder="0" shrinkToFit="0" wrapText="0"/>
    </xf>
    <xf borderId="0" fillId="17" fontId="30" numFmtId="0" xfId="0" applyAlignment="1" applyFont="1">
      <alignment readingOrder="0" shrinkToFit="0" wrapText="0"/>
    </xf>
    <xf borderId="0" fillId="14" fontId="6" numFmtId="0" xfId="0" applyAlignment="1" applyFont="1">
      <alignment horizontal="left" readingOrder="0"/>
    </xf>
    <xf borderId="0" fillId="14" fontId="3" numFmtId="0" xfId="0" applyAlignment="1" applyFont="1">
      <alignment horizontal="left"/>
    </xf>
    <xf borderId="0" fillId="0" fontId="31" numFmtId="0" xfId="0" applyAlignment="1" applyFont="1">
      <alignment horizontal="left" readingOrder="0" shrinkToFit="0" wrapText="0"/>
    </xf>
    <xf borderId="1" fillId="0" fontId="32" numFmtId="0" xfId="0" applyAlignment="1" applyBorder="1" applyFont="1">
      <alignment horizontal="left" readingOrder="0" shrinkToFit="0" wrapText="0"/>
    </xf>
    <xf borderId="1" fillId="0" fontId="3" numFmtId="0" xfId="0" applyAlignment="1" applyBorder="1" applyFont="1">
      <alignment horizontal="left" shrinkToFit="0" wrapText="0"/>
    </xf>
    <xf borderId="0" fillId="0" fontId="33" numFmtId="0" xfId="0" applyAlignment="1" applyFont="1">
      <alignment horizontal="left" readingOrder="0" shrinkToFit="0" wrapText="0"/>
    </xf>
    <xf borderId="1" fillId="0" fontId="34" numFmtId="0" xfId="0" applyAlignment="1" applyBorder="1" applyFont="1">
      <alignment horizontal="left" readingOrder="0" shrinkToFit="0" wrapText="0"/>
    </xf>
    <xf borderId="1" fillId="14" fontId="3" numFmtId="0" xfId="0" applyAlignment="1" applyBorder="1" applyFont="1">
      <alignment readingOrder="0" shrinkToFit="0" wrapText="0"/>
    </xf>
    <xf borderId="0" fillId="0" fontId="35" numFmtId="0" xfId="0" applyAlignment="1" applyFont="1">
      <alignment horizontal="center" readingOrder="0" shrinkToFit="0" wrapText="0"/>
    </xf>
    <xf borderId="0" fillId="0" fontId="3" numFmtId="0" xfId="0" applyAlignment="1" applyFont="1">
      <alignment horizontal="left" readingOrder="0" shrinkToFit="0" wrapText="0"/>
    </xf>
    <xf borderId="0" fillId="0" fontId="36" numFmtId="0" xfId="0" applyAlignment="1" applyFont="1">
      <alignment horizontal="left" readingOrder="0" shrinkToFit="0" wrapText="0"/>
    </xf>
    <xf borderId="0" fillId="17" fontId="3" numFmtId="49" xfId="0" applyAlignment="1" applyFont="1" applyNumberFormat="1">
      <alignment shrinkToFit="0" wrapText="0"/>
    </xf>
    <xf borderId="0" fillId="0" fontId="3" numFmtId="0" xfId="0" applyAlignment="1" applyFont="1">
      <alignment shrinkToFit="0" wrapText="0"/>
    </xf>
    <xf borderId="0" fillId="0" fontId="3" numFmtId="0" xfId="0" applyAlignment="1" applyFont="1">
      <alignment horizontal="center"/>
    </xf>
    <xf borderId="0" fillId="17" fontId="37" numFmtId="0" xfId="0" applyAlignment="1" applyFont="1">
      <alignment readingOrder="0" shrinkToFit="0" wrapText="0"/>
    </xf>
    <xf borderId="0" fillId="17" fontId="3" numFmtId="0" xfId="0" applyAlignment="1" applyFont="1">
      <alignment shrinkToFit="0" wrapText="0"/>
    </xf>
    <xf borderId="1" fillId="14" fontId="3" numFmtId="0" xfId="0" applyAlignment="1" applyBorder="1" applyFont="1">
      <alignment horizontal="center" readingOrder="0"/>
    </xf>
    <xf borderId="0" fillId="14" fontId="38" numFmtId="0" xfId="0" applyAlignment="1" applyFont="1">
      <alignment readingOrder="0" shrinkToFit="0" wrapText="0"/>
    </xf>
    <xf borderId="0" fillId="0" fontId="3" numFmtId="0" xfId="0" applyAlignment="1" applyFont="1">
      <alignment vertical="bottom"/>
    </xf>
    <xf borderId="2" fillId="0" fontId="3" numFmtId="0" xfId="0" applyAlignment="1" applyBorder="1" applyFont="1">
      <alignment shrinkToFit="0" wrapText="0"/>
    </xf>
    <xf borderId="2" fillId="14" fontId="3" numFmtId="0" xfId="0" applyAlignment="1" applyBorder="1" applyFont="1">
      <alignment readingOrder="0"/>
    </xf>
    <xf borderId="0" fillId="0" fontId="3" numFmtId="0" xfId="0" applyAlignment="1" applyFont="1">
      <alignment shrinkToFit="0" vertical="bottom" wrapText="0"/>
    </xf>
    <xf borderId="3" fillId="17" fontId="3" numFmtId="0" xfId="0" applyAlignment="1" applyBorder="1" applyFont="1">
      <alignment horizontal="center"/>
    </xf>
    <xf borderId="1" fillId="0" fontId="3" numFmtId="0" xfId="0" applyBorder="1" applyFont="1"/>
    <xf borderId="0" fillId="0" fontId="3" numFmtId="0" xfId="0" applyAlignment="1" applyFont="1">
      <alignment vertical="bottom"/>
    </xf>
    <xf borderId="0" fillId="0" fontId="3" numFmtId="0" xfId="0" applyAlignment="1" applyFont="1">
      <alignment shrinkToFit="0" vertical="bottom" wrapText="0"/>
    </xf>
    <xf borderId="1" fillId="0" fontId="3" numFmtId="0" xfId="0" applyAlignment="1" applyBorder="1" applyFont="1">
      <alignment horizontal="center"/>
    </xf>
    <xf borderId="2" fillId="0" fontId="3" numFmtId="49" xfId="0" applyBorder="1" applyFont="1" applyNumberFormat="1"/>
    <xf borderId="1" fillId="10" fontId="3" numFmtId="0" xfId="0" applyAlignment="1" applyBorder="1" applyFont="1">
      <alignment readingOrder="0" shrinkToFit="0" wrapText="0"/>
    </xf>
    <xf borderId="2" fillId="0" fontId="3" numFmtId="0" xfId="0" applyAlignment="1" applyBorder="1" applyFont="1">
      <alignment readingOrder="0" shrinkToFit="0" wrapText="0"/>
    </xf>
    <xf borderId="2" fillId="19" fontId="3" numFmtId="0" xfId="0" applyAlignment="1" applyBorder="1" applyFill="1" applyFont="1">
      <alignment readingOrder="0" shrinkToFit="0" wrapText="0"/>
    </xf>
    <xf borderId="0" fillId="0" fontId="3" numFmtId="0" xfId="0" applyAlignment="1" applyFont="1">
      <alignment readingOrder="0" shrinkToFit="0" vertical="bottom" wrapText="0"/>
    </xf>
    <xf borderId="1" fillId="14" fontId="3" numFmtId="0" xfId="0" applyAlignment="1" applyBorder="1" applyFont="1">
      <alignment horizontal="left" readingOrder="0" shrinkToFit="0" wrapText="0"/>
    </xf>
    <xf borderId="2" fillId="14" fontId="3" numFmtId="0" xfId="0" applyAlignment="1" applyBorder="1" applyFont="1">
      <alignment readingOrder="0" shrinkToFit="0" wrapText="0"/>
    </xf>
    <xf borderId="1" fillId="0" fontId="3" numFmtId="0" xfId="0" applyAlignment="1" applyBorder="1" applyFont="1">
      <alignment readingOrder="0" shrinkToFit="0" wrapText="0"/>
    </xf>
    <xf borderId="1" fillId="20" fontId="3" numFmtId="0" xfId="0" applyAlignment="1" applyBorder="1" applyFill="1" applyFont="1">
      <alignment horizontal="center" readingOrder="0"/>
    </xf>
    <xf borderId="1" fillId="10" fontId="6" numFmtId="0" xfId="0" applyAlignment="1" applyBorder="1" applyFont="1">
      <alignment horizontal="left" readingOrder="0"/>
    </xf>
    <xf borderId="2" fillId="0" fontId="3" numFmtId="0" xfId="0" applyAlignment="1" applyBorder="1" applyFont="1">
      <alignment readingOrder="0" vertical="bottom"/>
    </xf>
    <xf borderId="0" fillId="14" fontId="16" numFmtId="0" xfId="0" applyAlignment="1" applyFont="1">
      <alignment horizontal="left" readingOrder="0"/>
    </xf>
    <xf borderId="1" fillId="10" fontId="16" numFmtId="0" xfId="0" applyAlignment="1" applyBorder="1" applyFont="1">
      <alignment horizontal="left" readingOrder="0"/>
    </xf>
    <xf borderId="2" fillId="11" fontId="3" numFmtId="0" xfId="0" applyAlignment="1" applyBorder="1" applyFont="1">
      <alignment horizontal="center" vertical="bottom"/>
    </xf>
    <xf borderId="2" fillId="11" fontId="3" numFmtId="0" xfId="0" applyAlignment="1" applyBorder="1" applyFont="1">
      <alignment horizontal="center" vertical="bottom"/>
    </xf>
    <xf borderId="2" fillId="0" fontId="3" numFmtId="49" xfId="0" applyAlignment="1" applyBorder="1" applyFont="1" applyNumberFormat="1">
      <alignment vertical="bottom"/>
    </xf>
    <xf borderId="0" fillId="10" fontId="3" numFmtId="0" xfId="0" applyAlignment="1" applyFont="1">
      <alignment horizontal="left" vertical="bottom"/>
    </xf>
    <xf borderId="0" fillId="0" fontId="39" numFmtId="0" xfId="0" applyAlignment="1" applyFont="1">
      <alignment readingOrder="0" shrinkToFit="0" wrapText="0"/>
    </xf>
    <xf borderId="3" fillId="0" fontId="3" numFmtId="0" xfId="0" applyAlignment="1" applyBorder="1" applyFont="1">
      <alignment horizontal="center"/>
    </xf>
    <xf borderId="1" fillId="0" fontId="3" numFmtId="0" xfId="0" applyAlignment="1" applyBorder="1" applyFont="1">
      <alignment horizontal="center" readingOrder="0" shrinkToFit="0" wrapText="0"/>
    </xf>
    <xf borderId="2" fillId="0" fontId="3" numFmtId="49" xfId="0" applyAlignment="1" applyBorder="1" applyFont="1" applyNumberFormat="1">
      <alignment readingOrder="0" shrinkToFit="0" wrapText="0"/>
    </xf>
    <xf borderId="2" fillId="14" fontId="3" numFmtId="0" xfId="0" applyAlignment="1" applyBorder="1" applyFont="1">
      <alignment horizontal="left" shrinkToFit="0" wrapText="0"/>
    </xf>
    <xf borderId="2" fillId="0" fontId="40" numFmtId="49" xfId="0" applyAlignment="1" applyBorder="1" applyFont="1" applyNumberFormat="1">
      <alignment readingOrder="0"/>
    </xf>
    <xf borderId="0" fillId="0" fontId="0" numFmtId="0" xfId="0" applyAlignment="1" applyFont="1">
      <alignment readingOrder="0" vertical="bottom"/>
    </xf>
    <xf borderId="0" fillId="10" fontId="41" numFmtId="0" xfId="0" applyAlignment="1" applyFont="1">
      <alignment horizontal="left" readingOrder="0" shrinkToFit="0" wrapText="0"/>
    </xf>
    <xf borderId="0" fillId="0" fontId="42" numFmtId="0" xfId="0" applyAlignment="1" applyFont="1">
      <alignment horizontal="left" readingOrder="0" shrinkToFit="0" wrapText="0"/>
    </xf>
    <xf borderId="1" fillId="0" fontId="43" numFmtId="0" xfId="0" applyAlignment="1" applyBorder="1" applyFont="1">
      <alignment horizontal="left" readingOrder="0" shrinkToFit="0" wrapText="0"/>
    </xf>
    <xf borderId="3" fillId="0" fontId="3" numFmtId="0" xfId="0" applyAlignment="1" applyBorder="1" applyFont="1">
      <alignment readingOrder="0"/>
    </xf>
    <xf borderId="3" fillId="9" fontId="3" numFmtId="0" xfId="0" applyAlignment="1" applyBorder="1" applyFont="1">
      <alignment horizontal="center" readingOrder="0"/>
    </xf>
    <xf borderId="2" fillId="21" fontId="3" numFmtId="0" xfId="0" applyAlignment="1" applyBorder="1" applyFill="1" applyFont="1">
      <alignment horizontal="center" vertical="bottom"/>
    </xf>
    <xf borderId="2" fillId="14" fontId="3" numFmtId="0" xfId="0" applyAlignment="1" applyBorder="1" applyFont="1">
      <alignment horizontal="left" readingOrder="0" shrinkToFit="0" wrapText="0"/>
    </xf>
    <xf borderId="2" fillId="19" fontId="3" numFmtId="0" xfId="0" applyAlignment="1" applyBorder="1" applyFont="1">
      <alignment horizontal="left" readingOrder="0" shrinkToFit="0" wrapText="0"/>
    </xf>
    <xf borderId="3" fillId="14" fontId="3" numFmtId="0" xfId="0" applyAlignment="1" applyBorder="1" applyFont="1">
      <alignment horizontal="center" readingOrder="0"/>
    </xf>
    <xf borderId="2" fillId="20" fontId="3" numFmtId="0" xfId="0" applyAlignment="1" applyBorder="1" applyFont="1">
      <alignment horizontal="center" vertical="bottom"/>
    </xf>
    <xf borderId="0" fillId="0" fontId="3" numFmtId="0" xfId="0" applyAlignment="1" applyFont="1">
      <alignment horizontal="left" readingOrder="0"/>
    </xf>
    <xf borderId="2" fillId="21" fontId="3" numFmtId="0" xfId="0" applyAlignment="1" applyBorder="1" applyFont="1">
      <alignment horizontal="center" readingOrder="0"/>
    </xf>
    <xf borderId="0" fillId="0" fontId="44" numFmtId="49" xfId="0" applyAlignment="1" applyFont="1" applyNumberFormat="1">
      <alignment readingOrder="0" shrinkToFit="0" wrapText="0"/>
    </xf>
    <xf borderId="1" fillId="13" fontId="3" numFmtId="0" xfId="0" applyAlignment="1" applyBorder="1" applyFont="1">
      <alignment horizontal="center" vertical="bottom"/>
    </xf>
    <xf borderId="2" fillId="0" fontId="3" numFmtId="49" xfId="0" applyAlignment="1" applyBorder="1" applyFont="1" applyNumberFormat="1">
      <alignment horizontal="left" vertical="bottom"/>
    </xf>
    <xf borderId="3" fillId="0" fontId="3" numFmtId="49" xfId="0" applyAlignment="1" applyBorder="1" applyFont="1" applyNumberFormat="1">
      <alignment readingOrder="0" shrinkToFit="0" wrapText="0"/>
    </xf>
    <xf borderId="0" fillId="0" fontId="3" numFmtId="49" xfId="0" applyAlignment="1" applyFont="1" applyNumberFormat="1">
      <alignment readingOrder="0"/>
    </xf>
    <xf borderId="1" fillId="22" fontId="3" numFmtId="0" xfId="0" applyAlignment="1" applyBorder="1" applyFill="1" applyFont="1">
      <alignment horizontal="center" readingOrder="0"/>
    </xf>
    <xf borderId="3" fillId="0" fontId="3" numFmtId="0" xfId="0" applyAlignment="1" applyBorder="1" applyFont="1">
      <alignment horizontal="left" shrinkToFit="0" wrapText="0"/>
    </xf>
    <xf borderId="1" fillId="17" fontId="3" numFmtId="0" xfId="0" applyAlignment="1" applyBorder="1" applyFont="1">
      <alignment readingOrder="0" shrinkToFit="0" wrapText="0"/>
    </xf>
    <xf borderId="0" fillId="0" fontId="45" numFmtId="0" xfId="0" applyAlignment="1" applyFont="1">
      <alignment readingOrder="0" shrinkToFit="0" wrapText="0"/>
    </xf>
    <xf borderId="1" fillId="0" fontId="46" numFmtId="0" xfId="0" applyAlignment="1" applyBorder="1" applyFont="1">
      <alignment shrinkToFit="0" wrapText="0"/>
    </xf>
    <xf borderId="2" fillId="14" fontId="3" numFmtId="49" xfId="0" applyAlignment="1" applyBorder="1" applyFont="1" applyNumberFormat="1">
      <alignment horizontal="left" readingOrder="0"/>
    </xf>
    <xf borderId="0" fillId="14" fontId="47" numFmtId="0" xfId="0" applyAlignment="1" applyFont="1">
      <alignment readingOrder="0" shrinkToFit="0" wrapText="0"/>
    </xf>
    <xf borderId="1" fillId="14" fontId="3" numFmtId="0" xfId="0" applyAlignment="1" applyBorder="1" applyFont="1">
      <alignment shrinkToFit="0" wrapText="0"/>
    </xf>
    <xf borderId="0" fillId="14" fontId="3" numFmtId="0" xfId="0" applyAlignment="1" applyFont="1">
      <alignment horizontal="left" readingOrder="0"/>
    </xf>
    <xf borderId="0" fillId="14" fontId="48" numFmtId="0" xfId="0" applyAlignment="1" applyFont="1">
      <alignment readingOrder="0" shrinkToFit="0" wrapText="0"/>
    </xf>
    <xf borderId="0" fillId="14" fontId="3" numFmtId="0" xfId="0" applyAlignment="1" applyFont="1">
      <alignment readingOrder="0" shrinkToFit="0" wrapText="0"/>
    </xf>
    <xf borderId="0" fillId="14" fontId="3" numFmtId="0" xfId="0" applyAlignment="1" applyFont="1">
      <alignment horizontal="left" shrinkToFit="0" wrapText="0"/>
    </xf>
    <xf borderId="3" fillId="23" fontId="3" numFmtId="0" xfId="0" applyAlignment="1" applyBorder="1" applyFill="1" applyFont="1">
      <alignment horizontal="center" readingOrder="0"/>
    </xf>
    <xf borderId="1" fillId="14" fontId="49" numFmtId="0" xfId="0" applyAlignment="1" applyBorder="1" applyFont="1">
      <alignment readingOrder="0" shrinkToFit="0" wrapText="0"/>
    </xf>
    <xf borderId="0" fillId="10" fontId="50" numFmtId="0" xfId="0" applyAlignment="1" applyFont="1">
      <alignment horizontal="left" readingOrder="0"/>
    </xf>
    <xf borderId="2" fillId="14" fontId="3" numFmtId="49" xfId="0" applyAlignment="1" applyBorder="1" applyFont="1" applyNumberFormat="1">
      <alignment horizontal="left" readingOrder="0" shrinkToFit="0" wrapText="0"/>
    </xf>
    <xf borderId="0" fillId="14" fontId="6" numFmtId="0" xfId="0" applyAlignment="1" applyFont="1">
      <alignment horizontal="left" readingOrder="0" shrinkToFit="0" wrapText="0"/>
    </xf>
    <xf borderId="0" fillId="14" fontId="16" numFmtId="0" xfId="0" applyAlignment="1" applyFont="1">
      <alignment horizontal="left" readingOrder="0" shrinkToFit="0" wrapText="0"/>
    </xf>
    <xf borderId="2" fillId="24" fontId="3" numFmtId="0" xfId="0" applyAlignment="1" applyBorder="1" applyFill="1" applyFont="1">
      <alignment horizontal="center" readingOrder="0" shrinkToFit="0" wrapText="0"/>
    </xf>
    <xf borderId="2" fillId="0" fontId="3" numFmtId="0" xfId="0" applyAlignment="1" applyBorder="1" applyFont="1">
      <alignment horizontal="left" shrinkToFit="0" wrapText="0"/>
    </xf>
    <xf borderId="2" fillId="24" fontId="3" numFmtId="0" xfId="0" applyAlignment="1" applyBorder="1" applyFont="1">
      <alignment horizontal="center" readingOrder="0"/>
    </xf>
    <xf borderId="1" fillId="10" fontId="3" numFmtId="0" xfId="0" applyAlignment="1" applyBorder="1" applyFont="1">
      <alignment horizontal="center" readingOrder="0"/>
    </xf>
    <xf borderId="2" fillId="25" fontId="3" numFmtId="0" xfId="0" applyAlignment="1" applyBorder="1" applyFill="1" applyFont="1">
      <alignment horizontal="center" readingOrder="0"/>
    </xf>
    <xf borderId="1" fillId="3" fontId="3" numFmtId="0" xfId="0" applyAlignment="1" applyBorder="1" applyFont="1">
      <alignment horizontal="center" readingOrder="0"/>
    </xf>
    <xf borderId="0" fillId="0" fontId="3" numFmtId="49" xfId="0" applyAlignment="1" applyFont="1" applyNumberFormat="1">
      <alignment horizontal="left" readingOrder="0"/>
    </xf>
    <xf borderId="4" fillId="0" fontId="51" numFmtId="0" xfId="0" applyAlignment="1" applyBorder="1" applyFont="1">
      <alignment readingOrder="0" shrinkToFit="0" wrapText="0"/>
    </xf>
    <xf borderId="2" fillId="26" fontId="3" numFmtId="0" xfId="0" applyAlignment="1" applyBorder="1" applyFill="1" applyFont="1">
      <alignment horizontal="center" readingOrder="0"/>
    </xf>
    <xf borderId="1" fillId="4" fontId="3" numFmtId="0" xfId="0" applyBorder="1" applyFont="1"/>
    <xf borderId="0" fillId="0" fontId="3" numFmtId="0" xfId="0" applyAlignment="1" applyFont="1">
      <alignment horizontal="left" shrinkToFit="0" wrapText="1"/>
    </xf>
    <xf borderId="1" fillId="6" fontId="3" numFmtId="49" xfId="0" applyAlignment="1" applyBorder="1" applyFont="1" applyNumberFormat="1">
      <alignment readingOrder="0"/>
    </xf>
    <xf borderId="2" fillId="0" fontId="3" numFmtId="0" xfId="0" applyAlignment="1" applyBorder="1" applyFont="1">
      <alignment horizontal="left" readingOrder="0" vertical="center"/>
    </xf>
    <xf borderId="0" fillId="27" fontId="52" numFmtId="0" xfId="0" applyAlignment="1" applyFill="1" applyFont="1">
      <alignment readingOrder="0" shrinkToFit="0" wrapText="0"/>
    </xf>
    <xf borderId="1" fillId="6" fontId="3" numFmtId="49" xfId="0" applyAlignment="1" applyBorder="1" applyFont="1" applyNumberFormat="1">
      <alignment horizontal="center" readingOrder="0"/>
    </xf>
    <xf borderId="1" fillId="12" fontId="3" numFmtId="49" xfId="0" applyAlignment="1" applyBorder="1" applyFont="1" applyNumberFormat="1">
      <alignment horizontal="center" readingOrder="0"/>
    </xf>
    <xf borderId="3" fillId="0" fontId="3" numFmtId="0" xfId="0" applyAlignment="1" applyBorder="1" applyFont="1">
      <alignment horizontal="left" readingOrder="0" shrinkToFit="0" wrapText="0"/>
    </xf>
    <xf borderId="0" fillId="0" fontId="3" numFmtId="49" xfId="0" applyFont="1" applyNumberFormat="1"/>
    <xf borderId="0" fillId="14" fontId="3" numFmtId="0" xfId="0" applyAlignment="1" applyFont="1">
      <alignment horizontal="left" shrinkToFit="0" wrapText="1"/>
    </xf>
    <xf borderId="0" fillId="10" fontId="53" numFmtId="0" xfId="0" applyAlignment="1" applyFont="1">
      <alignment horizontal="left" readingOrder="0"/>
    </xf>
    <xf borderId="0" fillId="0" fontId="54" numFmtId="0" xfId="0" applyAlignment="1" applyFont="1">
      <alignment readingOrder="0" shrinkToFit="0" wrapText="0"/>
    </xf>
    <xf borderId="2" fillId="0" fontId="3" numFmtId="0" xfId="0" applyAlignment="1" applyBorder="1" applyFont="1">
      <alignment horizontal="left" readingOrder="0"/>
    </xf>
    <xf borderId="0" fillId="14" fontId="3" numFmtId="49" xfId="0" applyAlignment="1" applyFont="1" applyNumberFormat="1">
      <alignment horizontal="left" readingOrder="0"/>
    </xf>
    <xf borderId="0" fillId="0" fontId="3" numFmtId="0" xfId="0" applyAlignment="1" applyFont="1">
      <alignment horizontal="center" readingOrder="0" shrinkToFit="0" wrapText="0"/>
    </xf>
    <xf borderId="1" fillId="21" fontId="3" numFmtId="49" xfId="0" applyAlignment="1" applyBorder="1" applyFont="1" applyNumberFormat="1">
      <alignment horizontal="center" readingOrder="0"/>
    </xf>
    <xf borderId="0" fillId="0" fontId="3" numFmtId="49" xfId="0" applyAlignment="1" applyFont="1" applyNumberFormat="1">
      <alignment horizontal="left"/>
    </xf>
    <xf borderId="4" fillId="14" fontId="3" numFmtId="0" xfId="0" applyAlignment="1" applyBorder="1" applyFont="1">
      <alignment horizontal="left" readingOrder="0"/>
    </xf>
    <xf borderId="3" fillId="0" fontId="3" numFmtId="49" xfId="0" applyAlignment="1" applyBorder="1" applyFont="1" applyNumberFormat="1">
      <alignment horizontal="left"/>
    </xf>
    <xf borderId="3" fillId="0" fontId="3" numFmtId="0" xfId="0" applyAlignment="1" applyBorder="1" applyFont="1">
      <alignment horizontal="left" shrinkToFit="0" wrapText="1"/>
    </xf>
    <xf borderId="1" fillId="4" fontId="3" numFmtId="0" xfId="0" applyAlignment="1" applyBorder="1" applyFont="1">
      <alignment horizontal="center"/>
    </xf>
    <xf borderId="3" fillId="0" fontId="3" numFmtId="49" xfId="0" applyAlignment="1" applyBorder="1" applyFont="1" applyNumberFormat="1">
      <alignment horizontal="left" readingOrder="0"/>
    </xf>
    <xf borderId="3" fillId="0" fontId="3" numFmtId="0" xfId="0" applyAlignment="1" applyBorder="1" applyFont="1">
      <alignment horizontal="left" readingOrder="0"/>
    </xf>
    <xf borderId="1" fillId="26" fontId="3" numFmtId="0" xfId="0" applyAlignment="1" applyBorder="1" applyFont="1">
      <alignment horizontal="center" readingOrder="0"/>
    </xf>
    <xf borderId="3" fillId="0" fontId="3" numFmtId="0" xfId="0" applyAlignment="1" applyBorder="1" applyFont="1">
      <alignment horizontal="left"/>
    </xf>
    <xf borderId="0" fillId="0" fontId="3" numFmtId="49" xfId="0" applyAlignment="1" applyFont="1" applyNumberFormat="1">
      <alignment shrinkToFit="0" wrapText="0"/>
    </xf>
    <xf borderId="0" fillId="10" fontId="3" numFmtId="49" xfId="0" applyAlignment="1" applyFont="1" applyNumberFormat="1">
      <alignment horizontal="left" vertical="bottom"/>
    </xf>
    <xf borderId="3" fillId="10" fontId="3" numFmtId="49" xfId="0" applyAlignment="1" applyBorder="1" applyFont="1" applyNumberFormat="1">
      <alignment horizontal="left" vertical="bottom"/>
    </xf>
    <xf borderId="2" fillId="14" fontId="55" numFmtId="0" xfId="0" applyAlignment="1" applyBorder="1" applyFont="1">
      <alignment horizontal="center" vertical="bottom"/>
    </xf>
    <xf borderId="0" fillId="0" fontId="56" numFmtId="0" xfId="0" applyAlignment="1" applyFont="1">
      <alignment shrinkToFit="0" vertical="bottom" wrapText="0"/>
    </xf>
    <xf borderId="0" fillId="0" fontId="55" numFmtId="0" xfId="0" applyAlignment="1" applyFont="1">
      <alignment vertical="bottom"/>
    </xf>
    <xf borderId="3" fillId="0" fontId="3" numFmtId="0" xfId="0" applyAlignment="1" applyBorder="1" applyFont="1">
      <alignment shrinkToFit="0" vertical="bottom" wrapText="0"/>
    </xf>
    <xf borderId="1" fillId="0" fontId="3" numFmtId="0" xfId="0" applyAlignment="1" applyBorder="1" applyFont="1">
      <alignment shrinkToFit="0" vertical="bottom" wrapText="0"/>
    </xf>
    <xf borderId="1" fillId="0" fontId="55" numFmtId="0" xfId="0" applyAlignment="1" applyBorder="1" applyFont="1">
      <alignment vertical="bottom"/>
    </xf>
    <xf borderId="2" fillId="0" fontId="3" numFmtId="49" xfId="0" applyAlignment="1" applyBorder="1" applyFont="1" applyNumberFormat="1">
      <alignment horizontal="left" readingOrder="0" vertical="bottom"/>
    </xf>
    <xf borderId="3" fillId="10" fontId="3" numFmtId="0" xfId="0" applyAlignment="1" applyBorder="1" applyFont="1">
      <alignment shrinkToFit="0" vertical="bottom" wrapText="0"/>
    </xf>
    <xf borderId="0" fillId="0" fontId="3" numFmtId="0" xfId="0" applyAlignment="1" applyFont="1">
      <alignment horizontal="left" shrinkToFit="0" vertical="bottom" wrapText="1"/>
    </xf>
    <xf borderId="2" fillId="23" fontId="55" numFmtId="0" xfId="0" applyAlignment="1" applyBorder="1" applyFont="1">
      <alignment horizontal="center" readingOrder="0" vertical="bottom"/>
    </xf>
    <xf borderId="0" fillId="10" fontId="57" numFmtId="0" xfId="0" applyAlignment="1" applyFont="1">
      <alignment readingOrder="0" shrinkToFit="0" vertical="bottom" wrapText="0"/>
    </xf>
    <xf borderId="0" fillId="10" fontId="58" numFmtId="0" xfId="0" applyAlignment="1" applyFont="1">
      <alignment shrinkToFit="0" vertical="bottom" wrapText="0"/>
    </xf>
    <xf borderId="0" fillId="10" fontId="3"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2" fillId="14" fontId="55" numFmtId="0" xfId="0" applyAlignment="1" applyBorder="1" applyFont="1">
      <alignment horizontal="center" readingOrder="0" vertical="bottom"/>
    </xf>
    <xf borderId="0" fillId="28" fontId="3" numFmtId="49" xfId="0" applyAlignment="1" applyFill="1" applyFont="1" applyNumberFormat="1">
      <alignment horizontal="left" readingOrder="0" vertical="bottom"/>
    </xf>
    <xf borderId="0" fillId="14" fontId="3" numFmtId="0" xfId="0" applyAlignment="1" applyFont="1">
      <alignment shrinkToFit="0" wrapText="0"/>
    </xf>
    <xf borderId="0" fillId="0" fontId="3" numFmtId="49" xfId="0" applyAlignment="1" applyFont="1" applyNumberFormat="1">
      <alignment horizontal="left" vertical="bottom"/>
    </xf>
    <xf borderId="1" fillId="10" fontId="3" numFmtId="0" xfId="0" applyAlignment="1" applyBorder="1" applyFont="1">
      <alignment shrinkToFit="0" vertical="bottom" wrapText="0"/>
    </xf>
    <xf borderId="0" fillId="29" fontId="59" numFmtId="0" xfId="0" applyAlignment="1" applyFill="1" applyFont="1">
      <alignment shrinkToFit="0" vertical="bottom" wrapText="0"/>
    </xf>
    <xf borderId="1" fillId="18" fontId="55" numFmtId="0" xfId="0" applyAlignment="1" applyBorder="1" applyFont="1">
      <alignment vertical="bottom"/>
    </xf>
    <xf borderId="0" fillId="0" fontId="3" numFmtId="0" xfId="0" applyAlignment="1" applyFont="1">
      <alignment horizontal="left" readingOrder="0" vertical="bottom"/>
    </xf>
    <xf borderId="3" fillId="10" fontId="6" numFmtId="0" xfId="0" applyAlignment="1" applyBorder="1" applyFont="1">
      <alignment horizontal="left" readingOrder="0"/>
    </xf>
    <xf borderId="0" fillId="0" fontId="60" numFmtId="0" xfId="0" applyAlignment="1" applyFont="1">
      <alignment readingOrder="0" shrinkToFit="0" vertical="bottom" wrapText="0"/>
    </xf>
    <xf borderId="1" fillId="21" fontId="3" numFmtId="49" xfId="0" applyAlignment="1" applyBorder="1" applyFont="1" applyNumberFormat="1">
      <alignment readingOrder="0"/>
    </xf>
    <xf borderId="0" fillId="10" fontId="61" numFmtId="0" xfId="0" applyAlignment="1" applyFont="1">
      <alignment readingOrder="0" shrinkToFit="0" wrapText="0"/>
    </xf>
    <xf borderId="3" fillId="10" fontId="3" numFmtId="0" xfId="0" applyAlignment="1" applyBorder="1" applyFont="1">
      <alignment horizontal="left" vertical="bottom"/>
    </xf>
    <xf borderId="1" fillId="0" fontId="3" numFmtId="0" xfId="0" applyAlignment="1" applyBorder="1" applyFont="1">
      <alignment readingOrder="0" shrinkToFit="0" vertical="bottom" wrapText="0"/>
    </xf>
    <xf borderId="0" fillId="10" fontId="62" numFmtId="0" xfId="0" applyAlignment="1" applyFont="1">
      <alignment horizontal="left" readingOrder="0"/>
    </xf>
    <xf borderId="1" fillId="21" fontId="3" numFmtId="0" xfId="0" applyAlignment="1" applyBorder="1" applyFont="1">
      <alignment horizontal="center" readingOrder="0"/>
    </xf>
    <xf borderId="1" fillId="0" fontId="63" numFmtId="0" xfId="0" applyAlignment="1" applyBorder="1" applyFont="1">
      <alignment readingOrder="0" shrinkToFit="0" wrapText="0"/>
    </xf>
    <xf borderId="0" fillId="0" fontId="64" numFmtId="0" xfId="0" applyAlignment="1" applyFont="1">
      <alignment readingOrder="0" shrinkToFit="0" wrapText="0"/>
    </xf>
    <xf borderId="0" fillId="0" fontId="3" numFmtId="0" xfId="0" applyAlignment="1" applyFont="1">
      <alignment readingOrder="0" vertical="bottom"/>
    </xf>
    <xf borderId="2" fillId="30" fontId="3" numFmtId="0" xfId="0" applyAlignment="1" applyBorder="1" applyFill="1" applyFont="1">
      <alignment horizontal="center" readingOrder="0"/>
    </xf>
    <xf borderId="2" fillId="31" fontId="3" numFmtId="0" xfId="0" applyAlignment="1" applyBorder="1" applyFill="1" applyFont="1">
      <alignment horizontal="center" readingOrder="0"/>
    </xf>
    <xf borderId="2" fillId="12" fontId="3" numFmtId="0" xfId="0" applyAlignment="1" applyBorder="1" applyFont="1">
      <alignment horizontal="center" readingOrder="0"/>
    </xf>
    <xf borderId="0" fillId="0" fontId="6" numFmtId="0" xfId="0" applyAlignment="1" applyFont="1">
      <alignment readingOrder="0" shrinkToFit="0" wrapText="0"/>
    </xf>
    <xf borderId="1" fillId="0" fontId="65" numFmtId="0" xfId="0" applyAlignment="1" applyBorder="1" applyFont="1">
      <alignment readingOrder="0"/>
    </xf>
    <xf borderId="0" fillId="10" fontId="66" numFmtId="0" xfId="0" applyAlignment="1" applyFont="1">
      <alignment horizontal="left" readingOrder="0"/>
    </xf>
    <xf borderId="0" fillId="14" fontId="67" numFmtId="0" xfId="0" applyAlignment="1" applyFont="1">
      <alignment horizontal="left" readingOrder="0"/>
    </xf>
    <xf borderId="2" fillId="9" fontId="3" numFmtId="0" xfId="0" applyAlignment="1" applyBorder="1" applyFont="1">
      <alignment horizontal="center" readingOrder="0"/>
    </xf>
    <xf borderId="1" fillId="0" fontId="68" numFmtId="0" xfId="0" applyAlignment="1" applyBorder="1" applyFont="1">
      <alignment readingOrder="0"/>
    </xf>
    <xf borderId="0" fillId="14" fontId="3" numFmtId="0" xfId="0" applyFont="1"/>
    <xf borderId="2" fillId="14" fontId="3" numFmtId="49" xfId="0" applyAlignment="1" applyBorder="1" applyFont="1" applyNumberFormat="1">
      <alignment readingOrder="0"/>
    </xf>
    <xf borderId="1" fillId="0" fontId="69" numFmtId="0" xfId="0" applyBorder="1" applyFont="1"/>
    <xf borderId="0" fillId="0" fontId="70" numFmtId="0" xfId="0" applyAlignment="1" applyFont="1">
      <alignment readingOrder="0" shrinkToFit="0" wrapText="0"/>
    </xf>
    <xf borderId="1" fillId="0" fontId="71" numFmtId="0" xfId="0" applyAlignment="1" applyBorder="1" applyFont="1">
      <alignment readingOrder="0" shrinkToFit="0" wrapText="0"/>
    </xf>
    <xf borderId="4" fillId="0" fontId="72" numFmtId="0" xfId="0" applyAlignment="1" applyBorder="1" applyFont="1">
      <alignment readingOrder="0" shrinkToFit="0" wrapText="0"/>
    </xf>
    <xf borderId="5" fillId="0" fontId="73" numFmtId="0" xfId="0" applyAlignment="1" applyBorder="1" applyFont="1">
      <alignment readingOrder="0" shrinkToFit="0" wrapText="0"/>
    </xf>
    <xf borderId="4" fillId="14" fontId="74" numFmtId="0" xfId="0" applyAlignment="1" applyBorder="1" applyFont="1">
      <alignment readingOrder="0" shrinkToFit="0" wrapText="0"/>
    </xf>
    <xf borderId="4" fillId="0" fontId="75" numFmtId="0" xfId="0" applyAlignment="1" applyBorder="1" applyFont="1">
      <alignment readingOrder="0" shrinkToFit="0" wrapText="0"/>
    </xf>
    <xf borderId="0" fillId="14" fontId="66" numFmtId="0" xfId="0" applyAlignment="1" applyFont="1">
      <alignment horizontal="left" readingOrder="0"/>
    </xf>
    <xf borderId="4" fillId="0" fontId="76" numFmtId="0" xfId="0" applyAlignment="1" applyBorder="1" applyFont="1">
      <alignment readingOrder="0" shrinkToFit="0" wrapText="0"/>
    </xf>
    <xf borderId="4" fillId="10" fontId="77" numFmtId="0" xfId="0" applyAlignment="1" applyBorder="1" applyFont="1">
      <alignment readingOrder="0" shrinkToFit="0" wrapText="0"/>
    </xf>
    <xf borderId="4" fillId="0" fontId="78" numFmtId="0" xfId="0" applyAlignment="1" applyBorder="1" applyFont="1">
      <alignment readingOrder="0" shrinkToFit="0" wrapText="0"/>
    </xf>
    <xf borderId="4" fillId="0" fontId="79" numFmtId="0" xfId="0" applyAlignment="1" applyBorder="1" applyFont="1">
      <alignment readingOrder="0" shrinkToFit="0" wrapText="0"/>
    </xf>
    <xf borderId="0" fillId="0" fontId="3" numFmtId="0" xfId="0" applyAlignment="1" applyFont="1">
      <alignment readingOrder="0"/>
    </xf>
    <xf borderId="3" fillId="0" fontId="3" numFmtId="0" xfId="0" applyAlignment="1" applyBorder="1" applyFont="1">
      <alignment readingOrder="0" shrinkToFit="0" wrapText="0"/>
    </xf>
    <xf borderId="0" fillId="0" fontId="3" numFmtId="0" xfId="0" applyAlignment="1" applyFont="1">
      <alignment readingOrder="0" shrinkToFit="0" wrapText="0"/>
    </xf>
    <xf borderId="2" fillId="0" fontId="3" numFmtId="0" xfId="0" applyAlignment="1" applyBorder="1" applyFont="1">
      <alignment readingOrder="0"/>
    </xf>
    <xf borderId="0" fillId="14" fontId="3" numFmtId="0" xfId="0" applyAlignment="1" applyFont="1">
      <alignment horizontal="left" shrinkToFit="0" vertical="bottom" wrapText="0"/>
    </xf>
    <xf borderId="0" fillId="14" fontId="80" numFmtId="0" xfId="0" applyAlignment="1" applyFont="1">
      <alignment readingOrder="0" shrinkToFit="0" wrapText="0"/>
    </xf>
    <xf borderId="1" fillId="14" fontId="81" numFmtId="0" xfId="0" applyAlignment="1" applyBorder="1" applyFont="1">
      <alignment readingOrder="0" shrinkToFit="0" wrapText="0"/>
    </xf>
    <xf borderId="0" fillId="0" fontId="3" numFmtId="0" xfId="0" applyAlignment="1" applyFont="1">
      <alignment horizontal="left" vertical="bottom"/>
    </xf>
    <xf borderId="3" fillId="0" fontId="3" numFmtId="0" xfId="0" applyAlignment="1" applyBorder="1" applyFont="1">
      <alignment horizontal="left" vertical="bottom"/>
    </xf>
    <xf borderId="1" fillId="0" fontId="69" numFmtId="0" xfId="0" applyAlignment="1" applyBorder="1" applyFont="1">
      <alignment readingOrder="0" shrinkToFit="0" wrapText="0"/>
    </xf>
    <xf borderId="2" fillId="0" fontId="82" numFmtId="49" xfId="0" applyAlignment="1" applyBorder="1" applyFont="1" applyNumberFormat="1">
      <alignment readingOrder="0"/>
    </xf>
    <xf borderId="0" fillId="14" fontId="3" numFmtId="49" xfId="0" applyAlignment="1" applyFont="1" applyNumberFormat="1">
      <alignment horizontal="left"/>
    </xf>
    <xf borderId="0" fillId="0" fontId="83" numFmtId="0" xfId="0" applyAlignment="1" applyFont="1">
      <alignment readingOrder="0" shrinkToFit="0" wrapText="0"/>
    </xf>
    <xf borderId="0" fillId="14" fontId="3" numFmtId="0" xfId="0" applyAlignment="1" applyFont="1">
      <alignment horizontal="left" shrinkToFit="0" vertical="bottom" wrapText="1"/>
    </xf>
    <xf borderId="0" fillId="10" fontId="84" numFmtId="0" xfId="0" applyAlignment="1" applyFont="1">
      <alignment readingOrder="0" shrinkToFit="0" wrapText="0"/>
    </xf>
    <xf borderId="0" fillId="0" fontId="85" numFmtId="0" xfId="0" applyAlignment="1" applyFont="1">
      <alignment horizontal="center" shrinkToFit="0" vertical="bottom" wrapText="1"/>
    </xf>
    <xf borderId="0" fillId="0" fontId="86" numFmtId="0" xfId="0" applyAlignment="1" applyFont="1">
      <alignment readingOrder="0" shrinkToFit="0" wrapText="0"/>
    </xf>
    <xf borderId="1" fillId="0" fontId="87" numFmtId="0" xfId="0" applyAlignment="1" applyBorder="1" applyFont="1">
      <alignment readingOrder="0" shrinkToFit="0" wrapText="0"/>
    </xf>
    <xf borderId="0" fillId="14" fontId="3" numFmtId="0" xfId="0" applyAlignment="1" applyFont="1">
      <alignment readingOrder="0"/>
    </xf>
    <xf borderId="1" fillId="24" fontId="3" numFmtId="0" xfId="0" applyAlignment="1" applyBorder="1" applyFont="1">
      <alignment horizontal="center" readingOrder="0"/>
    </xf>
    <xf borderId="0" fillId="3" fontId="3" numFmtId="0" xfId="0" applyAlignment="1" applyFont="1">
      <alignment shrinkToFit="0" wrapText="0"/>
    </xf>
    <xf borderId="3" fillId="12" fontId="3" numFmtId="49" xfId="0" applyAlignment="1" applyBorder="1" applyFont="1" applyNumberFormat="1">
      <alignment horizontal="center" readingOrder="0"/>
    </xf>
    <xf borderId="1" fillId="8" fontId="3" numFmtId="49" xfId="0" applyAlignment="1" applyBorder="1" applyFont="1" applyNumberFormat="1">
      <alignment horizontal="center" readingOrder="0"/>
    </xf>
    <xf borderId="4" fillId="32" fontId="88" numFmtId="49" xfId="0" applyAlignment="1" applyBorder="1" applyFill="1" applyFont="1" applyNumberFormat="1">
      <alignment vertical="bottom"/>
    </xf>
    <xf borderId="4" fillId="10" fontId="89" numFmtId="49" xfId="0" applyAlignment="1" applyBorder="1" applyFont="1" applyNumberFormat="1">
      <alignment horizontal="right" vertical="bottom"/>
    </xf>
    <xf borderId="0" fillId="0" fontId="90" numFmtId="0" xfId="0" applyAlignment="1" applyFont="1">
      <alignment shrinkToFit="0" vertical="bottom" wrapText="0"/>
    </xf>
    <xf borderId="3" fillId="6" fontId="3" numFmtId="49" xfId="0" applyAlignment="1" applyBorder="1" applyFont="1" applyNumberFormat="1">
      <alignment horizontal="center" readingOrder="0"/>
    </xf>
    <xf borderId="0" fillId="10" fontId="91" numFmtId="0" xfId="0" applyAlignment="1" applyFont="1">
      <alignment horizontal="left" readingOrder="0"/>
    </xf>
    <xf borderId="0" fillId="14" fontId="3" numFmtId="0" xfId="0" applyAlignment="1" applyFont="1">
      <alignment horizontal="left" readingOrder="0" shrinkToFit="0" wrapText="0"/>
    </xf>
    <xf borderId="3" fillId="13" fontId="3" numFmtId="0" xfId="0" applyAlignment="1" applyBorder="1" applyFont="1">
      <alignment horizontal="center" readingOrder="0"/>
    </xf>
    <xf borderId="0" fillId="10" fontId="92" numFmtId="0" xfId="0" applyAlignment="1" applyFont="1">
      <alignment readingOrder="0" shrinkToFit="0" wrapText="0"/>
    </xf>
    <xf borderId="0" fillId="10" fontId="93" numFmtId="0" xfId="0" applyAlignment="1" applyFont="1">
      <alignment readingOrder="0" shrinkToFit="0" wrapText="0"/>
    </xf>
    <xf borderId="0" fillId="0" fontId="94" numFmtId="0" xfId="0" applyAlignment="1" applyFont="1">
      <alignment readingOrder="0" shrinkToFit="0" wrapText="0"/>
    </xf>
    <xf borderId="1" fillId="10" fontId="0" numFmtId="0" xfId="0" applyAlignment="1" applyBorder="1" applyFont="1">
      <alignment readingOrder="0" shrinkToFit="0" wrapText="0"/>
    </xf>
    <xf borderId="0" fillId="14" fontId="95" numFmtId="0" xfId="0" applyAlignment="1" applyFont="1">
      <alignment readingOrder="0" shrinkToFit="0" wrapText="0"/>
    </xf>
    <xf borderId="0" fillId="0" fontId="69" numFmtId="0" xfId="0" applyAlignment="1" applyFont="1">
      <alignment horizontal="left" readingOrder="0"/>
    </xf>
    <xf borderId="0" fillId="33" fontId="66" numFmtId="0" xfId="0" applyAlignment="1" applyFill="1" applyFont="1">
      <alignment horizontal="left" readingOrder="0"/>
    </xf>
    <xf borderId="2" fillId="0" fontId="3" numFmtId="0" xfId="0" applyAlignment="1" applyBorder="1" applyFont="1">
      <alignment horizontal="center" readingOrder="0" shrinkToFit="0" wrapText="0"/>
    </xf>
    <xf borderId="0" fillId="0" fontId="3" numFmtId="0" xfId="0" applyAlignment="1" applyFont="1">
      <alignment horizontal="left" shrinkToFit="0" wrapText="0"/>
    </xf>
    <xf borderId="0" fillId="32" fontId="53" numFmtId="0" xfId="0" applyAlignment="1" applyFont="1">
      <alignment horizontal="left" readingOrder="0"/>
    </xf>
    <xf borderId="0" fillId="10" fontId="53" numFmtId="0" xfId="0" applyAlignment="1" applyFont="1">
      <alignment horizontal="left" readingOrder="0"/>
    </xf>
    <xf borderId="0" fillId="0" fontId="3" numFmtId="49" xfId="0" applyAlignment="1" applyFont="1" applyNumberFormat="1">
      <alignment horizontal="left" readingOrder="0" shrinkToFit="0" wrapText="0"/>
    </xf>
    <xf borderId="0" fillId="10" fontId="6" numFmtId="49" xfId="0" applyAlignment="1" applyFont="1" applyNumberFormat="1">
      <alignment readingOrder="0"/>
    </xf>
    <xf borderId="2" fillId="0" fontId="3" numFmtId="0" xfId="0" applyAlignment="1" applyBorder="1" applyFont="1">
      <alignment horizontal="center" shrinkToFit="0" wrapText="0"/>
    </xf>
    <xf borderId="0" fillId="0" fontId="3" numFmtId="0" xfId="0" applyAlignment="1" applyFont="1">
      <alignment horizontal="left" shrinkToFit="0" vertical="bottom" wrapText="0"/>
    </xf>
    <xf borderId="3" fillId="21" fontId="3" numFmtId="49" xfId="0" applyAlignment="1" applyBorder="1" applyFont="1" applyNumberFormat="1">
      <alignment horizontal="center" readingOrder="0"/>
    </xf>
    <xf borderId="3" fillId="21" fontId="3" numFmtId="0" xfId="0" applyAlignment="1" applyBorder="1" applyFont="1">
      <alignment horizontal="center" readingOrder="0"/>
    </xf>
    <xf borderId="3" fillId="16" fontId="3" numFmtId="0" xfId="0" applyAlignment="1" applyBorder="1" applyFont="1">
      <alignment horizontal="center" readingOrder="0"/>
    </xf>
    <xf borderId="0" fillId="10" fontId="91" numFmtId="0" xfId="0" applyAlignment="1" applyFont="1">
      <alignment readingOrder="0"/>
    </xf>
    <xf borderId="0" fillId="10" fontId="96" numFmtId="0" xfId="0" applyAlignment="1" applyFont="1">
      <alignment horizontal="left" readingOrder="0" shrinkToFit="0" wrapText="0"/>
    </xf>
    <xf borderId="5" fillId="14" fontId="69" numFmtId="0" xfId="0" applyAlignment="1" applyBorder="1" applyFont="1">
      <alignment horizontal="center" readingOrder="0"/>
    </xf>
    <xf borderId="6" fillId="21" fontId="3" numFmtId="49" xfId="0" applyAlignment="1" applyBorder="1" applyFont="1" applyNumberFormat="1">
      <alignment horizontal="center" readingOrder="0"/>
    </xf>
    <xf borderId="2" fillId="0" fontId="3" numFmtId="49" xfId="0" applyAlignment="1" applyBorder="1" applyFont="1" applyNumberFormat="1">
      <alignment horizontal="center" vertical="bottom"/>
    </xf>
    <xf borderId="3" fillId="10" fontId="3" numFmtId="0" xfId="0" applyAlignment="1" applyBorder="1" applyFont="1">
      <alignment horizontal="center" shrinkToFit="0" vertical="bottom" wrapText="0"/>
    </xf>
    <xf borderId="6" fillId="12" fontId="3" numFmtId="49" xfId="0" applyAlignment="1" applyBorder="1" applyFont="1" applyNumberFormat="1">
      <alignment horizontal="center" readingOrder="0"/>
    </xf>
    <xf borderId="0" fillId="14" fontId="3" numFmtId="49" xfId="0" applyAlignment="1" applyFont="1" applyNumberFormat="1">
      <alignment horizontal="left" readingOrder="0" vertical="bottom"/>
    </xf>
    <xf borderId="3" fillId="10" fontId="3" numFmtId="0" xfId="0" applyAlignment="1" applyBorder="1" applyFont="1">
      <alignment horizontal="left" shrinkToFit="0" vertical="bottom" wrapText="0"/>
    </xf>
    <xf borderId="0" fillId="34" fontId="3" numFmtId="49" xfId="0" applyAlignment="1" applyFill="1" applyFont="1" applyNumberFormat="1">
      <alignment horizontal="left" readingOrder="0" vertical="bottom"/>
    </xf>
    <xf borderId="6" fillId="12" fontId="3" numFmtId="0" xfId="0" applyAlignment="1" applyBorder="1" applyFont="1">
      <alignment horizontal="center" vertical="bottom"/>
    </xf>
    <xf borderId="2" fillId="0" fontId="3" numFmtId="164" xfId="0" applyAlignment="1" applyBorder="1" applyFont="1" applyNumberFormat="1">
      <alignment horizontal="center" vertical="bottom"/>
    </xf>
    <xf borderId="1" fillId="10" fontId="8" numFmtId="0" xfId="0" applyAlignment="1" applyBorder="1" applyFont="1">
      <alignment horizontal="left" readingOrder="0" shrinkToFit="0" wrapText="0"/>
    </xf>
    <xf borderId="3" fillId="18" fontId="3" numFmtId="0" xfId="0" applyAlignment="1" applyBorder="1" applyFont="1">
      <alignment horizontal="center" shrinkToFit="0" vertical="bottom" wrapText="0"/>
    </xf>
    <xf borderId="6" fillId="9" fontId="3" numFmtId="0" xfId="0" applyAlignment="1" applyBorder="1" applyFont="1">
      <alignment horizontal="center" vertical="bottom"/>
    </xf>
    <xf borderId="0" fillId="10" fontId="97" numFmtId="0" xfId="0" applyAlignment="1" applyFont="1">
      <alignment shrinkToFit="0" vertical="bottom" wrapText="0"/>
    </xf>
    <xf borderId="6" fillId="10" fontId="3" numFmtId="0" xfId="0" applyAlignment="1" applyBorder="1" applyFont="1">
      <alignment horizontal="center" vertical="bottom"/>
    </xf>
    <xf borderId="0" fillId="10" fontId="98" numFmtId="0" xfId="0" applyAlignment="1" applyFont="1">
      <alignment readingOrder="0" shrinkToFit="0" vertical="bottom" wrapText="0"/>
    </xf>
    <xf borderId="2" fillId="10" fontId="3" numFmtId="0" xfId="0" applyAlignment="1" applyBorder="1" applyFont="1">
      <alignment horizontal="left" vertical="bottom"/>
    </xf>
    <xf borderId="2" fillId="0" fontId="3" numFmtId="0" xfId="0" applyAlignment="1" applyBorder="1" applyFont="1">
      <alignment horizontal="center" vertical="bottom"/>
    </xf>
    <xf borderId="0" fillId="14" fontId="3" numFmtId="0" xfId="0" applyAlignment="1" applyFont="1">
      <alignment horizontal="left" vertical="bottom"/>
    </xf>
    <xf borderId="3" fillId="0" fontId="3" numFmtId="0" xfId="0" applyAlignment="1" applyBorder="1" applyFont="1">
      <alignment horizontal="center" shrinkToFit="0" vertical="bottom" wrapText="0"/>
    </xf>
    <xf borderId="0" fillId="0" fontId="99" numFmtId="0" xfId="0" applyAlignment="1" applyFont="1">
      <alignment readingOrder="0" shrinkToFit="0" vertical="bottom" wrapText="0"/>
    </xf>
    <xf borderId="6" fillId="6" fontId="3" numFmtId="49" xfId="0" applyAlignment="1" applyBorder="1" applyFont="1" applyNumberFormat="1">
      <alignment horizontal="center" readingOrder="0"/>
    </xf>
    <xf borderId="6" fillId="9" fontId="3" numFmtId="0" xfId="0" applyAlignment="1" applyBorder="1" applyFont="1">
      <alignment horizontal="center" readingOrder="0"/>
    </xf>
    <xf borderId="3" fillId="17" fontId="3" numFmtId="0" xfId="0" applyAlignment="1" applyBorder="1" applyFont="1">
      <alignment horizontal="left" readingOrder="0" shrinkToFit="0" wrapText="0"/>
    </xf>
    <xf borderId="6" fillId="35" fontId="3" numFmtId="0" xfId="0" applyAlignment="1" applyBorder="1" applyFill="1" applyFont="1">
      <alignment horizontal="center" readingOrder="0"/>
    </xf>
    <xf borderId="0" fillId="17" fontId="100" numFmtId="0" xfId="0" applyAlignment="1" applyFont="1">
      <alignment shrinkToFit="0" vertical="bottom" wrapText="0"/>
    </xf>
    <xf borderId="3" fillId="10" fontId="3" numFmtId="0" xfId="0" applyAlignment="1" applyBorder="1" applyFont="1">
      <alignment horizontal="center" readingOrder="0"/>
    </xf>
    <xf borderId="1" fillId="10" fontId="3" numFmtId="0" xfId="0" applyAlignment="1" applyBorder="1" applyFont="1">
      <alignment readingOrder="0" shrinkToFit="0" vertical="bottom" wrapText="0"/>
    </xf>
    <xf borderId="6" fillId="6" fontId="3" numFmtId="49" xfId="0" applyAlignment="1" applyBorder="1" applyFont="1" applyNumberFormat="1">
      <alignment horizontal="center" readingOrder="0" vertical="bottom"/>
    </xf>
    <xf borderId="0" fillId="17" fontId="101" numFmtId="0" xfId="0" applyAlignment="1" applyFont="1">
      <alignment readingOrder="0" shrinkToFit="0" vertical="bottom" wrapText="0"/>
    </xf>
    <xf borderId="6" fillId="21" fontId="3" numFmtId="0" xfId="0" applyAlignment="1" applyBorder="1" applyFont="1">
      <alignment horizontal="center" readingOrder="0"/>
    </xf>
    <xf borderId="0" fillId="17" fontId="3" numFmtId="0" xfId="0" applyAlignment="1" applyFont="1">
      <alignment shrinkToFit="0" vertical="bottom" wrapText="0"/>
    </xf>
    <xf borderId="6" fillId="12" fontId="3" numFmtId="0" xfId="0" applyAlignment="1" applyBorder="1" applyFont="1">
      <alignment horizontal="center" readingOrder="0"/>
    </xf>
    <xf borderId="3" fillId="24" fontId="3" numFmtId="0" xfId="0" applyAlignment="1" applyBorder="1" applyFont="1">
      <alignment horizontal="center" readingOrder="0"/>
    </xf>
    <xf borderId="0" fillId="10" fontId="102" numFmtId="0" xfId="0" applyAlignment="1" applyFont="1">
      <alignment horizontal="left" readingOrder="0"/>
    </xf>
    <xf borderId="0" fillId="0" fontId="0" numFmtId="0" xfId="0" applyAlignment="1" applyFont="1">
      <alignment horizontal="left" readingOrder="0"/>
    </xf>
    <xf borderId="0" fillId="17" fontId="103" numFmtId="0" xfId="0" applyAlignment="1" applyFont="1">
      <alignment readingOrder="0" shrinkToFit="0" wrapText="0"/>
    </xf>
    <xf borderId="3" fillId="9" fontId="3" numFmtId="49" xfId="0" applyAlignment="1" applyBorder="1" applyFont="1" applyNumberFormat="1">
      <alignment horizontal="center" readingOrder="0"/>
    </xf>
    <xf borderId="3" fillId="31" fontId="3" numFmtId="49" xfId="0" applyAlignment="1" applyBorder="1" applyFont="1" applyNumberFormat="1">
      <alignment horizontal="center" readingOrder="0"/>
    </xf>
    <xf borderId="0" fillId="10" fontId="3" numFmtId="0" xfId="0" applyAlignment="1" applyFont="1">
      <alignment horizontal="left" shrinkToFit="0" vertical="bottom" wrapText="1"/>
    </xf>
    <xf borderId="2" fillId="0" fontId="0" numFmtId="0" xfId="0" applyAlignment="1" applyBorder="1" applyFont="1">
      <alignment horizontal="center" vertical="bottom"/>
    </xf>
    <xf borderId="2" fillId="0" fontId="69" numFmtId="0" xfId="0" applyAlignment="1" applyBorder="1" applyFont="1">
      <alignment horizontal="center" readingOrder="0"/>
    </xf>
    <xf borderId="0" fillId="0" fontId="3" numFmtId="49" xfId="0" applyAlignment="1" applyFont="1" applyNumberFormat="1">
      <alignment horizontal="left" readingOrder="0" shrinkToFit="0" wrapText="1"/>
    </xf>
    <xf borderId="0" fillId="0" fontId="104" numFmtId="0" xfId="0" applyAlignment="1" applyFont="1">
      <alignment readingOrder="0" shrinkToFit="0" vertical="bottom" wrapText="0"/>
    </xf>
    <xf borderId="1" fillId="0" fontId="3" numFmtId="49" xfId="0" applyAlignment="1" applyBorder="1" applyFont="1" applyNumberFormat="1">
      <alignment readingOrder="0" shrinkToFit="0" wrapText="0"/>
    </xf>
    <xf borderId="2" fillId="31" fontId="3" numFmtId="0" xfId="0" applyAlignment="1" applyBorder="1" applyFont="1">
      <alignment horizontal="center" shrinkToFit="0" vertical="bottom" wrapText="1"/>
    </xf>
    <xf borderId="3" fillId="3" fontId="3" numFmtId="0" xfId="0" applyAlignment="1" applyBorder="1" applyFont="1">
      <alignment horizontal="center" readingOrder="0"/>
    </xf>
    <xf borderId="0" fillId="0" fontId="105" numFmtId="0" xfId="0" applyAlignment="1" applyFont="1">
      <alignment readingOrder="0"/>
    </xf>
    <xf borderId="3" fillId="22" fontId="3" numFmtId="0" xfId="0" applyAlignment="1" applyBorder="1" applyFont="1">
      <alignment horizontal="center" readingOrder="0"/>
    </xf>
    <xf borderId="2" fillId="36" fontId="3" numFmtId="0" xfId="0" applyAlignment="1" applyBorder="1" applyFill="1" applyFont="1">
      <alignment horizontal="center" shrinkToFit="0" vertical="bottom" wrapText="1"/>
    </xf>
    <xf borderId="1" fillId="12" fontId="3" numFmtId="0" xfId="0" applyAlignment="1" applyBorder="1" applyFont="1">
      <alignment horizontal="center" readingOrder="0" shrinkToFit="0" wrapText="1"/>
    </xf>
    <xf borderId="3" fillId="20" fontId="3" numFmtId="0" xfId="0" applyAlignment="1" applyBorder="1" applyFont="1">
      <alignment horizontal="center" readingOrder="0" shrinkToFit="0" wrapText="1"/>
    </xf>
    <xf borderId="0" fillId="0" fontId="106" numFmtId="0" xfId="0" applyAlignment="1" applyFont="1">
      <alignment readingOrder="0" shrinkToFit="0" wrapText="0"/>
    </xf>
    <xf borderId="0" fillId="20" fontId="3" numFmtId="0" xfId="0" applyAlignment="1" applyFont="1">
      <alignment horizontal="left" readingOrder="0"/>
    </xf>
    <xf borderId="0" fillId="10" fontId="107" numFmtId="0" xfId="0" applyAlignment="1" applyFont="1">
      <alignment readingOrder="0"/>
    </xf>
    <xf borderId="0" fillId="10" fontId="108" numFmtId="0" xfId="0" applyAlignment="1" applyFont="1">
      <alignment horizontal="left" readingOrder="0"/>
    </xf>
    <xf borderId="0" fillId="10" fontId="53" numFmtId="0" xfId="0" applyAlignment="1" applyFont="1">
      <alignment horizontal="center" readingOrder="0"/>
    </xf>
    <xf borderId="3" fillId="12" fontId="3" numFmtId="0" xfId="0" applyAlignment="1" applyBorder="1" applyFont="1">
      <alignment horizontal="center" readingOrder="0" shrinkToFit="0" wrapText="1"/>
    </xf>
    <xf borderId="3" fillId="9" fontId="3" numFmtId="0" xfId="0" applyAlignment="1" applyBorder="1" applyFont="1">
      <alignment horizontal="center" readingOrder="0" shrinkToFit="0" wrapText="1"/>
    </xf>
    <xf borderId="0" fillId="4" fontId="109" numFmtId="0" xfId="0" applyAlignment="1" applyFont="1">
      <alignment readingOrder="0" shrinkToFit="0" wrapText="0"/>
    </xf>
    <xf borderId="0" fillId="14" fontId="6" numFmtId="49" xfId="0" applyAlignment="1" applyFont="1" applyNumberFormat="1">
      <alignment readingOrder="0"/>
    </xf>
    <xf borderId="3" fillId="20" fontId="3" numFmtId="0" xfId="0" applyAlignment="1" applyBorder="1" applyFont="1">
      <alignment horizontal="center" readingOrder="0"/>
    </xf>
    <xf borderId="0" fillId="33" fontId="66" numFmtId="0" xfId="0" applyAlignment="1" applyFont="1">
      <alignment horizontal="left" readingOrder="0"/>
    </xf>
    <xf borderId="3" fillId="14" fontId="3" numFmtId="0" xfId="0" applyAlignment="1" applyBorder="1" applyFont="1">
      <alignment horizontal="center" readingOrder="0" shrinkToFit="0" wrapText="0"/>
    </xf>
    <xf borderId="1" fillId="0" fontId="110" numFmtId="0" xfId="0" applyAlignment="1" applyBorder="1" applyFont="1">
      <alignment readingOrder="0"/>
    </xf>
    <xf borderId="0" fillId="10" fontId="67" numFmtId="0" xfId="0" applyAlignment="1" applyFont="1">
      <alignment horizontal="left" readingOrder="0"/>
    </xf>
    <xf borderId="3" fillId="12" fontId="3" numFmtId="0" xfId="0" applyAlignment="1" applyBorder="1" applyFont="1">
      <alignment horizontal="center" vertical="bottom"/>
    </xf>
    <xf borderId="3" fillId="10" fontId="3" numFmtId="0" xfId="0" applyAlignment="1" applyBorder="1" applyFont="1">
      <alignment horizontal="center" vertical="bottom"/>
    </xf>
    <xf borderId="3" fillId="14" fontId="3" numFmtId="0" xfId="0" applyAlignment="1" applyBorder="1" applyFont="1">
      <alignment horizontal="left" vertical="bottom"/>
    </xf>
    <xf borderId="3" fillId="0" fontId="3" numFmtId="0" xfId="0" applyAlignment="1" applyBorder="1" applyFont="1">
      <alignment horizontal="center" shrinkToFit="0" wrapText="0"/>
    </xf>
    <xf borderId="2" fillId="12" fontId="3" numFmtId="0" xfId="0" applyAlignment="1" applyBorder="1" applyFont="1">
      <alignment horizontal="center" vertical="bottom"/>
    </xf>
    <xf borderId="1" fillId="0" fontId="3" numFmtId="0" xfId="0" applyAlignment="1" applyBorder="1" applyFont="1">
      <alignment vertical="bottom"/>
    </xf>
    <xf borderId="2" fillId="0" fontId="3" numFmtId="0" xfId="0" applyAlignment="1" applyBorder="1" applyFont="1">
      <alignment vertical="bottom"/>
    </xf>
    <xf borderId="0" fillId="0" fontId="0" numFmtId="0" xfId="0" applyAlignment="1" applyFont="1">
      <alignment vertical="bottom"/>
    </xf>
    <xf borderId="2" fillId="30" fontId="3" numFmtId="0" xfId="0" applyAlignment="1" applyBorder="1" applyFont="1">
      <alignment horizontal="center" vertical="bottom"/>
    </xf>
    <xf borderId="0" fillId="10" fontId="3" numFmtId="0" xfId="0" applyAlignment="1" applyFont="1">
      <alignment vertical="bottom"/>
    </xf>
    <xf borderId="3" fillId="0" fontId="3" numFmtId="0" xfId="0" applyAlignment="1" applyBorder="1" applyFont="1">
      <alignment horizontal="center" readingOrder="0"/>
    </xf>
    <xf borderId="2" fillId="0" fontId="3" numFmtId="164" xfId="0" applyAlignment="1" applyBorder="1" applyFont="1" applyNumberFormat="1">
      <alignment horizontal="center" readingOrder="0"/>
    </xf>
    <xf borderId="0" fillId="0" fontId="69" numFmtId="0" xfId="0" applyAlignment="1" applyFont="1">
      <alignment horizontal="center" readingOrder="0"/>
    </xf>
    <xf borderId="0" fillId="0" fontId="69" numFmtId="0" xfId="0" applyAlignment="1" applyFont="1">
      <alignment readingOrder="0" shrinkToFit="0" wrapText="0"/>
    </xf>
    <xf borderId="0" fillId="14" fontId="3" numFmtId="0" xfId="0" applyAlignment="1" applyFont="1">
      <alignment vertical="bottom"/>
    </xf>
    <xf borderId="0" fillId="10" fontId="6" numFmtId="0" xfId="0" applyAlignment="1" applyFont="1">
      <alignment horizontal="left" readingOrder="0" shrinkToFit="0" wrapText="1"/>
    </xf>
    <xf borderId="4" fillId="10" fontId="111" numFmtId="0" xfId="0" applyAlignment="1" applyBorder="1" applyFont="1">
      <alignment horizontal="left" readingOrder="0" shrinkToFit="0" vertical="center" wrapText="0"/>
    </xf>
    <xf borderId="4" fillId="0" fontId="112" numFmtId="0" xfId="0" applyAlignment="1" applyBorder="1" applyFont="1">
      <alignment horizontal="left" readingOrder="0" shrinkToFit="0" vertical="center" wrapText="0"/>
    </xf>
    <xf borderId="4" fillId="0" fontId="113" numFmtId="0" xfId="0" applyAlignment="1" applyBorder="1" applyFont="1">
      <alignment horizontal="left" readingOrder="0" shrinkToFit="0" vertical="center" wrapText="0"/>
    </xf>
    <xf borderId="4" fillId="14" fontId="69" numFmtId="0" xfId="0" applyAlignment="1" applyBorder="1" applyFont="1">
      <alignment horizontal="center" readingOrder="0"/>
    </xf>
    <xf borderId="7" fillId="10" fontId="3" numFmtId="0" xfId="0" applyAlignment="1" applyBorder="1" applyFont="1">
      <alignment horizontal="left" vertical="bottom"/>
    </xf>
    <xf borderId="4" fillId="17" fontId="114" numFmtId="0" xfId="0" applyAlignment="1" applyBorder="1" applyFont="1">
      <alignment readingOrder="0" shrinkToFit="0" wrapText="0"/>
    </xf>
    <xf borderId="3" fillId="31" fontId="3" numFmtId="0" xfId="0" applyAlignment="1" applyBorder="1" applyFont="1">
      <alignment horizontal="center" readingOrder="0"/>
    </xf>
    <xf borderId="2" fillId="31" fontId="3" numFmtId="49" xfId="0" applyAlignment="1" applyBorder="1" applyFont="1" applyNumberFormat="1">
      <alignment readingOrder="0"/>
    </xf>
    <xf borderId="0" fillId="10" fontId="6" numFmtId="0" xfId="0" applyAlignment="1" applyFont="1">
      <alignment readingOrder="0" shrinkToFit="0" wrapText="1"/>
    </xf>
    <xf borderId="0" fillId="32" fontId="115" numFmtId="0" xfId="0" applyAlignment="1" applyFont="1">
      <alignment readingOrder="0" shrinkToFit="0" wrapText="0"/>
    </xf>
    <xf borderId="2" fillId="0" fontId="3" numFmtId="164" xfId="0" applyAlignment="1" applyBorder="1" applyFont="1" applyNumberFormat="1">
      <alignment horizontal="left" vertical="bottom"/>
    </xf>
    <xf borderId="0" fillId="10" fontId="116" numFmtId="0" xfId="0" applyAlignment="1" applyFont="1">
      <alignment horizontal="left" vertical="bottom"/>
    </xf>
    <xf borderId="3" fillId="21" fontId="3" numFmtId="49" xfId="0" applyAlignment="1" applyBorder="1" applyFont="1" applyNumberFormat="1">
      <alignment horizontal="center" readingOrder="0" vertical="bottom"/>
    </xf>
    <xf borderId="3" fillId="20" fontId="3" numFmtId="0" xfId="0" applyAlignment="1" applyBorder="1" applyFont="1">
      <alignment horizontal="center" vertical="bottom"/>
    </xf>
    <xf borderId="0" fillId="10" fontId="117" numFmtId="0" xfId="0" applyAlignment="1" applyFont="1">
      <alignment shrinkToFit="0" vertical="bottom" wrapText="0"/>
    </xf>
    <xf borderId="0" fillId="0" fontId="3" numFmtId="49" xfId="0" applyAlignment="1" applyFont="1" applyNumberFormat="1">
      <alignment horizontal="left" shrinkToFit="0" vertical="bottom" wrapText="1"/>
    </xf>
    <xf borderId="0" fillId="0" fontId="3" numFmtId="49" xfId="0" applyAlignment="1" applyFont="1" applyNumberFormat="1">
      <alignment readingOrder="0" shrinkToFit="0" wrapText="0"/>
    </xf>
    <xf borderId="3" fillId="14" fontId="3" numFmtId="49" xfId="0" applyAlignment="1" applyBorder="1" applyFont="1" applyNumberFormat="1">
      <alignment horizontal="center" readingOrder="0"/>
    </xf>
    <xf borderId="3" fillId="10" fontId="3" numFmtId="0" xfId="0" applyAlignment="1" applyBorder="1" applyFont="1">
      <alignment horizontal="left" readingOrder="0" shrinkToFit="0" vertical="bottom" wrapText="0"/>
    </xf>
    <xf borderId="3" fillId="6" fontId="3" numFmtId="49" xfId="0" applyAlignment="1" applyBorder="1" applyFont="1" applyNumberFormat="1">
      <alignment horizontal="center" readingOrder="0" vertical="bottom"/>
    </xf>
    <xf borderId="3" fillId="24" fontId="3" numFmtId="0" xfId="0" applyAlignment="1" applyBorder="1" applyFont="1">
      <alignment horizontal="center" vertical="bottom"/>
    </xf>
    <xf borderId="0" fillId="34" fontId="3" numFmtId="0" xfId="0" applyAlignment="1" applyFont="1">
      <alignment horizontal="left" vertical="bottom"/>
    </xf>
    <xf borderId="3" fillId="12" fontId="3" numFmtId="49" xfId="0" applyAlignment="1" applyBorder="1" applyFont="1" applyNumberFormat="1">
      <alignment horizontal="center" readingOrder="0" vertical="bottom"/>
    </xf>
    <xf borderId="3" fillId="0" fontId="3" numFmtId="0" xfId="0" applyAlignment="1" applyBorder="1" applyFont="1">
      <alignment horizontal="left" shrinkToFit="0" vertical="bottom" wrapText="0"/>
    </xf>
    <xf borderId="0" fillId="14" fontId="0" numFmtId="0" xfId="0" applyAlignment="1" applyFont="1">
      <alignment horizontal="left" readingOrder="0"/>
    </xf>
    <xf borderId="3" fillId="21" fontId="3" numFmtId="0" xfId="0" applyAlignment="1" applyBorder="1" applyFont="1">
      <alignment horizontal="center" readingOrder="0" vertical="bottom"/>
    </xf>
    <xf borderId="2" fillId="0" fontId="85" numFmtId="164" xfId="0" applyAlignment="1" applyBorder="1" applyFont="1" applyNumberFormat="1">
      <alignment horizontal="left" readingOrder="0" vertical="bottom"/>
    </xf>
    <xf borderId="0" fillId="0" fontId="3" numFmtId="0" xfId="0" applyAlignment="1" applyFont="1">
      <alignment readingOrder="0" shrinkToFit="0" vertical="bottom" wrapText="1"/>
    </xf>
    <xf borderId="0" fillId="10" fontId="118" numFmtId="0" xfId="0" applyAlignment="1" applyFont="1">
      <alignment readingOrder="0"/>
    </xf>
    <xf borderId="0" fillId="0" fontId="119" numFmtId="0" xfId="0" applyAlignment="1" applyFont="1">
      <alignment readingOrder="0"/>
    </xf>
    <xf borderId="0" fillId="0" fontId="3" numFmtId="166" xfId="0" applyAlignment="1" applyFont="1" applyNumberFormat="1">
      <alignment readingOrder="0" shrinkToFit="0" wrapText="0"/>
    </xf>
    <xf borderId="0" fillId="10" fontId="50" numFmtId="0" xfId="0" applyAlignment="1" applyFont="1">
      <alignment horizontal="left" readingOrder="0"/>
    </xf>
    <xf borderId="0" fillId="0" fontId="69" numFmtId="0" xfId="0" applyAlignment="1" applyFont="1">
      <alignment readingOrder="0"/>
    </xf>
    <xf borderId="3" fillId="37" fontId="3" numFmtId="0" xfId="0" applyAlignment="1" applyBorder="1" applyFill="1" applyFont="1">
      <alignment horizontal="center" readingOrder="0"/>
    </xf>
    <xf borderId="3" fillId="0" fontId="69" numFmtId="0" xfId="0" applyAlignment="1" applyBorder="1" applyFont="1">
      <alignment horizontal="center" readingOrder="0"/>
    </xf>
    <xf borderId="3" fillId="14" fontId="69" numFmtId="0" xfId="0" applyAlignment="1" applyBorder="1" applyFont="1">
      <alignment horizontal="center" readingOrder="0"/>
    </xf>
    <xf borderId="0" fillId="17" fontId="120" numFmtId="0" xfId="0" applyAlignment="1" applyFont="1">
      <alignment readingOrder="0" shrinkToFit="0" wrapText="0"/>
    </xf>
    <xf borderId="0" fillId="10" fontId="62" numFmtId="49" xfId="0" applyAlignment="1" applyFont="1" applyNumberFormat="1">
      <alignment readingOrder="0"/>
    </xf>
    <xf borderId="0" fillId="0" fontId="3" numFmtId="0" xfId="0" applyAlignment="1" applyFont="1">
      <alignment readingOrder="0" shrinkToFit="0" wrapText="0"/>
    </xf>
    <xf borderId="4" fillId="10" fontId="121" numFmtId="0" xfId="0" applyAlignment="1" applyBorder="1" applyFont="1">
      <alignment shrinkToFit="0" vertical="bottom" wrapText="0"/>
    </xf>
    <xf borderId="2" fillId="14" fontId="3" numFmtId="0" xfId="0" applyBorder="1" applyFont="1"/>
    <xf borderId="1" fillId="10" fontId="122" numFmtId="0" xfId="0" applyAlignment="1" applyBorder="1" applyFont="1">
      <alignment readingOrder="0"/>
    </xf>
    <xf borderId="3" fillId="38" fontId="3" numFmtId="0" xfId="0" applyAlignment="1" applyBorder="1" applyFill="1" applyFont="1">
      <alignment horizontal="center" readingOrder="0"/>
    </xf>
    <xf borderId="0" fillId="10" fontId="3" numFmtId="0" xfId="0" applyAlignment="1" applyFont="1">
      <alignment readingOrder="0"/>
    </xf>
    <xf borderId="1" fillId="14" fontId="3" numFmtId="0" xfId="0" applyAlignment="1" applyBorder="1" applyFont="1">
      <alignment readingOrder="0" vertical="bottom"/>
    </xf>
    <xf borderId="3" fillId="39" fontId="3" numFmtId="0" xfId="0" applyAlignment="1" applyBorder="1" applyFill="1" applyFont="1">
      <alignment horizontal="center" readingOrder="0"/>
    </xf>
    <xf borderId="1" fillId="0" fontId="123" numFmtId="0" xfId="0" applyAlignment="1" applyBorder="1" applyFont="1">
      <alignment readingOrder="0" shrinkToFit="0" wrapText="0"/>
    </xf>
    <xf borderId="1" fillId="25" fontId="124" numFmtId="0" xfId="0" applyAlignment="1" applyBorder="1" applyFont="1">
      <alignment readingOrder="0" shrinkToFit="0" wrapText="0"/>
    </xf>
    <xf borderId="3" fillId="25" fontId="3" numFmtId="0" xfId="0" applyAlignment="1" applyBorder="1" applyFont="1">
      <alignment horizontal="center" readingOrder="0"/>
    </xf>
    <xf borderId="0" fillId="40" fontId="3" numFmtId="0" xfId="0" applyFill="1" applyFont="1"/>
    <xf borderId="0" fillId="29" fontId="125" numFmtId="0" xfId="0" applyAlignment="1" applyFont="1">
      <alignment readingOrder="0" shrinkToFit="0" wrapText="0"/>
    </xf>
    <xf borderId="2" fillId="0" fontId="126" numFmtId="49" xfId="0" applyAlignment="1" applyBorder="1" applyFont="1" applyNumberFormat="1">
      <alignment readingOrder="0"/>
    </xf>
    <xf borderId="0" fillId="0" fontId="3" numFmtId="0" xfId="0" applyAlignment="1" applyFont="1">
      <alignment readingOrder="0" shrinkToFit="0" wrapText="0"/>
    </xf>
    <xf borderId="3" fillId="19" fontId="3" numFmtId="0" xfId="0" applyAlignment="1" applyBorder="1" applyFont="1">
      <alignment horizontal="center"/>
    </xf>
    <xf borderId="3" fillId="35" fontId="3" numFmtId="0" xfId="0" applyAlignment="1" applyBorder="1" applyFont="1">
      <alignment horizontal="center" readingOrder="0"/>
    </xf>
    <xf borderId="0" fillId="0" fontId="3" numFmtId="0" xfId="0" applyAlignment="1" applyFont="1">
      <alignment readingOrder="0"/>
    </xf>
    <xf borderId="2" fillId="9" fontId="3" numFmtId="0" xfId="0" applyAlignment="1" applyBorder="1" applyFont="1">
      <alignment horizontal="center" readingOrder="0" shrinkToFit="0" wrapText="1"/>
    </xf>
    <xf borderId="3" fillId="14" fontId="53" numFmtId="0" xfId="0" applyAlignment="1" applyBorder="1" applyFont="1">
      <alignment horizontal="left" readingOrder="0"/>
    </xf>
    <xf borderId="2" fillId="12" fontId="3" numFmtId="0" xfId="0" applyAlignment="1" applyBorder="1" applyFont="1">
      <alignment horizontal="center" readingOrder="0" shrinkToFit="0" wrapText="1"/>
    </xf>
    <xf borderId="3" fillId="32" fontId="53" numFmtId="0" xfId="0" applyAlignment="1" applyBorder="1" applyFont="1">
      <alignment horizontal="left" readingOrder="0"/>
    </xf>
    <xf borderId="2" fillId="16" fontId="3" numFmtId="0" xfId="0" applyAlignment="1" applyBorder="1" applyFont="1">
      <alignment horizontal="center" readingOrder="0" shrinkToFit="0" wrapText="1"/>
    </xf>
    <xf borderId="2" fillId="14" fontId="3" numFmtId="0" xfId="0" applyAlignment="1" applyBorder="1" applyFont="1">
      <alignment horizontal="center" readingOrder="0" shrinkToFit="0" wrapText="1"/>
    </xf>
    <xf borderId="3" fillId="32" fontId="127" numFmtId="0" xfId="0" applyAlignment="1" applyBorder="1" applyFont="1">
      <alignment horizontal="left" readingOrder="0"/>
    </xf>
    <xf borderId="2" fillId="13" fontId="3" numFmtId="0" xfId="0" applyAlignment="1" applyBorder="1" applyFont="1">
      <alignment horizontal="center" shrinkToFit="0" wrapText="1"/>
    </xf>
    <xf borderId="2" fillId="31" fontId="3" numFmtId="0" xfId="0" applyAlignment="1" applyBorder="1" applyFont="1">
      <alignment horizontal="center" readingOrder="0" shrinkToFit="0" wrapText="1"/>
    </xf>
    <xf borderId="2" fillId="13" fontId="3" numFmtId="0" xfId="0" applyAlignment="1" applyBorder="1" applyFont="1">
      <alignment horizontal="center" readingOrder="0" shrinkToFit="0" wrapText="1"/>
    </xf>
    <xf borderId="1" fillId="10" fontId="128" numFmtId="0" xfId="0" applyAlignment="1" applyBorder="1" applyFont="1">
      <alignment readingOrder="0"/>
    </xf>
    <xf borderId="2" fillId="6" fontId="3" numFmtId="0" xfId="0" applyAlignment="1" applyBorder="1" applyFont="1">
      <alignment horizontal="center" readingOrder="0" shrinkToFit="0" wrapText="1"/>
    </xf>
    <xf borderId="0" fillId="0" fontId="3" numFmtId="0" xfId="0" applyAlignment="1" applyFont="1">
      <alignment horizontal="left" readingOrder="0"/>
    </xf>
    <xf borderId="2" fillId="21" fontId="3" numFmtId="49" xfId="0" applyAlignment="1" applyBorder="1" applyFont="1" applyNumberFormat="1">
      <alignment horizontal="center" readingOrder="0" shrinkToFit="0" wrapText="1"/>
    </xf>
    <xf borderId="3" fillId="32" fontId="88" numFmtId="0" xfId="0" applyAlignment="1" applyBorder="1" applyFont="1">
      <alignment horizontal="left" readingOrder="0"/>
    </xf>
    <xf borderId="2" fillId="12" fontId="3" numFmtId="49" xfId="0" applyAlignment="1" applyBorder="1" applyFont="1" applyNumberFormat="1">
      <alignment horizontal="center" readingOrder="0" shrinkToFit="0" wrapText="1"/>
    </xf>
    <xf borderId="2" fillId="21" fontId="3" numFmtId="0" xfId="0" applyAlignment="1" applyBorder="1" applyFont="1">
      <alignment horizontal="center" readingOrder="0" shrinkToFit="0" wrapText="1"/>
    </xf>
    <xf borderId="0" fillId="14" fontId="6" numFmtId="0" xfId="0" applyAlignment="1" applyFont="1">
      <alignment readingOrder="0"/>
    </xf>
    <xf borderId="0" fillId="14" fontId="6" numFmtId="0" xfId="0" applyFont="1"/>
    <xf borderId="3" fillId="10" fontId="62" numFmtId="0" xfId="0" applyAlignment="1" applyBorder="1" applyFont="1">
      <alignment horizontal="left" readingOrder="0"/>
    </xf>
    <xf borderId="0" fillId="14" fontId="50" numFmtId="0" xfId="0" applyAlignment="1" applyFont="1">
      <alignment horizontal="left" readingOrder="0"/>
    </xf>
    <xf borderId="3" fillId="10" fontId="62" numFmtId="0" xfId="0" applyAlignment="1" applyBorder="1" applyFont="1">
      <alignment horizontal="left" readingOrder="0"/>
    </xf>
    <xf borderId="3" fillId="41" fontId="3" numFmtId="0" xfId="0" applyAlignment="1" applyBorder="1" applyFill="1" applyFont="1">
      <alignment horizontal="center" readingOrder="0"/>
    </xf>
    <xf borderId="0" fillId="31" fontId="3" numFmtId="0" xfId="0" applyAlignment="1" applyFont="1">
      <alignment readingOrder="0" shrinkToFit="0" wrapText="0"/>
    </xf>
    <xf borderId="0" fillId="14" fontId="129" numFmtId="0" xfId="0" applyAlignment="1" applyFont="1">
      <alignment horizontal="left" readingOrder="0"/>
    </xf>
    <xf borderId="3" fillId="20" fontId="3" numFmtId="49" xfId="0" applyAlignment="1" applyBorder="1" applyFont="1" applyNumberFormat="1">
      <alignment horizontal="center" readingOrder="0"/>
    </xf>
    <xf borderId="0" fillId="10" fontId="62" numFmtId="49" xfId="0" applyAlignment="1" applyFont="1" applyNumberFormat="1">
      <alignment horizontal="left" readingOrder="0"/>
    </xf>
    <xf borderId="2" fillId="14" fontId="6" numFmtId="0" xfId="0" applyAlignment="1" applyBorder="1" applyFont="1">
      <alignment readingOrder="0"/>
    </xf>
    <xf borderId="3" fillId="14" fontId="3" numFmtId="0" xfId="0" applyAlignment="1" applyBorder="1" applyFont="1">
      <alignment horizontal="center"/>
    </xf>
    <xf borderId="2" fillId="42" fontId="3" numFmtId="0" xfId="0" applyAlignment="1" applyBorder="1" applyFill="1" applyFont="1">
      <alignment horizontal="center" readingOrder="0"/>
    </xf>
    <xf borderId="1" fillId="10" fontId="8" numFmtId="0" xfId="0" applyAlignment="1" applyBorder="1" applyFont="1">
      <alignment horizontal="left" readingOrder="0"/>
    </xf>
    <xf borderId="7" fillId="0" fontId="3" numFmtId="0" xfId="0" applyAlignment="1" applyBorder="1" applyFont="1">
      <alignment horizontal="left" shrinkToFit="0" wrapText="1"/>
    </xf>
    <xf borderId="4" fillId="0" fontId="3" numFmtId="164" xfId="0" applyAlignment="1" applyBorder="1" applyFont="1" applyNumberFormat="1">
      <alignment horizontal="left" readingOrder="0"/>
    </xf>
    <xf borderId="4" fillId="0" fontId="130" numFmtId="0" xfId="0" applyAlignment="1" applyBorder="1" applyFont="1">
      <alignment readingOrder="0"/>
    </xf>
    <xf borderId="0" fillId="14" fontId="131" numFmtId="0" xfId="0" applyAlignment="1" applyFont="1">
      <alignment horizontal="left" readingOrder="0"/>
    </xf>
    <xf borderId="3" fillId="0" fontId="69" numFmtId="49" xfId="0" applyAlignment="1" applyBorder="1" applyFont="1" applyNumberFormat="1">
      <alignment readingOrder="0"/>
    </xf>
    <xf borderId="8" fillId="0" fontId="3" numFmtId="0" xfId="0" applyAlignment="1" applyBorder="1" applyFont="1">
      <alignment readingOrder="0"/>
    </xf>
    <xf borderId="8" fillId="0" fontId="3" numFmtId="0" xfId="0" applyBorder="1" applyFont="1"/>
    <xf borderId="8" fillId="0" fontId="3" numFmtId="0" xfId="0" applyAlignment="1" applyBorder="1" applyFont="1">
      <alignment shrinkToFit="0" wrapText="0"/>
    </xf>
    <xf borderId="0" fillId="21" fontId="3" numFmtId="49" xfId="0" applyAlignment="1" applyFont="1" applyNumberFormat="1">
      <alignment horizontal="center" readingOrder="0"/>
    </xf>
    <xf borderId="0" fillId="12" fontId="3" numFmtId="49" xfId="0" applyAlignment="1" applyFont="1" applyNumberFormat="1">
      <alignment horizontal="center" readingOrder="0"/>
    </xf>
    <xf borderId="0" fillId="8" fontId="3" numFmtId="49" xfId="0" applyAlignment="1" applyFont="1" applyNumberFormat="1">
      <alignment horizontal="center" readingOrder="0"/>
    </xf>
    <xf borderId="0" fillId="0" fontId="132" numFmtId="49" xfId="0" applyAlignment="1" applyFont="1" applyNumberFormat="1">
      <alignment readingOrder="0" shrinkToFit="0" wrapText="0"/>
    </xf>
    <xf borderId="0" fillId="9" fontId="3" numFmtId="49" xfId="0" applyAlignment="1" applyFont="1" applyNumberFormat="1">
      <alignment horizontal="center" readingOrder="0"/>
    </xf>
    <xf borderId="0" fillId="32" fontId="3" numFmtId="49" xfId="0" applyAlignment="1" applyFont="1" applyNumberFormat="1">
      <alignment horizontal="center" readingOrder="0"/>
    </xf>
    <xf borderId="0" fillId="14" fontId="3" numFmtId="49" xfId="0" applyAlignment="1" applyFont="1" applyNumberFormat="1">
      <alignment horizontal="center" readingOrder="0"/>
    </xf>
    <xf borderId="0" fillId="10" fontId="133" numFmtId="0" xfId="0" applyAlignment="1" applyFont="1">
      <alignment horizontal="left" readingOrder="0"/>
    </xf>
    <xf borderId="0" fillId="10" fontId="6" numFmtId="49" xfId="0" applyAlignment="1" applyFont="1" applyNumberFormat="1">
      <alignment horizontal="left" readingOrder="0"/>
    </xf>
    <xf borderId="0" fillId="10" fontId="8" numFmtId="49" xfId="0" applyAlignment="1" applyFont="1" applyNumberFormat="1">
      <alignment horizontal="left" readingOrder="0"/>
    </xf>
    <xf borderId="2" fillId="0" fontId="3" numFmtId="0" xfId="0" applyAlignment="1" applyBorder="1" applyFont="1">
      <alignment vertical="bottom"/>
    </xf>
    <xf borderId="0" fillId="10" fontId="131" numFmtId="0" xfId="0" applyAlignment="1" applyFont="1">
      <alignment vertical="bottom"/>
    </xf>
    <xf borderId="0" fillId="0" fontId="3" numFmtId="49" xfId="0" applyAlignment="1" applyFont="1" applyNumberFormat="1">
      <alignment vertical="bottom"/>
    </xf>
    <xf borderId="3" fillId="0" fontId="3" numFmtId="49" xfId="0" applyAlignment="1" applyBorder="1" applyFont="1" applyNumberFormat="1">
      <alignment readingOrder="0" vertical="bottom"/>
    </xf>
    <xf borderId="0" fillId="10" fontId="14" numFmtId="49" xfId="0" applyAlignment="1" applyFont="1" applyNumberFormat="1">
      <alignment horizontal="left" readingOrder="0"/>
    </xf>
    <xf borderId="0" fillId="13" fontId="3" numFmtId="49" xfId="0" applyAlignment="1" applyFont="1" applyNumberFormat="1">
      <alignment horizontal="center" readingOrder="0"/>
    </xf>
    <xf borderId="3" fillId="0" fontId="3" numFmtId="49" xfId="0" applyAlignment="1" applyBorder="1" applyFont="1" applyNumberFormat="1">
      <alignment readingOrder="0"/>
    </xf>
    <xf borderId="0" fillId="10" fontId="134" numFmtId="0" xfId="0" applyAlignment="1" applyFont="1">
      <alignment horizontal="left" readingOrder="0"/>
    </xf>
    <xf borderId="0" fillId="6" fontId="3" numFmtId="49" xfId="0" applyAlignment="1" applyFont="1" applyNumberFormat="1">
      <alignment horizontal="center" readingOrder="0"/>
    </xf>
    <xf borderId="0" fillId="3" fontId="3" numFmtId="49" xfId="0" applyAlignment="1" applyFont="1" applyNumberFormat="1">
      <alignment horizontal="center" readingOrder="0"/>
    </xf>
    <xf borderId="9" fillId="0" fontId="3" numFmtId="0" xfId="0" applyAlignment="1" applyBorder="1" applyFont="1">
      <alignment shrinkToFit="0" wrapText="0"/>
    </xf>
    <xf borderId="0" fillId="2" fontId="0" numFmtId="0" xfId="0" applyAlignment="1" applyFont="1">
      <alignment shrinkToFit="0" vertical="bottom" wrapText="1"/>
    </xf>
    <xf borderId="4" fillId="3" fontId="0" numFmtId="0" xfId="0" applyAlignment="1" applyBorder="1" applyFont="1">
      <alignment shrinkToFit="0" vertical="bottom" wrapText="1"/>
    </xf>
    <xf borderId="4" fillId="3" fontId="0" numFmtId="49" xfId="0" applyAlignment="1" applyBorder="1" applyFont="1" applyNumberFormat="1">
      <alignment shrinkToFit="0" vertical="bottom" wrapText="1"/>
    </xf>
    <xf borderId="4" fillId="4" fontId="0" numFmtId="0" xfId="0" applyAlignment="1" applyBorder="1" applyFont="1">
      <alignment shrinkToFit="0" vertical="bottom" wrapText="1"/>
    </xf>
    <xf borderId="4" fillId="5" fontId="0" numFmtId="0" xfId="0" applyAlignment="1" applyBorder="1" applyFont="1">
      <alignment shrinkToFit="0" vertical="bottom" wrapText="1"/>
    </xf>
    <xf borderId="4" fillId="43" fontId="0" numFmtId="0" xfId="0" applyAlignment="1" applyBorder="1" applyFill="1" applyFont="1">
      <alignment shrinkToFit="0" vertical="bottom" wrapText="1"/>
    </xf>
    <xf borderId="4" fillId="4" fontId="0" numFmtId="0" xfId="0" applyAlignment="1" applyBorder="1" applyFont="1">
      <alignment vertical="bottom"/>
    </xf>
    <xf borderId="0" fillId="0" fontId="85" numFmtId="0" xfId="0" applyAlignment="1" applyFont="1">
      <alignment vertical="bottom"/>
    </xf>
    <xf borderId="0" fillId="10" fontId="89" numFmtId="0" xfId="0" applyAlignment="1" applyFont="1">
      <alignment vertical="bottom"/>
    </xf>
    <xf borderId="0" fillId="10" fontId="135" numFmtId="0" xfId="0" applyAlignment="1" applyFont="1">
      <alignment vertical="bottom"/>
    </xf>
    <xf borderId="0" fillId="0" fontId="136" numFmtId="0" xfId="0" applyAlignment="1" applyFont="1">
      <alignment shrinkToFit="0" vertical="bottom" wrapText="0"/>
    </xf>
    <xf borderId="4" fillId="0" fontId="85" numFmtId="0" xfId="0" applyAlignment="1" applyBorder="1" applyFont="1">
      <alignment shrinkToFit="0" vertical="bottom" wrapText="0"/>
    </xf>
    <xf borderId="0" fillId="0" fontId="137" numFmtId="0" xfId="0" applyAlignment="1" applyFont="1">
      <alignment vertical="bottom"/>
    </xf>
    <xf borderId="4" fillId="10" fontId="69" numFmtId="0" xfId="0" applyAlignment="1" applyBorder="1" applyFont="1">
      <alignment shrinkToFit="0" vertical="bottom" wrapText="0"/>
    </xf>
    <xf borderId="0" fillId="21" fontId="85" numFmtId="0" xfId="0" applyAlignment="1" applyFont="1">
      <alignment horizontal="center" vertical="bottom"/>
    </xf>
    <xf borderId="0" fillId="0" fontId="85" numFmtId="0" xfId="0" applyAlignment="1" applyFont="1">
      <alignment shrinkToFit="0" vertical="bottom" wrapText="0"/>
    </xf>
    <xf borderId="4" fillId="10" fontId="3" numFmtId="0" xfId="0" applyAlignment="1" applyBorder="1" applyFont="1">
      <alignment shrinkToFit="0" vertical="bottom" wrapText="0"/>
    </xf>
    <xf borderId="0" fillId="11" fontId="85" numFmtId="0" xfId="0" applyAlignment="1" applyFont="1">
      <alignment horizontal="center" vertical="bottom"/>
    </xf>
    <xf borderId="4" fillId="0" fontId="138" numFmtId="0" xfId="0" applyAlignment="1" applyBorder="1" applyFont="1">
      <alignment shrinkToFit="0" vertical="bottom" wrapText="0"/>
    </xf>
    <xf borderId="4" fillId="0" fontId="85" numFmtId="0" xfId="0" applyAlignment="1" applyBorder="1" applyFont="1">
      <alignment vertical="bottom"/>
    </xf>
    <xf borderId="2" fillId="2" fontId="1" numFmtId="0" xfId="0" applyAlignment="1" applyBorder="1" applyFont="1">
      <alignment horizontal="left" readingOrder="0" shrinkToFit="0" wrapText="0"/>
    </xf>
    <xf borderId="0" fillId="2" fontId="1" numFmtId="0" xfId="0" applyAlignment="1" applyFont="1">
      <alignment horizontal="left" readingOrder="0" shrinkToFit="0" wrapText="0"/>
    </xf>
    <xf borderId="3" fillId="3" fontId="2" numFmtId="0" xfId="0" applyAlignment="1" applyBorder="1" applyFont="1">
      <alignment horizontal="left" readingOrder="0" shrinkToFit="0" wrapText="0"/>
    </xf>
    <xf borderId="0" fillId="4" fontId="1" numFmtId="0" xfId="0" applyAlignment="1" applyFont="1">
      <alignment horizontal="left" readingOrder="0" shrinkToFit="0" wrapText="0"/>
    </xf>
    <xf borderId="3" fillId="3" fontId="2" numFmtId="0" xfId="0" applyAlignment="1" applyBorder="1" applyFont="1">
      <alignment readingOrder="0" shrinkToFit="0" wrapText="0"/>
    </xf>
    <xf borderId="0" fillId="5" fontId="1" numFmtId="0" xfId="0" applyAlignment="1" applyFont="1">
      <alignment readingOrder="0" shrinkToFit="0" wrapText="0"/>
    </xf>
    <xf borderId="3" fillId="4" fontId="2" numFmtId="0" xfId="0" applyAlignment="1" applyBorder="1" applyFont="1">
      <alignment horizontal="center" readingOrder="0" shrinkToFit="0" wrapText="1"/>
    </xf>
    <xf borderId="3" fillId="5" fontId="2" numFmtId="0" xfId="0" applyAlignment="1" applyBorder="1" applyFont="1">
      <alignment shrinkToFit="0" wrapText="0"/>
    </xf>
    <xf borderId="1" fillId="7" fontId="1" numFmtId="0" xfId="0" applyAlignment="1" applyBorder="1" applyFont="1">
      <alignment horizontal="left" readingOrder="0" vertical="bottom"/>
    </xf>
    <xf borderId="0" fillId="8" fontId="1" numFmtId="0" xfId="0" applyAlignment="1" applyFont="1">
      <alignment horizontal="center" readingOrder="0" shrinkToFit="0" wrapText="0"/>
    </xf>
    <xf borderId="3" fillId="8" fontId="2" numFmtId="0" xfId="0" applyAlignment="1" applyBorder="1" applyFont="1">
      <alignment horizontal="center" shrinkToFit="0" wrapText="0"/>
    </xf>
    <xf borderId="10" fillId="2" fontId="3" numFmtId="0" xfId="0" applyAlignment="1" applyBorder="1" applyFont="1">
      <alignment shrinkToFit="0" wrapText="1"/>
    </xf>
    <xf borderId="11" fillId="2" fontId="3" numFmtId="0" xfId="0" applyAlignment="1" applyBorder="1" applyFont="1">
      <alignment shrinkToFit="0" wrapText="1"/>
    </xf>
    <xf borderId="10" fillId="3" fontId="3" numFmtId="49" xfId="0" applyAlignment="1" applyBorder="1" applyFont="1" applyNumberFormat="1">
      <alignment readingOrder="0" shrinkToFit="0" wrapText="1"/>
    </xf>
    <xf borderId="8" fillId="3" fontId="3" numFmtId="0" xfId="0" applyAlignment="1" applyBorder="1" applyFont="1">
      <alignment horizontal="left" readingOrder="0" shrinkToFit="0" wrapText="1"/>
    </xf>
    <xf borderId="11" fillId="3" fontId="3" numFmtId="0" xfId="0" applyAlignment="1" applyBorder="1" applyFont="1">
      <alignment horizontal="left" readingOrder="0" shrinkToFit="0" wrapText="1"/>
    </xf>
    <xf borderId="10" fillId="4" fontId="3" numFmtId="0" xfId="0" applyAlignment="1" applyBorder="1" applyFont="1">
      <alignment horizontal="left" readingOrder="0" shrinkToFit="0" wrapText="1"/>
    </xf>
    <xf borderId="8" fillId="4" fontId="3" numFmtId="0" xfId="0" applyAlignment="1" applyBorder="1" applyFont="1">
      <alignment horizontal="left" readingOrder="0" shrinkToFit="0" wrapText="1"/>
    </xf>
    <xf borderId="8" fillId="4" fontId="3" numFmtId="0" xfId="0" applyAlignment="1" applyBorder="1" applyFont="1">
      <alignment readingOrder="0" shrinkToFit="0" wrapText="1"/>
    </xf>
    <xf borderId="8" fillId="4" fontId="3" numFmtId="0" xfId="0" applyAlignment="1" applyBorder="1" applyFont="1">
      <alignment shrinkToFit="0" wrapText="1"/>
    </xf>
    <xf borderId="9" fillId="5" fontId="3" numFmtId="0" xfId="0" applyAlignment="1" applyBorder="1" applyFont="1">
      <alignment readingOrder="0" shrinkToFit="0" wrapText="1"/>
    </xf>
    <xf borderId="9" fillId="4" fontId="3" numFmtId="0" xfId="0" applyAlignment="1" applyBorder="1" applyFont="1">
      <alignment readingOrder="0" shrinkToFit="0" wrapText="1"/>
    </xf>
    <xf borderId="10" fillId="3" fontId="3" numFmtId="0" xfId="0" applyAlignment="1" applyBorder="1" applyFont="1">
      <alignment readingOrder="0" shrinkToFit="0" wrapText="1"/>
    </xf>
    <xf borderId="8" fillId="3" fontId="3" numFmtId="0" xfId="0" applyAlignment="1" applyBorder="1" applyFont="1">
      <alignment readingOrder="0" shrinkToFit="0" wrapText="1"/>
    </xf>
    <xf borderId="11" fillId="3" fontId="3" numFmtId="0" xfId="0" applyAlignment="1" applyBorder="1" applyFont="1">
      <alignment shrinkToFit="0" wrapText="1"/>
    </xf>
    <xf borderId="11" fillId="5" fontId="3" numFmtId="0" xfId="0" applyAlignment="1" applyBorder="1" applyFont="1">
      <alignment readingOrder="0" shrinkToFit="0" wrapText="1"/>
    </xf>
    <xf borderId="10" fillId="4" fontId="3" numFmtId="0" xfId="0" applyAlignment="1" applyBorder="1" applyFont="1">
      <alignment readingOrder="0" shrinkToFit="0" wrapText="1"/>
    </xf>
    <xf borderId="11" fillId="4" fontId="3" numFmtId="0" xfId="0" applyAlignment="1" applyBorder="1" applyFont="1">
      <alignment horizontal="center" readingOrder="0" shrinkToFit="0" wrapText="1"/>
    </xf>
    <xf borderId="8" fillId="5" fontId="3" numFmtId="0" xfId="0" applyAlignment="1" applyBorder="1" applyFont="1">
      <alignment shrinkToFit="0" wrapText="1"/>
    </xf>
    <xf borderId="8" fillId="5" fontId="3" numFmtId="0" xfId="0" applyAlignment="1" applyBorder="1" applyFont="1">
      <alignment shrinkToFit="0" textRotation="90" wrapText="1"/>
    </xf>
    <xf borderId="11" fillId="5" fontId="3" numFmtId="0" xfId="0" applyAlignment="1" applyBorder="1" applyFont="1">
      <alignment shrinkToFit="0" wrapText="1"/>
    </xf>
    <xf borderId="9" fillId="7" fontId="3" numFmtId="0" xfId="0" applyAlignment="1" applyBorder="1" applyFont="1">
      <alignment horizontal="left" shrinkToFit="0" vertical="bottom" wrapText="1"/>
    </xf>
    <xf borderId="8" fillId="8" fontId="3" numFmtId="0" xfId="0" applyAlignment="1" applyBorder="1" applyFont="1">
      <alignment horizontal="center" shrinkToFit="0" wrapText="1"/>
    </xf>
    <xf borderId="11" fillId="8" fontId="3" numFmtId="0" xfId="0" applyAlignment="1" applyBorder="1" applyFont="1">
      <alignment horizontal="center" shrinkToFit="0" wrapText="1"/>
    </xf>
    <xf borderId="0" fillId="0" fontId="139" numFmtId="0" xfId="0" applyAlignment="1" applyFont="1">
      <alignment readingOrder="0"/>
    </xf>
    <xf borderId="2" fillId="0" fontId="3" numFmtId="0" xfId="0" applyAlignment="1" applyBorder="1" applyFont="1">
      <alignment readingOrder="0" shrinkToFit="0" wrapText="1"/>
    </xf>
    <xf borderId="0" fillId="0" fontId="3" numFmtId="0" xfId="0" applyAlignment="1" applyFont="1">
      <alignment readingOrder="0" shrinkToFit="0" wrapText="1"/>
    </xf>
    <xf borderId="3" fillId="0" fontId="3" numFmtId="0" xfId="0" applyAlignment="1" applyBorder="1" applyFont="1">
      <alignment readingOrder="0" shrinkToFit="0" wrapText="1"/>
    </xf>
    <xf borderId="0" fillId="11" fontId="3" numFmtId="0" xfId="0" applyAlignment="1" applyFont="1">
      <alignment horizontal="center" shrinkToFit="0" vertical="bottom" wrapText="1"/>
    </xf>
    <xf borderId="0" fillId="11" fontId="3" numFmtId="0" xfId="0" applyAlignment="1" applyFont="1">
      <alignment horizontal="center" readingOrder="0" shrinkToFit="0" vertical="bottom" wrapText="1"/>
    </xf>
    <xf borderId="1" fillId="0" fontId="3" numFmtId="0" xfId="0" applyAlignment="1" applyBorder="1" applyFont="1">
      <alignment readingOrder="0" shrinkToFit="0" wrapText="1"/>
    </xf>
    <xf borderId="0" fillId="0" fontId="46" numFmtId="0" xfId="0" applyAlignment="1" applyFont="1">
      <alignment readingOrder="0" shrinkToFit="0" vertical="bottom" wrapText="1"/>
    </xf>
    <xf borderId="3" fillId="0" fontId="3" numFmtId="0" xfId="0" applyAlignment="1" applyBorder="1" applyFont="1">
      <alignment shrinkToFit="0" wrapText="1"/>
    </xf>
    <xf borderId="0" fillId="0" fontId="3" numFmtId="0" xfId="0" applyAlignment="1" applyFont="1">
      <alignment shrinkToFit="0" wrapText="1"/>
    </xf>
    <xf borderId="2" fillId="14" fontId="3" numFmtId="0" xfId="0" applyAlignment="1" applyBorder="1" applyFont="1">
      <alignment readingOrder="0" shrinkToFit="0" wrapText="1"/>
    </xf>
    <xf borderId="2" fillId="0" fontId="3" numFmtId="0" xfId="0" applyAlignment="1" applyBorder="1" applyFont="1">
      <alignment shrinkToFit="0" wrapText="1"/>
    </xf>
    <xf borderId="0" fillId="21" fontId="3" numFmtId="0" xfId="0" applyAlignment="1" applyFont="1">
      <alignment horizontal="center" shrinkToFit="0" vertical="bottom" wrapText="1"/>
    </xf>
    <xf borderId="0" fillId="21" fontId="3" numFmtId="0" xfId="0" applyAlignment="1" applyFont="1">
      <alignment horizontal="center" readingOrder="0" shrinkToFit="0" vertical="bottom" wrapText="1"/>
    </xf>
    <xf borderId="0" fillId="10" fontId="88" numFmtId="0" xfId="0" applyAlignment="1" applyFont="1">
      <alignment horizontal="left" readingOrder="0"/>
    </xf>
    <xf borderId="1" fillId="0" fontId="3" numFmtId="0" xfId="0" applyAlignment="1" applyBorder="1" applyFont="1">
      <alignment shrinkToFit="0" wrapText="1"/>
    </xf>
    <xf borderId="0" fillId="10" fontId="140" numFmtId="0" xfId="0" applyAlignment="1" applyFont="1">
      <alignment readingOrder="0" shrinkToFit="0" wrapText="1"/>
    </xf>
    <xf borderId="0" fillId="10" fontId="141" numFmtId="0" xfId="0" applyAlignment="1" applyFont="1">
      <alignment horizontal="left" readingOrder="0"/>
    </xf>
    <xf borderId="0" fillId="0" fontId="46" numFmtId="0" xfId="0" applyAlignment="1" applyFont="1">
      <alignment readingOrder="0" shrinkToFit="0" wrapText="1"/>
    </xf>
    <xf borderId="0" fillId="31" fontId="3" numFmtId="0" xfId="0" applyAlignment="1" applyFont="1">
      <alignment horizontal="center" shrinkToFit="0" vertical="bottom" wrapText="1"/>
    </xf>
    <xf borderId="0" fillId="31" fontId="3" numFmtId="0" xfId="0" applyAlignment="1" applyFont="1">
      <alignment horizontal="center" readingOrder="0" shrinkToFit="0" vertical="bottom" wrapText="1"/>
    </xf>
    <xf borderId="0" fillId="10" fontId="140" numFmtId="0" xfId="0" applyAlignment="1" applyFont="1">
      <alignment horizontal="left" readingOrder="0" shrinkToFit="0" wrapText="1"/>
    </xf>
    <xf borderId="2" fillId="44" fontId="3" numFmtId="0" xfId="0" applyAlignment="1" applyBorder="1" applyFill="1" applyFont="1">
      <alignment shrinkToFit="0" wrapText="1"/>
    </xf>
    <xf borderId="0" fillId="20" fontId="3" numFmtId="0" xfId="0" applyAlignment="1" applyFont="1">
      <alignment horizontal="center" shrinkToFit="0" vertical="bottom" wrapText="1"/>
    </xf>
    <xf borderId="0" fillId="20" fontId="3" numFmtId="0" xfId="0" applyAlignment="1" applyFont="1">
      <alignment horizontal="center" readingOrder="0" shrinkToFit="0" vertical="bottom" wrapText="1"/>
    </xf>
    <xf borderId="0" fillId="36" fontId="3" numFmtId="0" xfId="0" applyAlignment="1" applyFont="1">
      <alignment horizontal="center" shrinkToFit="0" vertical="bottom" wrapText="1"/>
    </xf>
    <xf borderId="0" fillId="36" fontId="3" numFmtId="0" xfId="0" applyAlignment="1" applyFont="1">
      <alignment horizontal="center" readingOrder="0" shrinkToFit="0" vertical="bottom" wrapText="1"/>
    </xf>
    <xf borderId="0" fillId="0" fontId="3" numFmtId="0" xfId="0" applyAlignment="1" applyFont="1">
      <alignment readingOrder="0" shrinkToFit="0" wrapText="0"/>
    </xf>
    <xf borderId="2" fillId="0" fontId="69" numFmtId="0" xfId="0" applyAlignment="1" applyBorder="1" applyFont="1">
      <alignment shrinkToFit="0" wrapText="1"/>
    </xf>
    <xf borderId="0" fillId="0" fontId="69" numFmtId="0" xfId="0" applyAlignment="1" applyFont="1">
      <alignment shrinkToFit="0" wrapText="1"/>
    </xf>
    <xf borderId="3" fillId="0" fontId="69" numFmtId="0" xfId="0" applyAlignment="1" applyBorder="1" applyFont="1">
      <alignment shrinkToFit="0" wrapText="1"/>
    </xf>
    <xf borderId="1" fillId="0" fontId="69" numFmtId="0" xfId="0" applyAlignment="1" applyBorder="1" applyFont="1">
      <alignment shrinkToFit="0" wrapText="1"/>
    </xf>
    <xf borderId="2" fillId="0" fontId="69" numFmtId="0" xfId="0" applyBorder="1" applyFont="1"/>
    <xf borderId="3" fillId="0" fontId="69" numFmtId="0" xfId="0" applyBorder="1" applyFont="1"/>
    <xf borderId="0" fillId="10" fontId="140" numFmtId="0" xfId="0" applyAlignment="1" applyFont="1">
      <alignment readingOrder="0"/>
    </xf>
    <xf borderId="0" fillId="0" fontId="46" numFmtId="0" xfId="0" applyAlignment="1" applyFont="1">
      <alignment readingOrder="0"/>
    </xf>
    <xf borderId="2" fillId="31" fontId="69" numFmtId="0" xfId="0" applyBorder="1" applyFont="1"/>
    <xf borderId="2" fillId="20" fontId="69" numFmtId="0" xfId="0" applyBorder="1" applyFont="1"/>
    <xf borderId="0" fillId="10" fontId="142" numFmtId="0" xfId="0" applyAlignment="1" applyFont="1">
      <alignment horizontal="left" readingOrder="0"/>
    </xf>
    <xf borderId="0" fillId="10" fontId="3" numFmtId="0" xfId="0" applyAlignment="1" applyFont="1">
      <alignment shrinkToFit="0" vertical="bottom" wrapText="1"/>
    </xf>
    <xf borderId="0" fillId="14" fontId="143" numFmtId="0" xfId="0" applyAlignment="1" applyFont="1">
      <alignment readingOrder="0" vertical="bottom"/>
    </xf>
    <xf borderId="0" fillId="14" fontId="69" numFmtId="0" xfId="0" applyFont="1"/>
    <xf borderId="0" fillId="14" fontId="3" numFmtId="0" xfId="0" applyAlignment="1" applyFont="1">
      <alignment horizontal="center" vertical="bottom"/>
    </xf>
    <xf borderId="0" fillId="0" fontId="143" numFmtId="0" xfId="0" applyAlignment="1" applyFont="1">
      <alignment readingOrder="0" vertical="bottom"/>
    </xf>
    <xf borderId="0" fillId="10" fontId="62" numFmtId="0" xfId="0" applyAlignment="1" applyFont="1">
      <alignment readingOrder="0"/>
    </xf>
    <xf borderId="0" fillId="10" fontId="144" numFmtId="0" xfId="0" applyAlignment="1" applyFont="1">
      <alignment horizontal="left" readingOrder="0"/>
    </xf>
    <xf borderId="0" fillId="10" fontId="85" numFmtId="0" xfId="0" applyAlignment="1" applyFont="1">
      <alignment shrinkToFit="0" vertical="bottom" wrapText="1"/>
    </xf>
    <xf borderId="0" fillId="0" fontId="85" numFmtId="0" xfId="0" applyAlignment="1" applyFont="1">
      <alignment shrinkToFit="0" vertical="bottom" wrapText="1"/>
    </xf>
    <xf borderId="0" fillId="45" fontId="145" numFmtId="0" xfId="0" applyAlignment="1" applyFill="1" applyFont="1">
      <alignment readingOrder="0" shrinkToFit="0" wrapText="0"/>
    </xf>
    <xf borderId="0" fillId="45" fontId="146" numFmtId="0" xfId="0" applyAlignment="1" applyFont="1">
      <alignment readingOrder="0"/>
    </xf>
    <xf borderId="0" fillId="45" fontId="145" numFmtId="0" xfId="0" applyFont="1"/>
    <xf borderId="0" fillId="14" fontId="53" numFmtId="0" xfId="0" applyAlignment="1" applyFont="1">
      <alignment horizontal="left" readingOrder="0"/>
    </xf>
    <xf borderId="0" fillId="0" fontId="147" numFmtId="0" xfId="0" applyAlignment="1" applyFont="1">
      <alignment readingOrder="0" shrinkToFit="0" wrapText="0"/>
    </xf>
    <xf borderId="0" fillId="0" fontId="69" numFmtId="0" xfId="0" applyAlignment="1" applyFont="1">
      <alignment shrinkToFit="0" wrapText="0"/>
    </xf>
    <xf borderId="0" fillId="0" fontId="148" numFmtId="0" xfId="0" applyAlignment="1" applyFont="1">
      <alignment readingOrder="0" shrinkToFit="0" wrapText="0"/>
    </xf>
    <xf borderId="0" fillId="18" fontId="102" numFmtId="0" xfId="0" applyAlignment="1" applyFont="1">
      <alignment readingOrder="0"/>
    </xf>
    <xf borderId="0" fillId="18" fontId="69" numFmtId="0" xfId="0" applyAlignment="1" applyFont="1">
      <alignment readingOrder="0"/>
    </xf>
    <xf borderId="0" fillId="10" fontId="55" numFmtId="0" xfId="0" applyAlignment="1" applyFont="1">
      <alignment readingOrder="0"/>
    </xf>
    <xf borderId="0" fillId="10" fontId="149" numFmtId="0" xfId="0" applyAlignment="1" applyFont="1">
      <alignment readingOrder="0"/>
    </xf>
    <xf borderId="0" fillId="10" fontId="55" numFmtId="0" xfId="0" applyAlignment="1" applyFont="1">
      <alignment horizontal="left" readingOrder="0"/>
    </xf>
    <xf borderId="0" fillId="14" fontId="0" numFmtId="0" xfId="0" applyAlignment="1" applyFont="1">
      <alignment readingOrder="0"/>
    </xf>
    <xf borderId="0" fillId="14" fontId="150" numFmtId="0" xfId="0" applyAlignment="1" applyFont="1">
      <alignment readingOrder="0"/>
    </xf>
    <xf borderId="0" fillId="10" fontId="151" numFmtId="0" xfId="0" applyAlignment="1" applyFont="1">
      <alignment horizontal="left" readingOrder="0"/>
    </xf>
    <xf borderId="12" fillId="0" fontId="152" numFmtId="0" xfId="0" applyAlignment="1" applyBorder="1" applyFont="1">
      <alignment readingOrder="0" vertical="bottom"/>
    </xf>
    <xf borderId="12" fillId="18" fontId="153" numFmtId="0" xfId="0" applyAlignment="1" applyBorder="1" applyFont="1">
      <alignment readingOrder="0" vertical="bottom"/>
    </xf>
    <xf borderId="0" fillId="18" fontId="154" numFmtId="0" xfId="0" applyAlignment="1" applyFont="1">
      <alignment readingOrder="0"/>
    </xf>
    <xf borderId="0" fillId="18" fontId="155" numFmtId="0" xfId="0" applyAlignment="1" applyFont="1">
      <alignment readingOrder="0"/>
    </xf>
    <xf borderId="0" fillId="18" fontId="156" numFmtId="0" xfId="0" applyAlignment="1" applyFont="1">
      <alignment readingOrder="0"/>
    </xf>
  </cellXfs>
  <cellStyles count="1">
    <cellStyle xfId="0" name="Normal" builtinId="0"/>
  </cellStyles>
  <dxfs count="11">
    <dxf>
      <font/>
      <fill>
        <patternFill patternType="none"/>
      </fill>
      <border/>
    </dxf>
    <dxf>
      <font/>
      <fill>
        <patternFill patternType="solid">
          <fgColor rgb="FFC9DAF8"/>
          <bgColor rgb="FFC9DAF8"/>
        </patternFill>
      </fill>
      <border/>
    </dxf>
    <dxf>
      <font/>
      <fill>
        <patternFill patternType="solid">
          <fgColor rgb="FFD9EAD3"/>
          <bgColor rgb="FFD9EAD3"/>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6AA84F"/>
          <bgColor rgb="FF6AA84F"/>
        </patternFill>
      </fill>
      <border/>
    </dxf>
    <dxf>
      <font/>
      <fill>
        <patternFill patternType="solid">
          <fgColor rgb="FFF1C232"/>
          <bgColor rgb="FFF1C232"/>
        </patternFill>
      </fill>
      <border/>
    </dxf>
    <dxf>
      <font/>
      <fill>
        <patternFill patternType="solid">
          <fgColor rgb="FFE69138"/>
          <bgColor rgb="FFE69138"/>
        </patternFill>
      </fill>
      <border/>
    </dxf>
    <dxf>
      <font/>
      <fill>
        <patternFill patternType="solid">
          <fgColor rgb="FFE06666"/>
          <bgColor rgb="FFE06666"/>
        </patternFill>
      </fill>
      <border/>
    </dxf>
    <dxf>
      <font/>
      <fill>
        <patternFill patternType="solid">
          <fgColor rgb="FFCC0000"/>
          <bgColor rgb="FFCC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bellingcat-archive.nyc3.cdn.digitaloceanspaces.com/Ukraine_Witness_Datasheet/Worksheet/youtube_dl_SHnxKirW6e0/index.html" TargetMode="External"/><Relationship Id="rId8308" Type="http://schemas.openxmlformats.org/officeDocument/2006/relationships/hyperlink" Target="https://bellingcat-archive.nyc3.cdn.digitaloceanspaces.com/Ukraine_Witness_Datasheet/Worksheet/youtube_dl__watch2022-03-10T16:40:21.499990.png" TargetMode="External"/><Relationship Id="rId8303" Type="http://schemas.openxmlformats.org/officeDocument/2006/relationships/hyperlink" Target="https://bellingcat-archive.nyc3.cdn.digitaloceanspaces.com/Ukraine_Witness_Datasheet/Worksheet/youtube_dl_iq50X9cM_hU.webm" TargetMode="External"/><Relationship Id="rId8302" Type="http://schemas.openxmlformats.org/officeDocument/2006/relationships/hyperlink" Target="https://suspilne.media/214937-poskodzeni-zitlovi-budinki-i-parkan-cerkvi-okupanti-vkotre-obstrilali-mirni-rajoni-cernigova/" TargetMode="External"/><Relationship Id="rId8301" Type="http://schemas.openxmlformats.org/officeDocument/2006/relationships/hyperlink" Target="https://www.youtube.com/watch?v=iq50X9cM_hU" TargetMode="External"/><Relationship Id="rId8300" Type="http://schemas.openxmlformats.org/officeDocument/2006/relationships/hyperlink" Target="https://t.me/truexanewsua/31289" TargetMode="External"/><Relationship Id="rId8307" Type="http://schemas.openxmlformats.org/officeDocument/2006/relationships/hyperlink" Target="https://bellingcat-archive.nyc3.cdn.digitaloceanspaces.com/Ukraine_Witness_Datasheet/Worksheet/youtube_dl_SHnxKirW6e0.webm" TargetMode="External"/><Relationship Id="rId8306" Type="http://schemas.openxmlformats.org/officeDocument/2006/relationships/hyperlink" Target="https://www.youtube.com/watch?v=SHnxKirW6e0" TargetMode="External"/><Relationship Id="rId8305" Type="http://schemas.openxmlformats.org/officeDocument/2006/relationships/hyperlink" Target="https://bellingcat-archive.nyc3.cdn.digitaloceanspaces.com/Ukraine_Witness_Datasheet/Worksheet/youtube_dl_iq50X9cM_hU/index.html" TargetMode="External"/><Relationship Id="rId8304" Type="http://schemas.openxmlformats.org/officeDocument/2006/relationships/hyperlink" Target="https://bellingcat-archive.nyc3.cdn.digitaloceanspaces.com/Ukraine_Witness_Datasheet/Worksheet/youtube_dl__watch2022-03-10T15:26:08.664673.png" TargetMode="External"/><Relationship Id="rId2180" Type="http://schemas.openxmlformats.org/officeDocument/2006/relationships/hyperlink" Target="https://twitter.com/GirkinGirkin/status/1495413984530509826" TargetMode="External"/><Relationship Id="rId2181" Type="http://schemas.openxmlformats.org/officeDocument/2006/relationships/hyperlink" Target="https://twitter.com/KotsNash/status/1495416766293491721" TargetMode="External"/><Relationship Id="rId2182" Type="http://schemas.openxmlformats.org/officeDocument/2006/relationships/hyperlink" Target="https://bellingcat-archive.nyc3.cdn.digitaloceanspaces.com/Ukraine_Witness_Datasheet/Worksheet/youtube_dl_1495413984530509826.mp4" TargetMode="External"/><Relationship Id="rId2183" Type="http://schemas.openxmlformats.org/officeDocument/2006/relationships/hyperlink" Target="https://bellingcat-archive.nyc3.cdn.digitaloceanspaces.com/Ukraine_Witness_Datasheet/Worksheet/youtube_dl__GirkinGirkin_status_14954139845305098262022-02-25T13:27:31.097633.png" TargetMode="External"/><Relationship Id="rId2184" Type="http://schemas.openxmlformats.org/officeDocument/2006/relationships/hyperlink" Target="https://bellingcat-archive.nyc3.cdn.digitaloceanspaces.com/Ukraine_Witness_Datasheet/Worksheet/youtube_dl_1495413984530509826/index.html" TargetMode="External"/><Relationship Id="rId2185" Type="http://schemas.openxmlformats.org/officeDocument/2006/relationships/hyperlink" Target="https://twitter.com/4emberlen/status/1496127648887619596" TargetMode="External"/><Relationship Id="rId2186" Type="http://schemas.openxmlformats.org/officeDocument/2006/relationships/hyperlink" Target="https://twitter.com/gfusfus/status/1496176138225434627" TargetMode="External"/><Relationship Id="rId2187" Type="http://schemas.openxmlformats.org/officeDocument/2006/relationships/hyperlink" Target="https://bellingcat-archive.nyc3.cdn.digitaloceanspaces.com/Ukraine_Witness_Datasheet/Worksheet/youtube_dl_1496127648887619596.mp4" TargetMode="External"/><Relationship Id="rId2188" Type="http://schemas.openxmlformats.org/officeDocument/2006/relationships/hyperlink" Target="https://bellingcat-archive.nyc3.cdn.digitaloceanspaces.com/Ukraine_Witness_Datasheet/Worksheet/youtube_dl__4emberlen_status_14961276488876195962022-02-25T13:27:13.479301.png" TargetMode="External"/><Relationship Id="rId2189" Type="http://schemas.openxmlformats.org/officeDocument/2006/relationships/hyperlink" Target="https://bellingcat-archive.nyc3.cdn.digitaloceanspaces.com/Ukraine_Witness_Datasheet/Worksheet/youtube_dl_1496127648887619596/index.html" TargetMode="External"/><Relationship Id="rId2170" Type="http://schemas.openxmlformats.org/officeDocument/2006/relationships/hyperlink" Target="https://twitter.com/Michael1Sheldon/status/1496101698758225924" TargetMode="External"/><Relationship Id="rId2171" Type="http://schemas.openxmlformats.org/officeDocument/2006/relationships/hyperlink" Target="https://twitter.com/Michael1Sheldon/status/1496102050375028736" TargetMode="External"/><Relationship Id="rId2172" Type="http://schemas.openxmlformats.org/officeDocument/2006/relationships/hyperlink" Target="https://bellingcat-archive.nyc3.cdn.digitaloceanspaces.com/Ukraine_Witness_Datasheet/Worksheet/youtube_dl_1496101698758225924.mp4" TargetMode="External"/><Relationship Id="rId2173" Type="http://schemas.openxmlformats.org/officeDocument/2006/relationships/hyperlink" Target="https://bellingcat-archive.nyc3.cdn.digitaloceanspaces.com/Ukraine_Witness_Datasheet/Worksheet/youtube_dl__Michael1Sheldon_status_14961016987582259242022-02-25T13:28:05.218201.png" TargetMode="External"/><Relationship Id="rId2174" Type="http://schemas.openxmlformats.org/officeDocument/2006/relationships/hyperlink" Target="https://bellingcat-archive.nyc3.cdn.digitaloceanspaces.com/Ukraine_Witness_Datasheet/Worksheet/youtube_dl_1496101698758225924/index.html" TargetMode="External"/><Relationship Id="rId2175" Type="http://schemas.openxmlformats.org/officeDocument/2006/relationships/hyperlink" Target="https://twitter.com/4emberlen/status/1495693049032331266" TargetMode="External"/><Relationship Id="rId2176" Type="http://schemas.openxmlformats.org/officeDocument/2006/relationships/hyperlink" Target="https://twitter.com/KotsNash/status/1495707513274122243" TargetMode="External"/><Relationship Id="rId2177" Type="http://schemas.openxmlformats.org/officeDocument/2006/relationships/hyperlink" Target="https://bellingcat-archive.nyc3.cdn.digitaloceanspaces.com/Ukraine_Witness_Datasheet/Worksheet/youtube_dl_1495693049032331266.mp4" TargetMode="External"/><Relationship Id="rId2178" Type="http://schemas.openxmlformats.org/officeDocument/2006/relationships/hyperlink" Target="https://bellingcat-archive.nyc3.cdn.digitaloceanspaces.com/Ukraine_Witness_Datasheet/Worksheet/youtube_dl__4emberlen_status_14956930490323312662022-02-25T13:27:47.230201.png" TargetMode="External"/><Relationship Id="rId2179" Type="http://schemas.openxmlformats.org/officeDocument/2006/relationships/hyperlink" Target="https://bellingcat-archive.nyc3.cdn.digitaloceanspaces.com/Ukraine_Witness_Datasheet/Worksheet/youtube_dl_1495693049032331266/index.html" TargetMode="External"/><Relationship Id="rId2190" Type="http://schemas.openxmlformats.org/officeDocument/2006/relationships/hyperlink" Target="https://twitter.com/GirkinGirkin/status/1496158245077065728" TargetMode="External"/><Relationship Id="rId2191" Type="http://schemas.openxmlformats.org/officeDocument/2006/relationships/hyperlink" Target="https://twitter.com/Jack_P_Taylor/status/1496169975924547594" TargetMode="External"/><Relationship Id="rId2192" Type="http://schemas.openxmlformats.org/officeDocument/2006/relationships/hyperlink" Target="https://bellingcat-archive.nyc3.cdn.digitaloceanspaces.com/Ukraine_Witness_Datasheet/Worksheet/youtube_dl_1496158245077065728.mp4" TargetMode="External"/><Relationship Id="rId2193" Type="http://schemas.openxmlformats.org/officeDocument/2006/relationships/hyperlink" Target="https://bellingcat-archive.nyc3.cdn.digitaloceanspaces.com/Ukraine_Witness_Datasheet/Worksheet/youtube_dl__GirkinGirkin_status_14961582450770657282022-02-25T13:26:57.034035.png" TargetMode="External"/><Relationship Id="rId2194" Type="http://schemas.openxmlformats.org/officeDocument/2006/relationships/hyperlink" Target="https://bellingcat-archive.nyc3.cdn.digitaloceanspaces.com/Ukraine_Witness_Datasheet/Worksheet/youtube_dl_1496158245077065728/index.html" TargetMode="External"/><Relationship Id="rId2195" Type="http://schemas.openxmlformats.org/officeDocument/2006/relationships/hyperlink" Target="https://twitter.com/GirkinGirkin/status/1495816924801941517" TargetMode="External"/><Relationship Id="rId2196" Type="http://schemas.openxmlformats.org/officeDocument/2006/relationships/hyperlink" Target="https://twitter.com/vpkivimaki/status/1495887143960518665" TargetMode="External"/><Relationship Id="rId2197" Type="http://schemas.openxmlformats.org/officeDocument/2006/relationships/hyperlink" Target="https://bellingcat-archive.nyc3.cdn.digitaloceanspaces.com/Ukraine_Witness_Datasheet/Worksheet/youtube_dl_1495816924801941517.mp4" TargetMode="External"/><Relationship Id="rId2198" Type="http://schemas.openxmlformats.org/officeDocument/2006/relationships/hyperlink" Target="https://bellingcat-archive.nyc3.cdn.digitaloceanspaces.com/Ukraine_Witness_Datasheet/Worksheet/youtube_dl__GirkinGirkin_status_14958169248019415172022-02-25T13:26:39.437438.png" TargetMode="External"/><Relationship Id="rId2199" Type="http://schemas.openxmlformats.org/officeDocument/2006/relationships/hyperlink" Target="https://bellingcat-archive.nyc3.cdn.digitaloceanspaces.com/Ukraine_Witness_Datasheet/Worksheet/youtube_dl_1495816924801941517/index.html" TargetMode="External"/><Relationship Id="rId7030" Type="http://schemas.openxmlformats.org/officeDocument/2006/relationships/hyperlink" Target="https://t.me/PCU_PoliceControlUkraine/13202" TargetMode="External"/><Relationship Id="rId7034" Type="http://schemas.openxmlformats.org/officeDocument/2006/relationships/hyperlink" Target="https://twitter.com/liveuamap/status/1500526849834770433?s=21" TargetMode="External"/><Relationship Id="rId7033" Type="http://schemas.openxmlformats.org/officeDocument/2006/relationships/hyperlink" Target="https://bellingcat-archive.nyc3.cdn.digitaloceanspaces.com/Ukraine_Witness_Datasheet/Worksheet/telegram__dsns_telegram_43502022-03-08T09:17:45.555970.png" TargetMode="External"/><Relationship Id="rId7032" Type="http://schemas.openxmlformats.org/officeDocument/2006/relationships/hyperlink" Target="https://bellingcat-archive.nyc3.cdn.digitaloceanspaces.com/Ukraine_Witness_Datasheet/Worksheet/telegram__dsns_telegram_4350.html" TargetMode="External"/><Relationship Id="rId7031" Type="http://schemas.openxmlformats.org/officeDocument/2006/relationships/hyperlink" Target="https://t.me/dsns_telegram/4350" TargetMode="External"/><Relationship Id="rId7038" Type="http://schemas.openxmlformats.org/officeDocument/2006/relationships/hyperlink" Target="https://bellingcat-archive.nyc3.cdn.digitaloceanspaces.com/Ukraine_Witness_Datasheet/Worksheet/telegram__dsns_telegram_4344.html" TargetMode="External"/><Relationship Id="rId7037" Type="http://schemas.openxmlformats.org/officeDocument/2006/relationships/hyperlink" Target="https://t.me/dsns_telegram/4344" TargetMode="External"/><Relationship Id="rId7036" Type="http://schemas.openxmlformats.org/officeDocument/2006/relationships/hyperlink" Target="https://bellingcat-archive.nyc3.cdn.digitaloceanspaces.com/Ukraine_Witness_Datasheet/Worksheet/twitter__liveuamap_status_15005268498347704332022-03-08T09:18:00.720002.png" TargetMode="External"/><Relationship Id="rId7035" Type="http://schemas.openxmlformats.org/officeDocument/2006/relationships/hyperlink" Target="https://bellingcat-archive.nyc3.cdn.digitaloceanspaces.com/Ukraine_Witness_Datasheet/Worksheet/twitter__liveuamap_status_1500526849834770433.html" TargetMode="External"/><Relationship Id="rId7039" Type="http://schemas.openxmlformats.org/officeDocument/2006/relationships/hyperlink" Target="https://bellingcat-archive.nyc3.cdn.digitaloceanspaces.com/Ukraine_Witness_Datasheet/Worksheet/telegram__dsns_telegram_43442022-03-08T09:18:11.090602.png" TargetMode="External"/><Relationship Id="rId7023" Type="http://schemas.openxmlformats.org/officeDocument/2006/relationships/hyperlink" Target="https://twitter.com/go2the5dogs/status/1500173743867449346?s=20&amp;t=g_nOcDYzoXP5uTVxzlbJmg" TargetMode="External"/><Relationship Id="rId7022" Type="http://schemas.openxmlformats.org/officeDocument/2006/relationships/hyperlink" Target="https://t.me/livekharkov/28933" TargetMode="External"/><Relationship Id="rId7021" Type="http://schemas.openxmlformats.org/officeDocument/2006/relationships/hyperlink" Target="https://bellingcat-archive.nyc3.cdn.digitaloceanspaces.com/Ukraine_Witness_Datasheet/Worksheet/telegram_d0ebd898bb/index.html" TargetMode="External"/><Relationship Id="rId7020" Type="http://schemas.openxmlformats.org/officeDocument/2006/relationships/hyperlink" Target="https://bellingcat-archive.nyc3.cdn.digitaloceanspaces.com/Ukraine_Witness_Datasheet/Worksheet/telegram__livekharkov_289332022-03-08T09:15:58.155206.png" TargetMode="External"/><Relationship Id="rId7027" Type="http://schemas.openxmlformats.org/officeDocument/2006/relationships/hyperlink" Target="https://bellingcat-archive.nyc3.cdn.digitaloceanspaces.com/Ukraine_Witness_Datasheet/Worksheet/telegram_8beb6a6bbb.mp4" TargetMode="External"/><Relationship Id="rId7026" Type="http://schemas.openxmlformats.org/officeDocument/2006/relationships/hyperlink" Target="https://t.me/PCU_PoliceControlUkraine/13202" TargetMode="External"/><Relationship Id="rId7025" Type="http://schemas.openxmlformats.org/officeDocument/2006/relationships/hyperlink" Target="https://bellingcat-archive.nyc3.cdn.digitaloceanspaces.com/Ukraine_Witness_Datasheet/Worksheet/twitter__go2the5dogs_status_15001737438674493462022-03-08T09:16:34.687957.png" TargetMode="External"/><Relationship Id="rId7024" Type="http://schemas.openxmlformats.org/officeDocument/2006/relationships/hyperlink" Target="https://bellingcat-archive.nyc3.cdn.digitaloceanspaces.com/Ukraine_Witness_Datasheet/Worksheet/twitter__go2the5dogs_status_1500173743867449346.html" TargetMode="External"/><Relationship Id="rId7029" Type="http://schemas.openxmlformats.org/officeDocument/2006/relationships/hyperlink" Target="https://bellingcat-archive.nyc3.cdn.digitaloceanspaces.com/Ukraine_Witness_Datasheet/Worksheet/telegram_8beb6a6bbb/index.html" TargetMode="External"/><Relationship Id="rId7028" Type="http://schemas.openxmlformats.org/officeDocument/2006/relationships/hyperlink" Target="https://bellingcat-archive.nyc3.cdn.digitaloceanspaces.com/Ukraine_Witness_Datasheet/Worksheet/telegram__PCU_PoliceControlUkraine_132022022-03-08T09:16:45.012776.png" TargetMode="External"/><Relationship Id="rId7052" Type="http://schemas.openxmlformats.org/officeDocument/2006/relationships/hyperlink" Target="https://bellingcat-archive.nyc3.cdn.digitaloceanspaces.com/Ukraine_Witness_Datasheet/Worksheet/twitter__no_itsmyturn_status_15010953968730234882022-03-08T09:19:04.141569.png" TargetMode="External"/><Relationship Id="rId7051" Type="http://schemas.openxmlformats.org/officeDocument/2006/relationships/hyperlink" Target="https://bellingcat-archive.nyc3.cdn.digitaloceanspaces.com/Ukraine_Witness_Datasheet/Worksheet/twitter__no_itsmyturn_status_1501095396873023488.html" TargetMode="External"/><Relationship Id="rId7050" Type="http://schemas.openxmlformats.org/officeDocument/2006/relationships/hyperlink" Target="https://twitter.com/no_itsmyturn/status/1501095396873023488?s=21" TargetMode="External"/><Relationship Id="rId7056" Type="http://schemas.openxmlformats.org/officeDocument/2006/relationships/hyperlink" Target="https://bellingcat-archive.nyc3.cdn.digitaloceanspaces.com/Ukraine_Witness_Datasheet/Worksheet/youtube_dl_1501109039236882433/index.html" TargetMode="External"/><Relationship Id="rId7055" Type="http://schemas.openxmlformats.org/officeDocument/2006/relationships/hyperlink" Target="https://bellingcat-archive.nyc3.cdn.digitaloceanspaces.com/Ukraine_Witness_Datasheet/Worksheet/youtube_dl__CasusBellii_status_15011090392368824332022-03-08T09:19:16.097938.png" TargetMode="External"/><Relationship Id="rId7054" Type="http://schemas.openxmlformats.org/officeDocument/2006/relationships/hyperlink" Target="https://bellingcat-archive.nyc3.cdn.digitaloceanspaces.com/Ukraine_Witness_Datasheet/Worksheet/youtube_dl_1501109039236882433.mp4" TargetMode="External"/><Relationship Id="rId7053" Type="http://schemas.openxmlformats.org/officeDocument/2006/relationships/hyperlink" Target="https://twitter.com/CasusBellii/status/1501109039236882433" TargetMode="External"/><Relationship Id="rId7059" Type="http://schemas.openxmlformats.org/officeDocument/2006/relationships/hyperlink" Target="https://bellingcat-archive.nyc3.cdn.digitaloceanspaces.com/Ukraine_Witness_Datasheet/Worksheet/youtube_dl__no_itsmyturn_status_15008369001055641632022-03-08T09:45:12.077855.png" TargetMode="External"/><Relationship Id="rId7058" Type="http://schemas.openxmlformats.org/officeDocument/2006/relationships/hyperlink" Target="https://bellingcat-archive.nyc3.cdn.digitaloceanspaces.com/Ukraine_Witness_Datasheet/Worksheet/youtube_dl_1500836900105564163.mp4" TargetMode="External"/><Relationship Id="rId7057" Type="http://schemas.openxmlformats.org/officeDocument/2006/relationships/hyperlink" Target="https://twitter.com/no_itsmyturn/status/1500836900105564163" TargetMode="External"/><Relationship Id="rId7041" Type="http://schemas.openxmlformats.org/officeDocument/2006/relationships/hyperlink" Target="https://bellingcat-archive.nyc3.cdn.digitaloceanspaces.com/Ukraine_Witness_Datasheet/Worksheet/youtube_dl_1500727285615312896.mp4" TargetMode="External"/><Relationship Id="rId7040" Type="http://schemas.openxmlformats.org/officeDocument/2006/relationships/hyperlink" Target="https://twitter.com/GirkinGirkin/status/1500727285615312896" TargetMode="External"/><Relationship Id="rId7045" Type="http://schemas.openxmlformats.org/officeDocument/2006/relationships/hyperlink" Target="https://bellingcat-archive.nyc3.cdn.digitaloceanspaces.com/Ukraine_Witness_Datasheet/Worksheet/twitter__gt_lotrz_status_1500731068630061057.html" TargetMode="External"/><Relationship Id="rId7044" Type="http://schemas.openxmlformats.org/officeDocument/2006/relationships/hyperlink" Target="https://twitter.com/gt_lotrz/status/1500731068630061057?s=20&amp;t=VoBlH1R4Hxrw2GGwg-07Eg" TargetMode="External"/><Relationship Id="rId7043" Type="http://schemas.openxmlformats.org/officeDocument/2006/relationships/hyperlink" Target="https://bellingcat-archive.nyc3.cdn.digitaloceanspaces.com/Ukraine_Witness_Datasheet/Worksheet/youtube_dl_1500727285615312896/index.html" TargetMode="External"/><Relationship Id="rId7042" Type="http://schemas.openxmlformats.org/officeDocument/2006/relationships/hyperlink" Target="https://bellingcat-archive.nyc3.cdn.digitaloceanspaces.com/Ukraine_Witness_Datasheet/Worksheet/youtube_dl__GirkinGirkin_status_15007272856153128962022-03-08T09:18:25.785846.png" TargetMode="External"/><Relationship Id="rId7049" Type="http://schemas.openxmlformats.org/officeDocument/2006/relationships/hyperlink" Target="https://bellingcat-archive.nyc3.cdn.digitaloceanspaces.com/Ukraine_Witness_Datasheet/Worksheet/twitter__TRTRussian_status_15007238264176189462022-03-08T09:18:52.957151.png" TargetMode="External"/><Relationship Id="rId7048" Type="http://schemas.openxmlformats.org/officeDocument/2006/relationships/hyperlink" Target="https://bellingcat-archive.nyc3.cdn.digitaloceanspaces.com/Ukraine_Witness_Datasheet/Worksheet/twitter__TRTRussian_status_1500723826417618946.html" TargetMode="External"/><Relationship Id="rId7047" Type="http://schemas.openxmlformats.org/officeDocument/2006/relationships/hyperlink" Target="https://twitter.com/TRTRussian/status/1500723826417618946" TargetMode="External"/><Relationship Id="rId7046" Type="http://schemas.openxmlformats.org/officeDocument/2006/relationships/hyperlink" Target="https://bellingcat-archive.nyc3.cdn.digitaloceanspaces.com/Ukraine_Witness_Datasheet/Worksheet/twitter__gt_lotrz_status_15007310686300610572022-03-08T09:18:41.307238.png" TargetMode="External"/><Relationship Id="rId8321" Type="http://schemas.openxmlformats.org/officeDocument/2006/relationships/hyperlink" Target="https://bellingcat-archive.nyc3.cdn.digitaloceanspaces.com/Ukraine_Witness_Datasheet/Worksheet/telegram__truexanewsua_311852022-03-10T15:35:10.697632.png" TargetMode="External"/><Relationship Id="rId8320" Type="http://schemas.openxmlformats.org/officeDocument/2006/relationships/hyperlink" Target="https://bellingcat-archive.nyc3.cdn.digitaloceanspaces.com/Ukraine_Witness_Datasheet/Worksheet/telegram__truexanewsua_31185.html" TargetMode="External"/><Relationship Id="rId8325" Type="http://schemas.openxmlformats.org/officeDocument/2006/relationships/hyperlink" Target="https://bellingcat-archive.nyc3.cdn.digitaloceanspaces.com/Ukraine_Witness_Datasheet/Worksheet/youtube_dl__ThomasVLinge_status_15015329075712368662022-03-10T15:45:13.987626.png" TargetMode="External"/><Relationship Id="rId8324" Type="http://schemas.openxmlformats.org/officeDocument/2006/relationships/hyperlink" Target="https://bellingcat-archive.nyc3.cdn.digitaloceanspaces.com/Ukraine_Witness_Datasheet/Worksheet/youtube_dl_1501532907571236866.mp4" TargetMode="External"/><Relationship Id="rId8323" Type="http://schemas.openxmlformats.org/officeDocument/2006/relationships/hyperlink" Target="https://twitter.com/Noobieshunta_/status/1501539075416854529" TargetMode="External"/><Relationship Id="rId8322" Type="http://schemas.openxmlformats.org/officeDocument/2006/relationships/hyperlink" Target="https://twitter.com/ThomasVLinge/status/1501532907571236866" TargetMode="External"/><Relationship Id="rId8327" Type="http://schemas.openxmlformats.org/officeDocument/2006/relationships/drawing" Target="../drawings/drawing1.xml"/><Relationship Id="rId8326" Type="http://schemas.openxmlformats.org/officeDocument/2006/relationships/hyperlink" Target="https://bellingcat-archive.nyc3.cdn.digitaloceanspaces.com/Ukraine_Witness_Datasheet/Worksheet/youtube_dl_1501532907571236866/index.html" TargetMode="External"/><Relationship Id="rId8319" Type="http://schemas.openxmlformats.org/officeDocument/2006/relationships/hyperlink" Target="https://t.me/truexanewsua/31185" TargetMode="External"/><Relationship Id="rId8310" Type="http://schemas.openxmlformats.org/officeDocument/2006/relationships/hyperlink" Target="https://www.youtube.com/watch?v=uR9zfWq253Y" TargetMode="External"/><Relationship Id="rId8314" Type="http://schemas.openxmlformats.org/officeDocument/2006/relationships/hyperlink" Target="https://t.me/uniannet/36351" TargetMode="External"/><Relationship Id="rId8313" Type="http://schemas.openxmlformats.org/officeDocument/2006/relationships/hyperlink" Target="https://bellingcat-archive.nyc3.cdn.digitaloceanspaces.com/Ukraine_Witness_Datasheet/Worksheet/youtube_dl_uR9zfWq253Y/index.html" TargetMode="External"/><Relationship Id="rId8312" Type="http://schemas.openxmlformats.org/officeDocument/2006/relationships/hyperlink" Target="https://bellingcat-archive.nyc3.cdn.digitaloceanspaces.com/Ukraine_Witness_Datasheet/Worksheet/youtube_dl__watch2022-03-10T16:45:27.418180.png" TargetMode="External"/><Relationship Id="rId8311" Type="http://schemas.openxmlformats.org/officeDocument/2006/relationships/hyperlink" Target="https://bellingcat-archive.nyc3.cdn.digitaloceanspaces.com/Ukraine_Witness_Datasheet/Worksheet/youtube_dl_uR9zfWq253Y.webm" TargetMode="External"/><Relationship Id="rId8318" Type="http://schemas.openxmlformats.org/officeDocument/2006/relationships/hyperlink" Target="https://t.me/uniannet/36351" TargetMode="External"/><Relationship Id="rId8317" Type="http://schemas.openxmlformats.org/officeDocument/2006/relationships/hyperlink" Target="https://bellingcat-archive.nyc3.cdn.digitaloceanspaces.com/Ukraine_Witness_Datasheet/Worksheet/telegram_fa8e490cab/index.html" TargetMode="External"/><Relationship Id="rId8316" Type="http://schemas.openxmlformats.org/officeDocument/2006/relationships/hyperlink" Target="https://bellingcat-archive.nyc3.cdn.digitaloceanspaces.com/Ukraine_Witness_Datasheet/Worksheet/telegram__uniannet_363512022-03-10T17:15:10.115230.png" TargetMode="External"/><Relationship Id="rId8315" Type="http://schemas.openxmlformats.org/officeDocument/2006/relationships/hyperlink" Target="https://bellingcat-archive.nyc3.cdn.digitaloceanspaces.com/Ukraine_Witness_Datasheet/Worksheet/telegram_fa8e490cab.mov" TargetMode="External"/><Relationship Id="rId7012" Type="http://schemas.openxmlformats.org/officeDocument/2006/relationships/hyperlink" Target="https://t.me/nexta_live/19869" TargetMode="External"/><Relationship Id="rId7011" Type="http://schemas.openxmlformats.org/officeDocument/2006/relationships/hyperlink" Target="https://bellingcat-archive.nyc3.cdn.digitaloceanspaces.com/Ukraine_Witness_Datasheet/Worksheet/telegram__nexta_live_198692022-03-08T09:15:20.166473.png" TargetMode="External"/><Relationship Id="rId7010" Type="http://schemas.openxmlformats.org/officeDocument/2006/relationships/hyperlink" Target="https://bellingcat-archive.nyc3.cdn.digitaloceanspaces.com/Ukraine_Witness_Datasheet/Worksheet/telegram__nexta_live_19869.html" TargetMode="External"/><Relationship Id="rId7016" Type="http://schemas.openxmlformats.org/officeDocument/2006/relationships/hyperlink" Target="https://bellingcat-archive.nyc3.cdn.digitaloceanspaces.com/Ukraine_Witness_Datasheet/Worksheet/telegram__livekharkov_29020.html" TargetMode="External"/><Relationship Id="rId7015" Type="http://schemas.openxmlformats.org/officeDocument/2006/relationships/hyperlink" Target="https://t.me/livekharkov/29020" TargetMode="External"/><Relationship Id="rId7014" Type="http://schemas.openxmlformats.org/officeDocument/2006/relationships/hyperlink" Target="https://bellingcat-archive.nyc3.cdn.digitaloceanspaces.com/Ukraine_Witness_Datasheet/Worksheet/telegram__nexta_live_198692022-03-08T09:15:33.899739.png" TargetMode="External"/><Relationship Id="rId7013" Type="http://schemas.openxmlformats.org/officeDocument/2006/relationships/hyperlink" Target="https://bellingcat-archive.nyc3.cdn.digitaloceanspaces.com/Ukraine_Witness_Datasheet/Worksheet/telegram__nexta_live_19869.html" TargetMode="External"/><Relationship Id="rId7019" Type="http://schemas.openxmlformats.org/officeDocument/2006/relationships/hyperlink" Target="https://bellingcat-archive.nyc3.cdn.digitaloceanspaces.com/Ukraine_Witness_Datasheet/Worksheet/telegram_d0ebd898bb.mp4" TargetMode="External"/><Relationship Id="rId7018" Type="http://schemas.openxmlformats.org/officeDocument/2006/relationships/hyperlink" Target="https://t.me/livekharkov/28933" TargetMode="External"/><Relationship Id="rId7017" Type="http://schemas.openxmlformats.org/officeDocument/2006/relationships/hyperlink" Target="https://bellingcat-archive.nyc3.cdn.digitaloceanspaces.com/Ukraine_Witness_Datasheet/Worksheet/telegram__livekharkov_290202022-03-08T09:15:47.721774.png" TargetMode="External"/><Relationship Id="rId7001" Type="http://schemas.openxmlformats.org/officeDocument/2006/relationships/hyperlink" Target="https://bellingcat-archive.nyc3.cdn.digitaloceanspaces.com/Ukraine_Witness_Datasheet/Worksheet/telegram__truexanewsua_29389.html" TargetMode="External"/><Relationship Id="rId7000" Type="http://schemas.openxmlformats.org/officeDocument/2006/relationships/hyperlink" Target="https://t.me/truexanewsua/29389" TargetMode="External"/><Relationship Id="rId7005" Type="http://schemas.openxmlformats.org/officeDocument/2006/relationships/hyperlink" Target="https://bellingcat-archive.nyc3.cdn.digitaloceanspaces.com/Ukraine_Witness_Datasheet/Worksheet/twitter__michaelh992_status_14999842634412646452022-03-08T09:14:56.924484.png" TargetMode="External"/><Relationship Id="rId7004" Type="http://schemas.openxmlformats.org/officeDocument/2006/relationships/hyperlink" Target="https://bellingcat-archive.nyc3.cdn.digitaloceanspaces.com/Ukraine_Witness_Datasheet/Worksheet/twitter__michaelh992_status_1499984263441264645.html" TargetMode="External"/><Relationship Id="rId7003" Type="http://schemas.openxmlformats.org/officeDocument/2006/relationships/hyperlink" Target="https://twitter.com/michaelh992/status/1499984263441264645" TargetMode="External"/><Relationship Id="rId7002" Type="http://schemas.openxmlformats.org/officeDocument/2006/relationships/hyperlink" Target="https://bellingcat-archive.nyc3.cdn.digitaloceanspaces.com/Ukraine_Witness_Datasheet/Worksheet/telegram__truexanewsua_293892022-03-08T09:14:42.092333.png" TargetMode="External"/><Relationship Id="rId7009" Type="http://schemas.openxmlformats.org/officeDocument/2006/relationships/hyperlink" Target="https://t.me/nexta_live/19869" TargetMode="External"/><Relationship Id="rId7008" Type="http://schemas.openxmlformats.org/officeDocument/2006/relationships/hyperlink" Target="https://bellingcat-archive.nyc3.cdn.digitaloceanspaces.com/Ukraine_Witness_Datasheet/Worksheet/twitter__war_noir_status_15001261273182535702022-03-08T09:15:09.926434.png" TargetMode="External"/><Relationship Id="rId7007" Type="http://schemas.openxmlformats.org/officeDocument/2006/relationships/hyperlink" Target="https://bellingcat-archive.nyc3.cdn.digitaloceanspaces.com/Ukraine_Witness_Datasheet/Worksheet/twitter__war_noir_status_1500126127318253570.html" TargetMode="External"/><Relationship Id="rId7006" Type="http://schemas.openxmlformats.org/officeDocument/2006/relationships/hyperlink" Target="https://twitter.com/war_noir/status/1500126127318253570?s=20&amp;t=BXEN4u9iVDiMQ-HbgW8N6A" TargetMode="External"/><Relationship Id="rId3513" Type="http://schemas.openxmlformats.org/officeDocument/2006/relationships/hyperlink" Target="https://bellingcat-archive.nyc3.cdn.digitaloceanspaces.com/Ukraine_Witness_Datasheet/Worksheet/youtube_dl_1497693187825098755/index.html" TargetMode="External"/><Relationship Id="rId4844" Type="http://schemas.openxmlformats.org/officeDocument/2006/relationships/hyperlink" Target="https://bellingcat-archive.nyc3.cdn.digitaloceanspaces.com/Ukraine_Witness_Datasheet/Worksheet/youtube_dl_1499004124960014338/index.html" TargetMode="External"/><Relationship Id="rId3512" Type="http://schemas.openxmlformats.org/officeDocument/2006/relationships/hyperlink" Target="https://bellingcat-archive.nyc3.cdn.digitaloceanspaces.com/Ukraine_Witness_Datasheet/Worksheet/youtube_dl__wammezz_status_14977059167325225002022-02-27T13:09:29.648780.png" TargetMode="External"/><Relationship Id="rId4843" Type="http://schemas.openxmlformats.org/officeDocument/2006/relationships/hyperlink" Target="https://bellingcat-archive.nyc3.cdn.digitaloceanspaces.com/Ukraine_Witness_Datasheet/Worksheet/youtube_dl__GirkinGirkin_status_14990041249600143382022-03-02T13:11:17.912545.png" TargetMode="External"/><Relationship Id="rId3515" Type="http://schemas.openxmlformats.org/officeDocument/2006/relationships/hyperlink" Target="https://bellingcat-archive.nyc3.cdn.digitaloceanspaces.com/Ukraine_Witness_Datasheet/Worksheet/youtube_dl_1497862696758304770.mp4" TargetMode="External"/><Relationship Id="rId4846" Type="http://schemas.openxmlformats.org/officeDocument/2006/relationships/hyperlink" Target="https://bellingcat-archive.nyc3.cdn.digitaloceanspaces.com/Ukraine_Witness_Datasheet/Worksheet/twitter__nexta_tv_status_1499004791846051844.html" TargetMode="External"/><Relationship Id="rId3514" Type="http://schemas.openxmlformats.org/officeDocument/2006/relationships/hyperlink" Target="https://twitter.com/markito0171/status/1497862696758304770" TargetMode="External"/><Relationship Id="rId4845" Type="http://schemas.openxmlformats.org/officeDocument/2006/relationships/hyperlink" Target="https://twitter.com/nexta_tv/status/1499004791846051844" TargetMode="External"/><Relationship Id="rId3517" Type="http://schemas.openxmlformats.org/officeDocument/2006/relationships/hyperlink" Target="https://bellingcat-archive.nyc3.cdn.digitaloceanspaces.com/Ukraine_Witness_Datasheet/Worksheet/youtube_dl_1497862696758304770/index.html" TargetMode="External"/><Relationship Id="rId4848" Type="http://schemas.openxmlformats.org/officeDocument/2006/relationships/hyperlink" Target="https://bellingcat-archive.nyc3.cdn.digitaloceanspaces.com/Ukraine_Witness_Datasheet/Worksheet/youtube_dl_mD3gIx6H_bA/index.html" TargetMode="External"/><Relationship Id="rId3516" Type="http://schemas.openxmlformats.org/officeDocument/2006/relationships/hyperlink" Target="https://bellingcat-archive.nyc3.cdn.digitaloceanspaces.com/Ukraine_Witness_Datasheet/Worksheet/youtube_dl__markito0171_status_14978626967583047702022-02-27T13:09:44.270184.png" TargetMode="External"/><Relationship Id="rId4847" Type="http://schemas.openxmlformats.org/officeDocument/2006/relationships/hyperlink" Target="https://bellingcat-archive.nyc3.cdn.digitaloceanspaces.com/Ukraine_Witness_Datasheet/Worksheet/twitter__nexta_tv_status_14990047918460518442022-03-02T13:11:32.421068.png" TargetMode="External"/><Relationship Id="rId3519" Type="http://schemas.openxmlformats.org/officeDocument/2006/relationships/hyperlink" Target="https://bellingcat-archive.nyc3.cdn.digitaloceanspaces.com/Ukraine_Witness_Datasheet/Worksheet/twitter__ASLuhn_status_1497858546129584131.html" TargetMode="External"/><Relationship Id="rId3518" Type="http://schemas.openxmlformats.org/officeDocument/2006/relationships/hyperlink" Target="https://twitter.com/ASLuhn/status/1497858546129584131" TargetMode="External"/><Relationship Id="rId4849" Type="http://schemas.openxmlformats.org/officeDocument/2006/relationships/hyperlink" Target="https://www.youtube.com/watch?v=mD3gIx6H_bA" TargetMode="External"/><Relationship Id="rId4840" Type="http://schemas.openxmlformats.org/officeDocument/2006/relationships/hyperlink" Target="https://twitter.com/GirkinGirkin/status/1499004124960014338" TargetMode="External"/><Relationship Id="rId3511" Type="http://schemas.openxmlformats.org/officeDocument/2006/relationships/hyperlink" Target="https://bellingcat-archive.nyc3.cdn.digitaloceanspaces.com/Ukraine_Witness_Datasheet/Worksheet/youtube_dl_1497693187825098755.mp4" TargetMode="External"/><Relationship Id="rId4842" Type="http://schemas.openxmlformats.org/officeDocument/2006/relationships/hyperlink" Target="https://bellingcat-archive.nyc3.cdn.digitaloceanspaces.com/Ukraine_Witness_Datasheet/Worksheet/youtube_dl_1499004124960014338.mp4" TargetMode="External"/><Relationship Id="rId3510" Type="http://schemas.openxmlformats.org/officeDocument/2006/relationships/hyperlink" Target="https://twitter.com/wammezz/status/1497705916732522500?s=20&amp;t=7Yvy-aqv6lh12URQto3LdQ" TargetMode="External"/><Relationship Id="rId4841" Type="http://schemas.openxmlformats.org/officeDocument/2006/relationships/hyperlink" Target="https://twitter.com/gfusfus/status/1499009082967080962" TargetMode="External"/><Relationship Id="rId3502" Type="http://schemas.openxmlformats.org/officeDocument/2006/relationships/hyperlink" Target="https://twitter.com/Osinttechnical/status/1497843560581902338?s=20&amp;t=lr-XNblU1MDWllbOcKjYVQ" TargetMode="External"/><Relationship Id="rId4833" Type="http://schemas.openxmlformats.org/officeDocument/2006/relationships/hyperlink" Target="https://bellingcat-archive.nyc3.cdn.digitaloceanspaces.com/Ukraine_Witness_Datasheet/Worksheet/telegram_e3d2976835/index.html" TargetMode="External"/><Relationship Id="rId3501" Type="http://schemas.openxmlformats.org/officeDocument/2006/relationships/hyperlink" Target="https://bellingcat-archive.nyc3.cdn.digitaloceanspaces.com/Ukraine_Witness_Datasheet/Worksheet/youtube_dl_1497851052112154627/index.html" TargetMode="External"/><Relationship Id="rId4832" Type="http://schemas.openxmlformats.org/officeDocument/2006/relationships/hyperlink" Target="https://bellingcat-archive.nyc3.cdn.digitaloceanspaces.com/Ukraine_Witness_Datasheet/Worksheet/telegram__Tsaplienko_15392022-03-02T13:09:38.216903.png" TargetMode="External"/><Relationship Id="rId3504" Type="http://schemas.openxmlformats.org/officeDocument/2006/relationships/hyperlink" Target="https://bellingcat-archive.nyc3.cdn.digitaloceanspaces.com/Ukraine_Witness_Datasheet/Worksheet/youtube_dl__Osinttechnical_status_14978435605819023382022-02-27T13:08:57.374858.png" TargetMode="External"/><Relationship Id="rId4835" Type="http://schemas.openxmlformats.org/officeDocument/2006/relationships/hyperlink" Target="https://twitter.com/aldin_ww/status/1498983452464590861?s=20&amp;t=_wF5HmhyP0avqRAOYbvJBQ" TargetMode="External"/><Relationship Id="rId3503" Type="http://schemas.openxmlformats.org/officeDocument/2006/relationships/hyperlink" Target="https://bellingcat-archive.nyc3.cdn.digitaloceanspaces.com/Ukraine_Witness_Datasheet/Worksheet/youtube_dl_1497843560581902338.mp4" TargetMode="External"/><Relationship Id="rId4834" Type="http://schemas.openxmlformats.org/officeDocument/2006/relationships/hyperlink" Target="https://t.me/Tsaplienko/1539" TargetMode="External"/><Relationship Id="rId3506" Type="http://schemas.openxmlformats.org/officeDocument/2006/relationships/hyperlink" Target="https://twitter.com/RALee85/status/1497840077665452036?s=20&amp;t=fZYoEw17anAOyItgWooFVA" TargetMode="External"/><Relationship Id="rId4837" Type="http://schemas.openxmlformats.org/officeDocument/2006/relationships/hyperlink" Target="https://bellingcat-archive.nyc3.cdn.digitaloceanspaces.com/Ukraine_Witness_Datasheet/Worksheet/youtube_dl_1498983452464590861.mp4" TargetMode="External"/><Relationship Id="rId3505" Type="http://schemas.openxmlformats.org/officeDocument/2006/relationships/hyperlink" Target="https://bellingcat-archive.nyc3.cdn.digitaloceanspaces.com/Ukraine_Witness_Datasheet/Worksheet/youtube_dl_1497843560581902338/index.html" TargetMode="External"/><Relationship Id="rId4836" Type="http://schemas.openxmlformats.org/officeDocument/2006/relationships/hyperlink" Target="https://twitter.com/EydouxT/status/1498985653043961866?s=20&amp;t=_wF5HmhyP0avqRAOYbvJBQ" TargetMode="External"/><Relationship Id="rId3508" Type="http://schemas.openxmlformats.org/officeDocument/2006/relationships/hyperlink" Target="https://bellingcat-archive.nyc3.cdn.digitaloceanspaces.com/Ukraine_Witness_Datasheet/Worksheet/twitter__RALee85_status_14978400776654520362022-02-27T13:09:17.362497.png" TargetMode="External"/><Relationship Id="rId4839" Type="http://schemas.openxmlformats.org/officeDocument/2006/relationships/hyperlink" Target="https://bellingcat-archive.nyc3.cdn.digitaloceanspaces.com/Ukraine_Witness_Datasheet/Worksheet/youtube_dl_1498983452464590861/index.html" TargetMode="External"/><Relationship Id="rId3507" Type="http://schemas.openxmlformats.org/officeDocument/2006/relationships/hyperlink" Target="https://bellingcat-archive.nyc3.cdn.digitaloceanspaces.com/Ukraine_Witness_Datasheet/Worksheet/twitter__RALee85_status_1497840077665452036.html" TargetMode="External"/><Relationship Id="rId4838" Type="http://schemas.openxmlformats.org/officeDocument/2006/relationships/hyperlink" Target="https://bellingcat-archive.nyc3.cdn.digitaloceanspaces.com/Ukraine_Witness_Datasheet/Worksheet/youtube_dl__aldin_ww_status_14989834524645908612022-03-02T13:11:03.264174.png" TargetMode="External"/><Relationship Id="rId3509" Type="http://schemas.openxmlformats.org/officeDocument/2006/relationships/hyperlink" Target="https://twitter.com/wammezz/status/1497705916732522500?s=20&amp;t=g4_sjmmynM13CiGY1aD8Pw" TargetMode="External"/><Relationship Id="rId3500" Type="http://schemas.openxmlformats.org/officeDocument/2006/relationships/hyperlink" Target="https://bellingcat-archive.nyc3.cdn.digitaloceanspaces.com/Ukraine_Witness_Datasheet/Worksheet/youtube_dl__COUPSURE_status_14978510521121546272022-02-27T13:08:29.476465.png" TargetMode="External"/><Relationship Id="rId4831" Type="http://schemas.openxmlformats.org/officeDocument/2006/relationships/hyperlink" Target="https://bellingcat-archive.nyc3.cdn.digitaloceanspaces.com/Ukraine_Witness_Datasheet/Worksheet/telegram_e3d2976835.mp4" TargetMode="External"/><Relationship Id="rId4830" Type="http://schemas.openxmlformats.org/officeDocument/2006/relationships/hyperlink" Target="https://twitter.com/KoliaDelesalle/status/1498956513821483012?s=20&amp;t=_wF5HmhyP0avqRAOYbvJBQ" TargetMode="External"/><Relationship Id="rId2203" Type="http://schemas.openxmlformats.org/officeDocument/2006/relationships/hyperlink" Target="https://bellingcat-archive.nyc3.cdn.digitaloceanspaces.com/Ukraine_Witness_Datasheet/Worksheet/youtube_dl__fpleitgenCNN_status_14960598462103347312022-02-25T13:26:22.658920.png" TargetMode="External"/><Relationship Id="rId3535" Type="http://schemas.openxmlformats.org/officeDocument/2006/relationships/hyperlink" Target="https://twitter.com/Michael1Sheldon/status/1497765840346697731" TargetMode="External"/><Relationship Id="rId4866" Type="http://schemas.openxmlformats.org/officeDocument/2006/relationships/hyperlink" Target="https://bellingcat-archive.nyc3.cdn.digitaloceanspaces.com/Ukraine_Witness_Datasheet/Worksheet/twitter__Tar_Milus_status_1499016155461267456.html" TargetMode="External"/><Relationship Id="rId2204" Type="http://schemas.openxmlformats.org/officeDocument/2006/relationships/hyperlink" Target="https://bellingcat-archive.nyc3.cdn.digitaloceanspaces.com/Ukraine_Witness_Datasheet/Worksheet/youtube_dl_1496059846210334731/index.html" TargetMode="External"/><Relationship Id="rId3534" Type="http://schemas.openxmlformats.org/officeDocument/2006/relationships/hyperlink" Target="https://twitter.com/Michael1Sheldon/status/1497711570956206088" TargetMode="External"/><Relationship Id="rId4865" Type="http://schemas.openxmlformats.org/officeDocument/2006/relationships/hyperlink" Target="https://twitter.com/Tar_Milus/status/1499016155461267456" TargetMode="External"/><Relationship Id="rId2205" Type="http://schemas.openxmlformats.org/officeDocument/2006/relationships/hyperlink" Target="https://twitter.com/COUPSURE/status/1496164131833102348" TargetMode="External"/><Relationship Id="rId3537" Type="http://schemas.openxmlformats.org/officeDocument/2006/relationships/hyperlink" Target="https://bellingcat-archive.nyc3.cdn.digitaloceanspaces.com/Ukraine_Witness_Datasheet/Worksheet/youtube_dl__Michael1Sheldon_status_14977115709562060882022-02-27T13:10:52.915036.png" TargetMode="External"/><Relationship Id="rId4868" Type="http://schemas.openxmlformats.org/officeDocument/2006/relationships/hyperlink" Target="https://twitter.com/CasusBellii/status/1499016465386725380" TargetMode="External"/><Relationship Id="rId2206" Type="http://schemas.openxmlformats.org/officeDocument/2006/relationships/hyperlink" Target="https://twitter.com/COUPSURE/status/1496195986099777538" TargetMode="External"/><Relationship Id="rId3536" Type="http://schemas.openxmlformats.org/officeDocument/2006/relationships/hyperlink" Target="https://bellingcat-archive.nyc3.cdn.digitaloceanspaces.com/Ukraine_Witness_Datasheet/Worksheet/youtube_dl_1497711570956206088.mp4" TargetMode="External"/><Relationship Id="rId4867" Type="http://schemas.openxmlformats.org/officeDocument/2006/relationships/hyperlink" Target="https://bellingcat-archive.nyc3.cdn.digitaloceanspaces.com/Ukraine_Witness_Datasheet/Worksheet/twitter__Tar_Milus_status_14990161554612674562022-03-02T14:05:48.335924.png" TargetMode="External"/><Relationship Id="rId2207" Type="http://schemas.openxmlformats.org/officeDocument/2006/relationships/hyperlink" Target="https://bellingcat-archive.nyc3.cdn.digitaloceanspaces.com/Ukraine_Witness_Datasheet/Worksheet/youtube_dl_1496164131833102348.mp4" TargetMode="External"/><Relationship Id="rId3539" Type="http://schemas.openxmlformats.org/officeDocument/2006/relationships/hyperlink" Target="https://twitter.com/Michael1Sheldon/status/1497787772144345089" TargetMode="External"/><Relationship Id="rId2208" Type="http://schemas.openxmlformats.org/officeDocument/2006/relationships/hyperlink" Target="https://bellingcat-archive.nyc3.cdn.digitaloceanspaces.com/Ukraine_Witness_Datasheet/Worksheet/youtube_dl__COUPSURE_status_14961641318331023482022-02-25T13:26:03.797071.png" TargetMode="External"/><Relationship Id="rId3538" Type="http://schemas.openxmlformats.org/officeDocument/2006/relationships/hyperlink" Target="https://bellingcat-archive.nyc3.cdn.digitaloceanspaces.com/Ukraine_Witness_Datasheet/Worksheet/youtube_dl_1497711570956206088/index.html" TargetMode="External"/><Relationship Id="rId4869" Type="http://schemas.openxmlformats.org/officeDocument/2006/relationships/hyperlink" Target="https://bellingcat-archive.nyc3.cdn.digitaloceanspaces.com/Ukraine_Witness_Datasheet/Worksheet/youtube_dl_1499016465386725380.mp4" TargetMode="External"/><Relationship Id="rId2209" Type="http://schemas.openxmlformats.org/officeDocument/2006/relationships/hyperlink" Target="https://bellingcat-archive.nyc3.cdn.digitaloceanspaces.com/Ukraine_Witness_Datasheet/Worksheet/youtube_dl_1496164131833102348/index.html" TargetMode="External"/><Relationship Id="rId4860" Type="http://schemas.openxmlformats.org/officeDocument/2006/relationships/hyperlink" Target="https://bellingcat-archive.nyc3.cdn.digitaloceanspaces.com/Ukraine_Witness_Datasheet/Worksheet/youtube_dl_1499008888506654736/index.html" TargetMode="External"/><Relationship Id="rId3531" Type="http://schemas.openxmlformats.org/officeDocument/2006/relationships/hyperlink" Target="https://bellingcat-archive.nyc3.cdn.digitaloceanspaces.com/Ukraine_Witness_Datasheet/Worksheet/youtube_dl_1497764072019922945.mp4" TargetMode="External"/><Relationship Id="rId4862" Type="http://schemas.openxmlformats.org/officeDocument/2006/relationships/hyperlink" Target="https://bellingcat-archive.nyc3.cdn.digitaloceanspaces.com/Ukraine_Witness_Datasheet/Worksheet/youtube_dl_1499009127808487427.mp4" TargetMode="External"/><Relationship Id="rId2200" Type="http://schemas.openxmlformats.org/officeDocument/2006/relationships/hyperlink" Target="https://twitter.com/fpleitgenCNN/status/1496059846210334731" TargetMode="External"/><Relationship Id="rId3530" Type="http://schemas.openxmlformats.org/officeDocument/2006/relationships/hyperlink" Target="https://twitter.com/Michael1Sheldon/status/1497765840346697731" TargetMode="External"/><Relationship Id="rId4861" Type="http://schemas.openxmlformats.org/officeDocument/2006/relationships/hyperlink" Target="https://twitter.com/Tar_Milus/status/1499009127808487427" TargetMode="External"/><Relationship Id="rId2201" Type="http://schemas.openxmlformats.org/officeDocument/2006/relationships/hyperlink" Target="https://twitter.com/YWNReporter/status/1496084853254922246" TargetMode="External"/><Relationship Id="rId3533" Type="http://schemas.openxmlformats.org/officeDocument/2006/relationships/hyperlink" Target="https://bellingcat-archive.nyc3.cdn.digitaloceanspaces.com/Ukraine_Witness_Datasheet/Worksheet/youtube_dl_1497764072019922945/index.html" TargetMode="External"/><Relationship Id="rId4864" Type="http://schemas.openxmlformats.org/officeDocument/2006/relationships/hyperlink" Target="https://bellingcat-archive.nyc3.cdn.digitaloceanspaces.com/Ukraine_Witness_Datasheet/Worksheet/youtube_dl_1499009127808487427/index.html" TargetMode="External"/><Relationship Id="rId2202" Type="http://schemas.openxmlformats.org/officeDocument/2006/relationships/hyperlink" Target="https://bellingcat-archive.nyc3.cdn.digitaloceanspaces.com/Ukraine_Witness_Datasheet/Worksheet/youtube_dl_1496059846210334731.mp4" TargetMode="External"/><Relationship Id="rId3532" Type="http://schemas.openxmlformats.org/officeDocument/2006/relationships/hyperlink" Target="https://bellingcat-archive.nyc3.cdn.digitaloceanspaces.com/Ukraine_Witness_Datasheet/Worksheet/youtube_dl__Michael1Sheldon_status_14977640720199229452022-02-27T13:10:37.940858.png" TargetMode="External"/><Relationship Id="rId4863" Type="http://schemas.openxmlformats.org/officeDocument/2006/relationships/hyperlink" Target="https://bellingcat-archive.nyc3.cdn.digitaloceanspaces.com/Ukraine_Witness_Datasheet/Worksheet/youtube_dl__Tar_Milus_status_14990091278084874272022-03-02T14:05:33.921189.png" TargetMode="External"/><Relationship Id="rId3524" Type="http://schemas.openxmlformats.org/officeDocument/2006/relationships/hyperlink" Target="https://bellingcat-archive.nyc3.cdn.digitaloceanspaces.com/Ukraine_Witness_Datasheet/Worksheet/youtube_dl_1497865530660700160/index.html" TargetMode="External"/><Relationship Id="rId4855" Type="http://schemas.openxmlformats.org/officeDocument/2006/relationships/hyperlink" Target="https://bellingcat-archive.nyc3.cdn.digitaloceanspaces.com/Ukraine_Witness_Datasheet/Worksheet/youtube_dl__shorts_XUdZ3tLHF3k2022-03-02T14:05:06.126342.png" TargetMode="External"/><Relationship Id="rId3523" Type="http://schemas.openxmlformats.org/officeDocument/2006/relationships/hyperlink" Target="https://bellingcat-archive.nyc3.cdn.digitaloceanspaces.com/Ukraine_Witness_Datasheet/Worksheet/youtube_dl__markito0171_status_14978655306607001602022-02-27T13:10:09.617320.png" TargetMode="External"/><Relationship Id="rId4854" Type="http://schemas.openxmlformats.org/officeDocument/2006/relationships/hyperlink" Target="https://bellingcat-archive.nyc3.cdn.digitaloceanspaces.com/Ukraine_Witness_Datasheet/Worksheet/youtube_dl_XUdZ3tLHF3k.webm" TargetMode="External"/><Relationship Id="rId3526" Type="http://schemas.openxmlformats.org/officeDocument/2006/relationships/hyperlink" Target="https://bellingcat-archive.nyc3.cdn.digitaloceanspaces.com/Ukraine_Witness_Datasheet/Worksheet/youtube_dl_1497865957053812738.mp4" TargetMode="External"/><Relationship Id="rId4857" Type="http://schemas.openxmlformats.org/officeDocument/2006/relationships/hyperlink" Target="https://twitter.com/CasusBellii/status/1499008888506654736" TargetMode="External"/><Relationship Id="rId3525" Type="http://schemas.openxmlformats.org/officeDocument/2006/relationships/hyperlink" Target="https://twitter.com/markito0171/status/1497865957053812738" TargetMode="External"/><Relationship Id="rId4856" Type="http://schemas.openxmlformats.org/officeDocument/2006/relationships/hyperlink" Target="https://bellingcat-archive.nyc3.cdn.digitaloceanspaces.com/Ukraine_Witness_Datasheet/Worksheet/youtube_dl_XUdZ3tLHF3k/index.html" TargetMode="External"/><Relationship Id="rId3528" Type="http://schemas.openxmlformats.org/officeDocument/2006/relationships/hyperlink" Target="https://bellingcat-archive.nyc3.cdn.digitaloceanspaces.com/Ukraine_Witness_Datasheet/Worksheet/youtube_dl_1497865957053812738/index.html" TargetMode="External"/><Relationship Id="rId4859" Type="http://schemas.openxmlformats.org/officeDocument/2006/relationships/hyperlink" Target="https://bellingcat-archive.nyc3.cdn.digitaloceanspaces.com/Ukraine_Witness_Datasheet/Worksheet/youtube_dl__CasusBellii_status_14990088885066547362022-03-02T14:05:20.528703.png" TargetMode="External"/><Relationship Id="rId3527" Type="http://schemas.openxmlformats.org/officeDocument/2006/relationships/hyperlink" Target="https://bellingcat-archive.nyc3.cdn.digitaloceanspaces.com/Ukraine_Witness_Datasheet/Worksheet/youtube_dl__markito0171_status_14978659570538127382022-02-27T13:10:24.053644.png" TargetMode="External"/><Relationship Id="rId4858" Type="http://schemas.openxmlformats.org/officeDocument/2006/relationships/hyperlink" Target="https://bellingcat-archive.nyc3.cdn.digitaloceanspaces.com/Ukraine_Witness_Datasheet/Worksheet/youtube_dl_1499008888506654736.mp4" TargetMode="External"/><Relationship Id="rId3529" Type="http://schemas.openxmlformats.org/officeDocument/2006/relationships/hyperlink" Target="https://twitter.com/Michael1Sheldon/status/1497764072019922945" TargetMode="External"/><Relationship Id="rId3520" Type="http://schemas.openxmlformats.org/officeDocument/2006/relationships/hyperlink" Target="https://bellingcat-archive.nyc3.cdn.digitaloceanspaces.com/Ukraine_Witness_Datasheet/Worksheet/twitter__ASLuhn_status_14978585461295841312022-02-27T13:09:57.325222.png" TargetMode="External"/><Relationship Id="rId4851" Type="http://schemas.openxmlformats.org/officeDocument/2006/relationships/hyperlink" Target="https://bellingcat-archive.nyc3.cdn.digitaloceanspaces.com/Ukraine_Witness_Datasheet/Worksheet/youtube_dl__watch2022-03-02T13:12:19.338514.png" TargetMode="External"/><Relationship Id="rId4850" Type="http://schemas.openxmlformats.org/officeDocument/2006/relationships/hyperlink" Target="https://bellingcat-archive.nyc3.cdn.digitaloceanspaces.com/Ukraine_Witness_Datasheet/Worksheet/youtube_dl_mD3gIx6H_bA.webm" TargetMode="External"/><Relationship Id="rId3522" Type="http://schemas.openxmlformats.org/officeDocument/2006/relationships/hyperlink" Target="https://bellingcat-archive.nyc3.cdn.digitaloceanspaces.com/Ukraine_Witness_Datasheet/Worksheet/youtube_dl_1497865530660700160.mp4" TargetMode="External"/><Relationship Id="rId4853" Type="http://schemas.openxmlformats.org/officeDocument/2006/relationships/hyperlink" Target="https://www.youtube.com/shorts/XUdZ3tLHF3k" TargetMode="External"/><Relationship Id="rId3521" Type="http://schemas.openxmlformats.org/officeDocument/2006/relationships/hyperlink" Target="https://twitter.com/markito0171/status/1497865530660700160" TargetMode="External"/><Relationship Id="rId4852" Type="http://schemas.openxmlformats.org/officeDocument/2006/relationships/hyperlink" Target="https://bellingcat-archive.nyc3.cdn.digitaloceanspaces.com/Ukraine_Witness_Datasheet/Worksheet/youtube_dl_mD3gIx6H_bA/index.html" TargetMode="External"/><Relationship Id="rId4800" Type="http://schemas.openxmlformats.org/officeDocument/2006/relationships/hyperlink" Target="https://bellingcat-archive.nyc3.cdn.digitaloceanspaces.com/Ukraine_Witness_Datasheet/Worksheet/youtube_dl__rescuero_status_14989773176909578272022-03-02T13:03:18.724362.png" TargetMode="External"/><Relationship Id="rId4802" Type="http://schemas.openxmlformats.org/officeDocument/2006/relationships/hyperlink" Target="https://t.me/ukr_novosti_voina/5441" TargetMode="External"/><Relationship Id="rId4801" Type="http://schemas.openxmlformats.org/officeDocument/2006/relationships/hyperlink" Target="https://bellingcat-archive.nyc3.cdn.digitaloceanspaces.com/Ukraine_Witness_Datasheet/Worksheet/youtube_dl_1498977317690957827/index.html" TargetMode="External"/><Relationship Id="rId4804" Type="http://schemas.openxmlformats.org/officeDocument/2006/relationships/hyperlink" Target="https://bellingcat-archive.nyc3.cdn.digitaloceanspaces.com/Ukraine_Witness_Datasheet/Worksheet/telegram__ukr_novosti_voina_54412022-03-02T13:03:30.061307.png" TargetMode="External"/><Relationship Id="rId4803" Type="http://schemas.openxmlformats.org/officeDocument/2006/relationships/hyperlink" Target="https://bellingcat-archive.nyc3.cdn.digitaloceanspaces.com/Ukraine_Witness_Datasheet/Worksheet/telegram_1b20e77885.mp4" TargetMode="External"/><Relationship Id="rId4806" Type="http://schemas.openxmlformats.org/officeDocument/2006/relationships/hyperlink" Target="https://t.me/ukr_novosti_voina/5441" TargetMode="External"/><Relationship Id="rId4805" Type="http://schemas.openxmlformats.org/officeDocument/2006/relationships/hyperlink" Target="https://bellingcat-archive.nyc3.cdn.digitaloceanspaces.com/Ukraine_Witness_Datasheet/Worksheet/telegram_1b20e77885/index.html" TargetMode="External"/><Relationship Id="rId4808" Type="http://schemas.openxmlformats.org/officeDocument/2006/relationships/hyperlink" Target="https://bellingcat-archive.nyc3.cdn.digitaloceanspaces.com/Ukraine_Witness_Datasheet/Worksheet/youtube_dl_1498996906151886862.mp4" TargetMode="External"/><Relationship Id="rId4807" Type="http://schemas.openxmlformats.org/officeDocument/2006/relationships/hyperlink" Target="https://twitter.com/MarQs__/status/1498996906151886862" TargetMode="External"/><Relationship Id="rId4809" Type="http://schemas.openxmlformats.org/officeDocument/2006/relationships/hyperlink" Target="https://bellingcat-archive.nyc3.cdn.digitaloceanspaces.com/Ukraine_Witness_Datasheet/Worksheet/youtube_dl__MarQs___status_14989969061518868622022-03-02T13:04:11.547081.png" TargetMode="External"/><Relationship Id="rId7081" Type="http://schemas.openxmlformats.org/officeDocument/2006/relationships/hyperlink" Target="https://bellingcat-archive.nyc3.cdn.digitaloceanspaces.com/Ukraine_Witness_Datasheet/Worksheet/youtube_dl_1501132089768529920.mp4" TargetMode="External"/><Relationship Id="rId7080" Type="http://schemas.openxmlformats.org/officeDocument/2006/relationships/hyperlink" Target="https://twitter.com/no_itsmyturn/status/1501132089768529920" TargetMode="External"/><Relationship Id="rId7074" Type="http://schemas.openxmlformats.org/officeDocument/2006/relationships/hyperlink" Target="https://bellingcat-archive.nyc3.cdn.digitaloceanspaces.com/Ukraine_Witness_Datasheet/Worksheet/twitter__no_itsmyturn_status_1501132390017732608_photo_2.html" TargetMode="External"/><Relationship Id="rId7073" Type="http://schemas.openxmlformats.org/officeDocument/2006/relationships/hyperlink" Target="https://twitter.com/no_itsmyturn/status/1501132390017732608/photo/2" TargetMode="External"/><Relationship Id="rId7072" Type="http://schemas.openxmlformats.org/officeDocument/2006/relationships/hyperlink" Target="https://bellingcat-archive.nyc3.cdn.digitaloceanspaces.com/Ukraine_Witness_Datasheet/Worksheet/youtube_dl_1500757601059237889/index.html" TargetMode="External"/><Relationship Id="rId7071" Type="http://schemas.openxmlformats.org/officeDocument/2006/relationships/hyperlink" Target="https://bellingcat-archive.nyc3.cdn.digitaloceanspaces.com/Ukraine_Witness_Datasheet/Worksheet/youtube_dl__DesiPepe_status_15007576010592378892022-03-08T10:15:19.088254.png" TargetMode="External"/><Relationship Id="rId7078" Type="http://schemas.openxmlformats.org/officeDocument/2006/relationships/hyperlink" Target="https://bellingcat-archive.nyc3.cdn.digitaloceanspaces.com/Ukraine_Witness_Datasheet/Worksheet/youtube_dl__no_itsmyturn_status_15011321772071362572022-03-08T10:35:12.740037.png" TargetMode="External"/><Relationship Id="rId7077" Type="http://schemas.openxmlformats.org/officeDocument/2006/relationships/hyperlink" Target="https://bellingcat-archive.nyc3.cdn.digitaloceanspaces.com/Ukraine_Witness_Datasheet/Worksheet/youtube_dl_1501132177207136257.mp4" TargetMode="External"/><Relationship Id="rId7076" Type="http://schemas.openxmlformats.org/officeDocument/2006/relationships/hyperlink" Target="https://twitter.com/no_itsmyturn/status/1501132177207136257" TargetMode="External"/><Relationship Id="rId7075" Type="http://schemas.openxmlformats.org/officeDocument/2006/relationships/hyperlink" Target="https://bellingcat-archive.nyc3.cdn.digitaloceanspaces.com/Ukraine_Witness_Datasheet/Worksheet/twitter__no_itsmyturn_status_1501132390017732608_photo_22022-03-08T10:30:12.985366.png" TargetMode="External"/><Relationship Id="rId7079" Type="http://schemas.openxmlformats.org/officeDocument/2006/relationships/hyperlink" Target="https://bellingcat-archive.nyc3.cdn.digitaloceanspaces.com/Ukraine_Witness_Datasheet/Worksheet/youtube_dl_1501132177207136257/index.html" TargetMode="External"/><Relationship Id="rId7070" Type="http://schemas.openxmlformats.org/officeDocument/2006/relationships/hyperlink" Target="https://bellingcat-archive.nyc3.cdn.digitaloceanspaces.com/Ukraine_Witness_Datasheet/Worksheet/youtube_dl_1500757601059237889.mp4" TargetMode="External"/><Relationship Id="rId7063" Type="http://schemas.openxmlformats.org/officeDocument/2006/relationships/hyperlink" Target="https://bellingcat-archive.nyc3.cdn.digitaloceanspaces.com/Ukraine_Witness_Datasheet/Worksheet/youtube_dl__MotolkoHelp_status_15011243693172531212022-03-08T10:00:13.637718.png" TargetMode="External"/><Relationship Id="rId7062" Type="http://schemas.openxmlformats.org/officeDocument/2006/relationships/hyperlink" Target="https://bellingcat-archive.nyc3.cdn.digitaloceanspaces.com/Ukraine_Witness_Datasheet/Worksheet/youtube_dl_1501124369317253121.mp4" TargetMode="External"/><Relationship Id="rId7061" Type="http://schemas.openxmlformats.org/officeDocument/2006/relationships/hyperlink" Target="https://twitter.com/MotolkoHelp/status/1501124369317253121" TargetMode="External"/><Relationship Id="rId7060" Type="http://schemas.openxmlformats.org/officeDocument/2006/relationships/hyperlink" Target="https://bellingcat-archive.nyc3.cdn.digitaloceanspaces.com/Ukraine_Witness_Datasheet/Worksheet/youtube_dl_1500836900105564163/index.html" TargetMode="External"/><Relationship Id="rId7067" Type="http://schemas.openxmlformats.org/officeDocument/2006/relationships/hyperlink" Target="https://bellingcat-archive.nyc3.cdn.digitaloceanspaces.com/Ukraine_Witness_Datasheet/Worksheet/youtube_dl__GirkinGirkin_status_15011008073783787552022-03-08T10:10:17.710493.png" TargetMode="External"/><Relationship Id="rId7066" Type="http://schemas.openxmlformats.org/officeDocument/2006/relationships/hyperlink" Target="https://bellingcat-archive.nyc3.cdn.digitaloceanspaces.com/Ukraine_Witness_Datasheet/Worksheet/youtube_dl_1501100807378378755.mp4" TargetMode="External"/><Relationship Id="rId7065" Type="http://schemas.openxmlformats.org/officeDocument/2006/relationships/hyperlink" Target="https://twitter.com/GirkinGirkin/status/1501100807378378755" TargetMode="External"/><Relationship Id="rId7064" Type="http://schemas.openxmlformats.org/officeDocument/2006/relationships/hyperlink" Target="https://bellingcat-archive.nyc3.cdn.digitaloceanspaces.com/Ukraine_Witness_Datasheet/Worksheet/youtube_dl_1501124369317253121/index.html" TargetMode="External"/><Relationship Id="rId7069" Type="http://schemas.openxmlformats.org/officeDocument/2006/relationships/hyperlink" Target="https://twitter.com/DesiPepe/status/1500757601059237889" TargetMode="External"/><Relationship Id="rId7068" Type="http://schemas.openxmlformats.org/officeDocument/2006/relationships/hyperlink" Target="https://bellingcat-archive.nyc3.cdn.digitaloceanspaces.com/Ukraine_Witness_Datasheet/Worksheet/youtube_dl_1501100807378378755/index.html" TargetMode="External"/><Relationship Id="rId4822" Type="http://schemas.openxmlformats.org/officeDocument/2006/relationships/hyperlink" Target="https://bellingcat-archive.nyc3.cdn.digitaloceanspaces.com/Ukraine_Witness_Datasheet/Worksheet/telegram__livekharkov_280202022-03-02T13:05:04.816582.png" TargetMode="External"/><Relationship Id="rId4821" Type="http://schemas.openxmlformats.org/officeDocument/2006/relationships/hyperlink" Target="https://bellingcat-archive.nyc3.cdn.digitaloceanspaces.com/Ukraine_Witness_Datasheet/Worksheet/telegram__livekharkov_28020.html" TargetMode="External"/><Relationship Id="rId4824" Type="http://schemas.openxmlformats.org/officeDocument/2006/relationships/hyperlink" Target="https://bellingcat-archive.nyc3.cdn.digitaloceanspaces.com/Ukraine_Witness_Datasheet/Worksheet/telegram_dedd79e7cd.mp4" TargetMode="External"/><Relationship Id="rId4823" Type="http://schemas.openxmlformats.org/officeDocument/2006/relationships/hyperlink" Target="https://t.me/warjournaltg/11985" TargetMode="External"/><Relationship Id="rId4826" Type="http://schemas.openxmlformats.org/officeDocument/2006/relationships/hyperlink" Target="https://bellingcat-archive.nyc3.cdn.digitaloceanspaces.com/Ukraine_Witness_Datasheet/Worksheet/telegram_dedd79e7cd/index.html" TargetMode="External"/><Relationship Id="rId4825" Type="http://schemas.openxmlformats.org/officeDocument/2006/relationships/hyperlink" Target="https://bellingcat-archive.nyc3.cdn.digitaloceanspaces.com/Ukraine_Witness_Datasheet/Worksheet/telegram__warjournaltg_119852022-03-02T13:05:14.062752.png" TargetMode="External"/><Relationship Id="rId4828" Type="http://schemas.openxmlformats.org/officeDocument/2006/relationships/hyperlink" Target="https://t.me/Tsaplienko/1539" TargetMode="External"/><Relationship Id="rId4827" Type="http://schemas.openxmlformats.org/officeDocument/2006/relationships/hyperlink" Target="https://t.me/warjournaltg/11985" TargetMode="External"/><Relationship Id="rId4829" Type="http://schemas.openxmlformats.org/officeDocument/2006/relationships/hyperlink" Target="https://twitter.com/EydouxT/status/1498976055880728585?s=20&amp;t=_wF5HmhyP0avqRAOYbvJBQ" TargetMode="External"/><Relationship Id="rId7096" Type="http://schemas.openxmlformats.org/officeDocument/2006/relationships/hyperlink" Target="https://bellingcat-archive.nyc3.cdn.digitaloceanspaces.com/Ukraine_Witness_Datasheet/Worksheet/twitter__no_itsmyturn_status_1501109505542836227.html" TargetMode="External"/><Relationship Id="rId7095" Type="http://schemas.openxmlformats.org/officeDocument/2006/relationships/hyperlink" Target="https://twitter.com/no_itsmyturn/status/1501109505542836227" TargetMode="External"/><Relationship Id="rId7094" Type="http://schemas.openxmlformats.org/officeDocument/2006/relationships/hyperlink" Target="https://bellingcat-archive.nyc3.cdn.digitaloceanspaces.com/Ukraine_Witness_Datasheet/Worksheet/youtube_dl_1501162662369103872/index.html" TargetMode="External"/><Relationship Id="rId7093" Type="http://schemas.openxmlformats.org/officeDocument/2006/relationships/hyperlink" Target="https://bellingcat-archive.nyc3.cdn.digitaloceanspaces.com/Ukraine_Witness_Datasheet/Worksheet/youtube_dl__ArmedForcesUkr_status_15011626623691038722022-03-08T12:30:14.053549.png" TargetMode="External"/><Relationship Id="rId7099" Type="http://schemas.openxmlformats.org/officeDocument/2006/relationships/hyperlink" Target="https://bellingcat-archive.nyc3.cdn.digitaloceanspaces.com/Ukraine_Witness_Datasheet/Worksheet/youtube_dl_1501094446624088064.mp4" TargetMode="External"/><Relationship Id="rId7098" Type="http://schemas.openxmlformats.org/officeDocument/2006/relationships/hyperlink" Target="https://twitter.com/no_itsmyturn/status/1501094446624088064" TargetMode="External"/><Relationship Id="rId7097" Type="http://schemas.openxmlformats.org/officeDocument/2006/relationships/hyperlink" Target="https://bellingcat-archive.nyc3.cdn.digitaloceanspaces.com/Ukraine_Witness_Datasheet/Worksheet/twitter__no_itsmyturn_status_15011095055428362272022-03-08T12:35:13.885887.png" TargetMode="External"/><Relationship Id="rId4820" Type="http://schemas.openxmlformats.org/officeDocument/2006/relationships/hyperlink" Target="https://t.me/livekharkov/28020" TargetMode="External"/><Relationship Id="rId4811" Type="http://schemas.openxmlformats.org/officeDocument/2006/relationships/hyperlink" Target="https://twitter.com/MarQs__/status/1498993475265699841" TargetMode="External"/><Relationship Id="rId4810" Type="http://schemas.openxmlformats.org/officeDocument/2006/relationships/hyperlink" Target="https://bellingcat-archive.nyc3.cdn.digitaloceanspaces.com/Ukraine_Witness_Datasheet/Worksheet/youtube_dl_1498996906151886862/index.html" TargetMode="External"/><Relationship Id="rId4813" Type="http://schemas.openxmlformats.org/officeDocument/2006/relationships/hyperlink" Target="https://bellingcat-archive.nyc3.cdn.digitaloceanspaces.com/Ukraine_Witness_Datasheet/Worksheet/youtube_dl__MarQs___status_14989934752656998412022-03-02T13:04:35.606860.png" TargetMode="External"/><Relationship Id="rId4812" Type="http://schemas.openxmlformats.org/officeDocument/2006/relationships/hyperlink" Target="https://bellingcat-archive.nyc3.cdn.digitaloceanspaces.com/Ukraine_Witness_Datasheet/Worksheet/youtube_dl_1498993475265699841.mp4" TargetMode="External"/><Relationship Id="rId4815" Type="http://schemas.openxmlformats.org/officeDocument/2006/relationships/hyperlink" Target="https://twitter.com/michaelh992/status/1498999379411312649" TargetMode="External"/><Relationship Id="rId4814" Type="http://schemas.openxmlformats.org/officeDocument/2006/relationships/hyperlink" Target="https://bellingcat-archive.nyc3.cdn.digitaloceanspaces.com/Ukraine_Witness_Datasheet/Worksheet/youtube_dl_1498993475265699841/index.html" TargetMode="External"/><Relationship Id="rId4817" Type="http://schemas.openxmlformats.org/officeDocument/2006/relationships/hyperlink" Target="https://bellingcat-archive.nyc3.cdn.digitaloceanspaces.com/Ukraine_Witness_Datasheet/Worksheet/youtube_dl_1498999379411312649.mp4" TargetMode="External"/><Relationship Id="rId4816" Type="http://schemas.openxmlformats.org/officeDocument/2006/relationships/hyperlink" Target="https://twitter.com/gfusfus/status/1499005189881311242" TargetMode="External"/><Relationship Id="rId4819" Type="http://schemas.openxmlformats.org/officeDocument/2006/relationships/hyperlink" Target="https://bellingcat-archive.nyc3.cdn.digitaloceanspaces.com/Ukraine_Witness_Datasheet/Worksheet/youtube_dl_1498999379411312649/index.html" TargetMode="External"/><Relationship Id="rId4818" Type="http://schemas.openxmlformats.org/officeDocument/2006/relationships/hyperlink" Target="https://bellingcat-archive.nyc3.cdn.digitaloceanspaces.com/Ukraine_Witness_Datasheet/Worksheet/youtube_dl__michaelh992_status_14989993794113126492022-03-02T13:04:53.038076.png" TargetMode="External"/><Relationship Id="rId7092" Type="http://schemas.openxmlformats.org/officeDocument/2006/relationships/hyperlink" Target="https://bellingcat-archive.nyc3.cdn.digitaloceanspaces.com/Ukraine_Witness_Datasheet/Worksheet/youtube_dl_1501162662369103872.mp4" TargetMode="External"/><Relationship Id="rId7091" Type="http://schemas.openxmlformats.org/officeDocument/2006/relationships/hyperlink" Target="https://twitter.com/ArmedForcesUkr/status/1501162662369103872" TargetMode="External"/><Relationship Id="rId7090" Type="http://schemas.openxmlformats.org/officeDocument/2006/relationships/hyperlink" Target="https://bellingcat-archive.nyc3.cdn.digitaloceanspaces.com/Ukraine_Witness_Datasheet/Worksheet/twitter__TheDeadDistrict_status_15011688868713799712022-03-08T12:20:14.189401.png" TargetMode="External"/><Relationship Id="rId7085" Type="http://schemas.openxmlformats.org/officeDocument/2006/relationships/hyperlink" Target="https://bellingcat-archive.nyc3.cdn.digitaloceanspaces.com/Ukraine_Witness_Datasheet/Worksheet/youtube_dl_1501121203423125510.mp4" TargetMode="External"/><Relationship Id="rId7084" Type="http://schemas.openxmlformats.org/officeDocument/2006/relationships/hyperlink" Target="https://twitter.com/no_itsmyturn/status/1501121203423125510" TargetMode="External"/><Relationship Id="rId7083" Type="http://schemas.openxmlformats.org/officeDocument/2006/relationships/hyperlink" Target="https://bellingcat-archive.nyc3.cdn.digitaloceanspaces.com/Ukraine_Witness_Datasheet/Worksheet/youtube_dl_1501132089768529920/index.html" TargetMode="External"/><Relationship Id="rId7082" Type="http://schemas.openxmlformats.org/officeDocument/2006/relationships/hyperlink" Target="https://bellingcat-archive.nyc3.cdn.digitaloceanspaces.com/Ukraine_Witness_Datasheet/Worksheet/youtube_dl__no_itsmyturn_status_15011320897685299202022-03-08T10:35:29.610907.png" TargetMode="External"/><Relationship Id="rId7089" Type="http://schemas.openxmlformats.org/officeDocument/2006/relationships/hyperlink" Target="https://bellingcat-archive.nyc3.cdn.digitaloceanspaces.com/Ukraine_Witness_Datasheet/Worksheet/twitter__TheDeadDistrict_status_1501168886871379971.html" TargetMode="External"/><Relationship Id="rId7088" Type="http://schemas.openxmlformats.org/officeDocument/2006/relationships/hyperlink" Target="https://twitter.com/TheDeadDistrict/status/1501168886871379971" TargetMode="External"/><Relationship Id="rId7087" Type="http://schemas.openxmlformats.org/officeDocument/2006/relationships/hyperlink" Target="https://bellingcat-archive.nyc3.cdn.digitaloceanspaces.com/Ukraine_Witness_Datasheet/Worksheet/youtube_dl_1501121203423125510/index.html" TargetMode="External"/><Relationship Id="rId7086" Type="http://schemas.openxmlformats.org/officeDocument/2006/relationships/hyperlink" Target="https://bellingcat-archive.nyc3.cdn.digitaloceanspaces.com/Ukraine_Witness_Datasheet/Worksheet/youtube_dl__no_itsmyturn_status_15011212034231255102022-03-08T10:40:16.283658.png" TargetMode="External"/><Relationship Id="rId2269" Type="http://schemas.openxmlformats.org/officeDocument/2006/relationships/hyperlink" Target="https://twitter.com/danvan71/status/1496299688378929152" TargetMode="External"/><Relationship Id="rId3591" Type="http://schemas.openxmlformats.org/officeDocument/2006/relationships/hyperlink" Target="https://bellingcat-archive.nyc3.cdn.digitaloceanspaces.com/Ukraine_Witness_Datasheet/Worksheet/youtube_dl_1497266803214532609/index.html" TargetMode="External"/><Relationship Id="rId2260" Type="http://schemas.openxmlformats.org/officeDocument/2006/relationships/hyperlink" Target="https://twitter.com/danvan71/status/1495432916331020292" TargetMode="External"/><Relationship Id="rId3590" Type="http://schemas.openxmlformats.org/officeDocument/2006/relationships/hyperlink" Target="https://bellingcat-archive.nyc3.cdn.digitaloceanspaces.com/Ukraine_Witness_Datasheet/Worksheet/youtube_dl__Archer83Able_status_14972668032145326092022-02-27T13:14:16.311961.png" TargetMode="External"/><Relationship Id="rId2261" Type="http://schemas.openxmlformats.org/officeDocument/2006/relationships/hyperlink" Target="https://bellingcat-archive.nyc3.cdn.digitaloceanspaces.com/Ukraine_Witness_Datasheet/Worksheet/youtube_dl_1496140293908963329.mp4" TargetMode="External"/><Relationship Id="rId3593" Type="http://schemas.openxmlformats.org/officeDocument/2006/relationships/hyperlink" Target="https://bellingcat-archive.nyc3.cdn.digitaloceanspaces.com/Ukraine_Witness_Datasheet/Worksheet/youtube_dl_1497275830094942209.mp4" TargetMode="External"/><Relationship Id="rId2262" Type="http://schemas.openxmlformats.org/officeDocument/2006/relationships/hyperlink" Target="https://bellingcat-archive.nyc3.cdn.digitaloceanspaces.com/Ukraine_Witness_Datasheet/Worksheet/youtube_dl__GirkinGirkin_status_14961402939089633292022-02-25T13:22:18.877455.png" TargetMode="External"/><Relationship Id="rId3592" Type="http://schemas.openxmlformats.org/officeDocument/2006/relationships/hyperlink" Target="https://twitter.com/Shrik_E/status/1497275830094942209?s=20&amp;t=BhgLyIwl7YttliBZTDA7LQ" TargetMode="External"/><Relationship Id="rId2263" Type="http://schemas.openxmlformats.org/officeDocument/2006/relationships/hyperlink" Target="https://bellingcat-archive.nyc3.cdn.digitaloceanspaces.com/Ukraine_Witness_Datasheet/Worksheet/youtube_dl_1496140293908963329/index.html" TargetMode="External"/><Relationship Id="rId3595" Type="http://schemas.openxmlformats.org/officeDocument/2006/relationships/hyperlink" Target="https://bellingcat-archive.nyc3.cdn.digitaloceanspaces.com/Ukraine_Witness_Datasheet/Worksheet/youtube_dl_1497275830094942209/index.html" TargetMode="External"/><Relationship Id="rId2264" Type="http://schemas.openxmlformats.org/officeDocument/2006/relationships/hyperlink" Target="https://twitter.com/CSBiggers/status/1496239487021731841" TargetMode="External"/><Relationship Id="rId3594" Type="http://schemas.openxmlformats.org/officeDocument/2006/relationships/hyperlink" Target="https://bellingcat-archive.nyc3.cdn.digitaloceanspaces.com/Ukraine_Witness_Datasheet/Worksheet/youtube_dl__Shrik_E_status_14972758300949422092022-02-27T13:14:45.634240.png" TargetMode="External"/><Relationship Id="rId2265" Type="http://schemas.openxmlformats.org/officeDocument/2006/relationships/hyperlink" Target="https://twitter.com/danvan71/status/1496301143328276481" TargetMode="External"/><Relationship Id="rId3597" Type="http://schemas.openxmlformats.org/officeDocument/2006/relationships/hyperlink" Target="https://bellingcat-archive.nyc3.cdn.digitaloceanspaces.com/Ukraine_Witness_Datasheet/Worksheet/telegram_985fdf2aa0.mp4" TargetMode="External"/><Relationship Id="rId2266" Type="http://schemas.openxmlformats.org/officeDocument/2006/relationships/hyperlink" Target="https://bellingcat-archive.nyc3.cdn.digitaloceanspaces.com/Ukraine_Witness_Datasheet/Worksheet/twitter__CSBiggers_status_1496239487021731841.html" TargetMode="External"/><Relationship Id="rId3596" Type="http://schemas.openxmlformats.org/officeDocument/2006/relationships/hyperlink" Target="https://t.me/nexta_live/17441" TargetMode="External"/><Relationship Id="rId2267" Type="http://schemas.openxmlformats.org/officeDocument/2006/relationships/hyperlink" Target="https://bellingcat-archive.nyc3.cdn.digitaloceanspaces.com/Ukraine_Witness_Datasheet/Worksheet/twitter__CSBiggers_status_14962394870217318412022-02-25T13:21:58.498757.png" TargetMode="External"/><Relationship Id="rId3599" Type="http://schemas.openxmlformats.org/officeDocument/2006/relationships/hyperlink" Target="https://bellingcat-archive.nyc3.cdn.digitaloceanspaces.com/Ukraine_Witness_Datasheet/Worksheet/telegram_985fdf2aa0/index.html" TargetMode="External"/><Relationship Id="rId2268" Type="http://schemas.openxmlformats.org/officeDocument/2006/relationships/hyperlink" Target="https://twitter.com/ckoettl/status/1496283968655839240" TargetMode="External"/><Relationship Id="rId3598" Type="http://schemas.openxmlformats.org/officeDocument/2006/relationships/hyperlink" Target="https://bellingcat-archive.nyc3.cdn.digitaloceanspaces.com/Ukraine_Witness_Datasheet/Worksheet/telegram__nexta_live_174412022-02-27T13:15:01.889254.png" TargetMode="External"/><Relationship Id="rId2258" Type="http://schemas.openxmlformats.org/officeDocument/2006/relationships/hyperlink" Target="https://bellingcat-archive.nyc3.cdn.digitaloceanspaces.com/Ukraine_Witness_Datasheet/Worksheet/youtube_dl_1496326525280468993/index.html" TargetMode="External"/><Relationship Id="rId2259" Type="http://schemas.openxmlformats.org/officeDocument/2006/relationships/hyperlink" Target="https://twitter.com/GirkinGirkin/status/1496140293908963329" TargetMode="External"/><Relationship Id="rId3589" Type="http://schemas.openxmlformats.org/officeDocument/2006/relationships/hyperlink" Target="https://bellingcat-archive.nyc3.cdn.digitaloceanspaces.com/Ukraine_Witness_Datasheet/Worksheet/youtube_dl_1497266803214532609.mp4" TargetMode="External"/><Relationship Id="rId3580" Type="http://schemas.openxmlformats.org/officeDocument/2006/relationships/hyperlink" Target="https://twitter.com/Ivanivanovi9/status/1497824101116878848?s=20&amp;t=oKMFtSjrWvorHLr6FiJOAQ" TargetMode="External"/><Relationship Id="rId2250" Type="http://schemas.openxmlformats.org/officeDocument/2006/relationships/hyperlink" Target="https://twitter.com/Michael1Sheldon/status/1496343540477136896" TargetMode="External"/><Relationship Id="rId3582" Type="http://schemas.openxmlformats.org/officeDocument/2006/relationships/hyperlink" Target="https://bellingcat-archive.nyc3.cdn.digitaloceanspaces.com/Ukraine_Witness_Datasheet/Worksheet/youtube_dl__Ivanivanovi9_status_14978241011168788482022-02-27T13:13:47.079294.png" TargetMode="External"/><Relationship Id="rId2251" Type="http://schemas.openxmlformats.org/officeDocument/2006/relationships/hyperlink" Target="https://bellingcat-archive.nyc3.cdn.digitaloceanspaces.com/Ukraine_Witness_Datasheet/Worksheet/youtube_dl_1496302983495229440.mp4" TargetMode="External"/><Relationship Id="rId3581" Type="http://schemas.openxmlformats.org/officeDocument/2006/relationships/hyperlink" Target="https://bellingcat-archive.nyc3.cdn.digitaloceanspaces.com/Ukraine_Witness_Datasheet/Worksheet/youtube_dl_1497824101116878848.mp4" TargetMode="External"/><Relationship Id="rId2252" Type="http://schemas.openxmlformats.org/officeDocument/2006/relationships/hyperlink" Target="https://bellingcat-archive.nyc3.cdn.digitaloceanspaces.com/Ukraine_Witness_Datasheet/Worksheet/youtube_dl__GirkinGirkin_status_14963029834952294402022-02-25T13:22:55.216320.png" TargetMode="External"/><Relationship Id="rId3584" Type="http://schemas.openxmlformats.org/officeDocument/2006/relationships/hyperlink" Target="https://twitter.com/bbcrussian/status/1497264217317154816" TargetMode="External"/><Relationship Id="rId2253" Type="http://schemas.openxmlformats.org/officeDocument/2006/relationships/hyperlink" Target="https://bellingcat-archive.nyc3.cdn.digitaloceanspaces.com/Ukraine_Witness_Datasheet/Worksheet/youtube_dl_1496302983495229440/index.html" TargetMode="External"/><Relationship Id="rId3583" Type="http://schemas.openxmlformats.org/officeDocument/2006/relationships/hyperlink" Target="https://bellingcat-archive.nyc3.cdn.digitaloceanspaces.com/Ukraine_Witness_Datasheet/Worksheet/youtube_dl_1497824101116878848/index.html" TargetMode="External"/><Relationship Id="rId2254" Type="http://schemas.openxmlformats.org/officeDocument/2006/relationships/hyperlink" Target="https://twitter.com/GirkinGirkin/status/1496326525280468993" TargetMode="External"/><Relationship Id="rId3586" Type="http://schemas.openxmlformats.org/officeDocument/2006/relationships/hyperlink" Target="https://bellingcat-archive.nyc3.cdn.digitaloceanspaces.com/Ukraine_Witness_Datasheet/Worksheet/youtube_dl__bbcrussian_status_14972642173171548162022-02-27T13:14:01.914816.png" TargetMode="External"/><Relationship Id="rId2255" Type="http://schemas.openxmlformats.org/officeDocument/2006/relationships/hyperlink" Target="https://twitter.com/IntelCrab/status/1496327708510408704" TargetMode="External"/><Relationship Id="rId3585" Type="http://schemas.openxmlformats.org/officeDocument/2006/relationships/hyperlink" Target="https://bellingcat-archive.nyc3.cdn.digitaloceanspaces.com/Ukraine_Witness_Datasheet/Worksheet/youtube_dl_1497264217317154816.mp4" TargetMode="External"/><Relationship Id="rId2256" Type="http://schemas.openxmlformats.org/officeDocument/2006/relationships/hyperlink" Target="https://bellingcat-archive.nyc3.cdn.digitaloceanspaces.com/Ukraine_Witness_Datasheet/Worksheet/youtube_dl_1496326525280468993.mp4" TargetMode="External"/><Relationship Id="rId3588" Type="http://schemas.openxmlformats.org/officeDocument/2006/relationships/hyperlink" Target="https://twitter.com/Archer83Able/status/1497266803214532609" TargetMode="External"/><Relationship Id="rId2257" Type="http://schemas.openxmlformats.org/officeDocument/2006/relationships/hyperlink" Target="https://bellingcat-archive.nyc3.cdn.digitaloceanspaces.com/Ukraine_Witness_Datasheet/Worksheet/youtube_dl__GirkinGirkin_status_14963265252804689932022-02-25T13:22:38.198276.png" TargetMode="External"/><Relationship Id="rId3587" Type="http://schemas.openxmlformats.org/officeDocument/2006/relationships/hyperlink" Target="https://bellingcat-archive.nyc3.cdn.digitaloceanspaces.com/Ukraine_Witness_Datasheet/Worksheet/youtube_dl_1497264217317154816/index.html" TargetMode="External"/><Relationship Id="rId2280" Type="http://schemas.openxmlformats.org/officeDocument/2006/relationships/hyperlink" Target="https://bellingcat-archive.nyc3.cdn.digitaloceanspaces.com/Ukraine_Witness_Datasheet/Worksheet/youtube_dl_1496146336982384643.mp4" TargetMode="External"/><Relationship Id="rId2281" Type="http://schemas.openxmlformats.org/officeDocument/2006/relationships/hyperlink" Target="https://bellingcat-archive.nyc3.cdn.digitaloceanspaces.com/Ukraine_Witness_Datasheet/Worksheet/youtube_dl__GirkinGirkin_status_14961463369823846432022-02-25T13:21:05.446167.png" TargetMode="External"/><Relationship Id="rId2282" Type="http://schemas.openxmlformats.org/officeDocument/2006/relationships/hyperlink" Target="https://bellingcat-archive.nyc3.cdn.digitaloceanspaces.com/Ukraine_Witness_Datasheet/Worksheet/youtube_dl_1496146336982384643/index.html" TargetMode="External"/><Relationship Id="rId2283" Type="http://schemas.openxmlformats.org/officeDocument/2006/relationships/hyperlink" Target="https://twitter.com/GirkinGirkin/status/1495478565923655696" TargetMode="External"/><Relationship Id="rId2284" Type="http://schemas.openxmlformats.org/officeDocument/2006/relationships/hyperlink" Target="https://twitter.com/Danspiun/status/1496189488644739073" TargetMode="External"/><Relationship Id="rId2285" Type="http://schemas.openxmlformats.org/officeDocument/2006/relationships/hyperlink" Target="https://bellingcat-archive.nyc3.cdn.digitaloceanspaces.com/Ukraine_Witness_Datasheet/Worksheet/youtube_dl_1495478565923655696.mp4" TargetMode="External"/><Relationship Id="rId2286" Type="http://schemas.openxmlformats.org/officeDocument/2006/relationships/hyperlink" Target="https://bellingcat-archive.nyc3.cdn.digitaloceanspaces.com/Ukraine_Witness_Datasheet/Worksheet/youtube_dl__GirkinGirkin_status_14954785659236556962022-02-25T13:20:43.666733.png" TargetMode="External"/><Relationship Id="rId2287" Type="http://schemas.openxmlformats.org/officeDocument/2006/relationships/hyperlink" Target="https://bellingcat-archive.nyc3.cdn.digitaloceanspaces.com/Ukraine_Witness_Datasheet/Worksheet/youtube_dl_1495478565923655696/index.html" TargetMode="External"/><Relationship Id="rId2288" Type="http://schemas.openxmlformats.org/officeDocument/2006/relationships/hyperlink" Target="https://twitter.com/YWNReporter/status/1496187284177264652" TargetMode="External"/><Relationship Id="rId2289" Type="http://schemas.openxmlformats.org/officeDocument/2006/relationships/hyperlink" Target="https://twitter.com/gfusfus/status/1496203281542045697" TargetMode="External"/><Relationship Id="rId2270" Type="http://schemas.openxmlformats.org/officeDocument/2006/relationships/hyperlink" Target="https://bellingcat-archive.nyc3.cdn.digitaloceanspaces.com/Ukraine_Witness_Datasheet/Worksheet/youtube_dl_1496283968655839240.mp4" TargetMode="External"/><Relationship Id="rId2271" Type="http://schemas.openxmlformats.org/officeDocument/2006/relationships/hyperlink" Target="https://bellingcat-archive.nyc3.cdn.digitaloceanspaces.com/Ukraine_Witness_Datasheet/Worksheet/youtube_dl__ckoettl_status_14962839686558392402022-02-25T13:21:44.016772.png" TargetMode="External"/><Relationship Id="rId2272" Type="http://schemas.openxmlformats.org/officeDocument/2006/relationships/hyperlink" Target="https://bellingcat-archive.nyc3.cdn.digitaloceanspaces.com/Ukraine_Witness_Datasheet/Worksheet/youtube_dl_1496283968655839240/index.html" TargetMode="External"/><Relationship Id="rId2273" Type="http://schemas.openxmlformats.org/officeDocument/2006/relationships/hyperlink" Target="https://twitter.com/ckoettl/status/1495553833023512577/photo/1" TargetMode="External"/><Relationship Id="rId2274" Type="http://schemas.openxmlformats.org/officeDocument/2006/relationships/hyperlink" Target="https://twitter.com/danvan71/status/1496270816467730432" TargetMode="External"/><Relationship Id="rId2275" Type="http://schemas.openxmlformats.org/officeDocument/2006/relationships/hyperlink" Target="https://bellingcat-archive.nyc3.cdn.digitaloceanspaces.com/Ukraine_Witness_Datasheet/Worksheet/youtube_dl_1494137731143720961.mp4" TargetMode="External"/><Relationship Id="rId2276" Type="http://schemas.openxmlformats.org/officeDocument/2006/relationships/hyperlink" Target="https://bellingcat-archive.nyc3.cdn.digitaloceanspaces.com/Ukraine_Witness_Datasheet/Worksheet/youtube_dl__ckoettl_status_1495553833023512577_photo_12022-02-25T13:21:26.930031.png" TargetMode="External"/><Relationship Id="rId2277" Type="http://schemas.openxmlformats.org/officeDocument/2006/relationships/hyperlink" Target="https://bellingcat-archive.nyc3.cdn.digitaloceanspaces.com/Ukraine_Witness_Datasheet/Worksheet/youtube_dl_1494137731143720961/index.html" TargetMode="External"/><Relationship Id="rId2278" Type="http://schemas.openxmlformats.org/officeDocument/2006/relationships/hyperlink" Target="https://twitter.com/GirkinGirkin/status/1496146336982384643" TargetMode="External"/><Relationship Id="rId2279" Type="http://schemas.openxmlformats.org/officeDocument/2006/relationships/hyperlink" Target="https://twitter.com/danvan71/status/1496244726256836611" TargetMode="External"/><Relationship Id="rId2225" Type="http://schemas.openxmlformats.org/officeDocument/2006/relationships/hyperlink" Target="https://twitter.com/Archer83Able/status/1496213818120323073" TargetMode="External"/><Relationship Id="rId3557" Type="http://schemas.openxmlformats.org/officeDocument/2006/relationships/hyperlink" Target="https://bellingcat-archive.nyc3.cdn.digitaloceanspaces.com/Ukraine_Witness_Datasheet/Worksheet/youtube_dl_1497868180492017664.mp4" TargetMode="External"/><Relationship Id="rId4888" Type="http://schemas.openxmlformats.org/officeDocument/2006/relationships/hyperlink" Target="https://drive.google.com/file/d/1DlK66OSFbWwpagTL78bHbY1_VZPaOSx_/view?usp=sharing" TargetMode="External"/><Relationship Id="rId2226" Type="http://schemas.openxmlformats.org/officeDocument/2006/relationships/hyperlink" Target="https://bellingcat-archive.nyc3.cdn.digitaloceanspaces.com/Ukraine_Witness_Datasheet/Worksheet/youtube_dl_1496209530472050699.mp4" TargetMode="External"/><Relationship Id="rId3556" Type="http://schemas.openxmlformats.org/officeDocument/2006/relationships/hyperlink" Target="https://twitter.com/shaunwalker7/status/1497868180492017664" TargetMode="External"/><Relationship Id="rId4887" Type="http://schemas.openxmlformats.org/officeDocument/2006/relationships/hyperlink" Target="https://bellingcat-archive.nyc3.cdn.digitaloceanspaces.com/Ukraine_Witness_Datasheet/Worksheet/wayback__drive_folders_1qI6yrr1ruBpIdaxAqf5o3DK3j0z4NWoZ2022-03-02T14:33:10.661112.png" TargetMode="External"/><Relationship Id="rId2227" Type="http://schemas.openxmlformats.org/officeDocument/2006/relationships/hyperlink" Target="https://bellingcat-archive.nyc3.cdn.digitaloceanspaces.com/Ukraine_Witness_Datasheet/Worksheet/youtube_dl__4emberlen_status_14962095304720506992022-02-25T13:24:30.420821.png" TargetMode="External"/><Relationship Id="rId3559" Type="http://schemas.openxmlformats.org/officeDocument/2006/relationships/hyperlink" Target="https://bellingcat-archive.nyc3.cdn.digitaloceanspaces.com/Ukraine_Witness_Datasheet/Worksheet/youtube_dl_1497868180492017664/index.html" TargetMode="External"/><Relationship Id="rId2228" Type="http://schemas.openxmlformats.org/officeDocument/2006/relationships/hyperlink" Target="https://bellingcat-archive.nyc3.cdn.digitaloceanspaces.com/Ukraine_Witness_Datasheet/Worksheet/youtube_dl_1496209530472050699/index.html" TargetMode="External"/><Relationship Id="rId3558" Type="http://schemas.openxmlformats.org/officeDocument/2006/relationships/hyperlink" Target="https://bellingcat-archive.nyc3.cdn.digitaloceanspaces.com/Ukraine_Witness_Datasheet/Worksheet/youtube_dl__shaunwalker7_status_14978681804920176642022-02-27T13:12:07.993135.png" TargetMode="External"/><Relationship Id="rId4889" Type="http://schemas.openxmlformats.org/officeDocument/2006/relationships/hyperlink" Target="https://web.archive.org/web/20220302143418/https://drive.google.com/file/d/1DlK66OSFbWwpagTL78bHbY1_VZPaOSx_/view?usp=sharing" TargetMode="External"/><Relationship Id="rId2229" Type="http://schemas.openxmlformats.org/officeDocument/2006/relationships/hyperlink" Target="https://twitter.com/GirkinGirkin/status/1496180287126048769" TargetMode="External"/><Relationship Id="rId4880" Type="http://schemas.openxmlformats.org/officeDocument/2006/relationships/hyperlink" Target="https://web.archive.org/web/20220302142310/https://drive.google.com/file/d/15a3--mnRONRti0dipAm6C1EZzRrfLoHK/view?usp=sharing" TargetMode="External"/><Relationship Id="rId3551" Type="http://schemas.openxmlformats.org/officeDocument/2006/relationships/hyperlink" Target="https://bellingcat-archive.nyc3.cdn.digitaloceanspaces.com/Ukraine_Witness_Datasheet/Worksheet/youtube_dl_1497870407214456832/index.html" TargetMode="External"/><Relationship Id="rId4882" Type="http://schemas.openxmlformats.org/officeDocument/2006/relationships/hyperlink" Target="https://drive.google.com/file/d/1Xx6bZFo6x_Wr2G4sEem3_1q9aNFIlhZE/view?usp=sharing" TargetMode="External"/><Relationship Id="rId2220" Type="http://schemas.openxmlformats.org/officeDocument/2006/relationships/hyperlink" Target="https://twitter.com/Archer83Able/status/1496156796217708548" TargetMode="External"/><Relationship Id="rId3550" Type="http://schemas.openxmlformats.org/officeDocument/2006/relationships/hyperlink" Target="https://bellingcat-archive.nyc3.cdn.digitaloceanspaces.com/Ukraine_Witness_Datasheet/Worksheet/youtube_dl__200_zoka_status_14978704072144568322022-02-27T13:11:37.217157.png" TargetMode="External"/><Relationship Id="rId4881" Type="http://schemas.openxmlformats.org/officeDocument/2006/relationships/hyperlink" Target="https://bellingcat-archive.nyc3.cdn.digitaloceanspaces.com/Ukraine_Witness_Datasheet/Worksheet/wayback__file_d_15a3--mnRONRti0dipAm6C1EZzRrfLoHK_view2022-03-02T14:23:22.177133.png" TargetMode="External"/><Relationship Id="rId2221" Type="http://schemas.openxmlformats.org/officeDocument/2006/relationships/hyperlink" Target="https://bellingcat-archive.nyc3.cdn.digitaloceanspaces.com/Ukraine_Witness_Datasheet/Worksheet/youtube_dl_1496156796217708548.mp4" TargetMode="External"/><Relationship Id="rId3553" Type="http://schemas.openxmlformats.org/officeDocument/2006/relationships/hyperlink" Target="https://bellingcat-archive.nyc3.cdn.digitaloceanspaces.com/Ukraine_Witness_Datasheet/Worksheet/youtube_dl_1497858945981071360.mp4" TargetMode="External"/><Relationship Id="rId4884" Type="http://schemas.openxmlformats.org/officeDocument/2006/relationships/hyperlink" Target="https://bellingcat-archive.nyc3.cdn.digitaloceanspaces.com/Ukraine_Witness_Datasheet/Worksheet/wayback__file_d_1Xx6bZFo6x_Wr2G4sEem3_1q9aNFIlhZE_view2022-03-02T14:32:00.849119.png" TargetMode="External"/><Relationship Id="rId2222" Type="http://schemas.openxmlformats.org/officeDocument/2006/relationships/hyperlink" Target="https://bellingcat-archive.nyc3.cdn.digitaloceanspaces.com/Ukraine_Witness_Datasheet/Worksheet/youtube_dl__Archer83Able_status_14961567962177085482022-02-25T13:24:47.584679.png" TargetMode="External"/><Relationship Id="rId3552" Type="http://schemas.openxmlformats.org/officeDocument/2006/relationships/hyperlink" Target="https://twitter.com/alona_she/status/1497858945981071360" TargetMode="External"/><Relationship Id="rId4883" Type="http://schemas.openxmlformats.org/officeDocument/2006/relationships/hyperlink" Target="https://web.archive.org/web/20220302143153/https://drive.google.com/file/d/1Xx6bZFo6x_Wr2G4sEem3_1q9aNFIlhZE/view?usp=sharing" TargetMode="External"/><Relationship Id="rId2223" Type="http://schemas.openxmlformats.org/officeDocument/2006/relationships/hyperlink" Target="https://bellingcat-archive.nyc3.cdn.digitaloceanspaces.com/Ukraine_Witness_Datasheet/Worksheet/youtube_dl_1496156796217708548/index.html" TargetMode="External"/><Relationship Id="rId3555" Type="http://schemas.openxmlformats.org/officeDocument/2006/relationships/hyperlink" Target="https://bellingcat-archive.nyc3.cdn.digitaloceanspaces.com/Ukraine_Witness_Datasheet/Worksheet/youtube_dl_1497858945981071360/index.html" TargetMode="External"/><Relationship Id="rId4886" Type="http://schemas.openxmlformats.org/officeDocument/2006/relationships/hyperlink" Target="https://web.archive.org/web/20220302143258/https://drive.google.com/drive/folders/1qI6yrr1ruBpIdaxAqf5o3DK3j0z4NWoZ?usp=sharing" TargetMode="External"/><Relationship Id="rId2224" Type="http://schemas.openxmlformats.org/officeDocument/2006/relationships/hyperlink" Target="https://twitter.com/4emberlen/status/1496209530472050699" TargetMode="External"/><Relationship Id="rId3554" Type="http://schemas.openxmlformats.org/officeDocument/2006/relationships/hyperlink" Target="https://bellingcat-archive.nyc3.cdn.digitaloceanspaces.com/Ukraine_Witness_Datasheet/Worksheet/youtube_dl__alona_she_status_14978589459810713602022-02-27T13:11:53.890057.png" TargetMode="External"/><Relationship Id="rId4885" Type="http://schemas.openxmlformats.org/officeDocument/2006/relationships/hyperlink" Target="https://drive.google.com/drive/folders/1qI6yrr1ruBpIdaxAqf5o3DK3j0z4NWoZ?usp=sharing" TargetMode="External"/><Relationship Id="rId2214" Type="http://schemas.openxmlformats.org/officeDocument/2006/relationships/hyperlink" Target="https://bellingcat-archive.nyc3.cdn.digitaloceanspaces.com/Ukraine_Witness_Datasheet/Worksheet/youtube_dl_1496183319893057542/index.html" TargetMode="External"/><Relationship Id="rId3546" Type="http://schemas.openxmlformats.org/officeDocument/2006/relationships/hyperlink" Target="https://bellingcat-archive.nyc3.cdn.digitaloceanspaces.com/Ukraine_Witness_Datasheet/Worksheet/youtube_dl__nexta_tv_status_14977094871043973182022-02-27T13:11:22.024819.png" TargetMode="External"/><Relationship Id="rId4877" Type="http://schemas.openxmlformats.org/officeDocument/2006/relationships/hyperlink" Target="https://bellingcat-archive.nyc3.cdn.digitaloceanspaces.com/Ukraine_Witness_Datasheet/Worksheet/youtube_dl__nexta_tv_status_14990220737332019212022-03-02T14:22:19.298232.png" TargetMode="External"/><Relationship Id="rId2215" Type="http://schemas.openxmlformats.org/officeDocument/2006/relationships/hyperlink" Target="https://twitter.com/4emberlen/status/1496220038923272196" TargetMode="External"/><Relationship Id="rId3545" Type="http://schemas.openxmlformats.org/officeDocument/2006/relationships/hyperlink" Target="https://bellingcat-archive.nyc3.cdn.digitaloceanspaces.com/Ukraine_Witness_Datasheet/Worksheet/youtube_dl_1497709487104397318.mp4" TargetMode="External"/><Relationship Id="rId4876" Type="http://schemas.openxmlformats.org/officeDocument/2006/relationships/hyperlink" Target="https://bellingcat-archive.nyc3.cdn.digitaloceanspaces.com/Ukraine_Witness_Datasheet/Worksheet/youtube_dl_1499022073733201921.mp4" TargetMode="External"/><Relationship Id="rId2216" Type="http://schemas.openxmlformats.org/officeDocument/2006/relationships/hyperlink" Target="https://twitter.com/danvan71/status/1496222410508537857" TargetMode="External"/><Relationship Id="rId3548" Type="http://schemas.openxmlformats.org/officeDocument/2006/relationships/hyperlink" Target="https://twitter.com/200_zoka/status/1497870407214456832" TargetMode="External"/><Relationship Id="rId4879" Type="http://schemas.openxmlformats.org/officeDocument/2006/relationships/hyperlink" Target="https://drive.google.com/file/d/15a3--mnRONRti0dipAm6C1EZzRrfLoHK/view?usp=sharing" TargetMode="External"/><Relationship Id="rId2217" Type="http://schemas.openxmlformats.org/officeDocument/2006/relationships/hyperlink" Target="https://bellingcat-archive.nyc3.cdn.digitaloceanspaces.com/Ukraine_Witness_Datasheet/Worksheet/youtube_dl_1496220038923272196.mp4" TargetMode="External"/><Relationship Id="rId3547" Type="http://schemas.openxmlformats.org/officeDocument/2006/relationships/hyperlink" Target="https://bellingcat-archive.nyc3.cdn.digitaloceanspaces.com/Ukraine_Witness_Datasheet/Worksheet/youtube_dl_1497709487104397318/index.html" TargetMode="External"/><Relationship Id="rId4878" Type="http://schemas.openxmlformats.org/officeDocument/2006/relationships/hyperlink" Target="https://bellingcat-archive.nyc3.cdn.digitaloceanspaces.com/Ukraine_Witness_Datasheet/Worksheet/youtube_dl_1499022073733201921/index.html" TargetMode="External"/><Relationship Id="rId2218" Type="http://schemas.openxmlformats.org/officeDocument/2006/relationships/hyperlink" Target="https://bellingcat-archive.nyc3.cdn.digitaloceanspaces.com/Ukraine_Witness_Datasheet/Worksheet/youtube_dl__4emberlen_status_14962200389232721962022-02-25T13:25:14.364178.png" TargetMode="External"/><Relationship Id="rId2219" Type="http://schemas.openxmlformats.org/officeDocument/2006/relationships/hyperlink" Target="https://bellingcat-archive.nyc3.cdn.digitaloceanspaces.com/Ukraine_Witness_Datasheet/Worksheet/youtube_dl_1496220038923272196/index.html" TargetMode="External"/><Relationship Id="rId3549" Type="http://schemas.openxmlformats.org/officeDocument/2006/relationships/hyperlink" Target="https://bellingcat-archive.nyc3.cdn.digitaloceanspaces.com/Ukraine_Witness_Datasheet/Worksheet/youtube_dl_1497870407214456832.mp4" TargetMode="External"/><Relationship Id="rId3540" Type="http://schemas.openxmlformats.org/officeDocument/2006/relationships/hyperlink" Target="https://twitter.com/Michael1Sheldon/status/1497788427307204609" TargetMode="External"/><Relationship Id="rId4871" Type="http://schemas.openxmlformats.org/officeDocument/2006/relationships/hyperlink" Target="https://bellingcat-archive.nyc3.cdn.digitaloceanspaces.com/Ukraine_Witness_Datasheet/Worksheet/youtube_dl_1499016465386725380/index.html" TargetMode="External"/><Relationship Id="rId4870" Type="http://schemas.openxmlformats.org/officeDocument/2006/relationships/hyperlink" Target="https://bellingcat-archive.nyc3.cdn.digitaloceanspaces.com/Ukraine_Witness_Datasheet/Worksheet/youtube_dl__CasusBellii_status_14990164653867253802022-03-02T14:06:00.037484.png" TargetMode="External"/><Relationship Id="rId2210" Type="http://schemas.openxmlformats.org/officeDocument/2006/relationships/hyperlink" Target="https://twitter.com/YWNReporter/status/1496183319893057542" TargetMode="External"/><Relationship Id="rId3542" Type="http://schemas.openxmlformats.org/officeDocument/2006/relationships/hyperlink" Target="https://bellingcat-archive.nyc3.cdn.digitaloceanspaces.com/Ukraine_Witness_Datasheet/Worksheet/youtube_dl__Michael1Sheldon_status_14977877721443450892022-02-27T13:11:07.931239.png" TargetMode="External"/><Relationship Id="rId4873" Type="http://schemas.openxmlformats.org/officeDocument/2006/relationships/hyperlink" Target="https://web.archive.org/web/20220302140631/https://www.facebook.com/photo/?fbid=10209691341437443&amp;set=a.3760342824257" TargetMode="External"/><Relationship Id="rId2211" Type="http://schemas.openxmlformats.org/officeDocument/2006/relationships/hyperlink" Target="https://twitter.com/gfusfus/status/1496196329667764225" TargetMode="External"/><Relationship Id="rId3541" Type="http://schemas.openxmlformats.org/officeDocument/2006/relationships/hyperlink" Target="https://bellingcat-archive.nyc3.cdn.digitaloceanspaces.com/Ukraine_Witness_Datasheet/Worksheet/youtube_dl_1497787772144345089.mp4" TargetMode="External"/><Relationship Id="rId4872" Type="http://schemas.openxmlformats.org/officeDocument/2006/relationships/hyperlink" Target="https://www.facebook.com/photo/?fbid=10209691341437443&amp;set=a.3760342824257" TargetMode="External"/><Relationship Id="rId2212" Type="http://schemas.openxmlformats.org/officeDocument/2006/relationships/hyperlink" Target="https://bellingcat-archive.nyc3.cdn.digitaloceanspaces.com/Ukraine_Witness_Datasheet/Worksheet/youtube_dl_1496183319893057542.mp4" TargetMode="External"/><Relationship Id="rId3544" Type="http://schemas.openxmlformats.org/officeDocument/2006/relationships/hyperlink" Target="https://twitter.com/nexta_tv/status/1497709487104397318?s=20&amp;t=g4_sjmmynM13CiGY1aD8Pw" TargetMode="External"/><Relationship Id="rId4875" Type="http://schemas.openxmlformats.org/officeDocument/2006/relationships/hyperlink" Target="https://twitter.com/nexta_tv/status/1499022073733201921" TargetMode="External"/><Relationship Id="rId2213" Type="http://schemas.openxmlformats.org/officeDocument/2006/relationships/hyperlink" Target="https://bellingcat-archive.nyc3.cdn.digitaloceanspaces.com/Ukraine_Witness_Datasheet/Worksheet/youtube_dl__YWNReporter_status_14961833198930575422022-02-25T13:25:41.800497.png" TargetMode="External"/><Relationship Id="rId3543" Type="http://schemas.openxmlformats.org/officeDocument/2006/relationships/hyperlink" Target="https://bellingcat-archive.nyc3.cdn.digitaloceanspaces.com/Ukraine_Witness_Datasheet/Worksheet/youtube_dl_1497787772144345089/index.html" TargetMode="External"/><Relationship Id="rId4874" Type="http://schemas.openxmlformats.org/officeDocument/2006/relationships/hyperlink" Target="https://bellingcat-archive.nyc3.cdn.digitaloceanspaces.com/Ukraine_Witness_Datasheet/Worksheet/wayback__photo_2022-03-02T14:06:37.315109.png" TargetMode="External"/><Relationship Id="rId2247" Type="http://schemas.openxmlformats.org/officeDocument/2006/relationships/hyperlink" Target="https://bellingcat-archive.nyc3.cdn.digitaloceanspaces.com/Ukraine_Witness_Datasheet/Worksheet/youtube_dl__YWNReporter_status_14962499896763801662022-02-25T13:23:12.463856.png" TargetMode="External"/><Relationship Id="rId3579" Type="http://schemas.openxmlformats.org/officeDocument/2006/relationships/hyperlink" Target="https://bellingcat-archive.nyc3.cdn.digitaloceanspaces.com/Ukraine_Witness_Datasheet/Worksheet/youtube_dl_1497879296546799617/index.html" TargetMode="External"/><Relationship Id="rId2248" Type="http://schemas.openxmlformats.org/officeDocument/2006/relationships/hyperlink" Target="https://bellingcat-archive.nyc3.cdn.digitaloceanspaces.com/Ukraine_Witness_Datasheet/Worksheet/youtube_dl_1496249989676380166/index.html" TargetMode="External"/><Relationship Id="rId3578" Type="http://schemas.openxmlformats.org/officeDocument/2006/relationships/hyperlink" Target="https://bellingcat-archive.nyc3.cdn.digitaloceanspaces.com/Ukraine_Witness_Datasheet/Worksheet/youtube_dl__girkingirkin_status_14978792965467996172022-02-27T13:13:33.282178.png" TargetMode="External"/><Relationship Id="rId2249" Type="http://schemas.openxmlformats.org/officeDocument/2006/relationships/hyperlink" Target="https://twitter.com/GirkinGirkin/status/1496302983495229440" TargetMode="External"/><Relationship Id="rId3571" Type="http://schemas.openxmlformats.org/officeDocument/2006/relationships/hyperlink" Target="https://bellingcat-archive.nyc3.cdn.digitaloceanspaces.com/Ukraine_Witness_Datasheet/Worksheet/youtube_dl_1497847575965224960/index.html" TargetMode="External"/><Relationship Id="rId2240" Type="http://schemas.openxmlformats.org/officeDocument/2006/relationships/hyperlink" Target="https://twitter.com/gfusfus/status/1496253442377097218" TargetMode="External"/><Relationship Id="rId3570" Type="http://schemas.openxmlformats.org/officeDocument/2006/relationships/hyperlink" Target="https://bellingcat-archive.nyc3.cdn.digitaloceanspaces.com/Ukraine_Witness_Datasheet/Worksheet/youtube_dl__RALee85_status_14978475759652249602022-02-27T13:13:02.516422.png" TargetMode="External"/><Relationship Id="rId2241" Type="http://schemas.openxmlformats.org/officeDocument/2006/relationships/hyperlink" Target="https://bellingcat-archive.nyc3.cdn.digitaloceanspaces.com/Ukraine_Witness_Datasheet/Worksheet/youtube_dl_1496238941741137933.mp4" TargetMode="External"/><Relationship Id="rId3573" Type="http://schemas.openxmlformats.org/officeDocument/2006/relationships/hyperlink" Target="https://bellingcat-archive.nyc3.cdn.digitaloceanspaces.com/Ukraine_Witness_Datasheet/Worksheet/youtube_dl_1497877696939970564.mp4" TargetMode="External"/><Relationship Id="rId2242" Type="http://schemas.openxmlformats.org/officeDocument/2006/relationships/hyperlink" Target="https://bellingcat-archive.nyc3.cdn.digitaloceanspaces.com/Ukraine_Witness_Datasheet/Worksheet/youtube_dl__4emberlen_status_14962389417411379332022-02-25T13:23:34.113907.png" TargetMode="External"/><Relationship Id="rId3572" Type="http://schemas.openxmlformats.org/officeDocument/2006/relationships/hyperlink" Target="https://twitter.com/4_Ukraine_/status/1497877696939970564" TargetMode="External"/><Relationship Id="rId2243" Type="http://schemas.openxmlformats.org/officeDocument/2006/relationships/hyperlink" Target="https://bellingcat-archive.nyc3.cdn.digitaloceanspaces.com/Ukraine_Witness_Datasheet/Worksheet/youtube_dl_1496238941741137933/index.html" TargetMode="External"/><Relationship Id="rId3575" Type="http://schemas.openxmlformats.org/officeDocument/2006/relationships/hyperlink" Target="https://bellingcat-archive.nyc3.cdn.digitaloceanspaces.com/Ukraine_Witness_Datasheet/Worksheet/youtube_dl_1497877696939970564/index.html" TargetMode="External"/><Relationship Id="rId2244" Type="http://schemas.openxmlformats.org/officeDocument/2006/relationships/hyperlink" Target="https://twitter.com/YWNReporter/status/1496249989676380166" TargetMode="External"/><Relationship Id="rId3574" Type="http://schemas.openxmlformats.org/officeDocument/2006/relationships/hyperlink" Target="https://bellingcat-archive.nyc3.cdn.digitaloceanspaces.com/Ukraine_Witness_Datasheet/Worksheet/youtube_dl__4_Ukraine__status_14978776969399705642022-02-27T13:13:19.719635.png" TargetMode="External"/><Relationship Id="rId2245" Type="http://schemas.openxmlformats.org/officeDocument/2006/relationships/hyperlink" Target="https://twitter.com/YWNReporter/status/1496250162620084229" TargetMode="External"/><Relationship Id="rId3577" Type="http://schemas.openxmlformats.org/officeDocument/2006/relationships/hyperlink" Target="https://bellingcat-archive.nyc3.cdn.digitaloceanspaces.com/Ukraine_Witness_Datasheet/Worksheet/youtube_dl_1497879296546799617.mp4" TargetMode="External"/><Relationship Id="rId2246" Type="http://schemas.openxmlformats.org/officeDocument/2006/relationships/hyperlink" Target="https://bellingcat-archive.nyc3.cdn.digitaloceanspaces.com/Ukraine_Witness_Datasheet/Worksheet/youtube_dl_1496249989676380166.mp4" TargetMode="External"/><Relationship Id="rId3576" Type="http://schemas.openxmlformats.org/officeDocument/2006/relationships/hyperlink" Target="https://twitter.com/girkingirkin/status/1497879296546799617?s=21" TargetMode="External"/><Relationship Id="rId2236" Type="http://schemas.openxmlformats.org/officeDocument/2006/relationships/hyperlink" Target="https://bellingcat-archive.nyc3.cdn.digitaloceanspaces.com/Ukraine_Witness_Datasheet/Worksheet/youtube_dl_1496124505999171586.mp4" TargetMode="External"/><Relationship Id="rId3568" Type="http://schemas.openxmlformats.org/officeDocument/2006/relationships/hyperlink" Target="https://twitter.com/RALee85/status/1497847575965224960" TargetMode="External"/><Relationship Id="rId4899" Type="http://schemas.openxmlformats.org/officeDocument/2006/relationships/hyperlink" Target="https://bellingcat-archive.nyc3.cdn.digitaloceanspaces.com/Ukraine_Witness_Datasheet/Worksheet/youtube_dl_1498630021119885314.mp4" TargetMode="External"/><Relationship Id="rId2237" Type="http://schemas.openxmlformats.org/officeDocument/2006/relationships/hyperlink" Target="https://bellingcat-archive.nyc3.cdn.digitaloceanspaces.com/Ukraine_Witness_Datasheet/Worksheet/youtube_dl__4emberlen_status_14961245059991715862022-02-25T13:23:54.361164.png" TargetMode="External"/><Relationship Id="rId3567" Type="http://schemas.openxmlformats.org/officeDocument/2006/relationships/hyperlink" Target="https://bellingcat-archive.nyc3.cdn.digitaloceanspaces.com/Ukraine_Witness_Datasheet/Worksheet/youtube_dl_1497839452013666306/index.html" TargetMode="External"/><Relationship Id="rId4898" Type="http://schemas.openxmlformats.org/officeDocument/2006/relationships/hyperlink" Target="https://twitter.com/Angelkin_xmarki/status/1498630021119885314" TargetMode="External"/><Relationship Id="rId2238" Type="http://schemas.openxmlformats.org/officeDocument/2006/relationships/hyperlink" Target="https://bellingcat-archive.nyc3.cdn.digitaloceanspaces.com/Ukraine_Witness_Datasheet/Worksheet/youtube_dl_1496124505999171586/index.html" TargetMode="External"/><Relationship Id="rId2239" Type="http://schemas.openxmlformats.org/officeDocument/2006/relationships/hyperlink" Target="https://twitter.com/4emberlen/status/1496238941741137933" TargetMode="External"/><Relationship Id="rId3569" Type="http://schemas.openxmlformats.org/officeDocument/2006/relationships/hyperlink" Target="https://bellingcat-archive.nyc3.cdn.digitaloceanspaces.com/Ukraine_Witness_Datasheet/Worksheet/youtube_dl_1497847575965224960.mp4" TargetMode="External"/><Relationship Id="rId3560" Type="http://schemas.openxmlformats.org/officeDocument/2006/relationships/hyperlink" Target="https://twitter.com/TemnyVyriy/status/1497865284048326656" TargetMode="External"/><Relationship Id="rId4891" Type="http://schemas.openxmlformats.org/officeDocument/2006/relationships/hyperlink" Target="https://drive.google.com/file/d/1A15q87eFH6K45NouP7VRFFp-5cK4hdm9/view?usp=sharing" TargetMode="External"/><Relationship Id="rId4890" Type="http://schemas.openxmlformats.org/officeDocument/2006/relationships/hyperlink" Target="https://bellingcat-archive.nyc3.cdn.digitaloceanspaces.com/Ukraine_Witness_Datasheet/Worksheet/wayback__file_d_1DlK66OSFbWwpagTL78bHbY1_VZPaOSx__view2022-03-02T14:34:56.772525.png" TargetMode="External"/><Relationship Id="rId2230" Type="http://schemas.openxmlformats.org/officeDocument/2006/relationships/hyperlink" Target="https://twitter.com/danvan71/status/1496232534740512769" TargetMode="External"/><Relationship Id="rId3562" Type="http://schemas.openxmlformats.org/officeDocument/2006/relationships/hyperlink" Target="https://bellingcat-archive.nyc3.cdn.digitaloceanspaces.com/Ukraine_Witness_Datasheet/Worksheet/youtube_dl__TemnyVyriy_status_14978652840483266562022-02-27T13:12:22.464029.png" TargetMode="External"/><Relationship Id="rId4893" Type="http://schemas.openxmlformats.org/officeDocument/2006/relationships/hyperlink" Target="https://bellingcat-archive.nyc3.cdn.digitaloceanspaces.com/Ukraine_Witness_Datasheet/Worksheet/wayback__file_d_1A15q87eFH6K45NouP7VRFFp-5cK4hdm9_view2022-03-02T14:36:50.718478.png" TargetMode="External"/><Relationship Id="rId2231" Type="http://schemas.openxmlformats.org/officeDocument/2006/relationships/hyperlink" Target="https://bellingcat-archive.nyc3.cdn.digitaloceanspaces.com/Ukraine_Witness_Datasheet/Worksheet/youtube_dl_1496180287126048769.mp4" TargetMode="External"/><Relationship Id="rId3561" Type="http://schemas.openxmlformats.org/officeDocument/2006/relationships/hyperlink" Target="https://bellingcat-archive.nyc3.cdn.digitaloceanspaces.com/Ukraine_Witness_Datasheet/Worksheet/youtube_dl_1497865284048326656.mp4" TargetMode="External"/><Relationship Id="rId4892" Type="http://schemas.openxmlformats.org/officeDocument/2006/relationships/hyperlink" Target="https://web.archive.org/web/20220302143632/https://drive.google.com/file/d/1A15q87eFH6K45NouP7VRFFp-5cK4hdm9/view?usp=sharing" TargetMode="External"/><Relationship Id="rId2232" Type="http://schemas.openxmlformats.org/officeDocument/2006/relationships/hyperlink" Target="https://bellingcat-archive.nyc3.cdn.digitaloceanspaces.com/Ukraine_Witness_Datasheet/Worksheet/youtube_dl__GirkinGirkin_status_14961802871260487692022-02-25T13:24:12.549389.png" TargetMode="External"/><Relationship Id="rId3564" Type="http://schemas.openxmlformats.org/officeDocument/2006/relationships/hyperlink" Target="https://twitter.com/Nat_anest/status/1497839452013666306" TargetMode="External"/><Relationship Id="rId4895" Type="http://schemas.openxmlformats.org/officeDocument/2006/relationships/hyperlink" Target="https://bellingcat-archive.nyc3.cdn.digitaloceanspaces.com/Ukraine_Witness_Datasheet/Worksheet/youtube_dl_1498629509653880834.mp4" TargetMode="External"/><Relationship Id="rId2233" Type="http://schemas.openxmlformats.org/officeDocument/2006/relationships/hyperlink" Target="https://bellingcat-archive.nyc3.cdn.digitaloceanspaces.com/Ukraine_Witness_Datasheet/Worksheet/youtube_dl_1496180287126048769/index.html" TargetMode="External"/><Relationship Id="rId3563" Type="http://schemas.openxmlformats.org/officeDocument/2006/relationships/hyperlink" Target="https://bellingcat-archive.nyc3.cdn.digitaloceanspaces.com/Ukraine_Witness_Datasheet/Worksheet/youtube_dl_1497865284048326656/index.html" TargetMode="External"/><Relationship Id="rId4894" Type="http://schemas.openxmlformats.org/officeDocument/2006/relationships/hyperlink" Target="https://twitter.com/RadovaNata/status/1498629509653880834" TargetMode="External"/><Relationship Id="rId2234" Type="http://schemas.openxmlformats.org/officeDocument/2006/relationships/hyperlink" Target="https://twitter.com/4emberlen/status/1496124505999171586" TargetMode="External"/><Relationship Id="rId3566" Type="http://schemas.openxmlformats.org/officeDocument/2006/relationships/hyperlink" Target="https://bellingcat-archive.nyc3.cdn.digitaloceanspaces.com/Ukraine_Witness_Datasheet/Worksheet/youtube_dl__Nat_anest_status_14978394520136663062022-02-27T13:12:35.875068.png" TargetMode="External"/><Relationship Id="rId4897" Type="http://schemas.openxmlformats.org/officeDocument/2006/relationships/hyperlink" Target="https://bellingcat-archive.nyc3.cdn.digitaloceanspaces.com/Ukraine_Witness_Datasheet/Worksheet/youtube_dl_1498629509653880834/index.html" TargetMode="External"/><Relationship Id="rId2235" Type="http://schemas.openxmlformats.org/officeDocument/2006/relationships/hyperlink" Target="https://twitter.com/danvan71/status/1496167176914485249" TargetMode="External"/><Relationship Id="rId3565" Type="http://schemas.openxmlformats.org/officeDocument/2006/relationships/hyperlink" Target="https://bellingcat-archive.nyc3.cdn.digitaloceanspaces.com/Ukraine_Witness_Datasheet/Worksheet/youtube_dl_1497839452013666306.mp4" TargetMode="External"/><Relationship Id="rId4896" Type="http://schemas.openxmlformats.org/officeDocument/2006/relationships/hyperlink" Target="https://bellingcat-archive.nyc3.cdn.digitaloceanspaces.com/Ukraine_Witness_Datasheet/Worksheet/youtube_dl__RadovaNata_status_14986295096538808342022-03-02T14:37:04.272665.png" TargetMode="External"/><Relationship Id="rId2290" Type="http://schemas.openxmlformats.org/officeDocument/2006/relationships/hyperlink" Target="https://bellingcat-archive.nyc3.cdn.digitaloceanspaces.com/Ukraine_Witness_Datasheet/Worksheet/youtube_dl_1496187284177264652.mp4" TargetMode="External"/><Relationship Id="rId2291" Type="http://schemas.openxmlformats.org/officeDocument/2006/relationships/hyperlink" Target="https://bellingcat-archive.nyc3.cdn.digitaloceanspaces.com/Ukraine_Witness_Datasheet/Worksheet/youtube_dl__YWNReporter_status_14961872841772646522022-02-25T13:20:24.193660.png" TargetMode="External"/><Relationship Id="rId2292" Type="http://schemas.openxmlformats.org/officeDocument/2006/relationships/hyperlink" Target="https://bellingcat-archive.nyc3.cdn.digitaloceanspaces.com/Ukraine_Witness_Datasheet/Worksheet/youtube_dl_1496187284177264652/index.html" TargetMode="External"/><Relationship Id="rId2293" Type="http://schemas.openxmlformats.org/officeDocument/2006/relationships/hyperlink" Target="https://twitter.com/GirkinGirkin/status/1496422142648410115" TargetMode="External"/><Relationship Id="rId2294" Type="http://schemas.openxmlformats.org/officeDocument/2006/relationships/hyperlink" Target="https://bellingcat-archive.nyc3.cdn.digitaloceanspaces.com/Ukraine_Witness_Datasheet/Worksheet/youtube_dl_1496422142648410115.mp4" TargetMode="External"/><Relationship Id="rId2295" Type="http://schemas.openxmlformats.org/officeDocument/2006/relationships/hyperlink" Target="https://bellingcat-archive.nyc3.cdn.digitaloceanspaces.com/Ukraine_Witness_Datasheet/Worksheet/youtube_dl__GirkinGirkin_status_14964221426484101152022-02-25T13:20:03.379726.png" TargetMode="External"/><Relationship Id="rId2296" Type="http://schemas.openxmlformats.org/officeDocument/2006/relationships/hyperlink" Target="https://bellingcat-archive.nyc3.cdn.digitaloceanspaces.com/Ukraine_Witness_Datasheet/Worksheet/youtube_dl_1496422142648410115/index.html" TargetMode="External"/><Relationship Id="rId2297" Type="http://schemas.openxmlformats.org/officeDocument/2006/relationships/hyperlink" Target="https://twitter.com/GirkinGirkin/status/1496419288932044800" TargetMode="External"/><Relationship Id="rId2298" Type="http://schemas.openxmlformats.org/officeDocument/2006/relationships/hyperlink" Target="https://twitter.com/seb_bourdon/status/1496432522879717376" TargetMode="External"/><Relationship Id="rId2299" Type="http://schemas.openxmlformats.org/officeDocument/2006/relationships/hyperlink" Target="https://bellingcat-archive.nyc3.cdn.digitaloceanspaces.com/Ukraine_Witness_Datasheet/Worksheet/youtube_dl_1496419288932044800.mp4" TargetMode="External"/><Relationship Id="rId7151" Type="http://schemas.openxmlformats.org/officeDocument/2006/relationships/hyperlink" Target="https://bellingcat-archive.nyc3.cdn.digitaloceanspaces.com/Ukraine_Witness_Datasheet/Worksheet/wayback__drive_folders_1Ul0FX9ambfL2WFKBD1DXHXUNIO-9zU2t2022-03-08T16:36:18.690211.png" TargetMode="External"/><Relationship Id="rId7150" Type="http://schemas.openxmlformats.org/officeDocument/2006/relationships/hyperlink" Target="https://web.archive.org/web/20220308163608/https://drive.google.com/drive/folders/1Ul0FX9ambfL2WFKBD1DXHXUNIO-9zU2t?usp=sharing" TargetMode="External"/><Relationship Id="rId7155" Type="http://schemas.openxmlformats.org/officeDocument/2006/relationships/hyperlink" Target="https://bellingcat-archive.nyc3.cdn.digitaloceanspaces.com/Ukraine_Witness_Datasheet/Worksheet/youtube_dl_1498988051174989832/index.html" TargetMode="External"/><Relationship Id="rId7154" Type="http://schemas.openxmlformats.org/officeDocument/2006/relationships/hyperlink" Target="https://bellingcat-archive.nyc3.cdn.digitaloceanspaces.com/Ukraine_Witness_Datasheet/Worksheet/youtube_dl__rescuero_status_14989880511749898322022-03-08T16:36:33.938487.png" TargetMode="External"/><Relationship Id="rId7153" Type="http://schemas.openxmlformats.org/officeDocument/2006/relationships/hyperlink" Target="https://bellingcat-archive.nyc3.cdn.digitaloceanspaces.com/Ukraine_Witness_Datasheet/Worksheet/youtube_dl_1498988051174989832.mp4" TargetMode="External"/><Relationship Id="rId7152" Type="http://schemas.openxmlformats.org/officeDocument/2006/relationships/hyperlink" Target="https://twitter.com/rescuero/status/1498988051174989832?s=20&amp;t=mywWeVgKyNlqWBLmET-yRg" TargetMode="External"/><Relationship Id="rId7159" Type="http://schemas.openxmlformats.org/officeDocument/2006/relationships/hyperlink" Target="https://bellingcat-archive.nyc3.cdn.digitaloceanspaces.com/Ukraine_Witness_Datasheet/Worksheet/telegram_fa4e88a74c/index.html" TargetMode="External"/><Relationship Id="rId7158" Type="http://schemas.openxmlformats.org/officeDocument/2006/relationships/hyperlink" Target="https://bellingcat-archive.nyc3.cdn.digitaloceanspaces.com/Ukraine_Witness_Datasheet/Worksheet/telegram__truexanewsua_286912022-03-08T16:36:47.707800.png" TargetMode="External"/><Relationship Id="rId7157" Type="http://schemas.openxmlformats.org/officeDocument/2006/relationships/hyperlink" Target="https://bellingcat-archive.nyc3.cdn.digitaloceanspaces.com/Ukraine_Witness_Datasheet/Worksheet/telegram_fa4e88a74c.mp4" TargetMode="External"/><Relationship Id="rId7156" Type="http://schemas.openxmlformats.org/officeDocument/2006/relationships/hyperlink" Target="https://t.me/truexanewsua/28691" TargetMode="External"/><Relationship Id="rId7140" Type="http://schemas.openxmlformats.org/officeDocument/2006/relationships/hyperlink" Target="https://drive.google.com/drive/folders/1ie_R9JJ4iaslhnK_xfV-hO1xOgTvnn7h?usp=sharing" TargetMode="External"/><Relationship Id="rId7144" Type="http://schemas.openxmlformats.org/officeDocument/2006/relationships/hyperlink" Target="https://web.archive.org/web/20220308163403/https://drive.google.com/file/d/1Qu2uycEXOnigIRTN9mz_JwfJ1xV14m7S/view?usp=sharing" TargetMode="External"/><Relationship Id="rId7143" Type="http://schemas.openxmlformats.org/officeDocument/2006/relationships/hyperlink" Target="https://drive.google.com/file/d/1Qu2uycEXOnigIRTN9mz_JwfJ1xV14m7S/view?usp=sharing" TargetMode="External"/><Relationship Id="rId7142" Type="http://schemas.openxmlformats.org/officeDocument/2006/relationships/hyperlink" Target="https://bellingcat-archive.nyc3.cdn.digitaloceanspaces.com/Ukraine_Witness_Datasheet/Worksheet/wayback__drive_folders_1ie_R9JJ4iaslhnK_xfV-hO1xOgTvnn7h2022-03-08T16:33:15.344521.png" TargetMode="External"/><Relationship Id="rId7141" Type="http://schemas.openxmlformats.org/officeDocument/2006/relationships/hyperlink" Target="https://web.archive.org/web/20220308163303/https://drive.google.com/drive/folders/1ie_R9JJ4iaslhnK_xfV-hO1xOgTvnn7h?usp=sharing" TargetMode="External"/><Relationship Id="rId7148" Type="http://schemas.openxmlformats.org/officeDocument/2006/relationships/hyperlink" Target="https://bellingcat-archive.nyc3.cdn.digitaloceanspaces.com/Ukraine_Witness_Datasheet/Worksheet/wayback__drive_folders_1dxfXEUAjjvBslA671cNxIMRb_D_fPJCl2022-03-08T16:35:18.699874.png" TargetMode="External"/><Relationship Id="rId7147" Type="http://schemas.openxmlformats.org/officeDocument/2006/relationships/hyperlink" Target="https://web.archive.org/web/20220308163506/https://drive.google.com/drive/folders/1dxfXEUAjjvBslA671cNxIMRb_D_fPJCl?usp=sharing" TargetMode="External"/><Relationship Id="rId7146" Type="http://schemas.openxmlformats.org/officeDocument/2006/relationships/hyperlink" Target="https://drive.google.com/drive/folders/1dxfXEUAjjvBslA671cNxIMRb_D_fPJCl?usp=sharing" TargetMode="External"/><Relationship Id="rId7145" Type="http://schemas.openxmlformats.org/officeDocument/2006/relationships/hyperlink" Target="https://bellingcat-archive.nyc3.cdn.digitaloceanspaces.com/Ukraine_Witness_Datasheet/Worksheet/wayback__file_d_1Qu2uycEXOnigIRTN9mz_JwfJ1xV14m7S_view2022-03-08T16:34:11.748970.png" TargetMode="External"/><Relationship Id="rId7149" Type="http://schemas.openxmlformats.org/officeDocument/2006/relationships/hyperlink" Target="https://drive.google.com/drive/folders/1Ul0FX9ambfL2WFKBD1DXHXUNIO-9zU2t?usp=sharing" TargetMode="External"/><Relationship Id="rId4901" Type="http://schemas.openxmlformats.org/officeDocument/2006/relationships/hyperlink" Target="https://bellingcat-archive.nyc3.cdn.digitaloceanspaces.com/Ukraine_Witness_Datasheet/Worksheet/youtube_dl_1498630021119885314/index.html" TargetMode="External"/><Relationship Id="rId4900" Type="http://schemas.openxmlformats.org/officeDocument/2006/relationships/hyperlink" Target="https://bellingcat-archive.nyc3.cdn.digitaloceanspaces.com/Ukraine_Witness_Datasheet/Worksheet/youtube_dl__Angelkin_xmarki_status_14986300211198853142022-03-02T14:37:20.629317.png" TargetMode="External"/><Relationship Id="rId4903" Type="http://schemas.openxmlformats.org/officeDocument/2006/relationships/hyperlink" Target="https://bellingcat-archive.nyc3.cdn.digitaloceanspaces.com/Ukraine_Witness_Datasheet/Worksheet/youtube_dl_1498641493522800645.mp4" TargetMode="External"/><Relationship Id="rId4902" Type="http://schemas.openxmlformats.org/officeDocument/2006/relationships/hyperlink" Target="https://twitter.com/hochu_dodomu/status/1498641493522800645" TargetMode="External"/><Relationship Id="rId4905" Type="http://schemas.openxmlformats.org/officeDocument/2006/relationships/hyperlink" Target="https://bellingcat-archive.nyc3.cdn.digitaloceanspaces.com/Ukraine_Witness_Datasheet/Worksheet/youtube_dl_1498641493522800645/index.html" TargetMode="External"/><Relationship Id="rId4904" Type="http://schemas.openxmlformats.org/officeDocument/2006/relationships/hyperlink" Target="https://bellingcat-archive.nyc3.cdn.digitaloceanspaces.com/Ukraine_Witness_Datasheet/Worksheet/youtube_dl__hochu_dodomu_status_14986414935228006452022-03-02T14:37:35.131552.png" TargetMode="External"/><Relationship Id="rId4907" Type="http://schemas.openxmlformats.org/officeDocument/2006/relationships/hyperlink" Target="https://bellingcat-archive.nyc3.cdn.digitaloceanspaces.com/Ukraine_Witness_Datasheet/Worksheet/youtube_dl_1499014791536549890.mp4" TargetMode="External"/><Relationship Id="rId4906" Type="http://schemas.openxmlformats.org/officeDocument/2006/relationships/hyperlink" Target="https://twitter.com/RALee85/status/1499014791536549890" TargetMode="External"/><Relationship Id="rId4909" Type="http://schemas.openxmlformats.org/officeDocument/2006/relationships/hyperlink" Target="https://bellingcat-archive.nyc3.cdn.digitaloceanspaces.com/Ukraine_Witness_Datasheet/Worksheet/youtube_dl_1499014791536549890/index.html" TargetMode="External"/><Relationship Id="rId4908" Type="http://schemas.openxmlformats.org/officeDocument/2006/relationships/hyperlink" Target="https://bellingcat-archive.nyc3.cdn.digitaloceanspaces.com/Ukraine_Witness_Datasheet/Worksheet/youtube_dl__RALee85_status_14990147915365498902022-03-02T14:37:48.483193.png" TargetMode="External"/><Relationship Id="rId7180" Type="http://schemas.openxmlformats.org/officeDocument/2006/relationships/hyperlink" Target="https://bellingcat-archive.nyc3.cdn.digitaloceanspaces.com/Ukraine_Witness_Datasheet/Worksheet/telegram_3384f8862b.mp4" TargetMode="External"/><Relationship Id="rId7173" Type="http://schemas.openxmlformats.org/officeDocument/2006/relationships/hyperlink" Target="https://bellingcat-archive.nyc3.cdn.digitaloceanspaces.com/Ukraine_Witness_Datasheet/Worksheet/youtube_dl_lPdlUQHIkYA.webm" TargetMode="External"/><Relationship Id="rId7172" Type="http://schemas.openxmlformats.org/officeDocument/2006/relationships/hyperlink" Target="https://www.youtube.com/watch?v=lPdlUQHIkYA" TargetMode="External"/><Relationship Id="rId7171" Type="http://schemas.openxmlformats.org/officeDocument/2006/relationships/hyperlink" Target="https://bellingcat-archive.nyc3.cdn.digitaloceanspaces.com/Ukraine_Witness_Datasheet/Worksheet/youtube_dl_1500126664952623112/index.html" TargetMode="External"/><Relationship Id="rId7170" Type="http://schemas.openxmlformats.org/officeDocument/2006/relationships/hyperlink" Target="https://bellingcat-archive.nyc3.cdn.digitaloceanspaces.com/Ukraine_Witness_Datasheet/Worksheet/youtube_dl__aldin_ww_status_15001266649526231122022-03-08T16:38:33.275776.png" TargetMode="External"/><Relationship Id="rId7177" Type="http://schemas.openxmlformats.org/officeDocument/2006/relationships/hyperlink" Target="https://web.archive.org/web/20220308164012/https://www.facebook.com/photo?fbid=7095376223837245&amp;set=pcb.7095377023837165" TargetMode="External"/><Relationship Id="rId7176" Type="http://schemas.openxmlformats.org/officeDocument/2006/relationships/hyperlink" Target="https://www.facebook.com/photo?fbid=7095376223837245&amp;set=pcb.7095377023837165" TargetMode="External"/><Relationship Id="rId7175" Type="http://schemas.openxmlformats.org/officeDocument/2006/relationships/hyperlink" Target="https://bellingcat-archive.nyc3.cdn.digitaloceanspaces.com/Ukraine_Witness_Datasheet/Worksheet/youtube_dl_lPdlUQHIkYA/index.html" TargetMode="External"/><Relationship Id="rId7174" Type="http://schemas.openxmlformats.org/officeDocument/2006/relationships/hyperlink" Target="https://bellingcat-archive.nyc3.cdn.digitaloceanspaces.com/Ukraine_Witness_Datasheet/Worksheet/youtube_dl__watch2022-03-08T16:39:02.965321.png" TargetMode="External"/><Relationship Id="rId7179" Type="http://schemas.openxmlformats.org/officeDocument/2006/relationships/hyperlink" Target="https://t.me/Pravda_Gerashchenko/2163" TargetMode="External"/><Relationship Id="rId7178" Type="http://schemas.openxmlformats.org/officeDocument/2006/relationships/hyperlink" Target="https://bellingcat-archive.nyc3.cdn.digitaloceanspaces.com/Ukraine_Witness_Datasheet/Worksheet/wayback__photo2022-03-08T16:40:19.646339.png" TargetMode="External"/><Relationship Id="rId7162" Type="http://schemas.openxmlformats.org/officeDocument/2006/relationships/hyperlink" Target="https://web.archive.org/web/20220308163756/https://drive.google.com/file/d/1FuiJrRqAqhPKK92LB5BwxO-3RrqHIRu4/view?usp=sharing" TargetMode="External"/><Relationship Id="rId7161" Type="http://schemas.openxmlformats.org/officeDocument/2006/relationships/hyperlink" Target="https://drive.google.com/file/d/1FuiJrRqAqhPKK92LB5BwxO-3RrqHIRu4/view?usp=sharing" TargetMode="External"/><Relationship Id="rId7160" Type="http://schemas.openxmlformats.org/officeDocument/2006/relationships/hyperlink" Target="https://t.me/truexanewsua/28691" TargetMode="External"/><Relationship Id="rId7166" Type="http://schemas.openxmlformats.org/officeDocument/2006/relationships/hyperlink" Target="https://bellingcat-archive.nyc3.cdn.digitaloceanspaces.com/Ukraine_Witness_Datasheet/Worksheet/youtube_dl__uk_news_rosiya-na-odeshhyni-zastosovuye-kasetni-bomby-rbk-500-z-ptab-1m_2022-03-08T16:38:14.193123.png" TargetMode="External"/><Relationship Id="rId7165" Type="http://schemas.openxmlformats.org/officeDocument/2006/relationships/hyperlink" Target="https://bellingcat-archive.nyc3.cdn.digitaloceanspaces.com/Ukraine_Witness_Datasheet/Worksheet/youtube_dl_T-bADJfTJts.webm" TargetMode="External"/><Relationship Id="rId7164" Type="http://schemas.openxmlformats.org/officeDocument/2006/relationships/hyperlink" Target="https://mil.in.ua/uk/news/rosiya-na-odeshhyni-zastosovuye-kasetni-bomby-rbk-500-z-ptab-1m/" TargetMode="External"/><Relationship Id="rId7163" Type="http://schemas.openxmlformats.org/officeDocument/2006/relationships/hyperlink" Target="https://bellingcat-archive.nyc3.cdn.digitaloceanspaces.com/Ukraine_Witness_Datasheet/Worksheet/wayback__file_d_1FuiJrRqAqhPKK92LB5BwxO-3RrqHIRu4_view2022-03-08T16:38:01.640908.png" TargetMode="External"/><Relationship Id="rId7169" Type="http://schemas.openxmlformats.org/officeDocument/2006/relationships/hyperlink" Target="https://bellingcat-archive.nyc3.cdn.digitaloceanspaces.com/Ukraine_Witness_Datasheet/Worksheet/youtube_dl_1500126664952623112.mp4" TargetMode="External"/><Relationship Id="rId7168" Type="http://schemas.openxmlformats.org/officeDocument/2006/relationships/hyperlink" Target="https://twitter.com/aldin_ww/status/1500126664952623112" TargetMode="External"/><Relationship Id="rId7167" Type="http://schemas.openxmlformats.org/officeDocument/2006/relationships/hyperlink" Target="https://bellingcat-archive.nyc3.cdn.digitaloceanspaces.com/Ukraine_Witness_Datasheet/Worksheet/youtube_dl_T-bADJfTJts/index.html" TargetMode="External"/><Relationship Id="rId7111" Type="http://schemas.openxmlformats.org/officeDocument/2006/relationships/hyperlink" Target="https://bellingcat-archive.nyc3.cdn.digitaloceanspaces.com/Ukraine_Witness_Datasheet/Worksheet/twitter__ua_industrial_status_1501190526036590596.html" TargetMode="External"/><Relationship Id="rId7110" Type="http://schemas.openxmlformats.org/officeDocument/2006/relationships/hyperlink" Target="https://twitter.com/gfusfus/status/1501194559061172231" TargetMode="External"/><Relationship Id="rId7115" Type="http://schemas.openxmlformats.org/officeDocument/2006/relationships/hyperlink" Target="https://bellingcat-archive.nyc3.cdn.digitaloceanspaces.com/Ukraine_Witness_Datasheet/Worksheet/youtube_dl_1500838282829172742.mp4" TargetMode="External"/><Relationship Id="rId7114" Type="http://schemas.openxmlformats.org/officeDocument/2006/relationships/hyperlink" Target="https://twitter.com/john_marquee/status/1500856476633481218" TargetMode="External"/><Relationship Id="rId7113" Type="http://schemas.openxmlformats.org/officeDocument/2006/relationships/hyperlink" Target="https://twitter.com/aldin_ww/status/1500838282829172742" TargetMode="External"/><Relationship Id="rId7112" Type="http://schemas.openxmlformats.org/officeDocument/2006/relationships/hyperlink" Target="https://bellingcat-archive.nyc3.cdn.digitaloceanspaces.com/Ukraine_Witness_Datasheet/Worksheet/twitter__ua_industrial_status_15011905260365905962022-03-08T14:00:14.573295.png" TargetMode="External"/><Relationship Id="rId7119" Type="http://schemas.openxmlformats.org/officeDocument/2006/relationships/hyperlink" Target="https://twitter.com/gfusfus/status/1501208528991789059" TargetMode="External"/><Relationship Id="rId7118" Type="http://schemas.openxmlformats.org/officeDocument/2006/relationships/hyperlink" Target="https://twitter.com/no_itsmyturn/status/1501202265671184393" TargetMode="External"/><Relationship Id="rId7117" Type="http://schemas.openxmlformats.org/officeDocument/2006/relationships/hyperlink" Target="https://bellingcat-archive.nyc3.cdn.digitaloceanspaces.com/Ukraine_Witness_Datasheet/Worksheet/youtube_dl_1500838282829172742/index.html" TargetMode="External"/><Relationship Id="rId7116" Type="http://schemas.openxmlformats.org/officeDocument/2006/relationships/hyperlink" Target="https://bellingcat-archive.nyc3.cdn.digitaloceanspaces.com/Ukraine_Witness_Datasheet/Worksheet/youtube_dl__aldin_ww_status_15008382828291727422022-03-08T14:20:13.395931.png" TargetMode="External"/><Relationship Id="rId7109" Type="http://schemas.openxmlformats.org/officeDocument/2006/relationships/hyperlink" Target="https://twitter.com/ua_industrial/status/1501190526036590596" TargetMode="External"/><Relationship Id="rId7100" Type="http://schemas.openxmlformats.org/officeDocument/2006/relationships/hyperlink" Target="https://bellingcat-archive.nyc3.cdn.digitaloceanspaces.com/Ukraine_Witness_Datasheet/Worksheet/youtube_dl__no_itsmyturn_status_15010944466240880642022-03-08T12:55:13.960684.png" TargetMode="External"/><Relationship Id="rId7104" Type="http://schemas.openxmlformats.org/officeDocument/2006/relationships/hyperlink" Target="https://bellingcat-archive.nyc3.cdn.digitaloceanspaces.com/Ukraine_Witness_Datasheet/Worksheet/youtube_dl__olex_scherba_status_15011721879145062452022-03-08T13:55:15.932008.png" TargetMode="External"/><Relationship Id="rId7103" Type="http://schemas.openxmlformats.org/officeDocument/2006/relationships/hyperlink" Target="https://bellingcat-archive.nyc3.cdn.digitaloceanspaces.com/Ukraine_Witness_Datasheet/Worksheet/youtube_dl_1501172187914506245.mp4" TargetMode="External"/><Relationship Id="rId7102" Type="http://schemas.openxmlformats.org/officeDocument/2006/relationships/hyperlink" Target="https://twitter.com/olex_scherba/status/1501172187914506245" TargetMode="External"/><Relationship Id="rId7101" Type="http://schemas.openxmlformats.org/officeDocument/2006/relationships/hyperlink" Target="https://bellingcat-archive.nyc3.cdn.digitaloceanspaces.com/Ukraine_Witness_Datasheet/Worksheet/youtube_dl_1501094446624088064/index.html" TargetMode="External"/><Relationship Id="rId7108" Type="http://schemas.openxmlformats.org/officeDocument/2006/relationships/hyperlink" Target="https://bellingcat-archive.nyc3.cdn.digitaloceanspaces.com/Ukraine_Witness_Datasheet/Worksheet/twitter__SputnikATO_status_15011842122039418972022-03-08T14:25:14.353579.png" TargetMode="External"/><Relationship Id="rId7107" Type="http://schemas.openxmlformats.org/officeDocument/2006/relationships/hyperlink" Target="https://bellingcat-archive.nyc3.cdn.digitaloceanspaces.com/Ukraine_Witness_Datasheet/Worksheet/twitter__SputnikATO_status_1501184212203941897.html" TargetMode="External"/><Relationship Id="rId7106" Type="http://schemas.openxmlformats.org/officeDocument/2006/relationships/hyperlink" Target="https://twitter.com/SputnikATO/status/1501184212203941897" TargetMode="External"/><Relationship Id="rId7105" Type="http://schemas.openxmlformats.org/officeDocument/2006/relationships/hyperlink" Target="https://bellingcat-archive.nyc3.cdn.digitaloceanspaces.com/Ukraine_Witness_Datasheet/Worksheet/youtube_dl_1501172187914506245/index.html" TargetMode="External"/><Relationship Id="rId7133" Type="http://schemas.openxmlformats.org/officeDocument/2006/relationships/hyperlink" Target="https://bellingcat-archive.nyc3.cdn.digitaloceanspaces.com/Ukraine_Witness_Datasheet/Worksheet/telegram_015a7f8df5.mp4" TargetMode="External"/><Relationship Id="rId7132" Type="http://schemas.openxmlformats.org/officeDocument/2006/relationships/hyperlink" Target="https://t.me/TGNewsU/11696" TargetMode="External"/><Relationship Id="rId7131" Type="http://schemas.openxmlformats.org/officeDocument/2006/relationships/hyperlink" Target="https://bellingcat-archive.nyc3.cdn.digitaloceanspaces.com/Ukraine_Witness_Datasheet/Worksheet/youtube_dl_7IUQVTaRY6I/index.html" TargetMode="External"/><Relationship Id="rId7130" Type="http://schemas.openxmlformats.org/officeDocument/2006/relationships/hyperlink" Target="https://bellingcat-archive.nyc3.cdn.digitaloceanspaces.com/Ukraine_Witness_Datasheet/Worksheet/youtube_dl__watch2022-03-08T16:30:18.378144.png" TargetMode="External"/><Relationship Id="rId7137" Type="http://schemas.openxmlformats.org/officeDocument/2006/relationships/hyperlink" Target="https://lb.ua/society/2022/02/26/507034_zranku_kiievi_rosiyska_drg_vbila.html" TargetMode="External"/><Relationship Id="rId7136" Type="http://schemas.openxmlformats.org/officeDocument/2006/relationships/hyperlink" Target="https://t.me/TGNewsU/11696" TargetMode="External"/><Relationship Id="rId7135" Type="http://schemas.openxmlformats.org/officeDocument/2006/relationships/hyperlink" Target="https://bellingcat-archive.nyc3.cdn.digitaloceanspaces.com/Ukraine_Witness_Datasheet/Worksheet/telegram_015a7f8df5/index.html" TargetMode="External"/><Relationship Id="rId7134" Type="http://schemas.openxmlformats.org/officeDocument/2006/relationships/hyperlink" Target="https://bellingcat-archive.nyc3.cdn.digitaloceanspaces.com/Ukraine_Witness_Datasheet/Worksheet/telegram__TGNewsU_116962022-03-08T16:30:32.754206.png" TargetMode="External"/><Relationship Id="rId7139" Type="http://schemas.openxmlformats.org/officeDocument/2006/relationships/hyperlink" Target="https://bellingcat-archive.nyc3.cdn.digitaloceanspaces.com/Ukraine_Witness_Datasheet/Worksheet/wayback__society_2022_02_26_507034_zranku_kiievi_rosiyska_drg_vbila.html2022-03-08T16:32:22.347724.png" TargetMode="External"/><Relationship Id="rId7138" Type="http://schemas.openxmlformats.org/officeDocument/2006/relationships/hyperlink" Target="https://web.archive.org/web/20220308163206/https://lb.ua/society/2022/02/26/507034_kiievi_rosiyska_drg_vbila.html" TargetMode="External"/><Relationship Id="rId7122" Type="http://schemas.openxmlformats.org/officeDocument/2006/relationships/hyperlink" Target="https://bellingcat-archive.nyc3.cdn.digitaloceanspaces.com/Ukraine_Witness_Datasheet/Worksheet/youtube_dl_1501202265671184393/index.html" TargetMode="External"/><Relationship Id="rId7121" Type="http://schemas.openxmlformats.org/officeDocument/2006/relationships/hyperlink" Target="https://bellingcat-archive.nyc3.cdn.digitaloceanspaces.com/Ukraine_Witness_Datasheet/Worksheet/youtube_dl__no_itsmyturn_status_15012022656711843932022-03-08T14:55:15.976654.png" TargetMode="External"/><Relationship Id="rId7120" Type="http://schemas.openxmlformats.org/officeDocument/2006/relationships/hyperlink" Target="https://bellingcat-archive.nyc3.cdn.digitaloceanspaces.com/Ukraine_Witness_Datasheet/Worksheet/youtube_dl_1501202265671184393.mp4" TargetMode="External"/><Relationship Id="rId7126" Type="http://schemas.openxmlformats.org/officeDocument/2006/relationships/hyperlink" Target="https://bellingcat-archive.nyc3.cdn.digitaloceanspaces.com/Ukraine_Witness_Datasheet/Worksheet/youtube_dl__no_itsmyturn_status_15012099279180103742022-03-08T15:20:20.536364.png" TargetMode="External"/><Relationship Id="rId7125" Type="http://schemas.openxmlformats.org/officeDocument/2006/relationships/hyperlink" Target="https://bellingcat-archive.nyc3.cdn.digitaloceanspaces.com/Ukraine_Witness_Datasheet/Worksheet/youtube_dl_1501209927918010374.mp4" TargetMode="External"/><Relationship Id="rId7124" Type="http://schemas.openxmlformats.org/officeDocument/2006/relationships/hyperlink" Target="https://twitter.com/gfusfus/status/1501215206130782216" TargetMode="External"/><Relationship Id="rId7123" Type="http://schemas.openxmlformats.org/officeDocument/2006/relationships/hyperlink" Target="https://twitter.com/no_itsmyturn/status/1501209927918010374" TargetMode="External"/><Relationship Id="rId7129" Type="http://schemas.openxmlformats.org/officeDocument/2006/relationships/hyperlink" Target="https://bellingcat-archive.nyc3.cdn.digitaloceanspaces.com/Ukraine_Witness_Datasheet/Worksheet/youtube_dl_7IUQVTaRY6I.webm" TargetMode="External"/><Relationship Id="rId7128" Type="http://schemas.openxmlformats.org/officeDocument/2006/relationships/hyperlink" Target="https://www.youtube.com/watch?v=7IUQVTaRY6I" TargetMode="External"/><Relationship Id="rId7127" Type="http://schemas.openxmlformats.org/officeDocument/2006/relationships/hyperlink" Target="https://bellingcat-archive.nyc3.cdn.digitaloceanspaces.com/Ukraine_Witness_Datasheet/Worksheet/youtube_dl_1501209927918010374/index.html" TargetMode="External"/><Relationship Id="rId2302" Type="http://schemas.openxmlformats.org/officeDocument/2006/relationships/hyperlink" Target="https://twitter.com/Mike_Eckel/status/1496356475702235141?s=20&amp;t=bmoU-TFYLQDvwn7RjrOVcA" TargetMode="External"/><Relationship Id="rId3634" Type="http://schemas.openxmlformats.org/officeDocument/2006/relationships/hyperlink" Target="https://bellingcat-archive.nyc3.cdn.digitaloceanspaces.com/Ukraine_Witness_Datasheet/Worksheet/telegram_105e99f3c7.mp4" TargetMode="External"/><Relationship Id="rId4965" Type="http://schemas.openxmlformats.org/officeDocument/2006/relationships/hyperlink" Target="https://t.me/kharkov_now/10291" TargetMode="External"/><Relationship Id="rId2303" Type="http://schemas.openxmlformats.org/officeDocument/2006/relationships/hyperlink" Target="https://bellingcat-archive.nyc3.cdn.digitaloceanspaces.com/Ukraine_Witness_Datasheet/Worksheet/twitter__Mike_Eckel_status_1496356475702235141.html" TargetMode="External"/><Relationship Id="rId3633" Type="http://schemas.openxmlformats.org/officeDocument/2006/relationships/hyperlink" Target="https://t.me/hueviykharkov/46417" TargetMode="External"/><Relationship Id="rId4964" Type="http://schemas.openxmlformats.org/officeDocument/2006/relationships/hyperlink" Target="https://bellingcat-archive.nyc3.cdn.digitaloceanspaces.com/Ukraine_Witness_Datasheet/Worksheet/telegram__hueviykharkov_475162022-03-02T15:36:48.722809.png" TargetMode="External"/><Relationship Id="rId2304" Type="http://schemas.openxmlformats.org/officeDocument/2006/relationships/hyperlink" Target="https://bellingcat-archive.nyc3.cdn.digitaloceanspaces.com/Ukraine_Witness_Datasheet/Worksheet/twitter__Mike_Eckel_status_14963564757022351412022-02-25T13:19:24.693058.png" TargetMode="External"/><Relationship Id="rId3636" Type="http://schemas.openxmlformats.org/officeDocument/2006/relationships/hyperlink" Target="https://bellingcat-archive.nyc3.cdn.digitaloceanspaces.com/Ukraine_Witness_Datasheet/Worksheet/telegram_105e99f3c7/index.html" TargetMode="External"/><Relationship Id="rId4967" Type="http://schemas.openxmlformats.org/officeDocument/2006/relationships/hyperlink" Target="https://bellingcat-archive.nyc3.cdn.digitaloceanspaces.com/Ukraine_Witness_Datasheet/Worksheet/telegram__kharkov_now_102912022-03-02T16:05:09.508762.png" TargetMode="External"/><Relationship Id="rId2305" Type="http://schemas.openxmlformats.org/officeDocument/2006/relationships/hyperlink" Target="https://twitter.com/Mike_Eckel/status/1496357210527522817?s=20&amp;t=bmoU-TFYLQDvwn7RjrOVcA" TargetMode="External"/><Relationship Id="rId3635" Type="http://schemas.openxmlformats.org/officeDocument/2006/relationships/hyperlink" Target="https://bellingcat-archive.nyc3.cdn.digitaloceanspaces.com/Ukraine_Witness_Datasheet/Worksheet/telegram__hueviykharkov_464172022-02-27T13:18:56.801861.png" TargetMode="External"/><Relationship Id="rId4966" Type="http://schemas.openxmlformats.org/officeDocument/2006/relationships/hyperlink" Target="https://bellingcat-archive.nyc3.cdn.digitaloceanspaces.com/Ukraine_Witness_Datasheet/Worksheet/telegram__kharkov_now_10291.html" TargetMode="External"/><Relationship Id="rId2306" Type="http://schemas.openxmlformats.org/officeDocument/2006/relationships/hyperlink" Target="https://bellingcat-archive.nyc3.cdn.digitaloceanspaces.com/Ukraine_Witness_Datasheet/Worksheet/twitter__Mike_Eckel_status_1496357210527522817.html" TargetMode="External"/><Relationship Id="rId3638" Type="http://schemas.openxmlformats.org/officeDocument/2006/relationships/hyperlink" Target="https://twitter.com/XyKyiv/status/1497856583040000000?s=20&amp;t=pgyMuu7fv3KIdhg1WGlDHQ" TargetMode="External"/><Relationship Id="rId4969" Type="http://schemas.openxmlformats.org/officeDocument/2006/relationships/hyperlink" Target="https://bellingcat-archive.nyc3.cdn.digitaloceanspaces.com/Ukraine_Witness_Datasheet/Worksheet/twitter__nexta_tv_status_1498994384880209925.html" TargetMode="External"/><Relationship Id="rId2307" Type="http://schemas.openxmlformats.org/officeDocument/2006/relationships/hyperlink" Target="https://bellingcat-archive.nyc3.cdn.digitaloceanspaces.com/Ukraine_Witness_Datasheet/Worksheet/twitter__Mike_Eckel_status_14963572105275228172022-02-25T13:19:05.161262.png" TargetMode="External"/><Relationship Id="rId3637" Type="http://schemas.openxmlformats.org/officeDocument/2006/relationships/hyperlink" Target="https://t.me/hueviykharkov/46417" TargetMode="External"/><Relationship Id="rId4968" Type="http://schemas.openxmlformats.org/officeDocument/2006/relationships/hyperlink" Target="https://twitter.com/nexta_tv/status/1498994384880209925" TargetMode="External"/><Relationship Id="rId2308" Type="http://schemas.openxmlformats.org/officeDocument/2006/relationships/hyperlink" Target="https://twitter.com/Mike_Eckel/status/1496357739248955397?s=20&amp;t=bmoU-TFYLQDvwn7RjrOVcA" TargetMode="External"/><Relationship Id="rId2309" Type="http://schemas.openxmlformats.org/officeDocument/2006/relationships/hyperlink" Target="https://bellingcat-archive.nyc3.cdn.digitaloceanspaces.com/Ukraine_Witness_Datasheet/Worksheet/twitter__Mike_Eckel_status_1496357739248955397.html" TargetMode="External"/><Relationship Id="rId3639" Type="http://schemas.openxmlformats.org/officeDocument/2006/relationships/hyperlink" Target="https://bellingcat-archive.nyc3.cdn.digitaloceanspaces.com/Ukraine_Witness_Datasheet/Worksheet/youtube_dl_1497856583040000000.mp4" TargetMode="External"/><Relationship Id="rId3630" Type="http://schemas.openxmlformats.org/officeDocument/2006/relationships/hyperlink" Target="https://bellingcat-archive.nyc3.cdn.digitaloceanspaces.com/Ukraine_Witness_Datasheet/Worksheet/youtube_dl_1497459660357574660.mp4" TargetMode="External"/><Relationship Id="rId4961" Type="http://schemas.openxmlformats.org/officeDocument/2006/relationships/hyperlink" Target="https://bellingcat-archive.nyc3.cdn.digitaloceanspaces.com/Ukraine_Witness_Datasheet/Worksheet/telegram__hueviykharkov_475182022-03-02T15:36:40.708991.png" TargetMode="External"/><Relationship Id="rId4960" Type="http://schemas.openxmlformats.org/officeDocument/2006/relationships/hyperlink" Target="https://bellingcat-archive.nyc3.cdn.digitaloceanspaces.com/Ukraine_Witness_Datasheet/Worksheet/telegram__hueviykharkov_47518.html" TargetMode="External"/><Relationship Id="rId2300" Type="http://schemas.openxmlformats.org/officeDocument/2006/relationships/hyperlink" Target="https://bellingcat-archive.nyc3.cdn.digitaloceanspaces.com/Ukraine_Witness_Datasheet/Worksheet/youtube_dl__GirkinGirkin_status_14964192889320448002022-02-25T13:19:43.246077.png" TargetMode="External"/><Relationship Id="rId3632" Type="http://schemas.openxmlformats.org/officeDocument/2006/relationships/hyperlink" Target="https://bellingcat-archive.nyc3.cdn.digitaloceanspaces.com/Ukraine_Witness_Datasheet/Worksheet/youtube_dl_1497459660357574660/index.html" TargetMode="External"/><Relationship Id="rId4963" Type="http://schemas.openxmlformats.org/officeDocument/2006/relationships/hyperlink" Target="https://bellingcat-archive.nyc3.cdn.digitaloceanspaces.com/Ukraine_Witness_Datasheet/Worksheet/telegram__hueviykharkov_47516.html" TargetMode="External"/><Relationship Id="rId2301" Type="http://schemas.openxmlformats.org/officeDocument/2006/relationships/hyperlink" Target="https://bellingcat-archive.nyc3.cdn.digitaloceanspaces.com/Ukraine_Witness_Datasheet/Worksheet/youtube_dl_1496419288932044800/index.html" TargetMode="External"/><Relationship Id="rId3631" Type="http://schemas.openxmlformats.org/officeDocument/2006/relationships/hyperlink" Target="https://bellingcat-archive.nyc3.cdn.digitaloceanspaces.com/Ukraine_Witness_Datasheet/Worksheet/youtube_dl__christogrozev_status_14974596603575746602022-02-27T13:18:45.171769.png" TargetMode="External"/><Relationship Id="rId4962" Type="http://schemas.openxmlformats.org/officeDocument/2006/relationships/hyperlink" Target="https://t.me/hueviykharkov/47516" TargetMode="External"/><Relationship Id="rId3623" Type="http://schemas.openxmlformats.org/officeDocument/2006/relationships/hyperlink" Target="https://bellingcat-archive.nyc3.cdn.digitaloceanspaces.com/Ukraine_Witness_Datasheet/Worksheet/telegram__nexta_live_176102022-02-27T13:17:53.666513.png" TargetMode="External"/><Relationship Id="rId4954" Type="http://schemas.openxmlformats.org/officeDocument/2006/relationships/hyperlink" Target="https://bellingcat-archive.nyc3.cdn.digitaloceanspaces.com/Ukraine_Witness_Datasheet/Worksheet/telegram_0f870acdf8/index.html" TargetMode="External"/><Relationship Id="rId3622" Type="http://schemas.openxmlformats.org/officeDocument/2006/relationships/hyperlink" Target="https://bellingcat-archive.nyc3.cdn.digitaloceanspaces.com/Ukraine_Witness_Datasheet/Worksheet/telegram_ccfb9ab5f8.mp4" TargetMode="External"/><Relationship Id="rId4953" Type="http://schemas.openxmlformats.org/officeDocument/2006/relationships/hyperlink" Target="https://bellingcat-archive.nyc3.cdn.digitaloceanspaces.com/Ukraine_Witness_Datasheet/Worksheet/telegram__hueviykharkov_474062022-03-02T15:34:38.277304.png" TargetMode="External"/><Relationship Id="rId3625" Type="http://schemas.openxmlformats.org/officeDocument/2006/relationships/hyperlink" Target="https://t.me/nexta_live/17610" TargetMode="External"/><Relationship Id="rId4956" Type="http://schemas.openxmlformats.org/officeDocument/2006/relationships/hyperlink" Target="https://t.me/livekharkov/28607" TargetMode="External"/><Relationship Id="rId3624" Type="http://schemas.openxmlformats.org/officeDocument/2006/relationships/hyperlink" Target="https://bellingcat-archive.nyc3.cdn.digitaloceanspaces.com/Ukraine_Witness_Datasheet/Worksheet/telegram_ccfb9ab5f8/index.html" TargetMode="External"/><Relationship Id="rId4955" Type="http://schemas.openxmlformats.org/officeDocument/2006/relationships/hyperlink" Target="https://t.me/hueviykharkov/47406" TargetMode="External"/><Relationship Id="rId3627" Type="http://schemas.openxmlformats.org/officeDocument/2006/relationships/hyperlink" Target="https://bellingcat-archive.nyc3.cdn.digitaloceanspaces.com/Ukraine_Witness_Datasheet/Worksheet/telegram__Pravda_Gerashchenko_404.html" TargetMode="External"/><Relationship Id="rId4958" Type="http://schemas.openxmlformats.org/officeDocument/2006/relationships/hyperlink" Target="https://bellingcat-archive.nyc3.cdn.digitaloceanspaces.com/Ukraine_Witness_Datasheet/Worksheet/telegram__livekharkov_286072022-03-02T15:36:32.317995.png" TargetMode="External"/><Relationship Id="rId3626" Type="http://schemas.openxmlformats.org/officeDocument/2006/relationships/hyperlink" Target="https://t.me/Pravda_Gerashchenko/404" TargetMode="External"/><Relationship Id="rId4957" Type="http://schemas.openxmlformats.org/officeDocument/2006/relationships/hyperlink" Target="https://bellingcat-archive.nyc3.cdn.digitaloceanspaces.com/Ukraine_Witness_Datasheet/Worksheet/telegram__livekharkov_28607.html" TargetMode="External"/><Relationship Id="rId3629" Type="http://schemas.openxmlformats.org/officeDocument/2006/relationships/hyperlink" Target="https://twitter.com/christogrozev/status/1497459660357574660" TargetMode="External"/><Relationship Id="rId3628" Type="http://schemas.openxmlformats.org/officeDocument/2006/relationships/hyperlink" Target="https://bellingcat-archive.nyc3.cdn.digitaloceanspaces.com/Ukraine_Witness_Datasheet/Worksheet/telegram__Pravda_Gerashchenko_4042022-02-27T13:18:35.423042.png" TargetMode="External"/><Relationship Id="rId4959" Type="http://schemas.openxmlformats.org/officeDocument/2006/relationships/hyperlink" Target="https://t.me/hueviykharkov/47518" TargetMode="External"/><Relationship Id="rId4950" Type="http://schemas.openxmlformats.org/officeDocument/2006/relationships/hyperlink" Target="https://bellingcat-archive.nyc3.cdn.digitaloceanspaces.com/Ukraine_Witness_Datasheet/Worksheet/telegram__hueviykharkov_474242022-03-02T15:34:29.126405.png" TargetMode="External"/><Relationship Id="rId3621" Type="http://schemas.openxmlformats.org/officeDocument/2006/relationships/hyperlink" Target="https://t.me/nexta_live/17610" TargetMode="External"/><Relationship Id="rId4952" Type="http://schemas.openxmlformats.org/officeDocument/2006/relationships/hyperlink" Target="https://bellingcat-archive.nyc3.cdn.digitaloceanspaces.com/Ukraine_Witness_Datasheet/Worksheet/telegram_0f870acdf8.mp4" TargetMode="External"/><Relationship Id="rId3620" Type="http://schemas.openxmlformats.org/officeDocument/2006/relationships/hyperlink" Target="https://bellingcat-archive.nyc3.cdn.digitaloceanspaces.com/Ukraine_Witness_Datasheet/Worksheet/telegram__Pravda_Gerashchenko_3922022-02-27T13:17:36.786972.png" TargetMode="External"/><Relationship Id="rId4951" Type="http://schemas.openxmlformats.org/officeDocument/2006/relationships/hyperlink" Target="https://t.me/hueviykharkov/47406" TargetMode="External"/><Relationship Id="rId2324" Type="http://schemas.openxmlformats.org/officeDocument/2006/relationships/hyperlink" Target="https://bellingcat-archive.nyc3.cdn.digitaloceanspaces.com/Ukraine_Witness_Datasheet/Worksheet/twitter__ChristopherJM_status_1494077100650868743.html" TargetMode="External"/><Relationship Id="rId3656" Type="http://schemas.openxmlformats.org/officeDocument/2006/relationships/hyperlink" Target="https://t.me/mariupol/3178" TargetMode="External"/><Relationship Id="rId4987" Type="http://schemas.openxmlformats.org/officeDocument/2006/relationships/hyperlink" Target="https://bellingcat-archive.nyc3.cdn.digitaloceanspaces.com/Ukraine_Witness_Datasheet/Worksheet/youtube_dl_1499049012493570049.mp4" TargetMode="External"/><Relationship Id="rId2325" Type="http://schemas.openxmlformats.org/officeDocument/2006/relationships/hyperlink" Target="https://bellingcat-archive.nyc3.cdn.digitaloceanspaces.com/Ukraine_Witness_Datasheet/Worksheet/twitter__ChristopherJM_status_14940771006508687432022-02-25T13:17:16.930940.png" TargetMode="External"/><Relationship Id="rId3655" Type="http://schemas.openxmlformats.org/officeDocument/2006/relationships/hyperlink" Target="https://bellingcat-archive.nyc3.cdn.digitaloceanspaces.com/Ukraine_Witness_Datasheet/Worksheet/youtube_dl_1497574553677176834/index.html" TargetMode="External"/><Relationship Id="rId4986" Type="http://schemas.openxmlformats.org/officeDocument/2006/relationships/hyperlink" Target="https://twitter.com/GirkinGirkin/status/1499049012493570049" TargetMode="External"/><Relationship Id="rId2326" Type="http://schemas.openxmlformats.org/officeDocument/2006/relationships/hyperlink" Target="https://twitter.com/ChristopherJM/status/1493481608116117506?s=20&amp;t=d5Ps2BRE7GJHztIqDU_zGQ" TargetMode="External"/><Relationship Id="rId3658" Type="http://schemas.openxmlformats.org/officeDocument/2006/relationships/hyperlink" Target="https://bellingcat-archive.nyc3.cdn.digitaloceanspaces.com/Ukraine_Witness_Datasheet/Worksheet/telegram__mariupol_31782022-02-27T13:20:36.868734.png" TargetMode="External"/><Relationship Id="rId4989" Type="http://schemas.openxmlformats.org/officeDocument/2006/relationships/hyperlink" Target="https://bellingcat-archive.nyc3.cdn.digitaloceanspaces.com/Ukraine_Witness_Datasheet/Worksheet/youtube_dl_1499049012493570049/index.html" TargetMode="External"/><Relationship Id="rId2327" Type="http://schemas.openxmlformats.org/officeDocument/2006/relationships/hyperlink" Target="https://bellingcat-archive.nyc3.cdn.digitaloceanspaces.com/Ukraine_Witness_Datasheet/Worksheet/twitter__ChristopherJM_status_1493481608116117506.html" TargetMode="External"/><Relationship Id="rId3657" Type="http://schemas.openxmlformats.org/officeDocument/2006/relationships/hyperlink" Target="https://bellingcat-archive.nyc3.cdn.digitaloceanspaces.com/Ukraine_Witness_Datasheet/Worksheet/telegram_e618902fbe.mp4" TargetMode="External"/><Relationship Id="rId4988" Type="http://schemas.openxmlformats.org/officeDocument/2006/relationships/hyperlink" Target="https://bellingcat-archive.nyc3.cdn.digitaloceanspaces.com/Ukraine_Witness_Datasheet/Worksheet/youtube_dl__GirkinGirkin_status_14990490124935700492022-03-02T16:06:30.850981.png" TargetMode="External"/><Relationship Id="rId2328" Type="http://schemas.openxmlformats.org/officeDocument/2006/relationships/hyperlink" Target="https://bellingcat-archive.nyc3.cdn.digitaloceanspaces.com/Ukraine_Witness_Datasheet/Worksheet/twitter__ChristopherJM_status_14934816081161175062022-02-25T13:17:00.436376.png" TargetMode="External"/><Relationship Id="rId2329" Type="http://schemas.openxmlformats.org/officeDocument/2006/relationships/hyperlink" Target="https://twitter.com/GirkinGirkin/status/1496479572333842439" TargetMode="External"/><Relationship Id="rId3659" Type="http://schemas.openxmlformats.org/officeDocument/2006/relationships/hyperlink" Target="https://bellingcat-archive.nyc3.cdn.digitaloceanspaces.com/Ukraine_Witness_Datasheet/Worksheet/telegram_e618902fbe/index.html" TargetMode="External"/><Relationship Id="rId3650" Type="http://schemas.openxmlformats.org/officeDocument/2006/relationships/hyperlink" Target="https://bellingcat-archive.nyc3.cdn.digitaloceanspaces.com/Ukraine_Witness_Datasheet/Worksheet/telegram_b8b5542694/index.html" TargetMode="External"/><Relationship Id="rId4981" Type="http://schemas.openxmlformats.org/officeDocument/2006/relationships/hyperlink" Target="https://bellingcat-archive.nyc3.cdn.digitaloceanspaces.com/Ukraine_Witness_Datasheet/Worksheet/youtube_dl_1499047434567180289/index.html" TargetMode="External"/><Relationship Id="rId4980" Type="http://schemas.openxmlformats.org/officeDocument/2006/relationships/hyperlink" Target="https://bellingcat-archive.nyc3.cdn.digitaloceanspaces.com/Ukraine_Witness_Datasheet/Worksheet/youtube_dl__nexta_tv_status_14990474345671802892022-03-02T16:06:01.213396.png" TargetMode="External"/><Relationship Id="rId2320" Type="http://schemas.openxmlformats.org/officeDocument/2006/relationships/hyperlink" Target="https://twitter.com/ChristopherJM/status/1493478759143559173?s=20&amp;t=d5Ps2BRE7GJHztIqDU_zGQ" TargetMode="External"/><Relationship Id="rId3652" Type="http://schemas.openxmlformats.org/officeDocument/2006/relationships/hyperlink" Target="https://twitter.com/MarQs__/status/1497574553677176834?s=20&amp;t=NFKCIYp_n2iFy6Kbc5Du_w" TargetMode="External"/><Relationship Id="rId4983" Type="http://schemas.openxmlformats.org/officeDocument/2006/relationships/hyperlink" Target="https://bellingcat-archive.nyc3.cdn.digitaloceanspaces.com/Ukraine_Witness_Datasheet/Worksheet/youtube_dl_1498960682850607105.mp4" TargetMode="External"/><Relationship Id="rId2321" Type="http://schemas.openxmlformats.org/officeDocument/2006/relationships/hyperlink" Target="https://bellingcat-archive.nyc3.cdn.digitaloceanspaces.com/Ukraine_Witness_Datasheet/Worksheet/twitter__ChristopherJM_status_1493478759143559173.html" TargetMode="External"/><Relationship Id="rId3651" Type="http://schemas.openxmlformats.org/officeDocument/2006/relationships/hyperlink" Target="https://t.me/nexta_live/17717" TargetMode="External"/><Relationship Id="rId4982" Type="http://schemas.openxmlformats.org/officeDocument/2006/relationships/hyperlink" Target="https://t.me/HersonDN/2712" TargetMode="External"/><Relationship Id="rId2322" Type="http://schemas.openxmlformats.org/officeDocument/2006/relationships/hyperlink" Target="https://bellingcat-archive.nyc3.cdn.digitaloceanspaces.com/Ukraine_Witness_Datasheet/Worksheet/twitter__ChristopherJM_status_14934787591435591732022-02-25T13:17:33.963559.png" TargetMode="External"/><Relationship Id="rId3654" Type="http://schemas.openxmlformats.org/officeDocument/2006/relationships/hyperlink" Target="https://bellingcat-archive.nyc3.cdn.digitaloceanspaces.com/Ukraine_Witness_Datasheet/Worksheet/youtube_dl__MarQs___status_14975745536771768342022-02-27T13:20:25.054514.png" TargetMode="External"/><Relationship Id="rId4985" Type="http://schemas.openxmlformats.org/officeDocument/2006/relationships/hyperlink" Target="https://bellingcat-archive.nyc3.cdn.digitaloceanspaces.com/Ukraine_Witness_Datasheet/Worksheet/youtube_dl_1498960682850607105/index.html" TargetMode="External"/><Relationship Id="rId2323" Type="http://schemas.openxmlformats.org/officeDocument/2006/relationships/hyperlink" Target="https://twitter.com/ChristopherJM/status/1494077100650868743?s=20&amp;t=d5Ps2BRE7GJHztIqDU_zGQ" TargetMode="External"/><Relationship Id="rId3653" Type="http://schemas.openxmlformats.org/officeDocument/2006/relationships/hyperlink" Target="https://bellingcat-archive.nyc3.cdn.digitaloceanspaces.com/Ukraine_Witness_Datasheet/Worksheet/youtube_dl_1497574553677176834.mp4" TargetMode="External"/><Relationship Id="rId4984" Type="http://schemas.openxmlformats.org/officeDocument/2006/relationships/hyperlink" Target="https://bellingcat-archive.nyc3.cdn.digitaloceanspaces.com/Ukraine_Witness_Datasheet/Worksheet/youtube_dl__MarQs___status_14989606828506071052022-03-02T16:06:15.669179.png" TargetMode="External"/><Relationship Id="rId2313" Type="http://schemas.openxmlformats.org/officeDocument/2006/relationships/hyperlink" Target="https://bellingcat-archive.nyc3.cdn.digitaloceanspaces.com/Ukraine_Witness_Datasheet/Worksheet/twitter__JackDetsch_status_14962746797487759362022-02-25T13:18:28.657255.png" TargetMode="External"/><Relationship Id="rId3645" Type="http://schemas.openxmlformats.org/officeDocument/2006/relationships/hyperlink" Target="https://bellingcat-archive.nyc3.cdn.digitaloceanspaces.com/Ukraine_Witness_Datasheet/Worksheet/telegram_b21194059f/index.html" TargetMode="External"/><Relationship Id="rId4976" Type="http://schemas.openxmlformats.org/officeDocument/2006/relationships/hyperlink" Target="https://bellingcat-archive.nyc3.cdn.digitaloceanspaces.com/Ukraine_Witness_Datasheet/Worksheet/youtube_dl__nexta_tv_status_14989712070514974752022-03-02T16:05:44.281873.png" TargetMode="External"/><Relationship Id="rId2314" Type="http://schemas.openxmlformats.org/officeDocument/2006/relationships/hyperlink" Target="https://twitter.com/JackDetsch/status/1495532423395913733?s=20&amp;t=d5Ps2BRE7GJHztIqDU_zGQ" TargetMode="External"/><Relationship Id="rId3644" Type="http://schemas.openxmlformats.org/officeDocument/2006/relationships/hyperlink" Target="https://bellingcat-archive.nyc3.cdn.digitaloceanspaces.com/Ukraine_Witness_Datasheet/Worksheet/telegram__nexta_live_177112022-02-27T13:19:35.854846.png" TargetMode="External"/><Relationship Id="rId4975" Type="http://schemas.openxmlformats.org/officeDocument/2006/relationships/hyperlink" Target="https://bellingcat-archive.nyc3.cdn.digitaloceanspaces.com/Ukraine_Witness_Datasheet/Worksheet/youtube_dl_1498971207051497475.mp4" TargetMode="External"/><Relationship Id="rId2315" Type="http://schemas.openxmlformats.org/officeDocument/2006/relationships/hyperlink" Target="https://bellingcat-archive.nyc3.cdn.digitaloceanspaces.com/Ukraine_Witness_Datasheet/Worksheet/twitter__JackDetsch_status_1495532423395913733.html" TargetMode="External"/><Relationship Id="rId3647" Type="http://schemas.openxmlformats.org/officeDocument/2006/relationships/hyperlink" Target="https://t.me/nexta_live/17717" TargetMode="External"/><Relationship Id="rId4978" Type="http://schemas.openxmlformats.org/officeDocument/2006/relationships/hyperlink" Target="https://twitter.com/nexta_tv/status/1499047434567180289" TargetMode="External"/><Relationship Id="rId2316" Type="http://schemas.openxmlformats.org/officeDocument/2006/relationships/hyperlink" Target="https://bellingcat-archive.nyc3.cdn.digitaloceanspaces.com/Ukraine_Witness_Datasheet/Worksheet/twitter__JackDetsch_status_14955324233959137332022-02-25T13:18:08.938286.png" TargetMode="External"/><Relationship Id="rId3646" Type="http://schemas.openxmlformats.org/officeDocument/2006/relationships/hyperlink" Target="https://t.me/nexta_live/17711" TargetMode="External"/><Relationship Id="rId4977" Type="http://schemas.openxmlformats.org/officeDocument/2006/relationships/hyperlink" Target="https://bellingcat-archive.nyc3.cdn.digitaloceanspaces.com/Ukraine_Witness_Datasheet/Worksheet/youtube_dl_1498971207051497475/index.html" TargetMode="External"/><Relationship Id="rId2317" Type="http://schemas.openxmlformats.org/officeDocument/2006/relationships/hyperlink" Target="https://twitter.com/ChristopherJM/status/1493477624525594630?s=20&amp;t=d5Ps2BRE7GJHztIqDU_zGQ" TargetMode="External"/><Relationship Id="rId3649" Type="http://schemas.openxmlformats.org/officeDocument/2006/relationships/hyperlink" Target="https://bellingcat-archive.nyc3.cdn.digitaloceanspaces.com/Ukraine_Witness_Datasheet/Worksheet/telegram__nexta_live_177172022-02-27T13:20:00.207089.png" TargetMode="External"/><Relationship Id="rId2318" Type="http://schemas.openxmlformats.org/officeDocument/2006/relationships/hyperlink" Target="https://bellingcat-archive.nyc3.cdn.digitaloceanspaces.com/Ukraine_Witness_Datasheet/Worksheet/twitter__ChristopherJM_status_1493477624525594630.html" TargetMode="External"/><Relationship Id="rId3648" Type="http://schemas.openxmlformats.org/officeDocument/2006/relationships/hyperlink" Target="https://bellingcat-archive.nyc3.cdn.digitaloceanspaces.com/Ukraine_Witness_Datasheet/Worksheet/telegram_b8b5542694.mp4" TargetMode="External"/><Relationship Id="rId4979" Type="http://schemas.openxmlformats.org/officeDocument/2006/relationships/hyperlink" Target="https://bellingcat-archive.nyc3.cdn.digitaloceanspaces.com/Ukraine_Witness_Datasheet/Worksheet/youtube_dl_1499047434567180289.mp4" TargetMode="External"/><Relationship Id="rId2319" Type="http://schemas.openxmlformats.org/officeDocument/2006/relationships/hyperlink" Target="https://bellingcat-archive.nyc3.cdn.digitaloceanspaces.com/Ukraine_Witness_Datasheet/Worksheet/twitter__ChristopherJM_status_14934776245255946302022-02-25T13:17:55.251710.png" TargetMode="External"/><Relationship Id="rId4970" Type="http://schemas.openxmlformats.org/officeDocument/2006/relationships/hyperlink" Target="https://bellingcat-archive.nyc3.cdn.digitaloceanspaces.com/Ukraine_Witness_Datasheet/Worksheet/twitter__nexta_tv_status_14989943848802099252022-03-02T16:05:22.967064.png" TargetMode="External"/><Relationship Id="rId3641" Type="http://schemas.openxmlformats.org/officeDocument/2006/relationships/hyperlink" Target="https://bellingcat-archive.nyc3.cdn.digitaloceanspaces.com/Ukraine_Witness_Datasheet/Worksheet/youtube_dl_1497856583040000000/index.html" TargetMode="External"/><Relationship Id="rId4972" Type="http://schemas.openxmlformats.org/officeDocument/2006/relationships/hyperlink" Target="https://bellingcat-archive.nyc3.cdn.digitaloceanspaces.com/Ukraine_Witness_Datasheet/Worksheet/twitter__nexta_tv_status_1498993144876212227.html" TargetMode="External"/><Relationship Id="rId2310" Type="http://schemas.openxmlformats.org/officeDocument/2006/relationships/hyperlink" Target="https://bellingcat-archive.nyc3.cdn.digitaloceanspaces.com/Ukraine_Witness_Datasheet/Worksheet/twitter__Mike_Eckel_status_14963577392489553972022-02-25T13:18:47.398436.png" TargetMode="External"/><Relationship Id="rId3640" Type="http://schemas.openxmlformats.org/officeDocument/2006/relationships/hyperlink" Target="https://bellingcat-archive.nyc3.cdn.digitaloceanspaces.com/Ukraine_Witness_Datasheet/Worksheet/youtube_dl__XyKyiv_status_14978565830400000002022-02-27T13:19:24.402344.png" TargetMode="External"/><Relationship Id="rId4971" Type="http://schemas.openxmlformats.org/officeDocument/2006/relationships/hyperlink" Target="https://twitter.com/nexta_tv/status/1498993144876212227" TargetMode="External"/><Relationship Id="rId2311" Type="http://schemas.openxmlformats.org/officeDocument/2006/relationships/hyperlink" Target="https://twitter.com/JackDetsch/status/1496274679748775936?s=20&amp;t=bmoU-TFYLQDvwn7RjrOVcA" TargetMode="External"/><Relationship Id="rId3643" Type="http://schemas.openxmlformats.org/officeDocument/2006/relationships/hyperlink" Target="https://bellingcat-archive.nyc3.cdn.digitaloceanspaces.com/Ukraine_Witness_Datasheet/Worksheet/telegram_b21194059f.mp4" TargetMode="External"/><Relationship Id="rId4974" Type="http://schemas.openxmlformats.org/officeDocument/2006/relationships/hyperlink" Target="https://twitter.com/nexta_tv/status/1498971207051497475" TargetMode="External"/><Relationship Id="rId2312" Type="http://schemas.openxmlformats.org/officeDocument/2006/relationships/hyperlink" Target="https://bellingcat-archive.nyc3.cdn.digitaloceanspaces.com/Ukraine_Witness_Datasheet/Worksheet/twitter__JackDetsch_status_1496274679748775936.html" TargetMode="External"/><Relationship Id="rId3642" Type="http://schemas.openxmlformats.org/officeDocument/2006/relationships/hyperlink" Target="https://t.me/nexta_live/17711" TargetMode="External"/><Relationship Id="rId4973" Type="http://schemas.openxmlformats.org/officeDocument/2006/relationships/hyperlink" Target="https://bellingcat-archive.nyc3.cdn.digitaloceanspaces.com/Ukraine_Witness_Datasheet/Worksheet/twitter__nexta_tv_status_14989931448762122272022-03-02T16:05:32.965497.png" TargetMode="External"/><Relationship Id="rId4921" Type="http://schemas.openxmlformats.org/officeDocument/2006/relationships/hyperlink" Target="https://bellingcat-archive.nyc3.cdn.digitaloceanspaces.com/Ukraine_Witness_Datasheet/Worksheet/twitter__MarQs___status_1499026120490078212.html" TargetMode="External"/><Relationship Id="rId4920" Type="http://schemas.openxmlformats.org/officeDocument/2006/relationships/hyperlink" Target="https://www.google.com/maps/@50.6437502,29.9331862,3a,90y,199.27h,95.74t/data=!3m8!1e1!3m6!1sAF1QipMNIoxNzelliV986lwkHZGhmm6dxvjBMexf8L1P!2e10!3e11!6shttps:%2F%2Flh5.googleusercontent.com%2Fp%2FAF1QipMNIoxNzelliV986lwkHZGhmm6dxvjBMexf8L1P%3Dw203-h100-k-no-pi0-ya63.853607-ro0-fo100!7i6080!8i3040" TargetMode="External"/><Relationship Id="rId4923" Type="http://schemas.openxmlformats.org/officeDocument/2006/relationships/hyperlink" Target="https://twitter.com/HromadskeUA/status/1498641421183721477?t=wIT-q_wv2BtWSb_68yIN5A" TargetMode="External"/><Relationship Id="rId4922" Type="http://schemas.openxmlformats.org/officeDocument/2006/relationships/hyperlink" Target="https://bellingcat-archive.nyc3.cdn.digitaloceanspaces.com/Ukraine_Witness_Datasheet/Worksheet/twitter__MarQs___status_14990261204900782122022-03-02T14:38:28.994426.png" TargetMode="External"/><Relationship Id="rId4925" Type="http://schemas.openxmlformats.org/officeDocument/2006/relationships/hyperlink" Target="https://bellingcat-archive.nyc3.cdn.digitaloceanspaces.com/Ukraine_Witness_Datasheet/Worksheet/youtube_dl__HromadskeUA_status_14986414211837214772022-03-02T15:32:07.336903.png" TargetMode="External"/><Relationship Id="rId4924" Type="http://schemas.openxmlformats.org/officeDocument/2006/relationships/hyperlink" Target="https://bellingcat-archive.nyc3.cdn.digitaloceanspaces.com/Ukraine_Witness_Datasheet/Worksheet/youtube_dl_1498641421183721477.mp4" TargetMode="External"/><Relationship Id="rId4927" Type="http://schemas.openxmlformats.org/officeDocument/2006/relationships/hyperlink" Target="https://twitter.com/MarQs__/status/1498632893568065541?s=20&amp;t=YezQ6cWqbRHCl9P3C5tHRw" TargetMode="External"/><Relationship Id="rId4926" Type="http://schemas.openxmlformats.org/officeDocument/2006/relationships/hyperlink" Target="https://bellingcat-archive.nyc3.cdn.digitaloceanspaces.com/Ukraine_Witness_Datasheet/Worksheet/youtube_dl_1498641421183721477/index.html" TargetMode="External"/><Relationship Id="rId4929" Type="http://schemas.openxmlformats.org/officeDocument/2006/relationships/hyperlink" Target="https://bellingcat-archive.nyc3.cdn.digitaloceanspaces.com/Ukraine_Witness_Datasheet/Worksheet/youtube_dl_1498632893568065541.mp4" TargetMode="External"/><Relationship Id="rId4928" Type="http://schemas.openxmlformats.org/officeDocument/2006/relationships/hyperlink" Target="https://imgur.com/a/fMCX4TF" TargetMode="External"/><Relationship Id="rId7195" Type="http://schemas.openxmlformats.org/officeDocument/2006/relationships/hyperlink" Target="https://twitter.com/aliev_aliev/status/1500434615542161411" TargetMode="External"/><Relationship Id="rId7194" Type="http://schemas.openxmlformats.org/officeDocument/2006/relationships/hyperlink" Target="https://bellingcat-archive.nyc3.cdn.digitaloceanspaces.com/Ukraine_Witness_Datasheet/Worksheet/telegram__hueviykharkov_484632022-03-08T16:43:21.794930.png" TargetMode="External"/><Relationship Id="rId7193" Type="http://schemas.openxmlformats.org/officeDocument/2006/relationships/hyperlink" Target="https://bellingcat-archive.nyc3.cdn.digitaloceanspaces.com/Ukraine_Witness_Datasheet/Worksheet/telegram__hueviykharkov_48463.html" TargetMode="External"/><Relationship Id="rId7192" Type="http://schemas.openxmlformats.org/officeDocument/2006/relationships/hyperlink" Target="https://t.me/hueviykharkov/48463" TargetMode="External"/><Relationship Id="rId7199" Type="http://schemas.openxmlformats.org/officeDocument/2006/relationships/hyperlink" Target="https://bellingcat-archive.nyc3.cdn.digitaloceanspaces.com/Ukraine_Witness_Datasheet/Worksheet/youtube_dl_1500524057556570119.mp4" TargetMode="External"/><Relationship Id="rId7198" Type="http://schemas.openxmlformats.org/officeDocument/2006/relationships/hyperlink" Target="https://twitter.com/Mila100500/status/1500524057556570119" TargetMode="External"/><Relationship Id="rId7197" Type="http://schemas.openxmlformats.org/officeDocument/2006/relationships/hyperlink" Target="https://bellingcat-archive.nyc3.cdn.digitaloceanspaces.com/Ukraine_Witness_Datasheet/Worksheet/twitter__aliev_aliev_status_15004346155421614112022-03-08T16:43:35.018210.png" TargetMode="External"/><Relationship Id="rId7196" Type="http://schemas.openxmlformats.org/officeDocument/2006/relationships/hyperlink" Target="https://bellingcat-archive.nyc3.cdn.digitaloceanspaces.com/Ukraine_Witness_Datasheet/Worksheet/twitter__aliev_aliev_status_1500434615542161411.html" TargetMode="External"/><Relationship Id="rId4910" Type="http://schemas.openxmlformats.org/officeDocument/2006/relationships/hyperlink" Target="https://twitter.com/HromadskeUA/status/1498641421183721477?t=wIT-q_wv2BtWSb_68yIN5A" TargetMode="External"/><Relationship Id="rId4912" Type="http://schemas.openxmlformats.org/officeDocument/2006/relationships/hyperlink" Target="https://twitter.com/nexta_tv/status/1499025009486045187" TargetMode="External"/><Relationship Id="rId4911" Type="http://schemas.openxmlformats.org/officeDocument/2006/relationships/hyperlink" Target="https://web.archive.org/web/20220302153147/https://twitter.com/HromadskeUA/status/1498641421183721477?t=wIT-q_wv2BtWSb_68yIN5A" TargetMode="External"/><Relationship Id="rId4914" Type="http://schemas.openxmlformats.org/officeDocument/2006/relationships/hyperlink" Target="https://bellingcat-archive.nyc3.cdn.digitaloceanspaces.com/Ukraine_Witness_Datasheet/Worksheet/twitter__nexta_tv_status_14990250094860451872022-03-02T14:38:02.256086.png" TargetMode="External"/><Relationship Id="rId4913" Type="http://schemas.openxmlformats.org/officeDocument/2006/relationships/hyperlink" Target="https://bellingcat-archive.nyc3.cdn.digitaloceanspaces.com/Ukraine_Witness_Datasheet/Worksheet/twitter__nexta_tv_status_1499025009486045187.html" TargetMode="External"/><Relationship Id="rId4916" Type="http://schemas.openxmlformats.org/officeDocument/2006/relationships/hyperlink" Target="https://bellingcat-archive.nyc3.cdn.digitaloceanspaces.com/Ukraine_Witness_Datasheet/Worksheet/youtube_dl_1499026794900602884.mp4" TargetMode="External"/><Relationship Id="rId4915" Type="http://schemas.openxmlformats.org/officeDocument/2006/relationships/hyperlink" Target="https://twitter.com/RALee85/status/1499026794900602884" TargetMode="External"/><Relationship Id="rId4918" Type="http://schemas.openxmlformats.org/officeDocument/2006/relationships/hyperlink" Target="https://bellingcat-archive.nyc3.cdn.digitaloceanspaces.com/Ukraine_Witness_Datasheet/Worksheet/youtube_dl_1499026794900602884/index.html" TargetMode="External"/><Relationship Id="rId4917" Type="http://schemas.openxmlformats.org/officeDocument/2006/relationships/hyperlink" Target="https://bellingcat-archive.nyc3.cdn.digitaloceanspaces.com/Ukraine_Witness_Datasheet/Worksheet/youtube_dl__RALee85_status_14990267949006028842022-03-02T14:38:13.593775.png" TargetMode="External"/><Relationship Id="rId4919" Type="http://schemas.openxmlformats.org/officeDocument/2006/relationships/hyperlink" Target="https://twitter.com/MarQs__/status/1499026120490078212" TargetMode="External"/><Relationship Id="rId7191" Type="http://schemas.openxmlformats.org/officeDocument/2006/relationships/hyperlink" Target="https://t.me/Pravda_Gerashchenko/2171" TargetMode="External"/><Relationship Id="rId7190" Type="http://schemas.openxmlformats.org/officeDocument/2006/relationships/hyperlink" Target="https://bellingcat-archive.nyc3.cdn.digitaloceanspaces.com/Ukraine_Witness_Datasheet/Worksheet/telegram_6c35ee376e/index.html" TargetMode="External"/><Relationship Id="rId7184" Type="http://schemas.openxmlformats.org/officeDocument/2006/relationships/hyperlink" Target="https://t.me/nexta_live/20056" TargetMode="External"/><Relationship Id="rId7183" Type="http://schemas.openxmlformats.org/officeDocument/2006/relationships/hyperlink" Target="https://t.me/Pravda_Gerashchenko/2163" TargetMode="External"/><Relationship Id="rId7182" Type="http://schemas.openxmlformats.org/officeDocument/2006/relationships/hyperlink" Target="https://bellingcat-archive.nyc3.cdn.digitaloceanspaces.com/Ukraine_Witness_Datasheet/Worksheet/telegram_3384f8862b/index.html" TargetMode="External"/><Relationship Id="rId7181" Type="http://schemas.openxmlformats.org/officeDocument/2006/relationships/hyperlink" Target="https://bellingcat-archive.nyc3.cdn.digitaloceanspaces.com/Ukraine_Witness_Datasheet/Worksheet/telegram__Pravda_Gerashchenko_21632022-03-08T16:40:28.808098.png" TargetMode="External"/><Relationship Id="rId7188" Type="http://schemas.openxmlformats.org/officeDocument/2006/relationships/hyperlink" Target="https://bellingcat-archive.nyc3.cdn.digitaloceanspaces.com/Ukraine_Witness_Datasheet/Worksheet/telegram_6c35ee376e.mp4" TargetMode="External"/><Relationship Id="rId7187" Type="http://schemas.openxmlformats.org/officeDocument/2006/relationships/hyperlink" Target="https://t.me/Pravda_Gerashchenko/2171" TargetMode="External"/><Relationship Id="rId7186" Type="http://schemas.openxmlformats.org/officeDocument/2006/relationships/hyperlink" Target="https://bellingcat-archive.nyc3.cdn.digitaloceanspaces.com/Ukraine_Witness_Datasheet/Worksheet/telegram__nexta_live_200562022-03-08T16:42:22.714419.png" TargetMode="External"/><Relationship Id="rId7185" Type="http://schemas.openxmlformats.org/officeDocument/2006/relationships/hyperlink" Target="https://bellingcat-archive.nyc3.cdn.digitaloceanspaces.com/Ukraine_Witness_Datasheet/Worksheet/telegram__nexta_live_20056.html" TargetMode="External"/><Relationship Id="rId7189" Type="http://schemas.openxmlformats.org/officeDocument/2006/relationships/hyperlink" Target="https://bellingcat-archive.nyc3.cdn.digitaloceanspaces.com/Ukraine_Witness_Datasheet/Worksheet/telegram__Pravda_Gerashchenko_21712022-03-08T16:42:35.519664.png" TargetMode="External"/><Relationship Id="rId3612" Type="http://schemas.openxmlformats.org/officeDocument/2006/relationships/hyperlink" Target="https://bellingcat-archive.nyc3.cdn.digitaloceanspaces.com/Ukraine_Witness_Datasheet/Worksheet/twitter__nexta_tv_status_14974599773504921712022-02-27T13:16:12.508286.png" TargetMode="External"/><Relationship Id="rId4943" Type="http://schemas.openxmlformats.org/officeDocument/2006/relationships/hyperlink" Target="https://bellingcat-archive.nyc3.cdn.digitaloceanspaces.com/Ukraine_Witness_Datasheet/Worksheet/youtube_dl__MarQs___status_14990271081270272002022-03-02T15:34:02.983057.png" TargetMode="External"/><Relationship Id="rId3611" Type="http://schemas.openxmlformats.org/officeDocument/2006/relationships/hyperlink" Target="https://bellingcat-archive.nyc3.cdn.digitaloceanspaces.com/Ukraine_Witness_Datasheet/Worksheet/twitter__nexta_tv_status_1497459977350492171.html" TargetMode="External"/><Relationship Id="rId4942" Type="http://schemas.openxmlformats.org/officeDocument/2006/relationships/hyperlink" Target="https://bellingcat-archive.nyc3.cdn.digitaloceanspaces.com/Ukraine_Witness_Datasheet/Worksheet/youtube_dl_1499027108127027200.mp4" TargetMode="External"/><Relationship Id="rId3614" Type="http://schemas.openxmlformats.org/officeDocument/2006/relationships/hyperlink" Target="https://twitter.com/BNONews/status/1497479518684073984" TargetMode="External"/><Relationship Id="rId4945" Type="http://schemas.openxmlformats.org/officeDocument/2006/relationships/hyperlink" Target="https://t.me/place_kh/7848" TargetMode="External"/><Relationship Id="rId3613" Type="http://schemas.openxmlformats.org/officeDocument/2006/relationships/hyperlink" Target="https://twitter.com/brenna__smith/status/1497464178528903171" TargetMode="External"/><Relationship Id="rId4944" Type="http://schemas.openxmlformats.org/officeDocument/2006/relationships/hyperlink" Target="https://bellingcat-archive.nyc3.cdn.digitaloceanspaces.com/Ukraine_Witness_Datasheet/Worksheet/youtube_dl_1499027108127027200/index.html" TargetMode="External"/><Relationship Id="rId3616" Type="http://schemas.openxmlformats.org/officeDocument/2006/relationships/hyperlink" Target="https://bellingcat-archive.nyc3.cdn.digitaloceanspaces.com/Ukraine_Witness_Datasheet/Worksheet/youtube_dl__BNONews_status_14974795186840739842022-02-27T13:17:22.496869.png" TargetMode="External"/><Relationship Id="rId4947" Type="http://schemas.openxmlformats.org/officeDocument/2006/relationships/hyperlink" Target="https://bellingcat-archive.nyc3.cdn.digitaloceanspaces.com/Ukraine_Witness_Datasheet/Worksheet/telegram__place_kh_78482022-03-02T15:34:15.981620.png" TargetMode="External"/><Relationship Id="rId3615" Type="http://schemas.openxmlformats.org/officeDocument/2006/relationships/hyperlink" Target="https://bellingcat-archive.nyc3.cdn.digitaloceanspaces.com/Ukraine_Witness_Datasheet/Worksheet/youtube_dl_1497479518684073984.mp4" TargetMode="External"/><Relationship Id="rId4946" Type="http://schemas.openxmlformats.org/officeDocument/2006/relationships/hyperlink" Target="https://bellingcat-archive.nyc3.cdn.digitaloceanspaces.com/Ukraine_Witness_Datasheet/Worksheet/telegram__place_kh_7848.html" TargetMode="External"/><Relationship Id="rId3618" Type="http://schemas.openxmlformats.org/officeDocument/2006/relationships/hyperlink" Target="https://t.me/Pravda_Gerashchenko/392" TargetMode="External"/><Relationship Id="rId4949" Type="http://schemas.openxmlformats.org/officeDocument/2006/relationships/hyperlink" Target="https://bellingcat-archive.nyc3.cdn.digitaloceanspaces.com/Ukraine_Witness_Datasheet/Worksheet/telegram__hueviykharkov_47424.html" TargetMode="External"/><Relationship Id="rId3617" Type="http://schemas.openxmlformats.org/officeDocument/2006/relationships/hyperlink" Target="https://bellingcat-archive.nyc3.cdn.digitaloceanspaces.com/Ukraine_Witness_Datasheet/Worksheet/youtube_dl_1497479518684073984/index.html" TargetMode="External"/><Relationship Id="rId4948" Type="http://schemas.openxmlformats.org/officeDocument/2006/relationships/hyperlink" Target="https://t.me/hueviykharkov/47424" TargetMode="External"/><Relationship Id="rId3619" Type="http://schemas.openxmlformats.org/officeDocument/2006/relationships/hyperlink" Target="https://bellingcat-archive.nyc3.cdn.digitaloceanspaces.com/Ukraine_Witness_Datasheet/Worksheet/telegram__Pravda_Gerashchenko_392.html" TargetMode="External"/><Relationship Id="rId3610" Type="http://schemas.openxmlformats.org/officeDocument/2006/relationships/hyperlink" Target="https://twitter.com/nexta_tv/status/1497459977350492171?t=uhQX4I33v87Edfo-hKJZBA&amp;s=19" TargetMode="External"/><Relationship Id="rId4941" Type="http://schemas.openxmlformats.org/officeDocument/2006/relationships/hyperlink" Target="https://twitter.com/MarQs__/status/1499027108127027200" TargetMode="External"/><Relationship Id="rId4940" Type="http://schemas.openxmlformats.org/officeDocument/2006/relationships/hyperlink" Target="https://bellingcat-archive.nyc3.cdn.digitaloceanspaces.com/Ukraine_Witness_Datasheet/Worksheet/youtube_dl_1498988278061674512/index.html" TargetMode="External"/><Relationship Id="rId3601" Type="http://schemas.openxmlformats.org/officeDocument/2006/relationships/hyperlink" Target="https://t.me/hueviykharkov/46384" TargetMode="External"/><Relationship Id="rId4932" Type="http://schemas.openxmlformats.org/officeDocument/2006/relationships/hyperlink" Target="https://t.me/voynareal/11727" TargetMode="External"/><Relationship Id="rId3600" Type="http://schemas.openxmlformats.org/officeDocument/2006/relationships/hyperlink" Target="https://t.me/nexta_live/17441" TargetMode="External"/><Relationship Id="rId4931" Type="http://schemas.openxmlformats.org/officeDocument/2006/relationships/hyperlink" Target="https://bellingcat-archive.nyc3.cdn.digitaloceanspaces.com/Ukraine_Witness_Datasheet/Worksheet/youtube_dl_1498632893568065541/index.html" TargetMode="External"/><Relationship Id="rId3603" Type="http://schemas.openxmlformats.org/officeDocument/2006/relationships/hyperlink" Target="https://bellingcat-archive.nyc3.cdn.digitaloceanspaces.com/Ukraine_Witness_Datasheet/Worksheet/telegram__hueviykharkov_463842022-02-27T13:15:26.967639.png" TargetMode="External"/><Relationship Id="rId4934" Type="http://schemas.openxmlformats.org/officeDocument/2006/relationships/hyperlink" Target="https://bellingcat-archive.nyc3.cdn.digitaloceanspaces.com/Ukraine_Witness_Datasheet/Worksheet/telegram__voynareal_117272022-03-02T15:32:35.813339.png" TargetMode="External"/><Relationship Id="rId3602" Type="http://schemas.openxmlformats.org/officeDocument/2006/relationships/hyperlink" Target="https://bellingcat-archive.nyc3.cdn.digitaloceanspaces.com/Ukraine_Witness_Datasheet/Worksheet/telegram_96103dc370.mp4" TargetMode="External"/><Relationship Id="rId4933" Type="http://schemas.openxmlformats.org/officeDocument/2006/relationships/hyperlink" Target="https://bellingcat-archive.nyc3.cdn.digitaloceanspaces.com/Ukraine_Witness_Datasheet/Worksheet/telegram_976c0cdea1.mp4" TargetMode="External"/><Relationship Id="rId3605" Type="http://schemas.openxmlformats.org/officeDocument/2006/relationships/hyperlink" Target="https://t.me/hueviykharkov/46384" TargetMode="External"/><Relationship Id="rId4936" Type="http://schemas.openxmlformats.org/officeDocument/2006/relationships/hyperlink" Target="https://t.me/voynareal/11727" TargetMode="External"/><Relationship Id="rId3604" Type="http://schemas.openxmlformats.org/officeDocument/2006/relationships/hyperlink" Target="https://bellingcat-archive.nyc3.cdn.digitaloceanspaces.com/Ukraine_Witness_Datasheet/Worksheet/telegram_96103dc370/index.html" TargetMode="External"/><Relationship Id="rId4935" Type="http://schemas.openxmlformats.org/officeDocument/2006/relationships/hyperlink" Target="https://bellingcat-archive.nyc3.cdn.digitaloceanspaces.com/Ukraine_Witness_Datasheet/Worksheet/telegram_976c0cdea1/index.html" TargetMode="External"/><Relationship Id="rId3607" Type="http://schemas.openxmlformats.org/officeDocument/2006/relationships/hyperlink" Target="https://bellingcat-archive.nyc3.cdn.digitaloceanspaces.com/Ukraine_Witness_Datasheet/Worksheet/youtube_dl_1497882691135410176.mp4" TargetMode="External"/><Relationship Id="rId4938" Type="http://schemas.openxmlformats.org/officeDocument/2006/relationships/hyperlink" Target="https://bellingcat-archive.nyc3.cdn.digitaloceanspaces.com/Ukraine_Witness_Datasheet/Worksheet/youtube_dl_1498988278061674512.mp4" TargetMode="External"/><Relationship Id="rId3606" Type="http://schemas.openxmlformats.org/officeDocument/2006/relationships/hyperlink" Target="https://twitter.com/GirkinGirkin/status/1497882691135410176?s=20&amp;t=oKMFtSjrWvorHLr6FiJOAQ" TargetMode="External"/><Relationship Id="rId4937" Type="http://schemas.openxmlformats.org/officeDocument/2006/relationships/hyperlink" Target="https://twitter.com/ignis_fatum/status/1498988278061674512?s=20&amp;t=_wF5HmhyP0avqRAOYbvJBQ" TargetMode="External"/><Relationship Id="rId3609" Type="http://schemas.openxmlformats.org/officeDocument/2006/relationships/hyperlink" Target="https://bellingcat-archive.nyc3.cdn.digitaloceanspaces.com/Ukraine_Witness_Datasheet/Worksheet/youtube_dl_1497882691135410176/index.html" TargetMode="External"/><Relationship Id="rId3608" Type="http://schemas.openxmlformats.org/officeDocument/2006/relationships/hyperlink" Target="https://bellingcat-archive.nyc3.cdn.digitaloceanspaces.com/Ukraine_Witness_Datasheet/Worksheet/youtube_dl__GirkinGirkin_status_14978826911354101762022-02-27T13:15:58.662347.png" TargetMode="External"/><Relationship Id="rId4939" Type="http://schemas.openxmlformats.org/officeDocument/2006/relationships/hyperlink" Target="https://bellingcat-archive.nyc3.cdn.digitaloceanspaces.com/Ukraine_Witness_Datasheet/Worksheet/youtube_dl__ignis_fatum_status_14989882780616745122022-03-02T15:33:48.622812.png" TargetMode="External"/><Relationship Id="rId4930" Type="http://schemas.openxmlformats.org/officeDocument/2006/relationships/hyperlink" Target="https://bellingcat-archive.nyc3.cdn.digitaloceanspaces.com/Ukraine_Witness_Datasheet/Worksheet/youtube_dl__MarQs___status_14986328935680655412022-03-02T15:32:21.402518.png" TargetMode="External"/><Relationship Id="rId1059" Type="http://schemas.openxmlformats.org/officeDocument/2006/relationships/hyperlink" Target="https://twitter.com/gfusfus/status/1492944825687101443" TargetMode="External"/><Relationship Id="rId2380" Type="http://schemas.openxmlformats.org/officeDocument/2006/relationships/hyperlink" Target="https://bellingcat-archive.nyc3.cdn.digitaloceanspaces.com/Ukraine_Witness_Datasheet/Worksheet/youtube_dl_1496162101349523461/index.html" TargetMode="External"/><Relationship Id="rId1050" Type="http://schemas.openxmlformats.org/officeDocument/2006/relationships/hyperlink" Target="https://bellingcat-archive.nyc3.cdn.digitaloceanspaces.com/Ukraine_Witness_Datasheet/Worksheet/youtube_dl_1492922129850982408.mp4" TargetMode="External"/><Relationship Id="rId2381" Type="http://schemas.openxmlformats.org/officeDocument/2006/relationships/hyperlink" Target="https://twitter.com/yasiremres/status/1496196904161628162?s=20&amp;t=__rJZ_Gx8jw0w6qoKrMADA" TargetMode="External"/><Relationship Id="rId1051" Type="http://schemas.openxmlformats.org/officeDocument/2006/relationships/hyperlink" Target="https://bellingcat-archive.nyc3.cdn.digitaloceanspaces.com/Ukraine_Witness_Datasheet/Worksheet/youtube_dl__4emberlen_status_14929221298509824082022-02-25T14:01:29.308134.png" TargetMode="External"/><Relationship Id="rId2382" Type="http://schemas.openxmlformats.org/officeDocument/2006/relationships/hyperlink" Target="https://twitter.com/COUPSURE/status/1496200356933824512?s=20&amp;t=__rJZ_Gx8jw0w6qoKrMADA" TargetMode="External"/><Relationship Id="rId1052" Type="http://schemas.openxmlformats.org/officeDocument/2006/relationships/hyperlink" Target="https://bellingcat-archive.nyc3.cdn.digitaloceanspaces.com/Ukraine_Witness_Datasheet/Worksheet/youtube_dl_1492922129850982408/index.html" TargetMode="External"/><Relationship Id="rId2383" Type="http://schemas.openxmlformats.org/officeDocument/2006/relationships/hyperlink" Target="https://bellingcat-archive.nyc3.cdn.digitaloceanspaces.com/Ukraine_Witness_Datasheet/Worksheet/youtube_dl_1496196904161628162.mp4" TargetMode="External"/><Relationship Id="rId1053" Type="http://schemas.openxmlformats.org/officeDocument/2006/relationships/hyperlink" Target="https://twitter.com/GirkinGirkin/status/1492932352103886849" TargetMode="External"/><Relationship Id="rId2384" Type="http://schemas.openxmlformats.org/officeDocument/2006/relationships/hyperlink" Target="https://bellingcat-archive.nyc3.cdn.digitaloceanspaces.com/Ukraine_Witness_Datasheet/Worksheet/youtube_dl__yasiremres_status_14961969041616281622022-02-25T12:55:39.535879.png" TargetMode="External"/><Relationship Id="rId1054" Type="http://schemas.openxmlformats.org/officeDocument/2006/relationships/hyperlink" Target="https://twitter.com/gfusfus/status/1492948286508044291" TargetMode="External"/><Relationship Id="rId2385" Type="http://schemas.openxmlformats.org/officeDocument/2006/relationships/hyperlink" Target="https://bellingcat-archive.nyc3.cdn.digitaloceanspaces.com/Ukraine_Witness_Datasheet/Worksheet/youtube_dl_1496196904161628162/index.html" TargetMode="External"/><Relationship Id="rId1055" Type="http://schemas.openxmlformats.org/officeDocument/2006/relationships/hyperlink" Target="https://bellingcat-archive.nyc3.cdn.digitaloceanspaces.com/Ukraine_Witness_Datasheet/Worksheet/youtube_dl_1492932352103886849.mp4" TargetMode="External"/><Relationship Id="rId2386" Type="http://schemas.openxmlformats.org/officeDocument/2006/relationships/hyperlink" Target="https://www.tiktok.com/@andrei198803/video/7067969626512133382?is_copy_url=1&amp;is_from_webapp=v1" TargetMode="External"/><Relationship Id="rId1056" Type="http://schemas.openxmlformats.org/officeDocument/2006/relationships/hyperlink" Target="https://bellingcat-archive.nyc3.cdn.digitaloceanspaces.com/Ukraine_Witness_Datasheet/Worksheet/youtube_dl__GirkinGirkin_status_14929323521038868492022-02-25T14:01:48.386309.png" TargetMode="External"/><Relationship Id="rId2387" Type="http://schemas.openxmlformats.org/officeDocument/2006/relationships/hyperlink" Target="https://bellingcat-archive.nyc3.cdn.digitaloceanspaces.com/Ukraine_Witness_Datasheet/Worksheet/tiktok_7067969626512133382.mp4" TargetMode="External"/><Relationship Id="rId1057" Type="http://schemas.openxmlformats.org/officeDocument/2006/relationships/hyperlink" Target="https://bellingcat-archive.nyc3.cdn.digitaloceanspaces.com/Ukraine_Witness_Datasheet/Worksheet/youtube_dl_1492932352103886849/index.html" TargetMode="External"/><Relationship Id="rId2388" Type="http://schemas.openxmlformats.org/officeDocument/2006/relationships/hyperlink" Target="https://bellingcat-archive.nyc3.cdn.digitaloceanspaces.com/Ukraine_Witness_Datasheet/Worksheet/tiktok__@andrei198803_video_70679696265121333822022-02-25T12:55:23.863783.png" TargetMode="External"/><Relationship Id="rId1058" Type="http://schemas.openxmlformats.org/officeDocument/2006/relationships/hyperlink" Target="https://twitter.com/herooftheday10/status/1492930970193993729" TargetMode="External"/><Relationship Id="rId2389" Type="http://schemas.openxmlformats.org/officeDocument/2006/relationships/hyperlink" Target="https://bellingcat-archive.nyc3.cdn.digitaloceanspaces.com/Ukraine_Witness_Datasheet/Worksheet/tiktok_7067969626512133382/index.html" TargetMode="External"/><Relationship Id="rId1048" Type="http://schemas.openxmlformats.org/officeDocument/2006/relationships/hyperlink" Target="https://twitter.com/4emberlen/status/1492922129850982408" TargetMode="External"/><Relationship Id="rId2379" Type="http://schemas.openxmlformats.org/officeDocument/2006/relationships/hyperlink" Target="https://bellingcat-archive.nyc3.cdn.digitaloceanspaces.com/Ukraine_Witness_Datasheet/Worksheet/youtube_dl__BackAndAlive_status_14961621013495234612022-02-25T12:55:57.421354.png" TargetMode="External"/><Relationship Id="rId1049" Type="http://schemas.openxmlformats.org/officeDocument/2006/relationships/hyperlink" Target="https://twitter.com/gfusfus/status/1492953972155600899" TargetMode="External"/><Relationship Id="rId2370" Type="http://schemas.openxmlformats.org/officeDocument/2006/relationships/hyperlink" Target="https://twitter.com/michaelh992/status/1496082009088794625" TargetMode="External"/><Relationship Id="rId1040" Type="http://schemas.openxmlformats.org/officeDocument/2006/relationships/hyperlink" Target="https://bellingcat-archive.nyc3.cdn.digitaloceanspaces.com/Ukraine_Witness_Datasheet/Worksheet/youtube_dl_1492955344041086981.mp4" TargetMode="External"/><Relationship Id="rId2371" Type="http://schemas.openxmlformats.org/officeDocument/2006/relationships/hyperlink" Target="https://bellingcat-archive.nyc3.cdn.digitaloceanspaces.com/Ukraine_Witness_Datasheet/Worksheet/youtube_dl_1496082009088794625.mp4" TargetMode="External"/><Relationship Id="rId1041" Type="http://schemas.openxmlformats.org/officeDocument/2006/relationships/hyperlink" Target="https://bellingcat-archive.nyc3.cdn.digitaloceanspaces.com/Ukraine_Witness_Datasheet/Worksheet/youtube_dl__GirkinGirkin_status_14929553440410869812022-02-25T14:00:45.296534.png" TargetMode="External"/><Relationship Id="rId2372" Type="http://schemas.openxmlformats.org/officeDocument/2006/relationships/hyperlink" Target="https://bellingcat-archive.nyc3.cdn.digitaloceanspaces.com/Ukraine_Witness_Datasheet/Worksheet/youtube_dl__michaelh992_status_14960820090887946252022-02-25T12:56:25.981754.png" TargetMode="External"/><Relationship Id="rId1042" Type="http://schemas.openxmlformats.org/officeDocument/2006/relationships/hyperlink" Target="https://bellingcat-archive.nyc3.cdn.digitaloceanspaces.com/Ukraine_Witness_Datasheet/Worksheet/youtube_dl_1492955344041086981/index.html" TargetMode="External"/><Relationship Id="rId2373" Type="http://schemas.openxmlformats.org/officeDocument/2006/relationships/hyperlink" Target="https://bellingcat-archive.nyc3.cdn.digitaloceanspaces.com/Ukraine_Witness_Datasheet/Worksheet/youtube_dl_1496082009088794625/index.html" TargetMode="External"/><Relationship Id="rId1043" Type="http://schemas.openxmlformats.org/officeDocument/2006/relationships/hyperlink" Target="https://twitter.com/grad_harrison/status/1492917289649426439" TargetMode="External"/><Relationship Id="rId2374" Type="http://schemas.openxmlformats.org/officeDocument/2006/relationships/hyperlink" Target="https://twitter.com/COUPSURE/status/1496048169033117697?s=20&amp;t=KdhrRKwB4U_nBTFJYvUStA" TargetMode="External"/><Relationship Id="rId1044" Type="http://schemas.openxmlformats.org/officeDocument/2006/relationships/hyperlink" Target="https://twitter.com/gfusfus/status/1492981388504674305" TargetMode="External"/><Relationship Id="rId2375" Type="http://schemas.openxmlformats.org/officeDocument/2006/relationships/hyperlink" Target="https://bellingcat-archive.nyc3.cdn.digitaloceanspaces.com/Ukraine_Witness_Datasheet/Worksheet/youtube_dl_1496048169033117697.mp4" TargetMode="External"/><Relationship Id="rId1045" Type="http://schemas.openxmlformats.org/officeDocument/2006/relationships/hyperlink" Target="https://bellingcat-archive.nyc3.cdn.digitaloceanspaces.com/Ukraine_Witness_Datasheet/Worksheet/youtube_dl_1492917289649426439.mp4" TargetMode="External"/><Relationship Id="rId2376" Type="http://schemas.openxmlformats.org/officeDocument/2006/relationships/hyperlink" Target="https://bellingcat-archive.nyc3.cdn.digitaloceanspaces.com/Ukraine_Witness_Datasheet/Worksheet/youtube_dl__COUPSURE_status_14960481690331176972022-02-25T12:56:12.030080.png" TargetMode="External"/><Relationship Id="rId1046" Type="http://schemas.openxmlformats.org/officeDocument/2006/relationships/hyperlink" Target="https://bellingcat-archive.nyc3.cdn.digitaloceanspaces.com/Ukraine_Witness_Datasheet/Worksheet/youtube_dl__grad_harrison_status_14929172896494264392022-02-25T14:01:10.100337.png" TargetMode="External"/><Relationship Id="rId2377" Type="http://schemas.openxmlformats.org/officeDocument/2006/relationships/hyperlink" Target="https://twitter.com/BackAndAlive/status/1496162101349523461" TargetMode="External"/><Relationship Id="rId1047" Type="http://schemas.openxmlformats.org/officeDocument/2006/relationships/hyperlink" Target="https://bellingcat-archive.nyc3.cdn.digitaloceanspaces.com/Ukraine_Witness_Datasheet/Worksheet/youtube_dl_1492917289649426439/index.html" TargetMode="External"/><Relationship Id="rId2378" Type="http://schemas.openxmlformats.org/officeDocument/2006/relationships/hyperlink" Target="https://bellingcat-archive.nyc3.cdn.digitaloceanspaces.com/Ukraine_Witness_Datasheet/Worksheet/youtube_dl_1496162101349523461.mp4" TargetMode="External"/><Relationship Id="rId1070" Type="http://schemas.openxmlformats.org/officeDocument/2006/relationships/hyperlink" Target="https://bellingcat-archive.nyc3.cdn.digitaloceanspaces.com/Ukraine_Witness_Datasheet/Worksheet/youtube_dl__4emberlen_status_14928463634444984362022-02-25T14:04:06.772932.png" TargetMode="External"/><Relationship Id="rId1071" Type="http://schemas.openxmlformats.org/officeDocument/2006/relationships/hyperlink" Target="https://bellingcat-archive.nyc3.cdn.digitaloceanspaces.com/Ukraine_Witness_Datasheet/Worksheet/youtube_dl_1492846363444498436/index.html" TargetMode="External"/><Relationship Id="rId1072" Type="http://schemas.openxmlformats.org/officeDocument/2006/relationships/hyperlink" Target="https://twitter.com/GirkinGirkin/status/1492518373539864578" TargetMode="External"/><Relationship Id="rId1073" Type="http://schemas.openxmlformats.org/officeDocument/2006/relationships/hyperlink" Target="https://twitter.com/gfusfus/status/1492879072837480449" TargetMode="External"/><Relationship Id="rId1074" Type="http://schemas.openxmlformats.org/officeDocument/2006/relationships/hyperlink" Target="https://bellingcat-archive.nyc3.cdn.digitaloceanspaces.com/Ukraine_Witness_Datasheet/Worksheet/youtube_dl_1492518373539864578.mp4" TargetMode="External"/><Relationship Id="rId1075" Type="http://schemas.openxmlformats.org/officeDocument/2006/relationships/hyperlink" Target="https://bellingcat-archive.nyc3.cdn.digitaloceanspaces.com/Ukraine_Witness_Datasheet/Worksheet/youtube_dl__GirkinGirkin_status_14925183735398645782022-02-25T14:04:32.179036.png" TargetMode="External"/><Relationship Id="rId1076" Type="http://schemas.openxmlformats.org/officeDocument/2006/relationships/hyperlink" Target="https://bellingcat-archive.nyc3.cdn.digitaloceanspaces.com/Ukraine_Witness_Datasheet/Worksheet/youtube_dl_1492518373539864578/index.html" TargetMode="External"/><Relationship Id="rId1077" Type="http://schemas.openxmlformats.org/officeDocument/2006/relationships/hyperlink" Target="https://twitter.com/GirkinGirkin/status/1492857534671200258" TargetMode="External"/><Relationship Id="rId1078" Type="http://schemas.openxmlformats.org/officeDocument/2006/relationships/hyperlink" Target="https://twitter.com/gfusfus/status/1492866015893590016" TargetMode="External"/><Relationship Id="rId1079" Type="http://schemas.openxmlformats.org/officeDocument/2006/relationships/hyperlink" Target="https://bellingcat-archive.nyc3.cdn.digitaloceanspaces.com/Ukraine_Witness_Datasheet/Worksheet/youtube_dl_1492857534671200258.mp4" TargetMode="External"/><Relationship Id="rId2390" Type="http://schemas.openxmlformats.org/officeDocument/2006/relationships/hyperlink" Target="https://www.tiktok.com/@andrei198803/video/7067969626512133382?is_copy_url=1&amp;is_from_webapp=v1" TargetMode="External"/><Relationship Id="rId1060" Type="http://schemas.openxmlformats.org/officeDocument/2006/relationships/hyperlink" Target="https://web.archive.org/web/20220225140313/https://twitter.com/herooftheday10/status/1492930970193993729" TargetMode="External"/><Relationship Id="rId2391" Type="http://schemas.openxmlformats.org/officeDocument/2006/relationships/hyperlink" Target="https://bellingcat-archive.nyc3.cdn.digitaloceanspaces.com/Ukraine_Witness_Datasheet/Worksheet/tiktok_7067969626512133382.mp4" TargetMode="External"/><Relationship Id="rId1061" Type="http://schemas.openxmlformats.org/officeDocument/2006/relationships/hyperlink" Target="https://bellingcat-archive.nyc3.cdn.digitaloceanspaces.com/Ukraine_Witness_Datasheet/Worksheet/wayback__herooftheday10_status_14929309701939937292022-02-25T14:03:30.853087.png" TargetMode="External"/><Relationship Id="rId2392" Type="http://schemas.openxmlformats.org/officeDocument/2006/relationships/hyperlink" Target="https://bellingcat-archive.nyc3.cdn.digitaloceanspaces.com/Ukraine_Witness_Datasheet/Worksheet/tiktok__@andrei198803_video_70679696265121333822022-02-25T12:55:03.210305.png" TargetMode="External"/><Relationship Id="rId1062" Type="http://schemas.openxmlformats.org/officeDocument/2006/relationships/hyperlink" Target="https://twitter.com/4emberlen/status/1492922819323310090" TargetMode="External"/><Relationship Id="rId2393" Type="http://schemas.openxmlformats.org/officeDocument/2006/relationships/hyperlink" Target="https://bellingcat-archive.nyc3.cdn.digitaloceanspaces.com/Ukraine_Witness_Datasheet/Worksheet/tiktok_7067969626512133382/index.html" TargetMode="External"/><Relationship Id="rId1063" Type="http://schemas.openxmlformats.org/officeDocument/2006/relationships/hyperlink" Target="https://twitter.com/gfusfus/status/1492929982376685574" TargetMode="External"/><Relationship Id="rId2394" Type="http://schemas.openxmlformats.org/officeDocument/2006/relationships/hyperlink" Target="https://twitter.com/ELINTNews/status/1496705653422895108/video/1" TargetMode="External"/><Relationship Id="rId1064" Type="http://schemas.openxmlformats.org/officeDocument/2006/relationships/hyperlink" Target="https://bellingcat-archive.nyc3.cdn.digitaloceanspaces.com/Ukraine_Witness_Datasheet/Worksheet/youtube_dl_1492922819323310090.mp4" TargetMode="External"/><Relationship Id="rId2395" Type="http://schemas.openxmlformats.org/officeDocument/2006/relationships/hyperlink" Target="https://twitter.com/Cen4infoRes/status/1496723182354640897?s=20&amp;t=vYbp3tDSULu9BJiKXp-wQA" TargetMode="External"/><Relationship Id="rId1065" Type="http://schemas.openxmlformats.org/officeDocument/2006/relationships/hyperlink" Target="https://bellingcat-archive.nyc3.cdn.digitaloceanspaces.com/Ukraine_Witness_Datasheet/Worksheet/youtube_dl__4emberlen_status_14929228193233100902022-02-25T14:03:45.777010.png" TargetMode="External"/><Relationship Id="rId2396" Type="http://schemas.openxmlformats.org/officeDocument/2006/relationships/hyperlink" Target="https://bellingcat-archive.nyc3.cdn.digitaloceanspaces.com/Ukraine_Witness_Datasheet/Worksheet/youtube_dl_1496705653422895108.mp4" TargetMode="External"/><Relationship Id="rId1066" Type="http://schemas.openxmlformats.org/officeDocument/2006/relationships/hyperlink" Target="https://bellingcat-archive.nyc3.cdn.digitaloceanspaces.com/Ukraine_Witness_Datasheet/Worksheet/youtube_dl_1492922819323310090/index.html" TargetMode="External"/><Relationship Id="rId2397" Type="http://schemas.openxmlformats.org/officeDocument/2006/relationships/hyperlink" Target="https://bellingcat-archive.nyc3.cdn.digitaloceanspaces.com/Ukraine_Witness_Datasheet/Worksheet/youtube_dl__ELINTNews_status_1496705653422895108_video_12022-02-25T12:54:28.923939.png" TargetMode="External"/><Relationship Id="rId1067" Type="http://schemas.openxmlformats.org/officeDocument/2006/relationships/hyperlink" Target="https://twitter.com/4emberlen/status/1492846363444498436" TargetMode="External"/><Relationship Id="rId2398" Type="http://schemas.openxmlformats.org/officeDocument/2006/relationships/hyperlink" Target="https://bellingcat-archive.nyc3.cdn.digitaloceanspaces.com/Ukraine_Witness_Datasheet/Worksheet/youtube_dl_1496705653422895108/index.html" TargetMode="External"/><Relationship Id="rId1068" Type="http://schemas.openxmlformats.org/officeDocument/2006/relationships/hyperlink" Target="https://twitter.com/gfusfus/status/1492919947445653505" TargetMode="External"/><Relationship Id="rId2399" Type="http://schemas.openxmlformats.org/officeDocument/2006/relationships/hyperlink" Target="https://twitter.com/NewsX/status/1496729252795928578" TargetMode="External"/><Relationship Id="rId1069" Type="http://schemas.openxmlformats.org/officeDocument/2006/relationships/hyperlink" Target="https://bellingcat-archive.nyc3.cdn.digitaloceanspaces.com/Ukraine_Witness_Datasheet/Worksheet/youtube_dl_1492846363444498436.mp4" TargetMode="External"/><Relationship Id="rId1015" Type="http://schemas.openxmlformats.org/officeDocument/2006/relationships/hyperlink" Target="https://bellingcat-archive.nyc3.cdn.digitaloceanspaces.com/Ukraine_Witness_Datasheet/Worksheet/youtube_dl_1492818036482621441.mp4" TargetMode="External"/><Relationship Id="rId2346" Type="http://schemas.openxmlformats.org/officeDocument/2006/relationships/hyperlink" Target="https://bellingcat-archive.nyc3.cdn.digitaloceanspaces.com/Ukraine_Witness_Datasheet/Worksheet/twitter__COUPSURE_status_14965256992675758102022-02-25T13:16:45.326065.png" TargetMode="External"/><Relationship Id="rId3678" Type="http://schemas.openxmlformats.org/officeDocument/2006/relationships/hyperlink" Target="https://twitter.com/YWNReporter/status/1497900987448766467" TargetMode="External"/><Relationship Id="rId1016" Type="http://schemas.openxmlformats.org/officeDocument/2006/relationships/hyperlink" Target="https://bellingcat-archive.nyc3.cdn.digitaloceanspaces.com/Ukraine_Witness_Datasheet/Worksheet/youtube_dl__Idzanagi4_status_14928180364826214412022-02-25T13:58:56.876108.png" TargetMode="External"/><Relationship Id="rId2347" Type="http://schemas.openxmlformats.org/officeDocument/2006/relationships/hyperlink" Target="https://twitter.com/COUPSURE/status/1496375725145874432?s=20&amp;t=KdhrRKwB4U_nBTFJYvUStA" TargetMode="External"/><Relationship Id="rId3677" Type="http://schemas.openxmlformats.org/officeDocument/2006/relationships/hyperlink" Target="https://bellingcat-archive.nyc3.cdn.digitaloceanspaces.com/Ukraine_Witness_Datasheet/Worksheet/wayback__BNONews_status_14976897752470896662022-02-27T13:25:00.366591.png" TargetMode="External"/><Relationship Id="rId1017" Type="http://schemas.openxmlformats.org/officeDocument/2006/relationships/hyperlink" Target="https://bellingcat-archive.nyc3.cdn.digitaloceanspaces.com/Ukraine_Witness_Datasheet/Worksheet/youtube_dl_1492818036482621441/index.html" TargetMode="External"/><Relationship Id="rId2348" Type="http://schemas.openxmlformats.org/officeDocument/2006/relationships/hyperlink" Target="https://bellingcat-archive.nyc3.cdn.digitaloceanspaces.com/Ukraine_Witness_Datasheet/Worksheet/twitter__COUPSURE_status_1496375725145874432.html" TargetMode="External"/><Relationship Id="rId1018" Type="http://schemas.openxmlformats.org/officeDocument/2006/relationships/hyperlink" Target="https://twitter.com/GirkinGirkin/status/1489895328136536068" TargetMode="External"/><Relationship Id="rId2349" Type="http://schemas.openxmlformats.org/officeDocument/2006/relationships/hyperlink" Target="https://bellingcat-archive.nyc3.cdn.digitaloceanspaces.com/Ukraine_Witness_Datasheet/Worksheet/twitter__COUPSURE_status_14963757251458744322022-02-25T13:16:30.549629.png" TargetMode="External"/><Relationship Id="rId3679" Type="http://schemas.openxmlformats.org/officeDocument/2006/relationships/hyperlink" Target="https://bellingcat-archive.nyc3.cdn.digitaloceanspaces.com/Ukraine_Witness_Datasheet/Worksheet/youtube_dl_1497900987448766467.mp4" TargetMode="External"/><Relationship Id="rId1019" Type="http://schemas.openxmlformats.org/officeDocument/2006/relationships/hyperlink" Target="https://twitter.com/danvan71/status/1489922341538877450" TargetMode="External"/><Relationship Id="rId3670" Type="http://schemas.openxmlformats.org/officeDocument/2006/relationships/hyperlink" Target="https://web.archive.org/web/20220227132335/https://twitter.com/KyivIndependent/status/1497632990213648391" TargetMode="External"/><Relationship Id="rId2340" Type="http://schemas.openxmlformats.org/officeDocument/2006/relationships/hyperlink" Target="https://twitter.com/gfusfus/status/1496501211528372225" TargetMode="External"/><Relationship Id="rId3672" Type="http://schemas.openxmlformats.org/officeDocument/2006/relationships/hyperlink" Target="https://twitter.com/Ukrainianfree66/status/1497691796847177728" TargetMode="External"/><Relationship Id="rId1010" Type="http://schemas.openxmlformats.org/officeDocument/2006/relationships/hyperlink" Target="https://twitter.com/JC_Monitoring/status/1492924097826803717" TargetMode="External"/><Relationship Id="rId2341" Type="http://schemas.openxmlformats.org/officeDocument/2006/relationships/hyperlink" Target="https://bellingcat-archive.nyc3.cdn.digitaloceanspaces.com/Ukraine_Witness_Datasheet/Worksheet/youtube_dl_1496489324208177158.mp4" TargetMode="External"/><Relationship Id="rId3671" Type="http://schemas.openxmlformats.org/officeDocument/2006/relationships/hyperlink" Target="https://bellingcat-archive.nyc3.cdn.digitaloceanspaces.com/Ukraine_Witness_Datasheet/Worksheet/wayback__KyivIndependent_status_14976329902136483912022-02-27T13:23:42.529700.png" TargetMode="External"/><Relationship Id="rId1011" Type="http://schemas.openxmlformats.org/officeDocument/2006/relationships/hyperlink" Target="https://bellingcat-archive.nyc3.cdn.digitaloceanspaces.com/Ukraine_Witness_Datasheet/Worksheet/youtube_dl_1492924097826803717.mp4" TargetMode="External"/><Relationship Id="rId2342" Type="http://schemas.openxmlformats.org/officeDocument/2006/relationships/hyperlink" Target="https://bellingcat-archive.nyc3.cdn.digitaloceanspaces.com/Ukraine_Witness_Datasheet/Worksheet/youtube_dl__donetsk2022_status_14964893242081771582022-02-25T13:07:22.943514.png" TargetMode="External"/><Relationship Id="rId3674" Type="http://schemas.openxmlformats.org/officeDocument/2006/relationships/hyperlink" Target="https://bellingcat-archive.nyc3.cdn.digitaloceanspaces.com/Ukraine_Witness_Datasheet/Worksheet/twitter__Ukrainianfree66_status_14976917968471777282022-02-27T13:23:56.888092.png" TargetMode="External"/><Relationship Id="rId1012" Type="http://schemas.openxmlformats.org/officeDocument/2006/relationships/hyperlink" Target="https://bellingcat-archive.nyc3.cdn.digitaloceanspaces.com/Ukraine_Witness_Datasheet/Worksheet/youtube_dl__JC_Monitoring_status_14929240978268037172022-02-25T13:58:37.202893.png" TargetMode="External"/><Relationship Id="rId2343" Type="http://schemas.openxmlformats.org/officeDocument/2006/relationships/hyperlink" Target="https://bellingcat-archive.nyc3.cdn.digitaloceanspaces.com/Ukraine_Witness_Datasheet/Worksheet/youtube_dl_1496489324208177158/index.html" TargetMode="External"/><Relationship Id="rId3673" Type="http://schemas.openxmlformats.org/officeDocument/2006/relationships/hyperlink" Target="https://bellingcat-archive.nyc3.cdn.digitaloceanspaces.com/Ukraine_Witness_Datasheet/Worksheet/twitter__Ukrainianfree66_status_1497691796847177728.html" TargetMode="External"/><Relationship Id="rId1013" Type="http://schemas.openxmlformats.org/officeDocument/2006/relationships/hyperlink" Target="https://bellingcat-archive.nyc3.cdn.digitaloceanspaces.com/Ukraine_Witness_Datasheet/Worksheet/youtube_dl_1492924097826803717/index.html" TargetMode="External"/><Relationship Id="rId2344" Type="http://schemas.openxmlformats.org/officeDocument/2006/relationships/hyperlink" Target="https://twitter.com/COUPSURE/status/1496525699267575810?s=20&amp;t=KdhrRKwB4U_nBTFJYvUStA" TargetMode="External"/><Relationship Id="rId3676" Type="http://schemas.openxmlformats.org/officeDocument/2006/relationships/hyperlink" Target="https://web.archive.org/web/20220227132454/https://twitter.com/BNONews/status/1497689775247089666" TargetMode="External"/><Relationship Id="rId1014" Type="http://schemas.openxmlformats.org/officeDocument/2006/relationships/hyperlink" Target="https://twitter.com/Idzanagi4/status/1492818036482621441" TargetMode="External"/><Relationship Id="rId2345" Type="http://schemas.openxmlformats.org/officeDocument/2006/relationships/hyperlink" Target="https://bellingcat-archive.nyc3.cdn.digitaloceanspaces.com/Ukraine_Witness_Datasheet/Worksheet/twitter__COUPSURE_status_1496525699267575810.html" TargetMode="External"/><Relationship Id="rId3675" Type="http://schemas.openxmlformats.org/officeDocument/2006/relationships/hyperlink" Target="https://twitter.com/BNONews/status/1497689775247089666" TargetMode="External"/><Relationship Id="rId1004" Type="http://schemas.openxmlformats.org/officeDocument/2006/relationships/hyperlink" Target="https://bellingcat-archive.nyc3.cdn.digitaloceanspaces.com/Ukraine_Witness_Datasheet/Worksheet/youtube_dl_1492462835787513856/index.html" TargetMode="External"/><Relationship Id="rId2335" Type="http://schemas.openxmlformats.org/officeDocument/2006/relationships/hyperlink" Target="https://twitter.com/YWNReporter/status/1496452386054889472" TargetMode="External"/><Relationship Id="rId3667" Type="http://schemas.openxmlformats.org/officeDocument/2006/relationships/hyperlink" Target="https://bellingcat-archive.nyc3.cdn.digitaloceanspaces.com/Ukraine_Witness_Datasheet/Worksheet/youtube_dl__666_mancer_status_14976001481883197502022-02-27T13:22:38.649320.png" TargetMode="External"/><Relationship Id="rId4998" Type="http://schemas.openxmlformats.org/officeDocument/2006/relationships/hyperlink" Target="https://twitter.com/ua_ridna_vilna/status/1499046370187128840" TargetMode="External"/><Relationship Id="rId1005" Type="http://schemas.openxmlformats.org/officeDocument/2006/relationships/hyperlink" Target="https://twitter.com/JC_Monitoring/status/1492909267413778437" TargetMode="External"/><Relationship Id="rId2336" Type="http://schemas.openxmlformats.org/officeDocument/2006/relationships/hyperlink" Target="https://bellingcat-archive.nyc3.cdn.digitaloceanspaces.com/Ukraine_Witness_Datasheet/Worksheet/youtube_dl_1496452064578347009.mp4" TargetMode="External"/><Relationship Id="rId3666" Type="http://schemas.openxmlformats.org/officeDocument/2006/relationships/hyperlink" Target="https://bellingcat-archive.nyc3.cdn.digitaloceanspaces.com/Ukraine_Witness_Datasheet/Worksheet/youtube_dl_1497600148188319750.mp4" TargetMode="External"/><Relationship Id="rId4997" Type="http://schemas.openxmlformats.org/officeDocument/2006/relationships/hyperlink" Target="https://bellingcat-archive.nyc3.cdn.digitaloceanspaces.com/Ukraine_Witness_Datasheet/Worksheet/youtube_dl_1498730997956947973/index.html" TargetMode="External"/><Relationship Id="rId1006" Type="http://schemas.openxmlformats.org/officeDocument/2006/relationships/hyperlink" Target="https://twitter.com/JC_Monitoring/status/1492909713348079617" TargetMode="External"/><Relationship Id="rId2337" Type="http://schemas.openxmlformats.org/officeDocument/2006/relationships/hyperlink" Target="https://bellingcat-archive.nyc3.cdn.digitaloceanspaces.com/Ukraine_Witness_Datasheet/Worksheet/youtube_dl__YWNReporter_status_14964520645783470092022-02-25T13:07:42.680039.png" TargetMode="External"/><Relationship Id="rId3669" Type="http://schemas.openxmlformats.org/officeDocument/2006/relationships/hyperlink" Target="https://twitter.com/KyivIndependent/status/1497632990213648391" TargetMode="External"/><Relationship Id="rId1007" Type="http://schemas.openxmlformats.org/officeDocument/2006/relationships/hyperlink" Target="https://bellingcat-archive.nyc3.cdn.digitaloceanspaces.com/Ukraine_Witness_Datasheet/Worksheet/youtube_dl_1492909267413778437.mp4" TargetMode="External"/><Relationship Id="rId2338" Type="http://schemas.openxmlformats.org/officeDocument/2006/relationships/hyperlink" Target="https://bellingcat-archive.nyc3.cdn.digitaloceanspaces.com/Ukraine_Witness_Datasheet/Worksheet/youtube_dl_1496452064578347009/index.html" TargetMode="External"/><Relationship Id="rId3668" Type="http://schemas.openxmlformats.org/officeDocument/2006/relationships/hyperlink" Target="https://bellingcat-archive.nyc3.cdn.digitaloceanspaces.com/Ukraine_Witness_Datasheet/Worksheet/youtube_dl_1497600148188319750/index.html" TargetMode="External"/><Relationship Id="rId4999" Type="http://schemas.openxmlformats.org/officeDocument/2006/relationships/hyperlink" Target="https://twitter.com/ua_zinkoviy/status/1499053530686046210" TargetMode="External"/><Relationship Id="rId1008" Type="http://schemas.openxmlformats.org/officeDocument/2006/relationships/hyperlink" Target="https://bellingcat-archive.nyc3.cdn.digitaloceanspaces.com/Ukraine_Witness_Datasheet/Worksheet/youtube_dl__JC_Monitoring_status_14929092674137784372022-02-25T13:58:18.865393.png" TargetMode="External"/><Relationship Id="rId2339" Type="http://schemas.openxmlformats.org/officeDocument/2006/relationships/hyperlink" Target="https://twitter.com/donetsk2022/status/1496489324208177158" TargetMode="External"/><Relationship Id="rId1009" Type="http://schemas.openxmlformats.org/officeDocument/2006/relationships/hyperlink" Target="https://bellingcat-archive.nyc3.cdn.digitaloceanspaces.com/Ukraine_Witness_Datasheet/Worksheet/youtube_dl_1492909267413778437/index.html" TargetMode="External"/><Relationship Id="rId4990" Type="http://schemas.openxmlformats.org/officeDocument/2006/relationships/hyperlink" Target="https://t.me/operativnoZSU/10280" TargetMode="External"/><Relationship Id="rId3661" Type="http://schemas.openxmlformats.org/officeDocument/2006/relationships/hyperlink" Target="https://twitter.com/KyivPost/status/1497592742788149252?t=mwi9wsh90zAOPil7bpTZQQ&amp;s=19" TargetMode="External"/><Relationship Id="rId4992" Type="http://schemas.openxmlformats.org/officeDocument/2006/relationships/hyperlink" Target="https://bellingcat-archive.nyc3.cdn.digitaloceanspaces.com/Ukraine_Witness_Datasheet/Worksheet/telegram__operativnoZSU_102802022-03-02T16:06:46.143547.png" TargetMode="External"/><Relationship Id="rId2330" Type="http://schemas.openxmlformats.org/officeDocument/2006/relationships/hyperlink" Target="https://twitter.com/BriceLeBorgne/status/1496483523074666500" TargetMode="External"/><Relationship Id="rId3660" Type="http://schemas.openxmlformats.org/officeDocument/2006/relationships/hyperlink" Target="https://t.me/mariupol/3178" TargetMode="External"/><Relationship Id="rId4991" Type="http://schemas.openxmlformats.org/officeDocument/2006/relationships/hyperlink" Target="https://bellingcat-archive.nyc3.cdn.digitaloceanspaces.com/Ukraine_Witness_Datasheet/Worksheet/telegram__operativnoZSU_10280.html" TargetMode="External"/><Relationship Id="rId1000" Type="http://schemas.openxmlformats.org/officeDocument/2006/relationships/hyperlink" Target="https://twitter.com/GirkinGirkin/status/1492462835787513856" TargetMode="External"/><Relationship Id="rId2331" Type="http://schemas.openxmlformats.org/officeDocument/2006/relationships/hyperlink" Target="https://bellingcat-archive.nyc3.cdn.digitaloceanspaces.com/Ukraine_Witness_Datasheet/Worksheet/youtube_dl_1496479572333842439.mp4" TargetMode="External"/><Relationship Id="rId3663" Type="http://schemas.openxmlformats.org/officeDocument/2006/relationships/hyperlink" Target="https://bellingcat-archive.nyc3.cdn.digitaloceanspaces.com/Ukraine_Witness_Datasheet/Worksheet/youtube_dl__KyivPost_status_14975927427881492522022-02-27T13:22:21.813506.png" TargetMode="External"/><Relationship Id="rId4994" Type="http://schemas.openxmlformats.org/officeDocument/2006/relationships/hyperlink" Target="https://twitter.com/Tar_Milus/status/1498851656104042498" TargetMode="External"/><Relationship Id="rId1001" Type="http://schemas.openxmlformats.org/officeDocument/2006/relationships/hyperlink" Target="https://twitter.com/bobmoretti/status/1492470026007310336" TargetMode="External"/><Relationship Id="rId2332" Type="http://schemas.openxmlformats.org/officeDocument/2006/relationships/hyperlink" Target="https://bellingcat-archive.nyc3.cdn.digitaloceanspaces.com/Ukraine_Witness_Datasheet/Worksheet/youtube_dl__GirkinGirkin_status_14964795723338424392022-02-25T13:08:00.942838.png" TargetMode="External"/><Relationship Id="rId3662" Type="http://schemas.openxmlformats.org/officeDocument/2006/relationships/hyperlink" Target="https://bellingcat-archive.nyc3.cdn.digitaloceanspaces.com/Ukraine_Witness_Datasheet/Worksheet/youtube_dl_1497592742788149252.mp4" TargetMode="External"/><Relationship Id="rId4993" Type="http://schemas.openxmlformats.org/officeDocument/2006/relationships/hyperlink" Target="https://twitter.com/Tar_Milus/status/1498730997956947973" TargetMode="External"/><Relationship Id="rId1002" Type="http://schemas.openxmlformats.org/officeDocument/2006/relationships/hyperlink" Target="https://bellingcat-archive.nyc3.cdn.digitaloceanspaces.com/Ukraine_Witness_Datasheet/Worksheet/youtube_dl_1492462835787513856.mp4" TargetMode="External"/><Relationship Id="rId2333" Type="http://schemas.openxmlformats.org/officeDocument/2006/relationships/hyperlink" Target="https://bellingcat-archive.nyc3.cdn.digitaloceanspaces.com/Ukraine_Witness_Datasheet/Worksheet/youtube_dl_1496479572333842439/index.html" TargetMode="External"/><Relationship Id="rId3665" Type="http://schemas.openxmlformats.org/officeDocument/2006/relationships/hyperlink" Target="https://twitter.com/666_mancer/status/1497600148188319750?t=htrlB1wMAhxVlBfjT8CoEw&amp;s=19" TargetMode="External"/><Relationship Id="rId4996" Type="http://schemas.openxmlformats.org/officeDocument/2006/relationships/hyperlink" Target="https://bellingcat-archive.nyc3.cdn.digitaloceanspaces.com/Ukraine_Witness_Datasheet/Worksheet/youtube_dl__Tar_Milus_status_14987309979569479732022-03-02T16:06:56.148382.png" TargetMode="External"/><Relationship Id="rId1003" Type="http://schemas.openxmlformats.org/officeDocument/2006/relationships/hyperlink" Target="https://bellingcat-archive.nyc3.cdn.digitaloceanspaces.com/Ukraine_Witness_Datasheet/Worksheet/youtube_dl__GirkinGirkin_status_14924628357875138562022-02-25T13:58:01.758704.png" TargetMode="External"/><Relationship Id="rId2334" Type="http://schemas.openxmlformats.org/officeDocument/2006/relationships/hyperlink" Target="https://twitter.com/YWNReporter/status/1496452064578347009" TargetMode="External"/><Relationship Id="rId3664" Type="http://schemas.openxmlformats.org/officeDocument/2006/relationships/hyperlink" Target="https://bellingcat-archive.nyc3.cdn.digitaloceanspaces.com/Ukraine_Witness_Datasheet/Worksheet/youtube_dl_1497592742788149252/index.html" TargetMode="External"/><Relationship Id="rId4995" Type="http://schemas.openxmlformats.org/officeDocument/2006/relationships/hyperlink" Target="https://bellingcat-archive.nyc3.cdn.digitaloceanspaces.com/Ukraine_Witness_Datasheet/Worksheet/youtube_dl_1498730997956947973.mp4" TargetMode="External"/><Relationship Id="rId1037" Type="http://schemas.openxmlformats.org/officeDocument/2006/relationships/hyperlink" Target="https://bellingcat-archive.nyc3.cdn.digitaloceanspaces.com/Ukraine_Witness_Datasheet/Worksheet/youtube_dl_1493002715412189186/index.html" TargetMode="External"/><Relationship Id="rId2368" Type="http://schemas.openxmlformats.org/officeDocument/2006/relationships/hyperlink" Target="https://bellingcat-archive.nyc3.cdn.digitaloceanspaces.com/Ukraine_Witness_Datasheet/Worksheet/youtube_dl__L_Team10_status_14961871047868457002022-02-25T12:56:58.503689.png" TargetMode="External"/><Relationship Id="rId1038" Type="http://schemas.openxmlformats.org/officeDocument/2006/relationships/hyperlink" Target="https://twitter.com/GirkinGirkin/status/1492955344041086981" TargetMode="External"/><Relationship Id="rId2369" Type="http://schemas.openxmlformats.org/officeDocument/2006/relationships/hyperlink" Target="https://bellingcat-archive.nyc3.cdn.digitaloceanspaces.com/Ukraine_Witness_Datasheet/Worksheet/youtube_dl_1496187104786845700/index.html" TargetMode="External"/><Relationship Id="rId3699" Type="http://schemas.openxmlformats.org/officeDocument/2006/relationships/hyperlink" Target="https://t.me/nexta_live/17843" TargetMode="External"/><Relationship Id="rId1039" Type="http://schemas.openxmlformats.org/officeDocument/2006/relationships/hyperlink" Target="https://twitter.com/gfusfus/status/1492987955027357705" TargetMode="External"/><Relationship Id="rId3690" Type="http://schemas.openxmlformats.org/officeDocument/2006/relationships/hyperlink" Target="https://bellingcat-archive.nyc3.cdn.digitaloceanspaces.com/Ukraine_Witness_Datasheet/Worksheet/youtube_dl__TRTRussian_status_14975651677936189442022-02-27T13:27:37.342445.png" TargetMode="External"/><Relationship Id="rId2360" Type="http://schemas.openxmlformats.org/officeDocument/2006/relationships/hyperlink" Target="https://bellingcat-archive.nyc3.cdn.digitaloceanspaces.com/Ukraine_Witness_Datasheet/Worksheet/twitter__ckoettl_status_14962615829296742452022-02-25T13:15:51.428597.png" TargetMode="External"/><Relationship Id="rId3692" Type="http://schemas.openxmlformats.org/officeDocument/2006/relationships/hyperlink" Target="https://twitter.com/hiko_cat_/status/1497559906467078144?s=20&amp;t=LWRuPZQx2D6yjJCx8E4jUw" TargetMode="External"/><Relationship Id="rId1030" Type="http://schemas.openxmlformats.org/officeDocument/2006/relationships/hyperlink" Target="https://bellingcat-archive.nyc3.cdn.digitaloceanspaces.com/Ukraine_Witness_Datasheet/Worksheet/youtube_dl_1493010561189269506.mp4" TargetMode="External"/><Relationship Id="rId2361" Type="http://schemas.openxmlformats.org/officeDocument/2006/relationships/hyperlink" Target="https://twitter.com/GirkinGirkin/status/1496565850949787651?s=20&amp;t=4fxy5yNDvSfHsb64Wq4XsQ" TargetMode="External"/><Relationship Id="rId3691" Type="http://schemas.openxmlformats.org/officeDocument/2006/relationships/hyperlink" Target="https://bellingcat-archive.nyc3.cdn.digitaloceanspaces.com/Ukraine_Witness_Datasheet/Worksheet/youtube_dl_1497565167793618944/index.html" TargetMode="External"/><Relationship Id="rId1031" Type="http://schemas.openxmlformats.org/officeDocument/2006/relationships/hyperlink" Target="https://bellingcat-archive.nyc3.cdn.digitaloceanspaces.com/Ukraine_Witness_Datasheet/Worksheet/youtube_dl__4emberlen_status_14930105611892695062022-02-25T13:59:58.131844.png" TargetMode="External"/><Relationship Id="rId2362" Type="http://schemas.openxmlformats.org/officeDocument/2006/relationships/hyperlink" Target="https://twitter.com/RALee85/status/1496566802616401927?s=20&amp;t=r6FLoPR5kG__OC2393Ob7A" TargetMode="External"/><Relationship Id="rId3694" Type="http://schemas.openxmlformats.org/officeDocument/2006/relationships/hyperlink" Target="https://bellingcat-archive.nyc3.cdn.digitaloceanspaces.com/Ukraine_Witness_Datasheet/Worksheet/twitter__hiko_cat__status_14975599064670781442022-02-27T13:27:52.233960.png" TargetMode="External"/><Relationship Id="rId1032" Type="http://schemas.openxmlformats.org/officeDocument/2006/relationships/hyperlink" Target="https://bellingcat-archive.nyc3.cdn.digitaloceanspaces.com/Ukraine_Witness_Datasheet/Worksheet/youtube_dl_1493010561189269506/index.html" TargetMode="External"/><Relationship Id="rId2363" Type="http://schemas.openxmlformats.org/officeDocument/2006/relationships/hyperlink" Target="https://bellingcat-archive.nyc3.cdn.digitaloceanspaces.com/Ukraine_Witness_Datasheet/Worksheet/twitter__GirkinGirkin_status_1496565850949787651.html" TargetMode="External"/><Relationship Id="rId3693" Type="http://schemas.openxmlformats.org/officeDocument/2006/relationships/hyperlink" Target="https://bellingcat-archive.nyc3.cdn.digitaloceanspaces.com/Ukraine_Witness_Datasheet/Worksheet/twitter__hiko_cat__status_1497559906467078144.html" TargetMode="External"/><Relationship Id="rId1033" Type="http://schemas.openxmlformats.org/officeDocument/2006/relationships/hyperlink" Target="https://twitter.com/4emberlen/status/1493002715412189186" TargetMode="External"/><Relationship Id="rId2364" Type="http://schemas.openxmlformats.org/officeDocument/2006/relationships/hyperlink" Target="https://bellingcat-archive.nyc3.cdn.digitaloceanspaces.com/Ukraine_Witness_Datasheet/Worksheet/twitter__GirkinGirkin_status_14965658509497876512022-02-25T13:15:32.004565.png" TargetMode="External"/><Relationship Id="rId3696" Type="http://schemas.openxmlformats.org/officeDocument/2006/relationships/hyperlink" Target="https://bellingcat-archive.nyc3.cdn.digitaloceanspaces.com/Ukraine_Witness_Datasheet/Worksheet/telegram_881652ddb9.mp4" TargetMode="External"/><Relationship Id="rId1034" Type="http://schemas.openxmlformats.org/officeDocument/2006/relationships/hyperlink" Target="https://twitter.com/gfusfus/status/1493009068964855814" TargetMode="External"/><Relationship Id="rId2365" Type="http://schemas.openxmlformats.org/officeDocument/2006/relationships/hyperlink" Target="https://twitter.com/L_Team10/status/1496187104786845700?s=20&amp;t=KdhrRKwB4U_nBTFJYvUStA" TargetMode="External"/><Relationship Id="rId3695" Type="http://schemas.openxmlformats.org/officeDocument/2006/relationships/hyperlink" Target="https://t.me/nexta_live/17843" TargetMode="External"/><Relationship Id="rId1035" Type="http://schemas.openxmlformats.org/officeDocument/2006/relationships/hyperlink" Target="https://bellingcat-archive.nyc3.cdn.digitaloceanspaces.com/Ukraine_Witness_Datasheet/Worksheet/youtube_dl_1493002715412189186.mp4" TargetMode="External"/><Relationship Id="rId2366" Type="http://schemas.openxmlformats.org/officeDocument/2006/relationships/hyperlink" Target="https://twitter.com/COUPSURE/status/1496190504198881282?s=20&amp;t=KdhrRKwB4U_nBTFJYvUStA" TargetMode="External"/><Relationship Id="rId3698" Type="http://schemas.openxmlformats.org/officeDocument/2006/relationships/hyperlink" Target="https://bellingcat-archive.nyc3.cdn.digitaloceanspaces.com/Ukraine_Witness_Datasheet/Worksheet/telegram_881652ddb9/index.html" TargetMode="External"/><Relationship Id="rId1036" Type="http://schemas.openxmlformats.org/officeDocument/2006/relationships/hyperlink" Target="https://bellingcat-archive.nyc3.cdn.digitaloceanspaces.com/Ukraine_Witness_Datasheet/Worksheet/youtube_dl__4emberlen_status_14930027154121891862022-02-25T14:00:19.589337.png" TargetMode="External"/><Relationship Id="rId2367" Type="http://schemas.openxmlformats.org/officeDocument/2006/relationships/hyperlink" Target="https://bellingcat-archive.nyc3.cdn.digitaloceanspaces.com/Ukraine_Witness_Datasheet/Worksheet/youtube_dl_1496187104786845700.mp4" TargetMode="External"/><Relationship Id="rId3697" Type="http://schemas.openxmlformats.org/officeDocument/2006/relationships/hyperlink" Target="https://bellingcat-archive.nyc3.cdn.digitaloceanspaces.com/Ukraine_Witness_Datasheet/Worksheet/telegram__nexta_live_178432022-02-27T13:28:02.491382.png" TargetMode="External"/><Relationship Id="rId1026" Type="http://schemas.openxmlformats.org/officeDocument/2006/relationships/hyperlink" Target="https://bellingcat-archive.nyc3.cdn.digitaloceanspaces.com/Ukraine_Witness_Datasheet/Worksheet/youtube_dl__GirkinGirkin_status_14898947645772308512022-02-25T13:59:40.059358.png" TargetMode="External"/><Relationship Id="rId2357" Type="http://schemas.openxmlformats.org/officeDocument/2006/relationships/hyperlink" Target="https://bellingcat-archive.nyc3.cdn.digitaloceanspaces.com/Ukraine_Witness_Datasheet/Worksheet/youtube_dl_1496521293126066181/index.html" TargetMode="External"/><Relationship Id="rId3689" Type="http://schemas.openxmlformats.org/officeDocument/2006/relationships/hyperlink" Target="https://bellingcat-archive.nyc3.cdn.digitaloceanspaces.com/Ukraine_Witness_Datasheet/Worksheet/youtube_dl_1497565167793618944.mp4" TargetMode="External"/><Relationship Id="rId1027" Type="http://schemas.openxmlformats.org/officeDocument/2006/relationships/hyperlink" Target="https://bellingcat-archive.nyc3.cdn.digitaloceanspaces.com/Ukraine_Witness_Datasheet/Worksheet/youtube_dl_1489894764577230851/index.html" TargetMode="External"/><Relationship Id="rId2358" Type="http://schemas.openxmlformats.org/officeDocument/2006/relationships/hyperlink" Target="https://twitter.com/ckoettl/status/1496261582929674245?s=20&amp;t=oxD3uzr6oKtW9D0Xd07RaA" TargetMode="External"/><Relationship Id="rId3688" Type="http://schemas.openxmlformats.org/officeDocument/2006/relationships/hyperlink" Target="https://twitter.com/TRTRussian/status/1497565167793618944?s=20&amp;t=LWRuPZQx2D6yjJCx8E4jUw" TargetMode="External"/><Relationship Id="rId1028" Type="http://schemas.openxmlformats.org/officeDocument/2006/relationships/hyperlink" Target="https://twitter.com/4emberlen/status/1493010561189269506" TargetMode="External"/><Relationship Id="rId2359" Type="http://schemas.openxmlformats.org/officeDocument/2006/relationships/hyperlink" Target="https://bellingcat-archive.nyc3.cdn.digitaloceanspaces.com/Ukraine_Witness_Datasheet/Worksheet/twitter__ckoettl_status_1496261582929674245.html" TargetMode="External"/><Relationship Id="rId1029" Type="http://schemas.openxmlformats.org/officeDocument/2006/relationships/hyperlink" Target="https://twitter.com/gfusfus/status/1493014484616728576" TargetMode="External"/><Relationship Id="rId3681" Type="http://schemas.openxmlformats.org/officeDocument/2006/relationships/hyperlink" Target="https://bellingcat-archive.nyc3.cdn.digitaloceanspaces.com/Ukraine_Witness_Datasheet/Worksheet/youtube_dl_1497900987448766467/index.html" TargetMode="External"/><Relationship Id="rId2350" Type="http://schemas.openxmlformats.org/officeDocument/2006/relationships/hyperlink" Target="https://twitter.com/ckoettl/status/1496260001094156288?s=20&amp;t=oxD3uzr6oKtW9D0Xd07RaA" TargetMode="External"/><Relationship Id="rId3680" Type="http://schemas.openxmlformats.org/officeDocument/2006/relationships/hyperlink" Target="https://bellingcat-archive.nyc3.cdn.digitaloceanspaces.com/Ukraine_Witness_Datasheet/Worksheet/youtube_dl__YWNReporter_status_14979009874487664672022-02-27T13:25:12.317407.png" TargetMode="External"/><Relationship Id="rId1020" Type="http://schemas.openxmlformats.org/officeDocument/2006/relationships/hyperlink" Target="https://bellingcat-archive.nyc3.cdn.digitaloceanspaces.com/Ukraine_Witness_Datasheet/Worksheet/youtube_dl_1489895328136536068.mp4" TargetMode="External"/><Relationship Id="rId2351" Type="http://schemas.openxmlformats.org/officeDocument/2006/relationships/hyperlink" Target="https://bellingcat-archive.nyc3.cdn.digitaloceanspaces.com/Ukraine_Witness_Datasheet/Worksheet/twitter__ckoettl_status_1496260001094156288.html" TargetMode="External"/><Relationship Id="rId3683" Type="http://schemas.openxmlformats.org/officeDocument/2006/relationships/hyperlink" Target="https://web.archive.org/web/20220227132613/https://twitter.com/michaelh992/status/1497561328092864515?t=-dPHO_fnyf-lbS0U_mNDzg" TargetMode="External"/><Relationship Id="rId1021" Type="http://schemas.openxmlformats.org/officeDocument/2006/relationships/hyperlink" Target="https://bellingcat-archive.nyc3.cdn.digitaloceanspaces.com/Ukraine_Witness_Datasheet/Worksheet/youtube_dl__GirkinGirkin_status_14898953281365360682022-02-25T13:59:20.355978.png" TargetMode="External"/><Relationship Id="rId2352" Type="http://schemas.openxmlformats.org/officeDocument/2006/relationships/hyperlink" Target="https://bellingcat-archive.nyc3.cdn.digitaloceanspaces.com/Ukraine_Witness_Datasheet/Worksheet/twitter__ckoettl_status_14962600010941562882022-02-25T13:16:09.169536.png" TargetMode="External"/><Relationship Id="rId3682" Type="http://schemas.openxmlformats.org/officeDocument/2006/relationships/hyperlink" Target="https://twitter.com/michaelh992/status/1497561328092864515?t=-dPHO_fnyf-lbS0U_mNDzg" TargetMode="External"/><Relationship Id="rId1022" Type="http://schemas.openxmlformats.org/officeDocument/2006/relationships/hyperlink" Target="https://bellingcat-archive.nyc3.cdn.digitaloceanspaces.com/Ukraine_Witness_Datasheet/Worksheet/youtube_dl_1489895328136536068/index.html" TargetMode="External"/><Relationship Id="rId2353" Type="http://schemas.openxmlformats.org/officeDocument/2006/relationships/hyperlink" Target="https://twitter.com/jakluge/status/1496521293126066181?s=20&amp;t=l9wWpS_B0SrTuJujs-1Nxg" TargetMode="External"/><Relationship Id="rId3685" Type="http://schemas.openxmlformats.org/officeDocument/2006/relationships/hyperlink" Target="https://twitter.com/24UkraineNews/status/1497556546334699526?s=20&amp;t=LWRuPZQx2D6yjJCx8E4jUw" TargetMode="External"/><Relationship Id="rId1023" Type="http://schemas.openxmlformats.org/officeDocument/2006/relationships/hyperlink" Target="https://twitter.com/GirkinGirkin/status/1489894764577230851" TargetMode="External"/><Relationship Id="rId2354" Type="http://schemas.openxmlformats.org/officeDocument/2006/relationships/hyperlink" Target="https://twitter.com/obretix/status/1496539729113853961?s=20&amp;t=l9wWpS_B0SrTuJujs-1Nxg" TargetMode="External"/><Relationship Id="rId3684" Type="http://schemas.openxmlformats.org/officeDocument/2006/relationships/hyperlink" Target="https://bellingcat-archive.nyc3.cdn.digitaloceanspaces.com/Ukraine_Witness_Datasheet/Worksheet/wayback__michaelh992_status_14975613280928645152022-02-27T13:26:20.164646.png" TargetMode="External"/><Relationship Id="rId1024" Type="http://schemas.openxmlformats.org/officeDocument/2006/relationships/hyperlink" Target="https://twitter.com/Danspiun/status/1489936974257471490" TargetMode="External"/><Relationship Id="rId2355" Type="http://schemas.openxmlformats.org/officeDocument/2006/relationships/hyperlink" Target="https://bellingcat-archive.nyc3.cdn.digitaloceanspaces.com/Ukraine_Witness_Datasheet/Worksheet/youtube_dl_1496521293126066181.mp4" TargetMode="External"/><Relationship Id="rId3687" Type="http://schemas.openxmlformats.org/officeDocument/2006/relationships/hyperlink" Target="https://bellingcat-archive.nyc3.cdn.digitaloceanspaces.com/Ukraine_Witness_Datasheet/Worksheet/wayback__24UkraineNews_status_14975565463346995262022-02-27T13:27:21.542555.png" TargetMode="External"/><Relationship Id="rId1025" Type="http://schemas.openxmlformats.org/officeDocument/2006/relationships/hyperlink" Target="https://bellingcat-archive.nyc3.cdn.digitaloceanspaces.com/Ukraine_Witness_Datasheet/Worksheet/youtube_dl_1489894764577230851.mp4" TargetMode="External"/><Relationship Id="rId2356" Type="http://schemas.openxmlformats.org/officeDocument/2006/relationships/hyperlink" Target="https://bellingcat-archive.nyc3.cdn.digitaloceanspaces.com/Ukraine_Witness_Datasheet/Worksheet/youtube_dl__jakluge_status_14965212931260661812022-02-25T13:01:19.132790.png" TargetMode="External"/><Relationship Id="rId3686" Type="http://schemas.openxmlformats.org/officeDocument/2006/relationships/hyperlink" Target="https://web.archive.org/web/20220227132717/https://twitter.com/24UkraineNews/status/1497556546334699526?s=20&amp;t=LWRuPZQx2D6yjJCx8E4jUw" TargetMode="External"/><Relationship Id="rId7219" Type="http://schemas.openxmlformats.org/officeDocument/2006/relationships/hyperlink" Target="https://twitter.com/tweetsNV/status/1500463681863364613" TargetMode="External"/><Relationship Id="rId7210" Type="http://schemas.openxmlformats.org/officeDocument/2006/relationships/hyperlink" Target="https://twitter.com/Cen4infoRes/status/1500418266078011404" TargetMode="External"/><Relationship Id="rId7214" Type="http://schemas.openxmlformats.org/officeDocument/2006/relationships/hyperlink" Target="https://t.me/truexanewsua/30141" TargetMode="External"/><Relationship Id="rId7213" Type="http://schemas.openxmlformats.org/officeDocument/2006/relationships/hyperlink" Target="https://bellingcat-archive.nyc3.cdn.digitaloceanspaces.com/Ukraine_Witness_Datasheet/Worksheet/youtube_dl_1500377845675311105/index.html" TargetMode="External"/><Relationship Id="rId7212" Type="http://schemas.openxmlformats.org/officeDocument/2006/relationships/hyperlink" Target="https://bellingcat-archive.nyc3.cdn.digitaloceanspaces.com/Ukraine_Witness_Datasheet/Worksheet/youtube_dl__Cen4infoRes_status_15004182660780114042022-03-08T16:44:32.973359.png" TargetMode="External"/><Relationship Id="rId7211" Type="http://schemas.openxmlformats.org/officeDocument/2006/relationships/hyperlink" Target="https://bellingcat-archive.nyc3.cdn.digitaloceanspaces.com/Ukraine_Witness_Datasheet/Worksheet/youtube_dl_1500377845675311105.mp4" TargetMode="External"/><Relationship Id="rId7218" Type="http://schemas.openxmlformats.org/officeDocument/2006/relationships/hyperlink" Target="https://t.me/truexanewsua/30141" TargetMode="External"/><Relationship Id="rId7217" Type="http://schemas.openxmlformats.org/officeDocument/2006/relationships/hyperlink" Target="https://bellingcat-archive.nyc3.cdn.digitaloceanspaces.com/Ukraine_Witness_Datasheet/Worksheet/telegram_6c38f682d9/index.html" TargetMode="External"/><Relationship Id="rId7216" Type="http://schemas.openxmlformats.org/officeDocument/2006/relationships/hyperlink" Target="https://bellingcat-archive.nyc3.cdn.digitaloceanspaces.com/Ukraine_Witness_Datasheet/Worksheet/telegram__truexanewsua_301412022-03-08T16:44:47.849430.png" TargetMode="External"/><Relationship Id="rId7215" Type="http://schemas.openxmlformats.org/officeDocument/2006/relationships/hyperlink" Target="https://bellingcat-archive.nyc3.cdn.digitaloceanspaces.com/Ukraine_Witness_Datasheet/Worksheet/telegram_6c38f682d9.mp4" TargetMode="External"/><Relationship Id="rId7209" Type="http://schemas.openxmlformats.org/officeDocument/2006/relationships/hyperlink" Target="https://bellingcat-archive.nyc3.cdn.digitaloceanspaces.com/Ukraine_Witness_Datasheet/Worksheet/youtube_dl_1500521071765856267/index.html" TargetMode="External"/><Relationship Id="rId7208" Type="http://schemas.openxmlformats.org/officeDocument/2006/relationships/hyperlink" Target="https://bellingcat-archive.nyc3.cdn.digitaloceanspaces.com/Ukraine_Witness_Datasheet/Worksheet/youtube_dl__OmaGunn_status_15005210717658562672022-03-08T16:44:18.287037.png" TargetMode="External"/><Relationship Id="rId7203" Type="http://schemas.openxmlformats.org/officeDocument/2006/relationships/hyperlink" Target="https://bellingcat-archive.nyc3.cdn.digitaloceanspaces.com/Ukraine_Witness_Datasheet/Worksheet/youtube_dl_1500386437421797377.mp4" TargetMode="External"/><Relationship Id="rId7202" Type="http://schemas.openxmlformats.org/officeDocument/2006/relationships/hyperlink" Target="https://twitter.com/VlasnaSprava_UA/status/1500386437421797377" TargetMode="External"/><Relationship Id="rId7201" Type="http://schemas.openxmlformats.org/officeDocument/2006/relationships/hyperlink" Target="https://bellingcat-archive.nyc3.cdn.digitaloceanspaces.com/Ukraine_Witness_Datasheet/Worksheet/youtube_dl_1500524057556570119/index.html" TargetMode="External"/><Relationship Id="rId7200" Type="http://schemas.openxmlformats.org/officeDocument/2006/relationships/hyperlink" Target="https://bellingcat-archive.nyc3.cdn.digitaloceanspaces.com/Ukraine_Witness_Datasheet/Worksheet/youtube_dl__Mila100500_status_15005240575565701192022-03-08T16:43:47.429758.png" TargetMode="External"/><Relationship Id="rId7207" Type="http://schemas.openxmlformats.org/officeDocument/2006/relationships/hyperlink" Target="https://bellingcat-archive.nyc3.cdn.digitaloceanspaces.com/Ukraine_Witness_Datasheet/Worksheet/youtube_dl_1500521071765856267.mp4" TargetMode="External"/><Relationship Id="rId7206" Type="http://schemas.openxmlformats.org/officeDocument/2006/relationships/hyperlink" Target="https://twitter.com/OmaGunn/status/1500521071765856267" TargetMode="External"/><Relationship Id="rId7205" Type="http://schemas.openxmlformats.org/officeDocument/2006/relationships/hyperlink" Target="https://bellingcat-archive.nyc3.cdn.digitaloceanspaces.com/Ukraine_Witness_Datasheet/Worksheet/youtube_dl_1500386437421797377/index.html" TargetMode="External"/><Relationship Id="rId7204" Type="http://schemas.openxmlformats.org/officeDocument/2006/relationships/hyperlink" Target="https://bellingcat-archive.nyc3.cdn.digitaloceanspaces.com/Ukraine_Witness_Datasheet/Worksheet/youtube_dl__VlasnaSprava_UA_status_15003864374217973772022-03-08T16:44:03.406092.png" TargetMode="External"/><Relationship Id="rId1090" Type="http://schemas.openxmlformats.org/officeDocument/2006/relationships/hyperlink" Target="https://twitter.com/herooftheday10/status/1492803318187442178" TargetMode="External"/><Relationship Id="rId1091" Type="http://schemas.openxmlformats.org/officeDocument/2006/relationships/hyperlink" Target="https://twitter.com/gfusfus/status/1492824885638356994" TargetMode="External"/><Relationship Id="rId1092" Type="http://schemas.openxmlformats.org/officeDocument/2006/relationships/hyperlink" Target="https://web.archive.org/web/20220225140907/https://twitter.com/herooftheday10/status/1492803318187442178" TargetMode="External"/><Relationship Id="rId1093" Type="http://schemas.openxmlformats.org/officeDocument/2006/relationships/hyperlink" Target="https://bellingcat-archive.nyc3.cdn.digitaloceanspaces.com/Ukraine_Witness_Datasheet/Worksheet/wayback__herooftheday10_status_14928033181874421782022-02-25T14:09:12.989715.png" TargetMode="External"/><Relationship Id="rId1094" Type="http://schemas.openxmlformats.org/officeDocument/2006/relationships/hyperlink" Target="https://twitter.com/4emberlen/status/1492807867593859074" TargetMode="External"/><Relationship Id="rId1095" Type="http://schemas.openxmlformats.org/officeDocument/2006/relationships/hyperlink" Target="https://twitter.com/gfusfus/status/1492821201575677954" TargetMode="External"/><Relationship Id="rId1096" Type="http://schemas.openxmlformats.org/officeDocument/2006/relationships/hyperlink" Target="https://bellingcat-archive.nyc3.cdn.digitaloceanspaces.com/Ukraine_Witness_Datasheet/Worksheet/youtube_dl_1492807867593859074.mp4" TargetMode="External"/><Relationship Id="rId1097" Type="http://schemas.openxmlformats.org/officeDocument/2006/relationships/hyperlink" Target="https://bellingcat-archive.nyc3.cdn.digitaloceanspaces.com/Ukraine_Witness_Datasheet/Worksheet/youtube_dl__4emberlen_status_14928078675938590742022-02-25T14:09:29.313189.png" TargetMode="External"/><Relationship Id="rId1098" Type="http://schemas.openxmlformats.org/officeDocument/2006/relationships/hyperlink" Target="https://bellingcat-archive.nyc3.cdn.digitaloceanspaces.com/Ukraine_Witness_Datasheet/Worksheet/youtube_dl_1492807867593859074/index.html" TargetMode="External"/><Relationship Id="rId1099" Type="http://schemas.openxmlformats.org/officeDocument/2006/relationships/hyperlink" Target="https://twitter.com/GirkinGirkin/status/1492618460265865217" TargetMode="External"/><Relationship Id="rId1080" Type="http://schemas.openxmlformats.org/officeDocument/2006/relationships/hyperlink" Target="https://bellingcat-archive.nyc3.cdn.digitaloceanspaces.com/Ukraine_Witness_Datasheet/Worksheet/youtube_dl__GirkinGirkin_status_14928575346712002582022-02-25T14:04:56.165651.png" TargetMode="External"/><Relationship Id="rId1081" Type="http://schemas.openxmlformats.org/officeDocument/2006/relationships/hyperlink" Target="https://bellingcat-archive.nyc3.cdn.digitaloceanspaces.com/Ukraine_Witness_Datasheet/Worksheet/youtube_dl_1492857534671200258/index.html" TargetMode="External"/><Relationship Id="rId1082" Type="http://schemas.openxmlformats.org/officeDocument/2006/relationships/hyperlink" Target="https://twitter.com/herooftheday10/status/1492804755630047236" TargetMode="External"/><Relationship Id="rId1083" Type="http://schemas.openxmlformats.org/officeDocument/2006/relationships/hyperlink" Target="https://twitter.com/gfusfus/status/1492862447836880902" TargetMode="External"/><Relationship Id="rId1084" Type="http://schemas.openxmlformats.org/officeDocument/2006/relationships/hyperlink" Target="https://web.archive.org/web/20220225140559/https://twitter.com/herooftheday10/status/1492804755630047236" TargetMode="External"/><Relationship Id="rId1085" Type="http://schemas.openxmlformats.org/officeDocument/2006/relationships/hyperlink" Target="https://bellingcat-archive.nyc3.cdn.digitaloceanspaces.com/Ukraine_Witness_Datasheet/Worksheet/wayback__herooftheday10_status_14928047556300472362022-02-25T14:06:11.953929.png" TargetMode="External"/><Relationship Id="rId1086" Type="http://schemas.openxmlformats.org/officeDocument/2006/relationships/hyperlink" Target="https://twitter.com/herooftheday10/status/1492850305070817285" TargetMode="External"/><Relationship Id="rId1087" Type="http://schemas.openxmlformats.org/officeDocument/2006/relationships/hyperlink" Target="https://twitter.com/gfusfus/status/1492853265402408971" TargetMode="External"/><Relationship Id="rId1088" Type="http://schemas.openxmlformats.org/officeDocument/2006/relationships/hyperlink" Target="https://web.archive.org/web/20220225140740/https://twitter.com/herooftheday10/status/1492850305070817285" TargetMode="External"/><Relationship Id="rId1089" Type="http://schemas.openxmlformats.org/officeDocument/2006/relationships/hyperlink" Target="https://bellingcat-archive.nyc3.cdn.digitaloceanspaces.com/Ukraine_Witness_Datasheet/Worksheet/wayback__herooftheday10_status_14928503050708172852022-02-25T14:07:51.342910.png" TargetMode="External"/><Relationship Id="rId7272" Type="http://schemas.openxmlformats.org/officeDocument/2006/relationships/hyperlink" Target="https://t.co/oYz83rxpHS" TargetMode="External"/><Relationship Id="rId7271" Type="http://schemas.openxmlformats.org/officeDocument/2006/relationships/hyperlink" Target="https://bellingcat-archive.nyc3.cdn.digitaloceanspaces.com/Ukraine_Witness_Datasheet/Worksheet/twitter__no_itsmyturn_status_15001396789844582422022-03-08T16:52:12.522163.png" TargetMode="External"/><Relationship Id="rId7270" Type="http://schemas.openxmlformats.org/officeDocument/2006/relationships/hyperlink" Target="https://bellingcat-archive.nyc3.cdn.digitaloceanspaces.com/Ukraine_Witness_Datasheet/Worksheet/twitter__no_itsmyturn_status_1500139678984458242.html" TargetMode="External"/><Relationship Id="rId7276" Type="http://schemas.openxmlformats.org/officeDocument/2006/relationships/hyperlink" Target="https://t.me/dvish_alive/9166" TargetMode="External"/><Relationship Id="rId7275" Type="http://schemas.openxmlformats.org/officeDocument/2006/relationships/hyperlink" Target="https://bellingcat-archive.nyc3.cdn.digitaloceanspaces.com/Ukraine_Witness_Datasheet/Worksheet/telegram_689592a1c1/index.html" TargetMode="External"/><Relationship Id="rId7274" Type="http://schemas.openxmlformats.org/officeDocument/2006/relationships/hyperlink" Target="https://bellingcat-archive.nyc3.cdn.digitaloceanspaces.com/Ukraine_Witness_Datasheet/Worksheet/telegram__dvish_alive_91662022-03-08T16:52:23.100153.png" TargetMode="External"/><Relationship Id="rId7273" Type="http://schemas.openxmlformats.org/officeDocument/2006/relationships/hyperlink" Target="https://bellingcat-archive.nyc3.cdn.digitaloceanspaces.com/Ukraine_Witness_Datasheet/Worksheet/telegram_689592a1c1.mp4" TargetMode="External"/><Relationship Id="rId7279" Type="http://schemas.openxmlformats.org/officeDocument/2006/relationships/hyperlink" Target="https://bellingcat-archive.nyc3.cdn.digitaloceanspaces.com/Ukraine_Witness_Datasheet/Worksheet/youtube_dl__RALee85_status_15003858628860354562022-03-08T16:53:20.097683.png" TargetMode="External"/><Relationship Id="rId7278" Type="http://schemas.openxmlformats.org/officeDocument/2006/relationships/hyperlink" Target="https://bellingcat-archive.nyc3.cdn.digitaloceanspaces.com/Ukraine_Witness_Datasheet/Worksheet/youtube_dl_1500385862886035456.mp4" TargetMode="External"/><Relationship Id="rId7277" Type="http://schemas.openxmlformats.org/officeDocument/2006/relationships/hyperlink" Target="https://twitter.com/RALee85/status/1500385862886035456?s=20&amp;t=TjkNDOru4S1sy3KsqTFRlg" TargetMode="External"/><Relationship Id="rId7261" Type="http://schemas.openxmlformats.org/officeDocument/2006/relationships/hyperlink" Target="https://t.me/Pravda_Gerashchenko/2218" TargetMode="External"/><Relationship Id="rId7260" Type="http://schemas.openxmlformats.org/officeDocument/2006/relationships/hyperlink" Target="https://bellingcat-archive.nyc3.cdn.digitaloceanspaces.com/Ukraine_Witness_Datasheet/Worksheet/telegram_d29c0d56d3/index.html" TargetMode="External"/><Relationship Id="rId7265" Type="http://schemas.openxmlformats.org/officeDocument/2006/relationships/hyperlink" Target="https://twitter.com/verkhovna_rada/status/1500112907857805314?s=20&amp;t=GqTOFHa6gHfWQzs02eGxSQ" TargetMode="External"/><Relationship Id="rId7264" Type="http://schemas.openxmlformats.org/officeDocument/2006/relationships/hyperlink" Target="https://bellingcat-archive.nyc3.cdn.digitaloceanspaces.com/Ukraine_Witness_Datasheet/Worksheet/twitter__loogunda_status_15001232870950625382022-03-08T16:51:45.855566.png" TargetMode="External"/><Relationship Id="rId7263" Type="http://schemas.openxmlformats.org/officeDocument/2006/relationships/hyperlink" Target="https://bellingcat-archive.nyc3.cdn.digitaloceanspaces.com/Ukraine_Witness_Datasheet/Worksheet/twitter__loogunda_status_1500123287095062538.html" TargetMode="External"/><Relationship Id="rId7262" Type="http://schemas.openxmlformats.org/officeDocument/2006/relationships/hyperlink" Target="https://twitter.com/loogunda/status/1500123287095062538?s=20&amp;t=tyeo2tE3hf0NX5ARWBZVKw" TargetMode="External"/><Relationship Id="rId7269" Type="http://schemas.openxmlformats.org/officeDocument/2006/relationships/hyperlink" Target="https://twitter.com/no_itsmyturn/status/1500139678984458242?s=20&amp;t=6sble_Ka3hmjqItC5OxxmQ" TargetMode="External"/><Relationship Id="rId7268" Type="http://schemas.openxmlformats.org/officeDocument/2006/relationships/hyperlink" Target="https://bellingcat-archive.nyc3.cdn.digitaloceanspaces.com/Ukraine_Witness_Datasheet/Worksheet/youtube_dl_1500112907857805314/index.html" TargetMode="External"/><Relationship Id="rId7267" Type="http://schemas.openxmlformats.org/officeDocument/2006/relationships/hyperlink" Target="https://bellingcat-archive.nyc3.cdn.digitaloceanspaces.com/Ukraine_Witness_Datasheet/Worksheet/youtube_dl__verkhovna_rada_status_15001129078578053142022-03-08T16:51:57.094597.png" TargetMode="External"/><Relationship Id="rId7266" Type="http://schemas.openxmlformats.org/officeDocument/2006/relationships/hyperlink" Target="https://bellingcat-archive.nyc3.cdn.digitaloceanspaces.com/Ukraine_Witness_Datasheet/Worksheet/youtube_dl_1500112907857805314.mp4" TargetMode="External"/><Relationship Id="rId7294" Type="http://schemas.openxmlformats.org/officeDocument/2006/relationships/hyperlink" Target="https://bellingcat-archive.nyc3.cdn.digitaloceanspaces.com/Ukraine_Witness_Datasheet/Worksheet/telegram__nexta_live_202042022-03-08T16:55:32.911124.png" TargetMode="External"/><Relationship Id="rId7293" Type="http://schemas.openxmlformats.org/officeDocument/2006/relationships/hyperlink" Target="https://bellingcat-archive.nyc3.cdn.digitaloceanspaces.com/Ukraine_Witness_Datasheet/Worksheet/telegram__nexta_live_20204.html" TargetMode="External"/><Relationship Id="rId7292" Type="http://schemas.openxmlformats.org/officeDocument/2006/relationships/hyperlink" Target="https://t.me/nexta_live/20204" TargetMode="External"/><Relationship Id="rId7291" Type="http://schemas.openxmlformats.org/officeDocument/2006/relationships/hyperlink" Target="https://t.me/nexta_live/20188" TargetMode="External"/><Relationship Id="rId7298" Type="http://schemas.openxmlformats.org/officeDocument/2006/relationships/hyperlink" Target="https://bellingcat-archive.nyc3.cdn.digitaloceanspaces.com/Ukraine_Witness_Datasheet/Worksheet/telegram_5c5133e05c/index.html" TargetMode="External"/><Relationship Id="rId7297" Type="http://schemas.openxmlformats.org/officeDocument/2006/relationships/hyperlink" Target="https://bellingcat-archive.nyc3.cdn.digitaloceanspaces.com/Ukraine_Witness_Datasheet/Worksheet/telegram__nexta_live_202322022-03-08T16:55:43.646038.png" TargetMode="External"/><Relationship Id="rId7296" Type="http://schemas.openxmlformats.org/officeDocument/2006/relationships/hyperlink" Target="https://bellingcat-archive.nyc3.cdn.digitaloceanspaces.com/Ukraine_Witness_Datasheet/Worksheet/telegram_5c5133e05c.mp4" TargetMode="External"/><Relationship Id="rId7295" Type="http://schemas.openxmlformats.org/officeDocument/2006/relationships/hyperlink" Target="https://t.me/nexta_live/20232" TargetMode="External"/><Relationship Id="rId7299" Type="http://schemas.openxmlformats.org/officeDocument/2006/relationships/hyperlink" Target="https://t.me/nexta_live/20232" TargetMode="External"/><Relationship Id="rId7290" Type="http://schemas.openxmlformats.org/officeDocument/2006/relationships/hyperlink" Target="https://bellingcat-archive.nyc3.cdn.digitaloceanspaces.com/Ukraine_Witness_Datasheet/Worksheet/telegram_0dd2f806bc/index.html" TargetMode="External"/><Relationship Id="rId7283" Type="http://schemas.openxmlformats.org/officeDocument/2006/relationships/hyperlink" Target="https://bellingcat-archive.nyc3.cdn.digitaloceanspaces.com/Ukraine_Witness_Datasheet/Worksheet/wayback__FedorovMykhailo_status_15008082953507758092022-03-08T16:54:43.469188.png" TargetMode="External"/><Relationship Id="rId7282" Type="http://schemas.openxmlformats.org/officeDocument/2006/relationships/hyperlink" Target="https://web.archive.org/web/20220308164424/https://twitter.com/FedorovMykhailo/status/1500808295350775809?s=20&amp;t=4XJHaeUf5nMjVZcHS4ithg" TargetMode="External"/><Relationship Id="rId7281" Type="http://schemas.openxmlformats.org/officeDocument/2006/relationships/hyperlink" Target="https://twitter.com/FedorovMykhailo/status/1500808295350775809?s=20&amp;t=4XJHaeUf5nMjVZcHS4ithg" TargetMode="External"/><Relationship Id="rId7280" Type="http://schemas.openxmlformats.org/officeDocument/2006/relationships/hyperlink" Target="https://bellingcat-archive.nyc3.cdn.digitaloceanspaces.com/Ukraine_Witness_Datasheet/Worksheet/youtube_dl_1500385862886035456/index.html" TargetMode="External"/><Relationship Id="rId7287" Type="http://schemas.openxmlformats.org/officeDocument/2006/relationships/hyperlink" Target="https://t.me/nexta_live/20188" TargetMode="External"/><Relationship Id="rId7286" Type="http://schemas.openxmlformats.org/officeDocument/2006/relationships/hyperlink" Target="https://bellingcat-archive.nyc3.cdn.digitaloceanspaces.com/Ukraine_Witness_Datasheet/Worksheet/telegram__nexta_live_201142022-03-08T16:54:53.514850.png" TargetMode="External"/><Relationship Id="rId7285" Type="http://schemas.openxmlformats.org/officeDocument/2006/relationships/hyperlink" Target="https://bellingcat-archive.nyc3.cdn.digitaloceanspaces.com/Ukraine_Witness_Datasheet/Worksheet/telegram__nexta_live_20114.html" TargetMode="External"/><Relationship Id="rId7284" Type="http://schemas.openxmlformats.org/officeDocument/2006/relationships/hyperlink" Target="https://t.me/nexta_live/20114" TargetMode="External"/><Relationship Id="rId7289" Type="http://schemas.openxmlformats.org/officeDocument/2006/relationships/hyperlink" Target="https://bellingcat-archive.nyc3.cdn.digitaloceanspaces.com/Ukraine_Witness_Datasheet/Worksheet/telegram__nexta_live_201882022-03-08T16:55:06.424657.png" TargetMode="External"/><Relationship Id="rId7288" Type="http://schemas.openxmlformats.org/officeDocument/2006/relationships/hyperlink" Target="https://bellingcat-archive.nyc3.cdn.digitaloceanspaces.com/Ukraine_Witness_Datasheet/Worksheet/telegram_0dd2f806bc.mp4" TargetMode="External"/><Relationship Id="rId7232" Type="http://schemas.openxmlformats.org/officeDocument/2006/relationships/hyperlink" Target="https://twitter.com/StratejikGndem3/status/1500443151957471240?s=20&amp;t=6RVU-e_0ChImJ3AHpWlYYA" TargetMode="External"/><Relationship Id="rId7231" Type="http://schemas.openxmlformats.org/officeDocument/2006/relationships/hyperlink" Target="https://bellingcat-archive.nyc3.cdn.digitaloceanspaces.com/Ukraine_Witness_Datasheet/Worksheet/wayback__lynseyaddario_status_15004690037807718462022-03-08T16:49:02.158890.png" TargetMode="External"/><Relationship Id="rId7230" Type="http://schemas.openxmlformats.org/officeDocument/2006/relationships/hyperlink" Target="https://web.archive.org/web/20220308164853/https://twitter.com/lynseyaddario/status/1500469003780771846" TargetMode="External"/><Relationship Id="rId7236" Type="http://schemas.openxmlformats.org/officeDocument/2006/relationships/hyperlink" Target="https://bellingcat-archive.nyc3.cdn.digitaloceanspaces.com/Ukraine_Witness_Datasheet/Worksheet/twitter__StratejikGndem3_status_1500472656549842955.html" TargetMode="External"/><Relationship Id="rId7235" Type="http://schemas.openxmlformats.org/officeDocument/2006/relationships/hyperlink" Target="https://twitter.com/StratejikGndem3/status/1500472656549842955?s=20&amp;t=6RVU-e_0ChImJ3AHpWlYYA" TargetMode="External"/><Relationship Id="rId7234" Type="http://schemas.openxmlformats.org/officeDocument/2006/relationships/hyperlink" Target="https://bellingcat-archive.nyc3.cdn.digitaloceanspaces.com/Ukraine_Witness_Datasheet/Worksheet/twitter__StratejikGndem3_status_15004431519574712402022-03-08T16:49:15.156558.png" TargetMode="External"/><Relationship Id="rId7233" Type="http://schemas.openxmlformats.org/officeDocument/2006/relationships/hyperlink" Target="https://bellingcat-archive.nyc3.cdn.digitaloceanspaces.com/Ukraine_Witness_Datasheet/Worksheet/twitter__StratejikGndem3_status_1500443151957471240.html" TargetMode="External"/><Relationship Id="rId7239" Type="http://schemas.openxmlformats.org/officeDocument/2006/relationships/hyperlink" Target="https://bellingcat-archive.nyc3.cdn.digitaloceanspaces.com/Ukraine_Witness_Datasheet/Worksheet/youtube_dl_1500510896619237382.mp4" TargetMode="External"/><Relationship Id="rId7238" Type="http://schemas.openxmlformats.org/officeDocument/2006/relationships/hyperlink" Target="https://twitter.com/olex_scherba/status/1500510896619237382?s=20&amp;t=nTR7XJITxjvNhsMp7zS8Cw" TargetMode="External"/><Relationship Id="rId7237" Type="http://schemas.openxmlformats.org/officeDocument/2006/relationships/hyperlink" Target="https://bellingcat-archive.nyc3.cdn.digitaloceanspaces.com/Ukraine_Witness_Datasheet/Worksheet/twitter__StratejikGndem3_status_15004726565498429552022-03-08T16:49:27.340459.png" TargetMode="External"/><Relationship Id="rId7221" Type="http://schemas.openxmlformats.org/officeDocument/2006/relationships/hyperlink" Target="https://bellingcat-archive.nyc3.cdn.digitaloceanspaces.com/Ukraine_Witness_Datasheet/Worksheet/twitter__tweetsNV_status_15004636818633646132022-03-08T16:45:26.388243.png" TargetMode="External"/><Relationship Id="rId7220" Type="http://schemas.openxmlformats.org/officeDocument/2006/relationships/hyperlink" Target="https://bellingcat-archive.nyc3.cdn.digitaloceanspaces.com/Ukraine_Witness_Datasheet/Worksheet/twitter__tweetsNV_status_1500463681863364613.html" TargetMode="External"/><Relationship Id="rId7225" Type="http://schemas.openxmlformats.org/officeDocument/2006/relationships/hyperlink" Target="https://bellingcat-archive.nyc3.cdn.digitaloceanspaces.com/Ukraine_Witness_Datasheet/Worksheet/youtube_dl_1500465245210525696/index.html" TargetMode="External"/><Relationship Id="rId7224" Type="http://schemas.openxmlformats.org/officeDocument/2006/relationships/hyperlink" Target="https://bellingcat-archive.nyc3.cdn.digitaloceanspaces.com/Ukraine_Witness_Datasheet/Worksheet/youtube_dl__Cen4infoRes_status_15004880644430725122022-03-08T16:45:37.768667.png" TargetMode="External"/><Relationship Id="rId7223" Type="http://schemas.openxmlformats.org/officeDocument/2006/relationships/hyperlink" Target="https://bellingcat-archive.nyc3.cdn.digitaloceanspaces.com/Ukraine_Witness_Datasheet/Worksheet/youtube_dl_1500465245210525696.mp4" TargetMode="External"/><Relationship Id="rId7222" Type="http://schemas.openxmlformats.org/officeDocument/2006/relationships/hyperlink" Target="https://twitter.com/Cen4infoRes/status/1500488064443072512?s=20&amp;t=rgyuvVoZFYxPm5oqK0fSkg" TargetMode="External"/><Relationship Id="rId7229" Type="http://schemas.openxmlformats.org/officeDocument/2006/relationships/hyperlink" Target="https://twitter.com/lynseyaddario/status/1500469003780771846" TargetMode="External"/><Relationship Id="rId7228" Type="http://schemas.openxmlformats.org/officeDocument/2006/relationships/hyperlink" Target="https://bellingcat-archive.nyc3.cdn.digitaloceanspaces.com/Ukraine_Witness_Datasheet/Worksheet/wayback__sergey.gaidai.loga_posts_1339488891445032022-03-08T16:47:45.721994.png" TargetMode="External"/><Relationship Id="rId7227" Type="http://schemas.openxmlformats.org/officeDocument/2006/relationships/hyperlink" Target="https://web.archive.org/web/20220308164701/https://www.facebook.com/login/?next=https%3A%2F%2Fwww.facebook.com%2Fsergey.gaidai.loga%2Fposts%2F133948889144503" TargetMode="External"/><Relationship Id="rId7226" Type="http://schemas.openxmlformats.org/officeDocument/2006/relationships/hyperlink" Target="https://www.facebook.com/sergey.gaidai.loga/posts/133948889144503" TargetMode="External"/><Relationship Id="rId7250" Type="http://schemas.openxmlformats.org/officeDocument/2006/relationships/hyperlink" Target="https://twitter.com/XyKyiv/status/1500501306133336067?s=20&amp;t=CDkM_Huu-jlAAMH4yn95mw" TargetMode="External"/><Relationship Id="rId7254" Type="http://schemas.openxmlformats.org/officeDocument/2006/relationships/hyperlink" Target="https://t.me/Pravda_Gerashchenko/2304" TargetMode="External"/><Relationship Id="rId7253" Type="http://schemas.openxmlformats.org/officeDocument/2006/relationships/hyperlink" Target="https://bellingcat-archive.nyc3.cdn.digitaloceanspaces.com/Ukraine_Witness_Datasheet/Worksheet/youtube_dl_1500501306133336067/index.html" TargetMode="External"/><Relationship Id="rId7252" Type="http://schemas.openxmlformats.org/officeDocument/2006/relationships/hyperlink" Target="https://bellingcat-archive.nyc3.cdn.digitaloceanspaces.com/Ukraine_Witness_Datasheet/Worksheet/youtube_dl__XyKyiv_status_15005013061333360672022-03-08T16:50:31.235444.png" TargetMode="External"/><Relationship Id="rId7251" Type="http://schemas.openxmlformats.org/officeDocument/2006/relationships/hyperlink" Target="https://bellingcat-archive.nyc3.cdn.digitaloceanspaces.com/Ukraine_Witness_Datasheet/Worksheet/youtube_dl_1500501306133336067.mp4" TargetMode="External"/><Relationship Id="rId7258" Type="http://schemas.openxmlformats.org/officeDocument/2006/relationships/hyperlink" Target="https://bellingcat-archive.nyc3.cdn.digitaloceanspaces.com/Ukraine_Witness_Datasheet/Worksheet/telegram_d29c0d56d3.mp4" TargetMode="External"/><Relationship Id="rId7257" Type="http://schemas.openxmlformats.org/officeDocument/2006/relationships/hyperlink" Target="https://t.me/Pravda_Gerashchenko/2218" TargetMode="External"/><Relationship Id="rId7256" Type="http://schemas.openxmlformats.org/officeDocument/2006/relationships/hyperlink" Target="https://bellingcat-archive.nyc3.cdn.digitaloceanspaces.com/Ukraine_Witness_Datasheet/Worksheet/telegram__Pravda_Gerashchenko_23042022-03-08T16:50:45.688351.png" TargetMode="External"/><Relationship Id="rId7255" Type="http://schemas.openxmlformats.org/officeDocument/2006/relationships/hyperlink" Target="https://bellingcat-archive.nyc3.cdn.digitaloceanspaces.com/Ukraine_Witness_Datasheet/Worksheet/telegram__Pravda_Gerashchenko_2304.html" TargetMode="External"/><Relationship Id="rId7259" Type="http://schemas.openxmlformats.org/officeDocument/2006/relationships/hyperlink" Target="https://bellingcat-archive.nyc3.cdn.digitaloceanspaces.com/Ukraine_Witness_Datasheet/Worksheet/telegram__Pravda_Gerashchenko_22182022-03-08T16:50:59.513169.png" TargetMode="External"/><Relationship Id="rId7243" Type="http://schemas.openxmlformats.org/officeDocument/2006/relationships/hyperlink" Target="https://bellingcat-archive.nyc3.cdn.digitaloceanspaces.com/Ukraine_Witness_Datasheet/Worksheet/youtube_dl_1500486915040190466.mp4" TargetMode="External"/><Relationship Id="rId7242" Type="http://schemas.openxmlformats.org/officeDocument/2006/relationships/hyperlink" Target="https://twitter.com/ukraine_world/status/1500486915040190466?s=20&amp;t=nTR7XJITxjvNhsMp7zS8Cw" TargetMode="External"/><Relationship Id="rId7241" Type="http://schemas.openxmlformats.org/officeDocument/2006/relationships/hyperlink" Target="https://bellingcat-archive.nyc3.cdn.digitaloceanspaces.com/Ukraine_Witness_Datasheet/Worksheet/youtube_dl_1500510896619237382/index.html" TargetMode="External"/><Relationship Id="rId7240" Type="http://schemas.openxmlformats.org/officeDocument/2006/relationships/hyperlink" Target="https://bellingcat-archive.nyc3.cdn.digitaloceanspaces.com/Ukraine_Witness_Datasheet/Worksheet/youtube_dl__olex_scherba_status_15005108966192373822022-03-08T16:49:39.062350.png" TargetMode="External"/><Relationship Id="rId7247" Type="http://schemas.openxmlformats.org/officeDocument/2006/relationships/hyperlink" Target="https://bellingcat-archive.nyc3.cdn.digitaloceanspaces.com/Ukraine_Witness_Datasheet/Worksheet/youtube_dl_1500507266633674752.mp4" TargetMode="External"/><Relationship Id="rId7246" Type="http://schemas.openxmlformats.org/officeDocument/2006/relationships/hyperlink" Target="https://twitter.com/EncryptEddie/status/1500507266633674752?s=20&amp;t=nTR7XJITxjvNhsMp7zS8Cw" TargetMode="External"/><Relationship Id="rId7245" Type="http://schemas.openxmlformats.org/officeDocument/2006/relationships/hyperlink" Target="https://bellingcat-archive.nyc3.cdn.digitaloceanspaces.com/Ukraine_Witness_Datasheet/Worksheet/youtube_dl_1500486915040190466/index.html" TargetMode="External"/><Relationship Id="rId7244" Type="http://schemas.openxmlformats.org/officeDocument/2006/relationships/hyperlink" Target="https://bellingcat-archive.nyc3.cdn.digitaloceanspaces.com/Ukraine_Witness_Datasheet/Worksheet/youtube_dl__ukraine_world_status_15004869150401904662022-03-08T16:49:55.852335.png" TargetMode="External"/><Relationship Id="rId7249" Type="http://schemas.openxmlformats.org/officeDocument/2006/relationships/hyperlink" Target="https://bellingcat-archive.nyc3.cdn.digitaloceanspaces.com/Ukraine_Witness_Datasheet/Worksheet/youtube_dl_1500507266633674752/index.html" TargetMode="External"/><Relationship Id="rId7248" Type="http://schemas.openxmlformats.org/officeDocument/2006/relationships/hyperlink" Target="https://bellingcat-archive.nyc3.cdn.digitaloceanspaces.com/Ukraine_Witness_Datasheet/Worksheet/youtube_dl__EncryptEddie_status_15005072666336747522022-03-08T16:50:13.208586.png" TargetMode="External"/><Relationship Id="rId2423" Type="http://schemas.openxmlformats.org/officeDocument/2006/relationships/hyperlink" Target="https://bellingcat-archive.nyc3.cdn.digitaloceanspaces.com/Ukraine_Witness_Datasheet/Worksheet/youtube_dl_1496761690561683456/index.html" TargetMode="External"/><Relationship Id="rId3755" Type="http://schemas.openxmlformats.org/officeDocument/2006/relationships/hyperlink" Target="https://web.archive.org/web/20220227143444/https://www.facebook.com/login/?next=https%3A%2F%2Fwww.facebook.com%2Firina.venediktova.31%2Fposts%2F5257883167557909" TargetMode="External"/><Relationship Id="rId2424" Type="http://schemas.openxmlformats.org/officeDocument/2006/relationships/hyperlink" Target="https://twitter.com/JimmySecUK/status/1496754882002534400?s=20&amp;t=9ggNlm9Ee7pWqGyL3Vb09w" TargetMode="External"/><Relationship Id="rId3754" Type="http://schemas.openxmlformats.org/officeDocument/2006/relationships/hyperlink" Target="https://www.facebook.com/irina.venediktova.31/posts/5257883167557909" TargetMode="External"/><Relationship Id="rId2425" Type="http://schemas.openxmlformats.org/officeDocument/2006/relationships/hyperlink" Target="https://bellingcat-archive.nyc3.cdn.digitaloceanspaces.com/Ukraine_Witness_Datasheet/Worksheet/youtube_dl_1496754882002534400.mp4" TargetMode="External"/><Relationship Id="rId3757" Type="http://schemas.openxmlformats.org/officeDocument/2006/relationships/hyperlink" Target="https://twitter.com/markito0171/status/1497910069396230146" TargetMode="External"/><Relationship Id="rId2426" Type="http://schemas.openxmlformats.org/officeDocument/2006/relationships/hyperlink" Target="https://bellingcat-archive.nyc3.cdn.digitaloceanspaces.com/Ukraine_Witness_Datasheet/Worksheet/youtube_dl__JimmySecUK_status_14967548820025344002022-02-25T12:52:36.390278.png" TargetMode="External"/><Relationship Id="rId3756" Type="http://schemas.openxmlformats.org/officeDocument/2006/relationships/hyperlink" Target="https://bellingcat-archive.nyc3.cdn.digitaloceanspaces.com/Ukraine_Witness_Datasheet/Worksheet/wayback__irina.venediktova.31_posts_52578831675579092022-02-27T14:34:53.039270.png" TargetMode="External"/><Relationship Id="rId2427" Type="http://schemas.openxmlformats.org/officeDocument/2006/relationships/hyperlink" Target="https://bellingcat-archive.nyc3.cdn.digitaloceanspaces.com/Ukraine_Witness_Datasheet/Worksheet/youtube_dl_1496754882002534400/index.html" TargetMode="External"/><Relationship Id="rId3759" Type="http://schemas.openxmlformats.org/officeDocument/2006/relationships/hyperlink" Target="https://bellingcat-archive.nyc3.cdn.digitaloceanspaces.com/Ukraine_Witness_Datasheet/Worksheet/youtube_dl__markito0171_status_14979100693962301462022-02-27T14:35:03.709514.png" TargetMode="External"/><Relationship Id="rId2428" Type="http://schemas.openxmlformats.org/officeDocument/2006/relationships/hyperlink" Target="https://twitter.com/Caucasuswar/status/1496742212947820545" TargetMode="External"/><Relationship Id="rId3758" Type="http://schemas.openxmlformats.org/officeDocument/2006/relationships/hyperlink" Target="https://bellingcat-archive.nyc3.cdn.digitaloceanspaces.com/Ukraine_Witness_Datasheet/Worksheet/youtube_dl_1497910069396230146.mp4" TargetMode="External"/><Relationship Id="rId2429" Type="http://schemas.openxmlformats.org/officeDocument/2006/relationships/hyperlink" Target="https://twitter.com/gfusfus/status/1496747356276076548" TargetMode="External"/><Relationship Id="rId3751" Type="http://schemas.openxmlformats.org/officeDocument/2006/relationships/hyperlink" Target="https://www.pravda.com.ua/rus/news/2022/02/26/7326302/" TargetMode="External"/><Relationship Id="rId2420" Type="http://schemas.openxmlformats.org/officeDocument/2006/relationships/hyperlink" Target="https://twitter.com/AlexanderLouri4/status/1496761690561683456?s=20&amp;t=9ggNlm9Ee7pWqGyL3Vb09w" TargetMode="External"/><Relationship Id="rId3750" Type="http://schemas.openxmlformats.org/officeDocument/2006/relationships/hyperlink" Target="https://bellingcat-archive.nyc3.cdn.digitaloceanspaces.com/Ukraine_Witness_Datasheet/Worksheet/wayback__photo2022-02-27T14:34:05.438035.png" TargetMode="External"/><Relationship Id="rId2421" Type="http://schemas.openxmlformats.org/officeDocument/2006/relationships/hyperlink" Target="https://bellingcat-archive.nyc3.cdn.digitaloceanspaces.com/Ukraine_Witness_Datasheet/Worksheet/youtube_dl_1496761690561683456.mp4" TargetMode="External"/><Relationship Id="rId3753" Type="http://schemas.openxmlformats.org/officeDocument/2006/relationships/hyperlink" Target="https://bellingcat-archive.nyc3.cdn.digitaloceanspaces.com/Ukraine_Witness_Datasheet/Worksheet/wayback__rus_news_2022_02_26_7326302_2022-02-27T14:34:29.874890.png" TargetMode="External"/><Relationship Id="rId2422" Type="http://schemas.openxmlformats.org/officeDocument/2006/relationships/hyperlink" Target="https://bellingcat-archive.nyc3.cdn.digitaloceanspaces.com/Ukraine_Witness_Datasheet/Worksheet/youtube_dl__AlexanderLouri4_status_14967616905616834562022-02-25T12:52:53.669460.png" TargetMode="External"/><Relationship Id="rId3752" Type="http://schemas.openxmlformats.org/officeDocument/2006/relationships/hyperlink" Target="https://web.archive.org/web/20220227143419/https://www.pravda.com.ua/rus/news/2022/02/26/7326302/" TargetMode="External"/><Relationship Id="rId2412" Type="http://schemas.openxmlformats.org/officeDocument/2006/relationships/hyperlink" Target="https://twitter.com/zyundex/status/1496735074720563203?s=21" TargetMode="External"/><Relationship Id="rId3744" Type="http://schemas.openxmlformats.org/officeDocument/2006/relationships/hyperlink" Target="https://twitter.com/ASLuhn/status/1497888600146395136?t=DyIy8aDVfecvTvRQ4D1Nbw&amp;s=19" TargetMode="External"/><Relationship Id="rId2413" Type="http://schemas.openxmlformats.org/officeDocument/2006/relationships/hyperlink" Target="https://bellingcat-archive.nyc3.cdn.digitaloceanspaces.com/Ukraine_Witness_Datasheet/Worksheet/youtube_dl_1496735074720563203.mp4" TargetMode="External"/><Relationship Id="rId3743" Type="http://schemas.openxmlformats.org/officeDocument/2006/relationships/hyperlink" Target="https://twitter.com/RALee85/status/1497853526881546241" TargetMode="External"/><Relationship Id="rId2414" Type="http://schemas.openxmlformats.org/officeDocument/2006/relationships/hyperlink" Target="https://bellingcat-archive.nyc3.cdn.digitaloceanspaces.com/Ukraine_Witness_Datasheet/Worksheet/youtube_dl__zyundex_status_14967350747205632032022-02-25T12:53:28.079389.png" TargetMode="External"/><Relationship Id="rId3746" Type="http://schemas.openxmlformats.org/officeDocument/2006/relationships/hyperlink" Target="https://bellingcat-archive.nyc3.cdn.digitaloceanspaces.com/Ukraine_Witness_Datasheet/Worksheet/youtube_dl__ASLuhn_status_14978886001463951362022-02-27T14:33:43.097119.png" TargetMode="External"/><Relationship Id="rId2415" Type="http://schemas.openxmlformats.org/officeDocument/2006/relationships/hyperlink" Target="https://bellingcat-archive.nyc3.cdn.digitaloceanspaces.com/Ukraine_Witness_Datasheet/Worksheet/youtube_dl_1496735074720563203/index.html" TargetMode="External"/><Relationship Id="rId3745" Type="http://schemas.openxmlformats.org/officeDocument/2006/relationships/hyperlink" Target="https://bellingcat-archive.nyc3.cdn.digitaloceanspaces.com/Ukraine_Witness_Datasheet/Worksheet/youtube_dl_1497888600146395136.mp4" TargetMode="External"/><Relationship Id="rId2416" Type="http://schemas.openxmlformats.org/officeDocument/2006/relationships/hyperlink" Target="https://twitter.com/AlexanderLouri4/status/1496761690561683456?s=20&amp;t=AjOjSdcrpAlShDB8aSAywA" TargetMode="External"/><Relationship Id="rId3748" Type="http://schemas.openxmlformats.org/officeDocument/2006/relationships/hyperlink" Target="https://www.facebook.com/photo?fbid=10113065180235957&amp;set=a.860390144177" TargetMode="External"/><Relationship Id="rId2417" Type="http://schemas.openxmlformats.org/officeDocument/2006/relationships/hyperlink" Target="https://bellingcat-archive.nyc3.cdn.digitaloceanspaces.com/Ukraine_Witness_Datasheet/Worksheet/youtube_dl_1496761690561683456.mp4" TargetMode="External"/><Relationship Id="rId3747" Type="http://schemas.openxmlformats.org/officeDocument/2006/relationships/hyperlink" Target="https://bellingcat-archive.nyc3.cdn.digitaloceanspaces.com/Ukraine_Witness_Datasheet/Worksheet/youtube_dl_1497888600146395136/index.html" TargetMode="External"/><Relationship Id="rId2418" Type="http://schemas.openxmlformats.org/officeDocument/2006/relationships/hyperlink" Target="https://bellingcat-archive.nyc3.cdn.digitaloceanspaces.com/Ukraine_Witness_Datasheet/Worksheet/youtube_dl__AlexanderLouri4_status_14967616905616834562022-02-25T12:53:09.710816.png" TargetMode="External"/><Relationship Id="rId2419" Type="http://schemas.openxmlformats.org/officeDocument/2006/relationships/hyperlink" Target="https://bellingcat-archive.nyc3.cdn.digitaloceanspaces.com/Ukraine_Witness_Datasheet/Worksheet/youtube_dl_1496761690561683456/index.html" TargetMode="External"/><Relationship Id="rId3749" Type="http://schemas.openxmlformats.org/officeDocument/2006/relationships/hyperlink" Target="https://web.archive.org/web/20220227143401/https://www.facebook.com/photo?fbid=10113065180235957&amp;set=a.860390144177" TargetMode="External"/><Relationship Id="rId3740" Type="http://schemas.openxmlformats.org/officeDocument/2006/relationships/hyperlink" Target="https://twitter.com/KyivIndependent/status/1497838605154361349" TargetMode="External"/><Relationship Id="rId2410" Type="http://schemas.openxmlformats.org/officeDocument/2006/relationships/hyperlink" Target="https://bellingcat-archive.nyc3.cdn.digitaloceanspaces.com/Ukraine_Witness_Datasheet/Worksheet/twitter__tom_bullock__status_1496742808358686723.html" TargetMode="External"/><Relationship Id="rId3742" Type="http://schemas.openxmlformats.org/officeDocument/2006/relationships/hyperlink" Target="https://bellingcat-archive.nyc3.cdn.digitaloceanspaces.com/Ukraine_Witness_Datasheet/Worksheet/wayback__KyivIndependent_status_14978386051543613492022-02-27T14:32:28.459611.png" TargetMode="External"/><Relationship Id="rId2411" Type="http://schemas.openxmlformats.org/officeDocument/2006/relationships/hyperlink" Target="https://bellingcat-archive.nyc3.cdn.digitaloceanspaces.com/Ukraine_Witness_Datasheet/Worksheet/twitter__tom_bullock__status_14967428083586867232022-02-25T12:53:43.590424.png" TargetMode="External"/><Relationship Id="rId3741" Type="http://schemas.openxmlformats.org/officeDocument/2006/relationships/hyperlink" Target="https://web.archive.org/web/20220227143221/https://twitter.com/KyivIndependent/status/1497838605154361349" TargetMode="External"/><Relationship Id="rId1114" Type="http://schemas.openxmlformats.org/officeDocument/2006/relationships/hyperlink" Target="https://twitter.com/GirkinGirkin/status/1492616196117741568" TargetMode="External"/><Relationship Id="rId2445" Type="http://schemas.openxmlformats.org/officeDocument/2006/relationships/hyperlink" Target="https://bellingcat-archive.nyc3.cdn.digitaloceanspaces.com/Ukraine_Witness_Datasheet/Worksheet/youtube_dl__RALee85_status_14967900122428375062022-02-25T12:50:46.277517.png" TargetMode="External"/><Relationship Id="rId3777" Type="http://schemas.openxmlformats.org/officeDocument/2006/relationships/hyperlink" Target="https://bellingcat-archive.nyc3.cdn.digitaloceanspaces.com/Ukraine_Witness_Datasheet/Worksheet/youtube_dl__nexta_tv_status_14979438388239605762022-03-02T13:01:30.147138.png" TargetMode="External"/><Relationship Id="rId1115" Type="http://schemas.openxmlformats.org/officeDocument/2006/relationships/hyperlink" Target="https://twitter.com/gfusfus/status/1492618647692529666" TargetMode="External"/><Relationship Id="rId2446" Type="http://schemas.openxmlformats.org/officeDocument/2006/relationships/hyperlink" Target="https://bellingcat-archive.nyc3.cdn.digitaloceanspaces.com/Ukraine_Witness_Datasheet/Worksheet/youtube_dl_-123538639_456275300/index.html" TargetMode="External"/><Relationship Id="rId3776" Type="http://schemas.openxmlformats.org/officeDocument/2006/relationships/hyperlink" Target="https://bellingcat-archive.nyc3.cdn.digitaloceanspaces.com/Ukraine_Witness_Datasheet/Worksheet/youtube_dl_1497943838823960576.mp4" TargetMode="External"/><Relationship Id="rId1116" Type="http://schemas.openxmlformats.org/officeDocument/2006/relationships/hyperlink" Target="https://bellingcat-archive.nyc3.cdn.digitaloceanspaces.com/Ukraine_Witness_Datasheet/Worksheet/youtube_dl_1492616196117741568.mp4" TargetMode="External"/><Relationship Id="rId2447" Type="http://schemas.openxmlformats.org/officeDocument/2006/relationships/hyperlink" Target="https://twitter.com/Volnovakha/status/1496789425287839746" TargetMode="External"/><Relationship Id="rId3779" Type="http://schemas.openxmlformats.org/officeDocument/2006/relationships/hyperlink" Target="https://twitter.com/COUPSURE/status/1497659200666845186?s=20&amp;t=RDwybIvIB_BpUMtiuTYHeg" TargetMode="External"/><Relationship Id="rId1117" Type="http://schemas.openxmlformats.org/officeDocument/2006/relationships/hyperlink" Target="https://bellingcat-archive.nyc3.cdn.digitaloceanspaces.com/Ukraine_Witness_Datasheet/Worksheet/youtube_dl__GirkinGirkin_status_14926161961177415682022-02-25T14:10:46.648285.png" TargetMode="External"/><Relationship Id="rId2448" Type="http://schemas.openxmlformats.org/officeDocument/2006/relationships/hyperlink" Target="https://bellingcat-archive.nyc3.cdn.digitaloceanspaces.com/Ukraine_Witness_Datasheet/Worksheet/twitter__Volnovakha_status_1496789425287839746.html" TargetMode="External"/><Relationship Id="rId3778" Type="http://schemas.openxmlformats.org/officeDocument/2006/relationships/hyperlink" Target="https://bellingcat-archive.nyc3.cdn.digitaloceanspaces.com/Ukraine_Witness_Datasheet/Worksheet/youtube_dl_1497943838823960576/index.html" TargetMode="External"/><Relationship Id="rId1118" Type="http://schemas.openxmlformats.org/officeDocument/2006/relationships/hyperlink" Target="https://bellingcat-archive.nyc3.cdn.digitaloceanspaces.com/Ukraine_Witness_Datasheet/Worksheet/youtube_dl_1492616196117741568/index.html" TargetMode="External"/><Relationship Id="rId2449" Type="http://schemas.openxmlformats.org/officeDocument/2006/relationships/hyperlink" Target="https://bellingcat-archive.nyc3.cdn.digitaloceanspaces.com/Ukraine_Witness_Datasheet/Worksheet/twitter__Volnovakha_status_14967894252878397462022-02-25T12:43:07.309269.png" TargetMode="External"/><Relationship Id="rId1119" Type="http://schemas.openxmlformats.org/officeDocument/2006/relationships/hyperlink" Target="https://twitter.com/GirkinGirkin/status/1492598773985550336" TargetMode="External"/><Relationship Id="rId3771" Type="http://schemas.openxmlformats.org/officeDocument/2006/relationships/hyperlink" Target="https://bellingcat-archive.nyc3.cdn.digitaloceanspaces.com/Ukraine_Witness_Datasheet/Worksheet/telegram_b8ac9bd752.mp4" TargetMode="External"/><Relationship Id="rId2440" Type="http://schemas.openxmlformats.org/officeDocument/2006/relationships/hyperlink" Target="https://bellingcat-archive.nyc3.cdn.digitaloceanspaces.com/Ukraine_Witness_Datasheet/Worksheet/twitter__sebshukla_status_1496770773612371971.html" TargetMode="External"/><Relationship Id="rId3770" Type="http://schemas.openxmlformats.org/officeDocument/2006/relationships/hyperlink" Target="https://t.me/truexanewsua/25194" TargetMode="External"/><Relationship Id="rId1110" Type="http://schemas.openxmlformats.org/officeDocument/2006/relationships/hyperlink" Target="https://twitter.com/gfusfus/status/1492634626350845959" TargetMode="External"/><Relationship Id="rId2441" Type="http://schemas.openxmlformats.org/officeDocument/2006/relationships/hyperlink" Target="https://bellingcat-archive.nyc3.cdn.digitaloceanspaces.com/Ukraine_Witness_Datasheet/Worksheet/twitter__sebshukla_status_14967707736123719712022-02-25T12:51:41.191074.png" TargetMode="External"/><Relationship Id="rId3773" Type="http://schemas.openxmlformats.org/officeDocument/2006/relationships/hyperlink" Target="https://bellingcat-archive.nyc3.cdn.digitaloceanspaces.com/Ukraine_Witness_Datasheet/Worksheet/telegram_b8ac9bd752/index.html" TargetMode="External"/><Relationship Id="rId1111" Type="http://schemas.openxmlformats.org/officeDocument/2006/relationships/hyperlink" Target="https://bellingcat-archive.nyc3.cdn.digitaloceanspaces.com/Ukraine_Witness_Datasheet/Worksheet/youtube_dl_1492620012598743042.mp4" TargetMode="External"/><Relationship Id="rId2442" Type="http://schemas.openxmlformats.org/officeDocument/2006/relationships/hyperlink" Target="https://twitter.com/RALee85/status/1496790012242837506" TargetMode="External"/><Relationship Id="rId3772" Type="http://schemas.openxmlformats.org/officeDocument/2006/relationships/hyperlink" Target="https://bellingcat-archive.nyc3.cdn.digitaloceanspaces.com/Ukraine_Witness_Datasheet/Worksheet/telegram__truexanewsua_251942022-02-27T14:41:08.207752.png" TargetMode="External"/><Relationship Id="rId1112" Type="http://schemas.openxmlformats.org/officeDocument/2006/relationships/hyperlink" Target="https://bellingcat-archive.nyc3.cdn.digitaloceanspaces.com/Ukraine_Witness_Datasheet/Worksheet/youtube_dl__GirkinGirkin_status_14926200125987430422022-02-25T14:10:28.175551.png" TargetMode="External"/><Relationship Id="rId2443" Type="http://schemas.openxmlformats.org/officeDocument/2006/relationships/hyperlink" Target="https://twitter.com/john_marquee/status/1496791001427374080" TargetMode="External"/><Relationship Id="rId3775" Type="http://schemas.openxmlformats.org/officeDocument/2006/relationships/hyperlink" Target="https://twitter.com/nexta_tv/status/1497943838823960576" TargetMode="External"/><Relationship Id="rId1113" Type="http://schemas.openxmlformats.org/officeDocument/2006/relationships/hyperlink" Target="https://bellingcat-archive.nyc3.cdn.digitaloceanspaces.com/Ukraine_Witness_Datasheet/Worksheet/youtube_dl_1492620012598743042/index.html" TargetMode="External"/><Relationship Id="rId2444" Type="http://schemas.openxmlformats.org/officeDocument/2006/relationships/hyperlink" Target="https://bellingcat-archive.nyc3.cdn.digitaloceanspaces.com/Ukraine_Witness_Datasheet/Worksheet/youtube_dl_-123538639_456275300.mp4" TargetMode="External"/><Relationship Id="rId3774" Type="http://schemas.openxmlformats.org/officeDocument/2006/relationships/hyperlink" Target="https://t.me/truexanewsua/25194" TargetMode="External"/><Relationship Id="rId1103" Type="http://schemas.openxmlformats.org/officeDocument/2006/relationships/hyperlink" Target="https://bellingcat-archive.nyc3.cdn.digitaloceanspaces.com/Ukraine_Witness_Datasheet/Worksheet/youtube_dl_1492618460265865217/index.html" TargetMode="External"/><Relationship Id="rId2434" Type="http://schemas.openxmlformats.org/officeDocument/2006/relationships/hyperlink" Target="https://twitter.com/gfusfus/status/1496782315388764161" TargetMode="External"/><Relationship Id="rId3766" Type="http://schemas.openxmlformats.org/officeDocument/2006/relationships/hyperlink" Target="https://twitter.com/YWNReporter/status/1497929150526631938" TargetMode="External"/><Relationship Id="rId1104" Type="http://schemas.openxmlformats.org/officeDocument/2006/relationships/hyperlink" Target="https://twitter.com/4emberlen/status/1492453208882614272" TargetMode="External"/><Relationship Id="rId2435" Type="http://schemas.openxmlformats.org/officeDocument/2006/relationships/hyperlink" Target="https://bellingcat-archive.nyc3.cdn.digitaloceanspaces.com/Ukraine_Witness_Datasheet/Worksheet/youtube_dl_1496773833839230977.mp4" TargetMode="External"/><Relationship Id="rId3765" Type="http://schemas.openxmlformats.org/officeDocument/2006/relationships/hyperlink" Target="https://bellingcat-archive.nyc3.cdn.digitaloceanspaces.com/Ukraine_Witness_Datasheet/Worksheet/youtube_dl_1497916791921811457/index.html" TargetMode="External"/><Relationship Id="rId1105" Type="http://schemas.openxmlformats.org/officeDocument/2006/relationships/hyperlink" Target="https://twitter.com/gfusfus/status/1492639393777131520" TargetMode="External"/><Relationship Id="rId2436" Type="http://schemas.openxmlformats.org/officeDocument/2006/relationships/hyperlink" Target="https://bellingcat-archive.nyc3.cdn.digitaloceanspaces.com/Ukraine_Witness_Datasheet/Worksheet/youtube_dl__KyleJGlen_status_14967738338392309772022-02-25T12:52:00.563143.png" TargetMode="External"/><Relationship Id="rId3768" Type="http://schemas.openxmlformats.org/officeDocument/2006/relationships/hyperlink" Target="https://bellingcat-archive.nyc3.cdn.digitaloceanspaces.com/Ukraine_Witness_Datasheet/Worksheet/twitter__YWNReporter_status_1497929150526631938.html" TargetMode="External"/><Relationship Id="rId1106" Type="http://schemas.openxmlformats.org/officeDocument/2006/relationships/hyperlink" Target="https://bellingcat-archive.nyc3.cdn.digitaloceanspaces.com/Ukraine_Witness_Datasheet/Worksheet/youtube_dl_1492453208882614272.mp4" TargetMode="External"/><Relationship Id="rId2437" Type="http://schemas.openxmlformats.org/officeDocument/2006/relationships/hyperlink" Target="https://bellingcat-archive.nyc3.cdn.digitaloceanspaces.com/Ukraine_Witness_Datasheet/Worksheet/youtube_dl_1496773833839230977/index.html" TargetMode="External"/><Relationship Id="rId3767" Type="http://schemas.openxmlformats.org/officeDocument/2006/relationships/hyperlink" Target="https://twitter.com/AUT_INT/status/1497930952596770816" TargetMode="External"/><Relationship Id="rId1107" Type="http://schemas.openxmlformats.org/officeDocument/2006/relationships/hyperlink" Target="https://bellingcat-archive.nyc3.cdn.digitaloceanspaces.com/Ukraine_Witness_Datasheet/Worksheet/youtube_dl__4emberlen_status_14924532088826142722022-02-25T14:10:10.972132.png" TargetMode="External"/><Relationship Id="rId2438" Type="http://schemas.openxmlformats.org/officeDocument/2006/relationships/hyperlink" Target="https://twitter.com/sebshukla/status/1496770773612371971" TargetMode="External"/><Relationship Id="rId1108" Type="http://schemas.openxmlformats.org/officeDocument/2006/relationships/hyperlink" Target="https://bellingcat-archive.nyc3.cdn.digitaloceanspaces.com/Ukraine_Witness_Datasheet/Worksheet/youtube_dl_1492453208882614272/index.html" TargetMode="External"/><Relationship Id="rId2439" Type="http://schemas.openxmlformats.org/officeDocument/2006/relationships/hyperlink" Target="https://twitter.com/gfusfus/status/1496775016800657408" TargetMode="External"/><Relationship Id="rId3769" Type="http://schemas.openxmlformats.org/officeDocument/2006/relationships/hyperlink" Target="https://bellingcat-archive.nyc3.cdn.digitaloceanspaces.com/Ukraine_Witness_Datasheet/Worksheet/twitter__YWNReporter_status_14979291505266319382022-02-27T14:35:30.567479.png" TargetMode="External"/><Relationship Id="rId1109" Type="http://schemas.openxmlformats.org/officeDocument/2006/relationships/hyperlink" Target="https://twitter.com/GirkinGirkin/status/1492620012598743042" TargetMode="External"/><Relationship Id="rId3760" Type="http://schemas.openxmlformats.org/officeDocument/2006/relationships/hyperlink" Target="https://bellingcat-archive.nyc3.cdn.digitaloceanspaces.com/Ukraine_Witness_Datasheet/Worksheet/youtube_dl_1497910069396230146/index.html" TargetMode="External"/><Relationship Id="rId2430" Type="http://schemas.openxmlformats.org/officeDocument/2006/relationships/hyperlink" Target="https://bellingcat-archive.nyc3.cdn.digitaloceanspaces.com/Ukraine_Witness_Datasheet/Worksheet/youtube_dl_1496742212947820545.mp4" TargetMode="External"/><Relationship Id="rId3762" Type="http://schemas.openxmlformats.org/officeDocument/2006/relationships/hyperlink" Target="https://twitter.com/john_marquee/status/1497917345905274881" TargetMode="External"/><Relationship Id="rId1100" Type="http://schemas.openxmlformats.org/officeDocument/2006/relationships/hyperlink" Target="https://twitter.com/gfusfus/status/1492660450357649415" TargetMode="External"/><Relationship Id="rId2431" Type="http://schemas.openxmlformats.org/officeDocument/2006/relationships/hyperlink" Target="https://bellingcat-archive.nyc3.cdn.digitaloceanspaces.com/Ukraine_Witness_Datasheet/Worksheet/youtube_dl__Caucasuswar_status_14967422129478205452022-02-25T12:52:17.352217.png" TargetMode="External"/><Relationship Id="rId3761" Type="http://schemas.openxmlformats.org/officeDocument/2006/relationships/hyperlink" Target="https://twitter.com/RALee85/status/1497916791921811457" TargetMode="External"/><Relationship Id="rId1101" Type="http://schemas.openxmlformats.org/officeDocument/2006/relationships/hyperlink" Target="https://bellingcat-archive.nyc3.cdn.digitaloceanspaces.com/Ukraine_Witness_Datasheet/Worksheet/youtube_dl_1492618460265865217.mp4" TargetMode="External"/><Relationship Id="rId2432" Type="http://schemas.openxmlformats.org/officeDocument/2006/relationships/hyperlink" Target="https://bellingcat-archive.nyc3.cdn.digitaloceanspaces.com/Ukraine_Witness_Datasheet/Worksheet/youtube_dl_1496742212947820545/index.html" TargetMode="External"/><Relationship Id="rId3764" Type="http://schemas.openxmlformats.org/officeDocument/2006/relationships/hyperlink" Target="https://bellingcat-archive.nyc3.cdn.digitaloceanspaces.com/Ukraine_Witness_Datasheet/Worksheet/youtube_dl__RALee85_status_14979167919218114572022-02-27T14:35:17.439168.png" TargetMode="External"/><Relationship Id="rId1102" Type="http://schemas.openxmlformats.org/officeDocument/2006/relationships/hyperlink" Target="https://bellingcat-archive.nyc3.cdn.digitaloceanspaces.com/Ukraine_Witness_Datasheet/Worksheet/youtube_dl__GirkinGirkin_status_14926184602658652172022-02-25T14:09:52.979209.png" TargetMode="External"/><Relationship Id="rId2433" Type="http://schemas.openxmlformats.org/officeDocument/2006/relationships/hyperlink" Target="https://twitter.com/KyleJGlen/status/1496773833839230977" TargetMode="External"/><Relationship Id="rId3763" Type="http://schemas.openxmlformats.org/officeDocument/2006/relationships/hyperlink" Target="https://bellingcat-archive.nyc3.cdn.digitaloceanspaces.com/Ukraine_Witness_Datasheet/Worksheet/youtube_dl_1497916791921811457.mp4" TargetMode="External"/><Relationship Id="rId3711" Type="http://schemas.openxmlformats.org/officeDocument/2006/relationships/hyperlink" Target="https://bellingcat-archive.nyc3.cdn.digitaloceanspaces.com/Ukraine_Witness_Datasheet/Worksheet/telegram_15d260f7c0.mp4" TargetMode="External"/><Relationship Id="rId3710" Type="http://schemas.openxmlformats.org/officeDocument/2006/relationships/hyperlink" Target="https://t.me/vorposte/14138" TargetMode="External"/><Relationship Id="rId3713" Type="http://schemas.openxmlformats.org/officeDocument/2006/relationships/hyperlink" Target="https://bellingcat-archive.nyc3.cdn.digitaloceanspaces.com/Ukraine_Witness_Datasheet/Worksheet/telegram_15d260f7c0/index.html" TargetMode="External"/><Relationship Id="rId3712" Type="http://schemas.openxmlformats.org/officeDocument/2006/relationships/hyperlink" Target="https://bellingcat-archive.nyc3.cdn.digitaloceanspaces.com/Ukraine_Witness_Datasheet/Worksheet/telegram__vorposte_141382022-02-27T13:29:40.793263.png" TargetMode="External"/><Relationship Id="rId3715" Type="http://schemas.openxmlformats.org/officeDocument/2006/relationships/hyperlink" Target="https://twitter.com/YFloropoulos/status/1497691751858982912" TargetMode="External"/><Relationship Id="rId3714" Type="http://schemas.openxmlformats.org/officeDocument/2006/relationships/hyperlink" Target="https://t.me/vorposte/14138" TargetMode="External"/><Relationship Id="rId3717" Type="http://schemas.openxmlformats.org/officeDocument/2006/relationships/hyperlink" Target="https://bellingcat-archive.nyc3.cdn.digitaloceanspaces.com/Ukraine_Witness_Datasheet/Worksheet/wayback__YFloropoulos_status_14976917518589829122022-02-27T13:31:21.335162.png" TargetMode="External"/><Relationship Id="rId3716" Type="http://schemas.openxmlformats.org/officeDocument/2006/relationships/hyperlink" Target="https://web.archive.org/web/20220227133113/https://twitter.com/YFloropoulos/status/1497691751858982912" TargetMode="External"/><Relationship Id="rId3719" Type="http://schemas.openxmlformats.org/officeDocument/2006/relationships/hyperlink" Target="https://bellingcat-archive.nyc3.cdn.digitaloceanspaces.com/Ukraine_Witness_Datasheet/Worksheet/twitter__rezarvhimi_status_1497679376795815946.html" TargetMode="External"/><Relationship Id="rId3718" Type="http://schemas.openxmlformats.org/officeDocument/2006/relationships/hyperlink" Target="https://twitter.com/rezarvhimi/status/1497679376795815946" TargetMode="External"/><Relationship Id="rId3700" Type="http://schemas.openxmlformats.org/officeDocument/2006/relationships/hyperlink" Target="https://t.me/nexta_live/17861" TargetMode="External"/><Relationship Id="rId3702" Type="http://schemas.openxmlformats.org/officeDocument/2006/relationships/hyperlink" Target="https://bellingcat-archive.nyc3.cdn.digitaloceanspaces.com/Ukraine_Witness_Datasheet/Worksheet/telegram__nexta_live_178612022-02-27T13:28:38.519006.png" TargetMode="External"/><Relationship Id="rId3701" Type="http://schemas.openxmlformats.org/officeDocument/2006/relationships/hyperlink" Target="https://bellingcat-archive.nyc3.cdn.digitaloceanspaces.com/Ukraine_Witness_Datasheet/Worksheet/telegram_6780dae7dc.mp4" TargetMode="External"/><Relationship Id="rId3704" Type="http://schemas.openxmlformats.org/officeDocument/2006/relationships/hyperlink" Target="https://t.me/nexta_live/17861" TargetMode="External"/><Relationship Id="rId3703" Type="http://schemas.openxmlformats.org/officeDocument/2006/relationships/hyperlink" Target="https://bellingcat-archive.nyc3.cdn.digitaloceanspaces.com/Ukraine_Witness_Datasheet/Worksheet/telegram_6780dae7dc/index.html" TargetMode="External"/><Relationship Id="rId3706" Type="http://schemas.openxmlformats.org/officeDocument/2006/relationships/hyperlink" Target="https://bellingcat-archive.nyc3.cdn.digitaloceanspaces.com/Ukraine_Witness_Datasheet/Worksheet/telegram_f2115ab0f2.mp4" TargetMode="External"/><Relationship Id="rId3705" Type="http://schemas.openxmlformats.org/officeDocument/2006/relationships/hyperlink" Target="https://t.me/mariupol/3176" TargetMode="External"/><Relationship Id="rId3708" Type="http://schemas.openxmlformats.org/officeDocument/2006/relationships/hyperlink" Target="https://bellingcat-archive.nyc3.cdn.digitaloceanspaces.com/Ukraine_Witness_Datasheet/Worksheet/telegram_f2115ab0f2/index.html" TargetMode="External"/><Relationship Id="rId3707" Type="http://schemas.openxmlformats.org/officeDocument/2006/relationships/hyperlink" Target="https://bellingcat-archive.nyc3.cdn.digitaloceanspaces.com/Ukraine_Witness_Datasheet/Worksheet/telegram__mariupol_31762022-02-27T13:29:12.575667.png" TargetMode="External"/><Relationship Id="rId3709" Type="http://schemas.openxmlformats.org/officeDocument/2006/relationships/hyperlink" Target="https://t.me/mariupol/3176" TargetMode="External"/><Relationship Id="rId2401" Type="http://schemas.openxmlformats.org/officeDocument/2006/relationships/hyperlink" Target="https://bellingcat-archive.nyc3.cdn.digitaloceanspaces.com/Ukraine_Witness_Datasheet/Worksheet/youtube_dl__NewsX_status_14967292527959285782022-02-25T12:54:12.953956.png" TargetMode="External"/><Relationship Id="rId3733" Type="http://schemas.openxmlformats.org/officeDocument/2006/relationships/hyperlink" Target="https://twitter.com/lb_ua/status/1497628943666581504?t=ye6hFO6O8hUdN34jBfyq0g&amp;s=19" TargetMode="External"/><Relationship Id="rId2402" Type="http://schemas.openxmlformats.org/officeDocument/2006/relationships/hyperlink" Target="https://bellingcat-archive.nyc3.cdn.digitaloceanspaces.com/Ukraine_Witness_Datasheet/Worksheet/youtube_dl_1496729252795928578/index.html" TargetMode="External"/><Relationship Id="rId3732" Type="http://schemas.openxmlformats.org/officeDocument/2006/relationships/hyperlink" Target="https://bellingcat-archive.nyc3.cdn.digitaloceanspaces.com/Ukraine_Witness_Datasheet/Worksheet/wayback__KyivIndependent_status_14976165765807800342022-02-27T13:33:06.914596.png" TargetMode="External"/><Relationship Id="rId2403" Type="http://schemas.openxmlformats.org/officeDocument/2006/relationships/hyperlink" Target="https://twitter.com/Capt_Navy/status/1496732785771483143" TargetMode="External"/><Relationship Id="rId3735" Type="http://schemas.openxmlformats.org/officeDocument/2006/relationships/hyperlink" Target="https://bellingcat-archive.nyc3.cdn.digitaloceanspaces.com/Ukraine_Witness_Datasheet/Worksheet/twitter__lb_ua_status_14976289436665815042022-02-27T13:33:18.266102.png" TargetMode="External"/><Relationship Id="rId2404" Type="http://schemas.openxmlformats.org/officeDocument/2006/relationships/hyperlink" Target="https://twitter.com/COUPSURE/status/1496734007081549826" TargetMode="External"/><Relationship Id="rId3734" Type="http://schemas.openxmlformats.org/officeDocument/2006/relationships/hyperlink" Target="https://bellingcat-archive.nyc3.cdn.digitaloceanspaces.com/Ukraine_Witness_Datasheet/Worksheet/twitter__lb_ua_status_1497628943666581504.html" TargetMode="External"/><Relationship Id="rId2405" Type="http://schemas.openxmlformats.org/officeDocument/2006/relationships/hyperlink" Target="https://bellingcat-archive.nyc3.cdn.digitaloceanspaces.com/Ukraine_Witness_Datasheet/Worksheet/youtube_dl_1496732785771483143.mp4" TargetMode="External"/><Relationship Id="rId3737" Type="http://schemas.openxmlformats.org/officeDocument/2006/relationships/hyperlink" Target="https://twitter.com/666_mancer/status/1497914392209330176?s=20&amp;t=RDwybIvIB_BpUMtiuTYHeg" TargetMode="External"/><Relationship Id="rId2406" Type="http://schemas.openxmlformats.org/officeDocument/2006/relationships/hyperlink" Target="https://bellingcat-archive.nyc3.cdn.digitaloceanspaces.com/Ukraine_Witness_Datasheet/Worksheet/youtube_dl__Capt_Navy_status_14967327857714831432022-02-25T12:53:56.595013.png" TargetMode="External"/><Relationship Id="rId3736" Type="http://schemas.openxmlformats.org/officeDocument/2006/relationships/hyperlink" Target="https://twitter.com/HromadskeUA/status/1497911021503188996" TargetMode="External"/><Relationship Id="rId2407" Type="http://schemas.openxmlformats.org/officeDocument/2006/relationships/hyperlink" Target="https://bellingcat-archive.nyc3.cdn.digitaloceanspaces.com/Ukraine_Witness_Datasheet/Worksheet/youtube_dl_1496732785771483143/index.html" TargetMode="External"/><Relationship Id="rId3739" Type="http://schemas.openxmlformats.org/officeDocument/2006/relationships/hyperlink" Target="https://bellingcat-archive.nyc3.cdn.digitaloceanspaces.com/Ukraine_Witness_Datasheet/Worksheet/youtube_dl__666_mancer_status_14979143922093301762022-02-27T13:35:20.588228.png" TargetMode="External"/><Relationship Id="rId2408" Type="http://schemas.openxmlformats.org/officeDocument/2006/relationships/hyperlink" Target="https://twitter.com/tom_bullock_/status/1496742808358686723" TargetMode="External"/><Relationship Id="rId3738" Type="http://schemas.openxmlformats.org/officeDocument/2006/relationships/hyperlink" Target="https://bellingcat-archive.nyc3.cdn.digitaloceanspaces.com/Ukraine_Witness_Datasheet/Worksheet/youtube_dl_1497914392209330176.mp4" TargetMode="External"/><Relationship Id="rId2409" Type="http://schemas.openxmlformats.org/officeDocument/2006/relationships/hyperlink" Target="https://twitter.com/michael1sheldon/status/1496743960445952004?s=21" TargetMode="External"/><Relationship Id="rId3731" Type="http://schemas.openxmlformats.org/officeDocument/2006/relationships/hyperlink" Target="https://web.archive.org/web/20220227133259/https://twitter.com/KyivIndependent/status/1497616576580780034?t=z-5NBKXokXf9vNgquGhaDQ&amp;s=19" TargetMode="External"/><Relationship Id="rId2400" Type="http://schemas.openxmlformats.org/officeDocument/2006/relationships/hyperlink" Target="https://bellingcat-archive.nyc3.cdn.digitaloceanspaces.com/Ukraine_Witness_Datasheet/Worksheet/youtube_dl_1496729252795928578.mp4" TargetMode="External"/><Relationship Id="rId3730" Type="http://schemas.openxmlformats.org/officeDocument/2006/relationships/hyperlink" Target="https://twitter.com/KyivIndependent/status/1497616576580780034?t=z-5NBKXokXf9vNgquGhaDQ&amp;s=19" TargetMode="External"/><Relationship Id="rId3722" Type="http://schemas.openxmlformats.org/officeDocument/2006/relationships/hyperlink" Target="https://bellingcat-archive.nyc3.cdn.digitaloceanspaces.com/Ukraine_Witness_Datasheet/Worksheet/twitter__olex_scherba_status_1497666436596043776.html" TargetMode="External"/><Relationship Id="rId3721" Type="http://schemas.openxmlformats.org/officeDocument/2006/relationships/hyperlink" Target="https://twitter.com/olex_scherba/status/1497666436596043776?s=20&amp;t=zERuHRAVwjV35XmB3oa2Ag" TargetMode="External"/><Relationship Id="rId3724" Type="http://schemas.openxmlformats.org/officeDocument/2006/relationships/hyperlink" Target="https://t.me/nexta_live/17950" TargetMode="External"/><Relationship Id="rId3723" Type="http://schemas.openxmlformats.org/officeDocument/2006/relationships/hyperlink" Target="https://bellingcat-archive.nyc3.cdn.digitaloceanspaces.com/Ukraine_Witness_Datasheet/Worksheet/twitter__olex_scherba_status_14976664365960437762022-02-27T13:31:46.800978.png" TargetMode="External"/><Relationship Id="rId3726" Type="http://schemas.openxmlformats.org/officeDocument/2006/relationships/hyperlink" Target="https://bellingcat-archive.nyc3.cdn.digitaloceanspaces.com/Ukraine_Witness_Datasheet/Worksheet/telegram__nexta_live_179502022-02-27T13:31:56.714338.png" TargetMode="External"/><Relationship Id="rId3725" Type="http://schemas.openxmlformats.org/officeDocument/2006/relationships/hyperlink" Target="https://bellingcat-archive.nyc3.cdn.digitaloceanspaces.com/Ukraine_Witness_Datasheet/Worksheet/telegram__nexta_live_17950.html" TargetMode="External"/><Relationship Id="rId3728" Type="http://schemas.openxmlformats.org/officeDocument/2006/relationships/hyperlink" Target="https://bellingcat-archive.nyc3.cdn.digitaloceanspaces.com/Ukraine_Witness_Datasheet/Worksheet/telegram__nexta_live_17951.html" TargetMode="External"/><Relationship Id="rId3727" Type="http://schemas.openxmlformats.org/officeDocument/2006/relationships/hyperlink" Target="https://t.me/nexta_live/17951" TargetMode="External"/><Relationship Id="rId3729" Type="http://schemas.openxmlformats.org/officeDocument/2006/relationships/hyperlink" Target="https://bellingcat-archive.nyc3.cdn.digitaloceanspaces.com/Ukraine_Witness_Datasheet/Worksheet/telegram__nexta_live_179512022-02-27T13:32:04.978989.png" TargetMode="External"/><Relationship Id="rId3720" Type="http://schemas.openxmlformats.org/officeDocument/2006/relationships/hyperlink" Target="https://bellingcat-archive.nyc3.cdn.digitaloceanspaces.com/Ukraine_Witness_Datasheet/Worksheet/twitter__rezarvhimi_status_14976793767958159462022-02-27T13:31:32.327028.png" TargetMode="External"/><Relationship Id="rId1170" Type="http://schemas.openxmlformats.org/officeDocument/2006/relationships/hyperlink" Target="https://bellingcat-archive.nyc3.cdn.digitaloceanspaces.com/Ukraine_Witness_Datasheet/Worksheet/youtube_dl_1493081713563611136.mp4" TargetMode="External"/><Relationship Id="rId1171" Type="http://schemas.openxmlformats.org/officeDocument/2006/relationships/hyperlink" Target="https://bellingcat-archive.nyc3.cdn.digitaloceanspaces.com/Ukraine_Witness_Datasheet/Worksheet/youtube_dl__GirkinGirkin_status_14930817135636111362022-02-25T14:15:13.463266.png" TargetMode="External"/><Relationship Id="rId1172" Type="http://schemas.openxmlformats.org/officeDocument/2006/relationships/hyperlink" Target="https://bellingcat-archive.nyc3.cdn.digitaloceanspaces.com/Ukraine_Witness_Datasheet/Worksheet/youtube_dl_1493081713563611136/index.html" TargetMode="External"/><Relationship Id="rId1173" Type="http://schemas.openxmlformats.org/officeDocument/2006/relationships/hyperlink" Target="https://www.youtube.com/watch?v=EwuaMqYf-jA&amp;t=2s" TargetMode="External"/><Relationship Id="rId1174" Type="http://schemas.openxmlformats.org/officeDocument/2006/relationships/hyperlink" Target="https://twitter.com/danvan71/status/1493150545493868545" TargetMode="External"/><Relationship Id="rId1175" Type="http://schemas.openxmlformats.org/officeDocument/2006/relationships/hyperlink" Target="https://bellingcat-archive.nyc3.cdn.digitaloceanspaces.com/Ukraine_Witness_Datasheet/Worksheet/youtube_dl_EwuaMqYf-jA.webm" TargetMode="External"/><Relationship Id="rId1176" Type="http://schemas.openxmlformats.org/officeDocument/2006/relationships/hyperlink" Target="https://bellingcat-archive.nyc3.cdn.digitaloceanspaces.com/Ukraine_Witness_Datasheet/Worksheet/youtube_dl__watch2022-02-25T14:15:30.663997.png" TargetMode="External"/><Relationship Id="rId1177" Type="http://schemas.openxmlformats.org/officeDocument/2006/relationships/hyperlink" Target="https://bellingcat-archive.nyc3.cdn.digitaloceanspaces.com/Ukraine_Witness_Datasheet/Worksheet/youtube_dl_EwuaMqYf-jA/index.html" TargetMode="External"/><Relationship Id="rId1178" Type="http://schemas.openxmlformats.org/officeDocument/2006/relationships/hyperlink" Target="https://twitter.com/MarQs__/status/1492049844634107904" TargetMode="External"/><Relationship Id="rId1179" Type="http://schemas.openxmlformats.org/officeDocument/2006/relationships/hyperlink" Target="https://twitter.com/Danspiun/status/1492468472881819650" TargetMode="External"/><Relationship Id="rId1169" Type="http://schemas.openxmlformats.org/officeDocument/2006/relationships/hyperlink" Target="https://twitter.com/GirkinGirkin/status/1493081713563611136" TargetMode="External"/><Relationship Id="rId2490" Type="http://schemas.openxmlformats.org/officeDocument/2006/relationships/hyperlink" Target="https://twitter.com/Michael1Sheldon/status/1496717647089651716" TargetMode="External"/><Relationship Id="rId1160" Type="http://schemas.openxmlformats.org/officeDocument/2006/relationships/hyperlink" Target="https://twitter.com/gfusfus/status/1492525215657738244" TargetMode="External"/><Relationship Id="rId2491" Type="http://schemas.openxmlformats.org/officeDocument/2006/relationships/hyperlink" Target="https://twitter.com/Michael1Sheldon/status/1496717647089651716" TargetMode="External"/><Relationship Id="rId1161" Type="http://schemas.openxmlformats.org/officeDocument/2006/relationships/hyperlink" Target="https://bellingcat-archive.nyc3.cdn.digitaloceanspaces.com/Ukraine_Witness_Datasheet/Worksheet/youtube_dl_1492517699376893952.mp4" TargetMode="External"/><Relationship Id="rId2492" Type="http://schemas.openxmlformats.org/officeDocument/2006/relationships/hyperlink" Target="https://bellingcat-archive.nyc3.cdn.digitaloceanspaces.com/Ukraine_Witness_Datasheet/Worksheet/twitter__Michael1Sheldon_status_1496717647089651716.html" TargetMode="External"/><Relationship Id="rId1162" Type="http://schemas.openxmlformats.org/officeDocument/2006/relationships/hyperlink" Target="https://bellingcat-archive.nyc3.cdn.digitaloceanspaces.com/Ukraine_Witness_Datasheet/Worksheet/youtube_dl__GirkinGirkin_status_14925176993768939522022-02-25T14:14:36.880773.png" TargetMode="External"/><Relationship Id="rId2493" Type="http://schemas.openxmlformats.org/officeDocument/2006/relationships/hyperlink" Target="https://bellingcat-archive.nyc3.cdn.digitaloceanspaces.com/Ukraine_Witness_Datasheet/Worksheet/twitter__Michael1Sheldon_status_14967176470896517162022-02-25T12:40:16.213810.png" TargetMode="External"/><Relationship Id="rId1163" Type="http://schemas.openxmlformats.org/officeDocument/2006/relationships/hyperlink" Target="https://bellingcat-archive.nyc3.cdn.digitaloceanspaces.com/Ukraine_Witness_Datasheet/Worksheet/youtube_dl_1492517699376893952/index.html" TargetMode="External"/><Relationship Id="rId2494" Type="http://schemas.openxmlformats.org/officeDocument/2006/relationships/hyperlink" Target="https://twitter.com/DeanoBeano1/status/1496806993448902658" TargetMode="External"/><Relationship Id="rId1164" Type="http://schemas.openxmlformats.org/officeDocument/2006/relationships/hyperlink" Target="https://twitter.com/GirkinGirkin/status/1492509483049918468" TargetMode="External"/><Relationship Id="rId2495" Type="http://schemas.openxmlformats.org/officeDocument/2006/relationships/hyperlink" Target="https://bellingcat-archive.nyc3.cdn.digitaloceanspaces.com/Ukraine_Witness_Datasheet/Worksheet/youtube_dl_1496806993448902658.mp4" TargetMode="External"/><Relationship Id="rId1165" Type="http://schemas.openxmlformats.org/officeDocument/2006/relationships/hyperlink" Target="https://twitter.com/gfusfus/status/1492521373700399109" TargetMode="External"/><Relationship Id="rId2496" Type="http://schemas.openxmlformats.org/officeDocument/2006/relationships/hyperlink" Target="https://bellingcat-archive.nyc3.cdn.digitaloceanspaces.com/Ukraine_Witness_Datasheet/Worksheet/youtube_dl__DeanoBeano1_status_14968069934489026582022-02-25T12:40:00.614768.png" TargetMode="External"/><Relationship Id="rId1166" Type="http://schemas.openxmlformats.org/officeDocument/2006/relationships/hyperlink" Target="https://bellingcat-archive.nyc3.cdn.digitaloceanspaces.com/Ukraine_Witness_Datasheet/Worksheet/youtube_dl_1492509483049918468.mp4" TargetMode="External"/><Relationship Id="rId2497" Type="http://schemas.openxmlformats.org/officeDocument/2006/relationships/hyperlink" Target="https://bellingcat-archive.nyc3.cdn.digitaloceanspaces.com/Ukraine_Witness_Datasheet/Worksheet/youtube_dl_1496806993448902658/index.html" TargetMode="External"/><Relationship Id="rId1167" Type="http://schemas.openxmlformats.org/officeDocument/2006/relationships/hyperlink" Target="https://bellingcat-archive.nyc3.cdn.digitaloceanspaces.com/Ukraine_Witness_Datasheet/Worksheet/youtube_dl__GirkinGirkin_status_14925094830499184682022-02-25T14:14:53.653314.png" TargetMode="External"/><Relationship Id="rId2498" Type="http://schemas.openxmlformats.org/officeDocument/2006/relationships/hyperlink" Target="https://twitter.com/Kyruer/status/1496813193011908609" TargetMode="External"/><Relationship Id="rId1168" Type="http://schemas.openxmlformats.org/officeDocument/2006/relationships/hyperlink" Target="https://bellingcat-archive.nyc3.cdn.digitaloceanspaces.com/Ukraine_Witness_Datasheet/Worksheet/youtube_dl_1492509483049918468/index.html" TargetMode="External"/><Relationship Id="rId2499" Type="http://schemas.openxmlformats.org/officeDocument/2006/relationships/hyperlink" Target="https://twitter.com/gfusfus/status/1496816120703107073" TargetMode="External"/><Relationship Id="rId1190" Type="http://schemas.openxmlformats.org/officeDocument/2006/relationships/hyperlink" Target="https://bellingcat-archive.nyc3.cdn.digitaloceanspaces.com/Ukraine_Witness_Datasheet/Worksheet/youtube_dl_1492927310592462849.mp4" TargetMode="External"/><Relationship Id="rId1191" Type="http://schemas.openxmlformats.org/officeDocument/2006/relationships/hyperlink" Target="https://bellingcat-archive.nyc3.cdn.digitaloceanspaces.com/Ukraine_Witness_Datasheet/Worksheet/youtube_dl__4emberlen_status_14929273105924628492022-02-25T14:16:34.015316.png" TargetMode="External"/><Relationship Id="rId1192" Type="http://schemas.openxmlformats.org/officeDocument/2006/relationships/hyperlink" Target="https://bellingcat-archive.nyc3.cdn.digitaloceanspaces.com/Ukraine_Witness_Datasheet/Worksheet/youtube_dl_1492927310592462849/index.html" TargetMode="External"/><Relationship Id="rId1193" Type="http://schemas.openxmlformats.org/officeDocument/2006/relationships/hyperlink" Target="https://twitter.com/GirkinGirkin/status/1492488849024589828" TargetMode="External"/><Relationship Id="rId1194" Type="http://schemas.openxmlformats.org/officeDocument/2006/relationships/hyperlink" Target="https://twitter.com/gfusfus/status/1492495951520481285" TargetMode="External"/><Relationship Id="rId1195" Type="http://schemas.openxmlformats.org/officeDocument/2006/relationships/hyperlink" Target="https://bellingcat-archive.nyc3.cdn.digitaloceanspaces.com/Ukraine_Witness_Datasheet/Worksheet/youtube_dl_1492488849024589828.mp4" TargetMode="External"/><Relationship Id="rId1196" Type="http://schemas.openxmlformats.org/officeDocument/2006/relationships/hyperlink" Target="https://bellingcat-archive.nyc3.cdn.digitaloceanspaces.com/Ukraine_Witness_Datasheet/Worksheet/youtube_dl__GirkinGirkin_status_14924888490245898282022-02-25T14:16:53.800836.png" TargetMode="External"/><Relationship Id="rId1197" Type="http://schemas.openxmlformats.org/officeDocument/2006/relationships/hyperlink" Target="https://bellingcat-archive.nyc3.cdn.digitaloceanspaces.com/Ukraine_Witness_Datasheet/Worksheet/youtube_dl_1492488849024589828/index.html" TargetMode="External"/><Relationship Id="rId1198" Type="http://schemas.openxmlformats.org/officeDocument/2006/relationships/hyperlink" Target="https://twitter.com/GirkinGirkin/status/1492486941375447045" TargetMode="External"/><Relationship Id="rId1199" Type="http://schemas.openxmlformats.org/officeDocument/2006/relationships/hyperlink" Target="https://twitter.com/gfusfus/status/1492499666012938241" TargetMode="External"/><Relationship Id="rId1180" Type="http://schemas.openxmlformats.org/officeDocument/2006/relationships/hyperlink" Target="https://bellingcat-archive.nyc3.cdn.digitaloceanspaces.com/Ukraine_Witness_Datasheet/Worksheet/youtube_dl_1492049844634107904.mp4" TargetMode="External"/><Relationship Id="rId1181" Type="http://schemas.openxmlformats.org/officeDocument/2006/relationships/hyperlink" Target="https://bellingcat-archive.nyc3.cdn.digitaloceanspaces.com/Ukraine_Witness_Datasheet/Worksheet/youtube_dl__MarQs___status_14920498446341079042022-02-25T14:15:52.924539.png" TargetMode="External"/><Relationship Id="rId1182" Type="http://schemas.openxmlformats.org/officeDocument/2006/relationships/hyperlink" Target="https://bellingcat-archive.nyc3.cdn.digitaloceanspaces.com/Ukraine_Witness_Datasheet/Worksheet/youtube_dl_1492049844634107904/index.html" TargetMode="External"/><Relationship Id="rId1183" Type="http://schemas.openxmlformats.org/officeDocument/2006/relationships/hyperlink" Target="https://twitter.com/GirkinGirkin/status/1492800611863175168" TargetMode="External"/><Relationship Id="rId1184" Type="http://schemas.openxmlformats.org/officeDocument/2006/relationships/hyperlink" Target="https://twitter.com/danvan71/status/1493035168487321600" TargetMode="External"/><Relationship Id="rId1185" Type="http://schemas.openxmlformats.org/officeDocument/2006/relationships/hyperlink" Target="https://bellingcat-archive.nyc3.cdn.digitaloceanspaces.com/Ukraine_Witness_Datasheet/Worksheet/youtube_dl_1492800611863175168.mp4" TargetMode="External"/><Relationship Id="rId1186" Type="http://schemas.openxmlformats.org/officeDocument/2006/relationships/hyperlink" Target="https://bellingcat-archive.nyc3.cdn.digitaloceanspaces.com/Ukraine_Witness_Datasheet/Worksheet/youtube_dl__GirkinGirkin_status_14928006118631751682022-02-25T14:16:13.738737.png" TargetMode="External"/><Relationship Id="rId1187" Type="http://schemas.openxmlformats.org/officeDocument/2006/relationships/hyperlink" Target="https://bellingcat-archive.nyc3.cdn.digitaloceanspaces.com/Ukraine_Witness_Datasheet/Worksheet/youtube_dl_1492800611863175168/index.html" TargetMode="External"/><Relationship Id="rId1188" Type="http://schemas.openxmlformats.org/officeDocument/2006/relationships/hyperlink" Target="https://twitter.com/4emberlen/status/1492927310592462849" TargetMode="External"/><Relationship Id="rId1189" Type="http://schemas.openxmlformats.org/officeDocument/2006/relationships/hyperlink" Target="https://twitter.com/danvan71/status/1492942203072749575" TargetMode="External"/><Relationship Id="rId1136" Type="http://schemas.openxmlformats.org/officeDocument/2006/relationships/hyperlink" Target="https://bellingcat-archive.nyc3.cdn.digitaloceanspaces.com/Ukraine_Witness_Datasheet/Worksheet/youtube_dl_1492522158282747908.mp4" TargetMode="External"/><Relationship Id="rId2467" Type="http://schemas.openxmlformats.org/officeDocument/2006/relationships/hyperlink" Target="https://bellingcat-archive.nyc3.cdn.digitaloceanspaces.com/Ukraine_Witness_Datasheet/Worksheet/youtube_dl_1496719052592631809.mp4" TargetMode="External"/><Relationship Id="rId3799" Type="http://schemas.openxmlformats.org/officeDocument/2006/relationships/hyperlink" Target="https://twitter.com/gfusfus/status/1497989547203842051" TargetMode="External"/><Relationship Id="rId1137" Type="http://schemas.openxmlformats.org/officeDocument/2006/relationships/hyperlink" Target="https://bellingcat-archive.nyc3.cdn.digitaloceanspaces.com/Ukraine_Witness_Datasheet/Worksheet/youtube_dl__GirkinGirkin_status_14925221582827479082022-02-25T14:12:18.592386.png" TargetMode="External"/><Relationship Id="rId2468" Type="http://schemas.openxmlformats.org/officeDocument/2006/relationships/hyperlink" Target="https://bellingcat-archive.nyc3.cdn.digitaloceanspaces.com/Ukraine_Witness_Datasheet/Worksheet/youtube_dl__dzyga71_status_14967190525926318092022-02-25T12:41:42.976237.png" TargetMode="External"/><Relationship Id="rId3798" Type="http://schemas.openxmlformats.org/officeDocument/2006/relationships/hyperlink" Target="https://twitter.com/YWNReporter/status/1497987472185249794" TargetMode="External"/><Relationship Id="rId1138" Type="http://schemas.openxmlformats.org/officeDocument/2006/relationships/hyperlink" Target="https://bellingcat-archive.nyc3.cdn.digitaloceanspaces.com/Ukraine_Witness_Datasheet/Worksheet/youtube_dl_1492522158282747908/index.html" TargetMode="External"/><Relationship Id="rId2469" Type="http://schemas.openxmlformats.org/officeDocument/2006/relationships/hyperlink" Target="https://bellingcat-archive.nyc3.cdn.digitaloceanspaces.com/Ukraine_Witness_Datasheet/Worksheet/youtube_dl_1496719052592631809/index.html" TargetMode="External"/><Relationship Id="rId1139" Type="http://schemas.openxmlformats.org/officeDocument/2006/relationships/hyperlink" Target="https://twitter.com/Michael1Sheldon/status/1493036503974486018" TargetMode="External"/><Relationship Id="rId3791" Type="http://schemas.openxmlformats.org/officeDocument/2006/relationships/hyperlink" Target="https://bellingcat-archive.nyc3.cdn.digitaloceanspaces.com/Ukraine_Witness_Datasheet/Worksheet/youtube_dl__mikroporn_status_14979471541065768982022-02-27T17:30:47.479935.png" TargetMode="External"/><Relationship Id="rId2460" Type="http://schemas.openxmlformats.org/officeDocument/2006/relationships/hyperlink" Target="https://twitter.com/200_zoka/status/1496763694159695873" TargetMode="External"/><Relationship Id="rId3790" Type="http://schemas.openxmlformats.org/officeDocument/2006/relationships/hyperlink" Target="https://bellingcat-archive.nyc3.cdn.digitaloceanspaces.com/Ukraine_Witness_Datasheet/Worksheet/youtube_dl_1497947154106576898.mp4" TargetMode="External"/><Relationship Id="rId1130" Type="http://schemas.openxmlformats.org/officeDocument/2006/relationships/hyperlink" Target="https://twitter.com/gfusfus/status/1492544777723781126" TargetMode="External"/><Relationship Id="rId2461" Type="http://schemas.openxmlformats.org/officeDocument/2006/relationships/hyperlink" Target="https://twitter.com/john_marquee/status/1496768232186728452" TargetMode="External"/><Relationship Id="rId3793" Type="http://schemas.openxmlformats.org/officeDocument/2006/relationships/hyperlink" Target="https://twitter.com/AuroraIntel/status/1497971672028221448?s=20&amp;t=kd9vISDa_P9slI-agKgvcw" TargetMode="External"/><Relationship Id="rId1131" Type="http://schemas.openxmlformats.org/officeDocument/2006/relationships/hyperlink" Target="https://bellingcat-archive.nyc3.cdn.digitaloceanspaces.com/Ukraine_Witness_Datasheet/Worksheet/youtube_dl_1492538894218371072.mp4" TargetMode="External"/><Relationship Id="rId2462" Type="http://schemas.openxmlformats.org/officeDocument/2006/relationships/hyperlink" Target="https://bellingcat-archive.nyc3.cdn.digitaloceanspaces.com/Ukraine_Witness_Datasheet/Worksheet/youtube_dl_1496763694159695873.mp4" TargetMode="External"/><Relationship Id="rId3792" Type="http://schemas.openxmlformats.org/officeDocument/2006/relationships/hyperlink" Target="https://bellingcat-archive.nyc3.cdn.digitaloceanspaces.com/Ukraine_Witness_Datasheet/Worksheet/youtube_dl_1497947154106576898/index.html" TargetMode="External"/><Relationship Id="rId1132" Type="http://schemas.openxmlformats.org/officeDocument/2006/relationships/hyperlink" Target="https://bellingcat-archive.nyc3.cdn.digitaloceanspaces.com/Ukraine_Witness_Datasheet/Worksheet/youtube_dl__4emberlen_status_14925388942183710722022-02-25T14:11:53.852854.png" TargetMode="External"/><Relationship Id="rId2463" Type="http://schemas.openxmlformats.org/officeDocument/2006/relationships/hyperlink" Target="https://bellingcat-archive.nyc3.cdn.digitaloceanspaces.com/Ukraine_Witness_Datasheet/Worksheet/youtube_dl__200_zoka_status_14967636941596958732022-02-25T12:42:18.665845.png" TargetMode="External"/><Relationship Id="rId3795" Type="http://schemas.openxmlformats.org/officeDocument/2006/relationships/hyperlink" Target="https://bellingcat-archive.nyc3.cdn.digitaloceanspaces.com/Ukraine_Witness_Datasheet/Worksheet/youtube_dl_1497971672028221448.mp4" TargetMode="External"/><Relationship Id="rId1133" Type="http://schemas.openxmlformats.org/officeDocument/2006/relationships/hyperlink" Target="https://bellingcat-archive.nyc3.cdn.digitaloceanspaces.com/Ukraine_Witness_Datasheet/Worksheet/youtube_dl_1492538894218371072/index.html" TargetMode="External"/><Relationship Id="rId2464" Type="http://schemas.openxmlformats.org/officeDocument/2006/relationships/hyperlink" Target="https://bellingcat-archive.nyc3.cdn.digitaloceanspaces.com/Ukraine_Witness_Datasheet/Worksheet/youtube_dl_1496763694159695873/index.html" TargetMode="External"/><Relationship Id="rId3794" Type="http://schemas.openxmlformats.org/officeDocument/2006/relationships/hyperlink" Target="https://twitter.com/COUPSURE/status/1497980448827392004?s=20&amp;t=kd9vISDa_P9slI-agKgvcw" TargetMode="External"/><Relationship Id="rId1134" Type="http://schemas.openxmlformats.org/officeDocument/2006/relationships/hyperlink" Target="https://twitter.com/GirkinGirkin/status/1492522158282747908" TargetMode="External"/><Relationship Id="rId2465" Type="http://schemas.openxmlformats.org/officeDocument/2006/relationships/hyperlink" Target="https://twitter.com/dzyga71/status/1496719052592631809" TargetMode="External"/><Relationship Id="rId3797" Type="http://schemas.openxmlformats.org/officeDocument/2006/relationships/hyperlink" Target="https://bellingcat-archive.nyc3.cdn.digitaloceanspaces.com/Ukraine_Witness_Datasheet/Worksheet/youtube_dl_1497971672028221448/index.html" TargetMode="External"/><Relationship Id="rId1135" Type="http://schemas.openxmlformats.org/officeDocument/2006/relationships/hyperlink" Target="https://twitter.com/gfusfus/status/1492535810381467655" TargetMode="External"/><Relationship Id="rId2466" Type="http://schemas.openxmlformats.org/officeDocument/2006/relationships/hyperlink" Target="https://twitter.com/john_marquee/status/1496729048000593921" TargetMode="External"/><Relationship Id="rId3796" Type="http://schemas.openxmlformats.org/officeDocument/2006/relationships/hyperlink" Target="https://bellingcat-archive.nyc3.cdn.digitaloceanspaces.com/Ukraine_Witness_Datasheet/Worksheet/youtube_dl__AuroraIntel_status_14979716720282214482022-02-27T17:31:07.576472.png" TargetMode="External"/><Relationship Id="rId1125" Type="http://schemas.openxmlformats.org/officeDocument/2006/relationships/hyperlink" Target="https://twitter.com/gfusfus/status/1492582524471721990" TargetMode="External"/><Relationship Id="rId2456" Type="http://schemas.openxmlformats.org/officeDocument/2006/relationships/hyperlink" Target="https://twitter.com/john_marquee/status/1496792740457115650" TargetMode="External"/><Relationship Id="rId3788" Type="http://schemas.openxmlformats.org/officeDocument/2006/relationships/hyperlink" Target="https://twitter.com/mikroporn/status/1497947154106576898" TargetMode="External"/><Relationship Id="rId1126" Type="http://schemas.openxmlformats.org/officeDocument/2006/relationships/hyperlink" Target="https://bellingcat-archive.nyc3.cdn.digitaloceanspaces.com/Ukraine_Witness_Datasheet/Worksheet/youtube_dl_1492561933916065795.mp4" TargetMode="External"/><Relationship Id="rId2457" Type="http://schemas.openxmlformats.org/officeDocument/2006/relationships/hyperlink" Target="https://bellingcat-archive.nyc3.cdn.digitaloceanspaces.com/Ukraine_Witness_Datasheet/Worksheet/youtube_dl_1496788629527564293.mp4" TargetMode="External"/><Relationship Id="rId3787" Type="http://schemas.openxmlformats.org/officeDocument/2006/relationships/hyperlink" Target="https://bellingcat-archive.nyc3.cdn.digitaloceanspaces.com/Ukraine_Witness_Datasheet/Worksheet/twitter__UAWeapons_status_14978982188055019542022-02-27T16:05:29.833554.png" TargetMode="External"/><Relationship Id="rId1127" Type="http://schemas.openxmlformats.org/officeDocument/2006/relationships/hyperlink" Target="https://bellingcat-archive.nyc3.cdn.digitaloceanspaces.com/Ukraine_Witness_Datasheet/Worksheet/youtube_dl__4emberlen_status_14925619339160657952022-02-25T14:11:29.041680.png" TargetMode="External"/><Relationship Id="rId2458" Type="http://schemas.openxmlformats.org/officeDocument/2006/relationships/hyperlink" Target="https://bellingcat-archive.nyc3.cdn.digitaloceanspaces.com/Ukraine_Witness_Datasheet/Worksheet/youtube_dl__oryxspioenkop_status_14967886295275642932022-02-25T12:42:35.869472.png" TargetMode="External"/><Relationship Id="rId1128" Type="http://schemas.openxmlformats.org/officeDocument/2006/relationships/hyperlink" Target="https://bellingcat-archive.nyc3.cdn.digitaloceanspaces.com/Ukraine_Witness_Datasheet/Worksheet/youtube_dl_1492561933916065795/index.html" TargetMode="External"/><Relationship Id="rId2459" Type="http://schemas.openxmlformats.org/officeDocument/2006/relationships/hyperlink" Target="https://bellingcat-archive.nyc3.cdn.digitaloceanspaces.com/Ukraine_Witness_Datasheet/Worksheet/youtube_dl_1496788629527564293/index.html" TargetMode="External"/><Relationship Id="rId3789" Type="http://schemas.openxmlformats.org/officeDocument/2006/relationships/hyperlink" Target="https://twitter.com/gfusfus/status/1497965445650989056" TargetMode="External"/><Relationship Id="rId1129" Type="http://schemas.openxmlformats.org/officeDocument/2006/relationships/hyperlink" Target="https://twitter.com/4emberlen/status/1492538894218371072" TargetMode="External"/><Relationship Id="rId3780" Type="http://schemas.openxmlformats.org/officeDocument/2006/relationships/hyperlink" Target="https://twitter.com/john_marquee/status/1497665329052356608?s=20&amp;t=RDwybIvIB_BpUMtiuTYHeg" TargetMode="External"/><Relationship Id="rId2450" Type="http://schemas.openxmlformats.org/officeDocument/2006/relationships/hyperlink" Target="https://twitter.com/RALee85/status/1496774496790929412" TargetMode="External"/><Relationship Id="rId3782" Type="http://schemas.openxmlformats.org/officeDocument/2006/relationships/hyperlink" Target="https://bellingcat-archive.nyc3.cdn.digitaloceanspaces.com/Ukraine_Witness_Datasheet/Worksheet/youtube_dl__COUPSURE_status_14976592006668451862022-02-27T14:48:58.705820.png" TargetMode="External"/><Relationship Id="rId1120" Type="http://schemas.openxmlformats.org/officeDocument/2006/relationships/hyperlink" Target="https://twitter.com/gfusfus/status/1492614539854204930" TargetMode="External"/><Relationship Id="rId2451" Type="http://schemas.openxmlformats.org/officeDocument/2006/relationships/hyperlink" Target="https://twitter.com/john_marquee/status/1496781846130032641" TargetMode="External"/><Relationship Id="rId3781" Type="http://schemas.openxmlformats.org/officeDocument/2006/relationships/hyperlink" Target="https://bellingcat-archive.nyc3.cdn.digitaloceanspaces.com/Ukraine_Witness_Datasheet/Worksheet/youtube_dl_1497659200666845186.mp4" TargetMode="External"/><Relationship Id="rId1121" Type="http://schemas.openxmlformats.org/officeDocument/2006/relationships/hyperlink" Target="https://bellingcat-archive.nyc3.cdn.digitaloceanspaces.com/Ukraine_Witness_Datasheet/Worksheet/youtube_dl_1492598773985550336.mp4" TargetMode="External"/><Relationship Id="rId2452" Type="http://schemas.openxmlformats.org/officeDocument/2006/relationships/hyperlink" Target="https://bellingcat-archive.nyc3.cdn.digitaloceanspaces.com/Ukraine_Witness_Datasheet/Worksheet/youtube_dl_1496774496790929412.mp4" TargetMode="External"/><Relationship Id="rId3784" Type="http://schemas.openxmlformats.org/officeDocument/2006/relationships/hyperlink" Target="https://twitter.com/UAWeapons/status/1497898218805501954" TargetMode="External"/><Relationship Id="rId1122" Type="http://schemas.openxmlformats.org/officeDocument/2006/relationships/hyperlink" Target="https://bellingcat-archive.nyc3.cdn.digitaloceanspaces.com/Ukraine_Witness_Datasheet/Worksheet/youtube_dl__GirkinGirkin_status_14925987739855503362022-02-25T14:11:08.276927.png" TargetMode="External"/><Relationship Id="rId2453" Type="http://schemas.openxmlformats.org/officeDocument/2006/relationships/hyperlink" Target="https://bellingcat-archive.nyc3.cdn.digitaloceanspaces.com/Ukraine_Witness_Datasheet/Worksheet/youtube_dl__RALee85_status_14967744967909294122022-02-25T12:42:52.028074.png" TargetMode="External"/><Relationship Id="rId3783" Type="http://schemas.openxmlformats.org/officeDocument/2006/relationships/hyperlink" Target="https://bellingcat-archive.nyc3.cdn.digitaloceanspaces.com/Ukraine_Witness_Datasheet/Worksheet/youtube_dl_1497659200666845186/index.html" TargetMode="External"/><Relationship Id="rId1123" Type="http://schemas.openxmlformats.org/officeDocument/2006/relationships/hyperlink" Target="https://bellingcat-archive.nyc3.cdn.digitaloceanspaces.com/Ukraine_Witness_Datasheet/Worksheet/youtube_dl_1492598773985550336/index.html" TargetMode="External"/><Relationship Id="rId2454" Type="http://schemas.openxmlformats.org/officeDocument/2006/relationships/hyperlink" Target="https://bellingcat-archive.nyc3.cdn.digitaloceanspaces.com/Ukraine_Witness_Datasheet/Worksheet/youtube_dl_1496774496790929412/index.html" TargetMode="External"/><Relationship Id="rId3786" Type="http://schemas.openxmlformats.org/officeDocument/2006/relationships/hyperlink" Target="https://bellingcat-archive.nyc3.cdn.digitaloceanspaces.com/Ukraine_Witness_Datasheet/Worksheet/twitter__UAWeapons_status_1497898218805501954.html" TargetMode="External"/><Relationship Id="rId1124" Type="http://schemas.openxmlformats.org/officeDocument/2006/relationships/hyperlink" Target="https://twitter.com/4emberlen/status/1492561933916065795" TargetMode="External"/><Relationship Id="rId2455" Type="http://schemas.openxmlformats.org/officeDocument/2006/relationships/hyperlink" Target="https://twitter.com/oryxspioenkop/status/1496788629527564293" TargetMode="External"/><Relationship Id="rId3785" Type="http://schemas.openxmlformats.org/officeDocument/2006/relationships/hyperlink" Target="https://twitter.com/MCantow/status/1497936745375092737" TargetMode="External"/><Relationship Id="rId1158" Type="http://schemas.openxmlformats.org/officeDocument/2006/relationships/hyperlink" Target="https://bellingcat-archive.nyc3.cdn.digitaloceanspaces.com/Ukraine_Witness_Datasheet/Worksheet/youtube_dl_1492524292449443847/index.html" TargetMode="External"/><Relationship Id="rId2489" Type="http://schemas.openxmlformats.org/officeDocument/2006/relationships/hyperlink" Target="https://bellingcat-archive.nyc3.cdn.digitaloceanspaces.com/Ukraine_Witness_Datasheet/Worksheet/youtube_dl_1496709775886884871/index.html" TargetMode="External"/><Relationship Id="rId1159" Type="http://schemas.openxmlformats.org/officeDocument/2006/relationships/hyperlink" Target="https://twitter.com/GirkinGirkin/status/1492517699376893952" TargetMode="External"/><Relationship Id="rId2480" Type="http://schemas.openxmlformats.org/officeDocument/2006/relationships/hyperlink" Target="https://twitter.com/Michael1Sheldon/status/1496731220138414082" TargetMode="External"/><Relationship Id="rId1150" Type="http://schemas.openxmlformats.org/officeDocument/2006/relationships/hyperlink" Target="https://twitter.com/Michael1Sheldon/status/1493037057085689856" TargetMode="External"/><Relationship Id="rId2481" Type="http://schemas.openxmlformats.org/officeDocument/2006/relationships/hyperlink" Target="https://twitter.com/Michael1Sheldon/status/1496731457871568900" TargetMode="External"/><Relationship Id="rId1151" Type="http://schemas.openxmlformats.org/officeDocument/2006/relationships/hyperlink" Target="https://bellingcat-archive.nyc3.cdn.digitaloceanspaces.com/Ukraine_Witness_Datasheet/Worksheet/youtube_dl_1493037767625826306.mp4" TargetMode="External"/><Relationship Id="rId2482" Type="http://schemas.openxmlformats.org/officeDocument/2006/relationships/hyperlink" Target="https://bellingcat-archive.nyc3.cdn.digitaloceanspaces.com/Ukraine_Witness_Datasheet/Worksheet/youtube_dl_1496731220138414082.mp4" TargetMode="External"/><Relationship Id="rId1152" Type="http://schemas.openxmlformats.org/officeDocument/2006/relationships/hyperlink" Target="https://bellingcat-archive.nyc3.cdn.digitaloceanspaces.com/Ukraine_Witness_Datasheet/Worksheet/youtube_dl__Michael1Sheldon_status_14930377676258263062022-02-25T14:13:39.736925.png" TargetMode="External"/><Relationship Id="rId2483" Type="http://schemas.openxmlformats.org/officeDocument/2006/relationships/hyperlink" Target="https://bellingcat-archive.nyc3.cdn.digitaloceanspaces.com/Ukraine_Witness_Datasheet/Worksheet/youtube_dl__Michael1Sheldon_status_14967312201384140822022-02-25T12:40:47.611423.png" TargetMode="External"/><Relationship Id="rId1153" Type="http://schemas.openxmlformats.org/officeDocument/2006/relationships/hyperlink" Target="https://bellingcat-archive.nyc3.cdn.digitaloceanspaces.com/Ukraine_Witness_Datasheet/Worksheet/youtube_dl_1493037767625826306/index.html" TargetMode="External"/><Relationship Id="rId2484" Type="http://schemas.openxmlformats.org/officeDocument/2006/relationships/hyperlink" Target="https://bellingcat-archive.nyc3.cdn.digitaloceanspaces.com/Ukraine_Witness_Datasheet/Worksheet/youtube_dl_1496731220138414082/index.html" TargetMode="External"/><Relationship Id="rId1154" Type="http://schemas.openxmlformats.org/officeDocument/2006/relationships/hyperlink" Target="https://twitter.com/GirkinGirkin/status/1492524292449443847" TargetMode="External"/><Relationship Id="rId2485" Type="http://schemas.openxmlformats.org/officeDocument/2006/relationships/hyperlink" Target="https://twitter.com/ua_industrial/status/1496709775886884871" TargetMode="External"/><Relationship Id="rId1155" Type="http://schemas.openxmlformats.org/officeDocument/2006/relationships/hyperlink" Target="https://twitter.com/gfusfus/status/1492532529072685058" TargetMode="External"/><Relationship Id="rId2486" Type="http://schemas.openxmlformats.org/officeDocument/2006/relationships/hyperlink" Target="https://twitter.com/Michael1Sheldon/status/1496721524119715843" TargetMode="External"/><Relationship Id="rId1156" Type="http://schemas.openxmlformats.org/officeDocument/2006/relationships/hyperlink" Target="https://bellingcat-archive.nyc3.cdn.digitaloceanspaces.com/Ukraine_Witness_Datasheet/Worksheet/youtube_dl_1492524292449443847.mp4" TargetMode="External"/><Relationship Id="rId2487" Type="http://schemas.openxmlformats.org/officeDocument/2006/relationships/hyperlink" Target="https://bellingcat-archive.nyc3.cdn.digitaloceanspaces.com/Ukraine_Witness_Datasheet/Worksheet/youtube_dl_1496709775886884871.mp4" TargetMode="External"/><Relationship Id="rId1157" Type="http://schemas.openxmlformats.org/officeDocument/2006/relationships/hyperlink" Target="https://bellingcat-archive.nyc3.cdn.digitaloceanspaces.com/Ukraine_Witness_Datasheet/Worksheet/youtube_dl__GirkinGirkin_status_14925242924494438472022-02-25T14:14:07.897569.png" TargetMode="External"/><Relationship Id="rId2488" Type="http://schemas.openxmlformats.org/officeDocument/2006/relationships/hyperlink" Target="https://bellingcat-archive.nyc3.cdn.digitaloceanspaces.com/Ukraine_Witness_Datasheet/Worksheet/youtube_dl__ua_industrial_status_14967097758868848712022-02-25T12:40:31.625406.png" TargetMode="External"/><Relationship Id="rId1147" Type="http://schemas.openxmlformats.org/officeDocument/2006/relationships/hyperlink" Target="https://bellingcat-archive.nyc3.cdn.digitaloceanspaces.com/Ukraine_Witness_Datasheet/Worksheet/youtube_dl__Michael1Sheldon_status_14930374362339942432022-02-25T14:13:09.739645.png" TargetMode="External"/><Relationship Id="rId2478" Type="http://schemas.openxmlformats.org/officeDocument/2006/relationships/hyperlink" Target="https://bellingcat-archive.nyc3.cdn.digitaloceanspaces.com/Ukraine_Witness_Datasheet/Worksheet/youtube_dl__Michael1Sheldon_status_14968076166050406472022-02-25T12:41:06.048418.png" TargetMode="External"/><Relationship Id="rId1148" Type="http://schemas.openxmlformats.org/officeDocument/2006/relationships/hyperlink" Target="https://bellingcat-archive.nyc3.cdn.digitaloceanspaces.com/Ukraine_Witness_Datasheet/Worksheet/youtube_dl_1493037436233994243/index.html" TargetMode="External"/><Relationship Id="rId2479" Type="http://schemas.openxmlformats.org/officeDocument/2006/relationships/hyperlink" Target="https://bellingcat-archive.nyc3.cdn.digitaloceanspaces.com/Ukraine_Witness_Datasheet/Worksheet/youtube_dl_1496807616605040647/index.html" TargetMode="External"/><Relationship Id="rId1149" Type="http://schemas.openxmlformats.org/officeDocument/2006/relationships/hyperlink" Target="https://twitter.com/Michael1Sheldon/status/1493037767625826306" TargetMode="External"/><Relationship Id="rId2470" Type="http://schemas.openxmlformats.org/officeDocument/2006/relationships/hyperlink" Target="https://twitter.com/RALee85/status/1496735344221470721" TargetMode="External"/><Relationship Id="rId1140" Type="http://schemas.openxmlformats.org/officeDocument/2006/relationships/hyperlink" Target="https://twitter.com/Michael1Sheldon/status/1493037057085689856" TargetMode="External"/><Relationship Id="rId2471" Type="http://schemas.openxmlformats.org/officeDocument/2006/relationships/hyperlink" Target="https://twitter.com/john_marquee/status/1496749318094479370" TargetMode="External"/><Relationship Id="rId1141" Type="http://schemas.openxmlformats.org/officeDocument/2006/relationships/hyperlink" Target="https://bellingcat-archive.nyc3.cdn.digitaloceanspaces.com/Ukraine_Witness_Datasheet/Worksheet/youtube_dl_1493036503974486018.mp4" TargetMode="External"/><Relationship Id="rId2472" Type="http://schemas.openxmlformats.org/officeDocument/2006/relationships/hyperlink" Target="https://bellingcat-archive.nyc3.cdn.digitaloceanspaces.com/Ukraine_Witness_Datasheet/Worksheet/youtube_dl_1496735344221470721.mp4" TargetMode="External"/><Relationship Id="rId1142" Type="http://schemas.openxmlformats.org/officeDocument/2006/relationships/hyperlink" Target="https://bellingcat-archive.nyc3.cdn.digitaloceanspaces.com/Ukraine_Witness_Datasheet/Worksheet/youtube_dl__Michael1Sheldon_status_14930365039744860182022-02-25T14:12:40.291818.png" TargetMode="External"/><Relationship Id="rId2473" Type="http://schemas.openxmlformats.org/officeDocument/2006/relationships/hyperlink" Target="https://bellingcat-archive.nyc3.cdn.digitaloceanspaces.com/Ukraine_Witness_Datasheet/Worksheet/youtube_dl__RALee85_status_14967353442214707212022-02-25T12:41:27.271364.png" TargetMode="External"/><Relationship Id="rId1143" Type="http://schemas.openxmlformats.org/officeDocument/2006/relationships/hyperlink" Target="https://bellingcat-archive.nyc3.cdn.digitaloceanspaces.com/Ukraine_Witness_Datasheet/Worksheet/youtube_dl_1493036503974486018/index.html" TargetMode="External"/><Relationship Id="rId2474" Type="http://schemas.openxmlformats.org/officeDocument/2006/relationships/hyperlink" Target="https://bellingcat-archive.nyc3.cdn.digitaloceanspaces.com/Ukraine_Witness_Datasheet/Worksheet/youtube_dl_1496735344221470721/index.html" TargetMode="External"/><Relationship Id="rId1144" Type="http://schemas.openxmlformats.org/officeDocument/2006/relationships/hyperlink" Target="https://twitter.com/Michael1Sheldon/status/1493037436233994243" TargetMode="External"/><Relationship Id="rId2475" Type="http://schemas.openxmlformats.org/officeDocument/2006/relationships/hyperlink" Target="https://twitter.com/Michael1Sheldon/status/1496807616605040647" TargetMode="External"/><Relationship Id="rId1145" Type="http://schemas.openxmlformats.org/officeDocument/2006/relationships/hyperlink" Target="https://twitter.com/Michael1Sheldon/status/1493037057085689856" TargetMode="External"/><Relationship Id="rId2476" Type="http://schemas.openxmlformats.org/officeDocument/2006/relationships/hyperlink" Target="https://twitter.com/Michael1Sheldon/status/1496808278466117634" TargetMode="External"/><Relationship Id="rId1146" Type="http://schemas.openxmlformats.org/officeDocument/2006/relationships/hyperlink" Target="https://bellingcat-archive.nyc3.cdn.digitaloceanspaces.com/Ukraine_Witness_Datasheet/Worksheet/youtube_dl_1493037436233994243.mp4" TargetMode="External"/><Relationship Id="rId2477" Type="http://schemas.openxmlformats.org/officeDocument/2006/relationships/hyperlink" Target="https://bellingcat-archive.nyc3.cdn.digitaloceanspaces.com/Ukraine_Witness_Datasheet/Worksheet/youtube_dl_1496807616605040647.mp4" TargetMode="External"/><Relationship Id="rId7319" Type="http://schemas.openxmlformats.org/officeDocument/2006/relationships/hyperlink" Target="https://bellingcat-archive.nyc3.cdn.digitaloceanspaces.com/Ukraine_Witness_Datasheet/Worksheet/telegram_93645e9a6d.mp4" TargetMode="External"/><Relationship Id="rId7318" Type="http://schemas.openxmlformats.org/officeDocument/2006/relationships/hyperlink" Target="https://t.me/Pravda_Gerashchenko/2356" TargetMode="External"/><Relationship Id="rId7313" Type="http://schemas.openxmlformats.org/officeDocument/2006/relationships/hyperlink" Target="https://t.me/nexta_live/20243" TargetMode="External"/><Relationship Id="rId7312" Type="http://schemas.openxmlformats.org/officeDocument/2006/relationships/hyperlink" Target="https://t.me/nexta_live/20237" TargetMode="External"/><Relationship Id="rId7311" Type="http://schemas.openxmlformats.org/officeDocument/2006/relationships/hyperlink" Target="https://bellingcat-archive.nyc3.cdn.digitaloceanspaces.com/Ukraine_Witness_Datasheet/Worksheet/telegram_e793d26d49/index.html" TargetMode="External"/><Relationship Id="rId7310" Type="http://schemas.openxmlformats.org/officeDocument/2006/relationships/hyperlink" Target="https://bellingcat-archive.nyc3.cdn.digitaloceanspaces.com/Ukraine_Witness_Datasheet/Worksheet/telegram__nexta_live_202372022-03-08T16:57:32.582367.png" TargetMode="External"/><Relationship Id="rId7317" Type="http://schemas.openxmlformats.org/officeDocument/2006/relationships/hyperlink" Target="https://t.me/nexta_live/20243" TargetMode="External"/><Relationship Id="rId7316" Type="http://schemas.openxmlformats.org/officeDocument/2006/relationships/hyperlink" Target="https://bellingcat-archive.nyc3.cdn.digitaloceanspaces.com/Ukraine_Witness_Datasheet/Worksheet/telegram_b0031d6954/index.html" TargetMode="External"/><Relationship Id="rId7315" Type="http://schemas.openxmlformats.org/officeDocument/2006/relationships/hyperlink" Target="https://bellingcat-archive.nyc3.cdn.digitaloceanspaces.com/Ukraine_Witness_Datasheet/Worksheet/telegram__nexta_live_202432022-03-08T16:58:47.181008.png" TargetMode="External"/><Relationship Id="rId7314" Type="http://schemas.openxmlformats.org/officeDocument/2006/relationships/hyperlink" Target="https://bellingcat-archive.nyc3.cdn.digitaloceanspaces.com/Ukraine_Witness_Datasheet/Worksheet/telegram_b0031d6954.mp4" TargetMode="External"/><Relationship Id="rId7309" Type="http://schemas.openxmlformats.org/officeDocument/2006/relationships/hyperlink" Target="https://bellingcat-archive.nyc3.cdn.digitaloceanspaces.com/Ukraine_Witness_Datasheet/Worksheet/telegram_e793d26d49.mp4" TargetMode="External"/><Relationship Id="rId7308" Type="http://schemas.openxmlformats.org/officeDocument/2006/relationships/hyperlink" Target="https://t.me/nexta_live/20237" TargetMode="External"/><Relationship Id="rId7307" Type="http://schemas.openxmlformats.org/officeDocument/2006/relationships/hyperlink" Target="https://bellingcat-archive.nyc3.cdn.digitaloceanspaces.com/Ukraine_Witness_Datasheet/Worksheet/twitter__with__ukraine_status_15007275840106823772022-03-08T16:57:20.635368.png" TargetMode="External"/><Relationship Id="rId7302" Type="http://schemas.openxmlformats.org/officeDocument/2006/relationships/hyperlink" Target="https://bellingcat-archive.nyc3.cdn.digitaloceanspaces.com/Ukraine_Witness_Datasheet/Worksheet/telegram__nexta_live_202492022-03-08T16:56:46.262532.png" TargetMode="External"/><Relationship Id="rId7301" Type="http://schemas.openxmlformats.org/officeDocument/2006/relationships/hyperlink" Target="https://bellingcat-archive.nyc3.cdn.digitaloceanspaces.com/Ukraine_Witness_Datasheet/Worksheet/telegram_f05e01d5e3.mp4" TargetMode="External"/><Relationship Id="rId7300" Type="http://schemas.openxmlformats.org/officeDocument/2006/relationships/hyperlink" Target="https://t.me/nexta_live/20249" TargetMode="External"/><Relationship Id="rId7306" Type="http://schemas.openxmlformats.org/officeDocument/2006/relationships/hyperlink" Target="https://bellingcat-archive.nyc3.cdn.digitaloceanspaces.com/Ukraine_Witness_Datasheet/Worksheet/twitter__with__ukraine_status_1500727584010682377.html" TargetMode="External"/><Relationship Id="rId7305" Type="http://schemas.openxmlformats.org/officeDocument/2006/relationships/hyperlink" Target="https://twitter.com/with__ukraine/status/1500727584010682377?s=21" TargetMode="External"/><Relationship Id="rId7304" Type="http://schemas.openxmlformats.org/officeDocument/2006/relationships/hyperlink" Target="https://t.me/nexta_live/20249" TargetMode="External"/><Relationship Id="rId7303" Type="http://schemas.openxmlformats.org/officeDocument/2006/relationships/hyperlink" Target="https://bellingcat-archive.nyc3.cdn.digitaloceanspaces.com/Ukraine_Witness_Datasheet/Worksheet/telegram_f05e01d5e3/index.html" TargetMode="External"/><Relationship Id="rId6009" Type="http://schemas.openxmlformats.org/officeDocument/2006/relationships/hyperlink" Target="https://twitter.com/markito0171/status/1499838283202899969" TargetMode="External"/><Relationship Id="rId7331" Type="http://schemas.openxmlformats.org/officeDocument/2006/relationships/hyperlink" Target="https://bellingcat-archive.nyc3.cdn.digitaloceanspaces.com/Ukraine_Witness_Datasheet/Worksheet/telegram__uniannet_36001.html" TargetMode="External"/><Relationship Id="rId6000" Type="http://schemas.openxmlformats.org/officeDocument/2006/relationships/hyperlink" Target="https://twitter.com/Osinttechnical/status/1499833640536182790" TargetMode="External"/><Relationship Id="rId7330" Type="http://schemas.openxmlformats.org/officeDocument/2006/relationships/hyperlink" Target="https://t.me/uniannet/36001" TargetMode="External"/><Relationship Id="rId6003" Type="http://schemas.openxmlformats.org/officeDocument/2006/relationships/hyperlink" Target="https://bellingcat-archive.nyc3.cdn.digitaloceanspaces.com/Ukraine_Witness_Datasheet/Worksheet/youtube_dl__Osinttechnical_status_14998336405361827902022-03-05T10:05:12.457197.png" TargetMode="External"/><Relationship Id="rId7335" Type="http://schemas.openxmlformats.org/officeDocument/2006/relationships/hyperlink" Target="https://bellingcat-archive.nyc3.cdn.digitaloceanspaces.com/Ukraine_Witness_Datasheet/Worksheet/wayback__watch_2022-03-08T17:05:33.008959.png" TargetMode="External"/><Relationship Id="rId6004" Type="http://schemas.openxmlformats.org/officeDocument/2006/relationships/hyperlink" Target="https://bellingcat-archive.nyc3.cdn.digitaloceanspaces.com/Ukraine_Witness_Datasheet/Worksheet/youtube_dl_1499833640536182790/index.html" TargetMode="External"/><Relationship Id="rId7334" Type="http://schemas.openxmlformats.org/officeDocument/2006/relationships/hyperlink" Target="https://web.archive.org/web/20220308170523/https://www.facebook.com/hromadskeua/videos/3173367236318496/" TargetMode="External"/><Relationship Id="rId6001" Type="http://schemas.openxmlformats.org/officeDocument/2006/relationships/hyperlink" Target="https://twitter.com/MilitaryEmpire/status/1499870598859829256" TargetMode="External"/><Relationship Id="rId7333" Type="http://schemas.openxmlformats.org/officeDocument/2006/relationships/hyperlink" Target="https://www.facebook.com/watch/?ref=search&amp;v=3173367236318496&amp;external_log_id=a4a76c63-c95a-4f18-9d5b-3d0799bf9f90&amp;q=%D0%BC%D0%B8%D0%BA%D0%BE%D0%BB%D0%B0%D1%97%D0%B2" TargetMode="External"/><Relationship Id="rId6002" Type="http://schemas.openxmlformats.org/officeDocument/2006/relationships/hyperlink" Target="https://bellingcat-archive.nyc3.cdn.digitaloceanspaces.com/Ukraine_Witness_Datasheet/Worksheet/youtube_dl_1499833640536182790.mp4" TargetMode="External"/><Relationship Id="rId7332" Type="http://schemas.openxmlformats.org/officeDocument/2006/relationships/hyperlink" Target="https://bellingcat-archive.nyc3.cdn.digitaloceanspaces.com/Ukraine_Witness_Datasheet/Worksheet/telegram__uniannet_360012022-03-08T17:04:46.605736.png" TargetMode="External"/><Relationship Id="rId6007" Type="http://schemas.openxmlformats.org/officeDocument/2006/relationships/hyperlink" Target="https://bellingcat-archive.nyc3.cdn.digitaloceanspaces.com/Ukraine_Witness_Datasheet/Worksheet/youtube_dl__markito0171_status_14998382832028999692022-03-05T10:05:28.078491.png" TargetMode="External"/><Relationship Id="rId7339" Type="http://schemas.openxmlformats.org/officeDocument/2006/relationships/hyperlink" Target="https://t.me/vorposte/15395" TargetMode="External"/><Relationship Id="rId6008" Type="http://schemas.openxmlformats.org/officeDocument/2006/relationships/hyperlink" Target="https://bellingcat-archive.nyc3.cdn.digitaloceanspaces.com/Ukraine_Witness_Datasheet/Worksheet/youtube_dl_1499838283202899969/index.html" TargetMode="External"/><Relationship Id="rId7338" Type="http://schemas.openxmlformats.org/officeDocument/2006/relationships/hyperlink" Target="https://bellingcat-archive.nyc3.cdn.digitaloceanspaces.com/Ukraine_Witness_Datasheet/Worksheet/twitter__with__ukraine_status_15007275840106823772022-03-08T17:05:44.934463.png" TargetMode="External"/><Relationship Id="rId6005" Type="http://schemas.openxmlformats.org/officeDocument/2006/relationships/hyperlink" Target="https://twitter.com/markito0171/status/1499838283202899969" TargetMode="External"/><Relationship Id="rId7337" Type="http://schemas.openxmlformats.org/officeDocument/2006/relationships/hyperlink" Target="https://bellingcat-archive.nyc3.cdn.digitaloceanspaces.com/Ukraine_Witness_Datasheet/Worksheet/twitter__with__ukraine_status_1500727584010682377.html" TargetMode="External"/><Relationship Id="rId6006" Type="http://schemas.openxmlformats.org/officeDocument/2006/relationships/hyperlink" Target="https://bellingcat-archive.nyc3.cdn.digitaloceanspaces.com/Ukraine_Witness_Datasheet/Worksheet/youtube_dl_1499838283202899969.mp4" TargetMode="External"/><Relationship Id="rId7336" Type="http://schemas.openxmlformats.org/officeDocument/2006/relationships/hyperlink" Target="https://twitter.com/with__ukraine/status/1500727584010682377?s=21" TargetMode="External"/><Relationship Id="rId7329" Type="http://schemas.openxmlformats.org/officeDocument/2006/relationships/hyperlink" Target="https://bellingcat-archive.nyc3.cdn.digitaloceanspaces.com/Ukraine_Witness_Datasheet/Worksheet/telegram__uniannet_359812022-03-08T17:04:30.740915.png" TargetMode="External"/><Relationship Id="rId7320" Type="http://schemas.openxmlformats.org/officeDocument/2006/relationships/hyperlink" Target="https://bellingcat-archive.nyc3.cdn.digitaloceanspaces.com/Ukraine_Witness_Datasheet/Worksheet/telegram__Pravda_Gerashchenko_23562022-03-08T17:00:18.632791.png" TargetMode="External"/><Relationship Id="rId7324" Type="http://schemas.openxmlformats.org/officeDocument/2006/relationships/hyperlink" Target="https://t.me/Pravda_Gerashchenko/2394" TargetMode="External"/><Relationship Id="rId7323" Type="http://schemas.openxmlformats.org/officeDocument/2006/relationships/hyperlink" Target="https://t.me/Pravda_Gerashchenko/2384?single" TargetMode="External"/><Relationship Id="rId7322" Type="http://schemas.openxmlformats.org/officeDocument/2006/relationships/hyperlink" Target="https://t.me/Pravda_Gerashchenko/2356" TargetMode="External"/><Relationship Id="rId7321" Type="http://schemas.openxmlformats.org/officeDocument/2006/relationships/hyperlink" Target="https://bellingcat-archive.nyc3.cdn.digitaloceanspaces.com/Ukraine_Witness_Datasheet/Worksheet/telegram_93645e9a6d/index.html" TargetMode="External"/><Relationship Id="rId7328" Type="http://schemas.openxmlformats.org/officeDocument/2006/relationships/hyperlink" Target="https://bellingcat-archive.nyc3.cdn.digitaloceanspaces.com/Ukraine_Witness_Datasheet/Worksheet/telegram__uniannet_35981.html" TargetMode="External"/><Relationship Id="rId7327" Type="http://schemas.openxmlformats.org/officeDocument/2006/relationships/hyperlink" Target="https://t.me/uniannet/35981" TargetMode="External"/><Relationship Id="rId7326" Type="http://schemas.openxmlformats.org/officeDocument/2006/relationships/hyperlink" Target="https://bellingcat-archive.nyc3.cdn.digitaloceanspaces.com/Ukraine_Witness_Datasheet/Worksheet/telegram__Pravda_Gerashchenko_23942022-03-08T17:04:15.765023.png" TargetMode="External"/><Relationship Id="rId7325" Type="http://schemas.openxmlformats.org/officeDocument/2006/relationships/hyperlink" Target="https://bellingcat-archive.nyc3.cdn.digitaloceanspaces.com/Ukraine_Witness_Datasheet/Worksheet/telegram__Pravda_Gerashchenko_2394.html" TargetMode="External"/><Relationship Id="rId6061" Type="http://schemas.openxmlformats.org/officeDocument/2006/relationships/hyperlink" Target="https://bellingcat-archive.nyc3.cdn.digitaloceanspaces.com/Ukraine_Witness_Datasheet/Worksheet/youtube_dl_1500078207374135300/index.html" TargetMode="External"/><Relationship Id="rId7393" Type="http://schemas.openxmlformats.org/officeDocument/2006/relationships/hyperlink" Target="https://web.archive.org/web/20220308171450/https://drive.google.com/file/d/1eHhyFlsFNepaJhAbNX6yHPJTD3a3DozL/view?usp=sharing" TargetMode="External"/><Relationship Id="rId6062" Type="http://schemas.openxmlformats.org/officeDocument/2006/relationships/hyperlink" Target="https://twitter.com/michaelh992/status/1500109042563301377?s=20&amp;t=U5fjLoT4qiyyl0D5R8UYCg" TargetMode="External"/><Relationship Id="rId7392" Type="http://schemas.openxmlformats.org/officeDocument/2006/relationships/hyperlink" Target="https://drive.google.com/file/d/1eHhyFlsFNepaJhAbNX6yHPJTD3a3DozL/view?usp=sharing" TargetMode="External"/><Relationship Id="rId7391" Type="http://schemas.openxmlformats.org/officeDocument/2006/relationships/hyperlink" Target="https://t.me/truexanewsua/29409" TargetMode="External"/><Relationship Id="rId6060" Type="http://schemas.openxmlformats.org/officeDocument/2006/relationships/hyperlink" Target="https://bellingcat-archive.nyc3.cdn.digitaloceanspaces.com/Ukraine_Witness_Datasheet/Worksheet/youtube_dl__kromark_status_15000782073741353002022-03-05T13:55:13.267376.png" TargetMode="External"/><Relationship Id="rId7390" Type="http://schemas.openxmlformats.org/officeDocument/2006/relationships/hyperlink" Target="https://bellingcat-archive.nyc3.cdn.digitaloceanspaces.com/Ukraine_Witness_Datasheet/Worksheet/telegram_bae603b2f2/index.html" TargetMode="External"/><Relationship Id="rId6065" Type="http://schemas.openxmlformats.org/officeDocument/2006/relationships/hyperlink" Target="https://bellingcat-archive.nyc3.cdn.digitaloceanspaces.com/Ukraine_Witness_Datasheet/Worksheet/youtube_dl_1500109042563301377/index.html" TargetMode="External"/><Relationship Id="rId7397" Type="http://schemas.openxmlformats.org/officeDocument/2006/relationships/hyperlink" Target="https://bellingcat-archive.nyc3.cdn.digitaloceanspaces.com/Ukraine_Witness_Datasheet/Worksheet/telegram__truexanewsua_287112022-03-08T17:15:05.888216.png" TargetMode="External"/><Relationship Id="rId6066" Type="http://schemas.openxmlformats.org/officeDocument/2006/relationships/hyperlink" Target="https://twitter.com/200_zoka/status/1500108724681289746?s=20&amp;t=U5fjLoT4qiyyl0D5R8UYCg" TargetMode="External"/><Relationship Id="rId7396" Type="http://schemas.openxmlformats.org/officeDocument/2006/relationships/hyperlink" Target="https://bellingcat-archive.nyc3.cdn.digitaloceanspaces.com/Ukraine_Witness_Datasheet/Worksheet/telegram_5f64e60351.mp4" TargetMode="External"/><Relationship Id="rId6063" Type="http://schemas.openxmlformats.org/officeDocument/2006/relationships/hyperlink" Target="https://bellingcat-archive.nyc3.cdn.digitaloceanspaces.com/Ukraine_Witness_Datasheet/Worksheet/youtube_dl_1500109042563301377.mp4" TargetMode="External"/><Relationship Id="rId7395" Type="http://schemas.openxmlformats.org/officeDocument/2006/relationships/hyperlink" Target="https://t.me/truexanewsua/28711" TargetMode="External"/><Relationship Id="rId6064" Type="http://schemas.openxmlformats.org/officeDocument/2006/relationships/hyperlink" Target="https://bellingcat-archive.nyc3.cdn.digitaloceanspaces.com/Ukraine_Witness_Datasheet/Worksheet/youtube_dl__michaelh992_status_15001090425633013772022-03-05T14:05:13.965983.png" TargetMode="External"/><Relationship Id="rId7394" Type="http://schemas.openxmlformats.org/officeDocument/2006/relationships/hyperlink" Target="https://bellingcat-archive.nyc3.cdn.digitaloceanspaces.com/Ukraine_Witness_Datasheet/Worksheet/wayback__file_d_1eHhyFlsFNepaJhAbNX6yHPJTD3a3DozL_view2022-03-08T17:14:57.407279.png" TargetMode="External"/><Relationship Id="rId6069" Type="http://schemas.openxmlformats.org/officeDocument/2006/relationships/hyperlink" Target="https://twitter.com/TimGatt/status/1499861301241303045?s=20&amp;t=U5fjLoT4qiyyl0D5R8UYCg" TargetMode="External"/><Relationship Id="rId6067" Type="http://schemas.openxmlformats.org/officeDocument/2006/relationships/hyperlink" Target="https://bellingcat-archive.nyc3.cdn.digitaloceanspaces.com/Ukraine_Witness_Datasheet/Worksheet/twitter__200_zoka_status_1500108724681289746.html" TargetMode="External"/><Relationship Id="rId7399" Type="http://schemas.openxmlformats.org/officeDocument/2006/relationships/hyperlink" Target="https://t.me/truexanewsua/28711" TargetMode="External"/><Relationship Id="rId6068" Type="http://schemas.openxmlformats.org/officeDocument/2006/relationships/hyperlink" Target="https://bellingcat-archive.nyc3.cdn.digitaloceanspaces.com/Ukraine_Witness_Datasheet/Worksheet/twitter__200_zoka_status_15001087246812897462022-03-05T14:05:33.501362.png" TargetMode="External"/><Relationship Id="rId7398" Type="http://schemas.openxmlformats.org/officeDocument/2006/relationships/hyperlink" Target="https://bellingcat-archive.nyc3.cdn.digitaloceanspaces.com/Ukraine_Witness_Datasheet/Worksheet/telegram_5f64e60351/index.html" TargetMode="External"/><Relationship Id="rId6050" Type="http://schemas.openxmlformats.org/officeDocument/2006/relationships/hyperlink" Target="https://t.me/lachentyp/474" TargetMode="External"/><Relationship Id="rId7382" Type="http://schemas.openxmlformats.org/officeDocument/2006/relationships/hyperlink" Target="https://bellingcat-archive.nyc3.cdn.digitaloceanspaces.com/Ukraine_Witness_Datasheet/Worksheet/telegram_4b544e2647.mp4" TargetMode="External"/><Relationship Id="rId6051" Type="http://schemas.openxmlformats.org/officeDocument/2006/relationships/hyperlink" Target="https://twitter.com/Caucasuswar/status/1500101574869360642?s=20&amp;t=t4Dl1G4ba8WdbKgWRSWLFQ" TargetMode="External"/><Relationship Id="rId7381" Type="http://schemas.openxmlformats.org/officeDocument/2006/relationships/hyperlink" Target="https://t.me/truexanewsua/27889" TargetMode="External"/><Relationship Id="rId7380" Type="http://schemas.openxmlformats.org/officeDocument/2006/relationships/hyperlink" Target="https://bellingcat-archive.nyc3.cdn.digitaloceanspaces.com/Ukraine_Witness_Datasheet/Worksheet/wayback__file_d_10ZlnvtbPtzbwCqvo7WmmkT8Z-bS9A71k_view2022-03-08T17:13:32.934731.png" TargetMode="External"/><Relationship Id="rId6054" Type="http://schemas.openxmlformats.org/officeDocument/2006/relationships/hyperlink" Target="https://bellingcat-archive.nyc3.cdn.digitaloceanspaces.com/Ukraine_Witness_Datasheet/Worksheet/youtube_dl_1500101574869360642/index.html" TargetMode="External"/><Relationship Id="rId7386" Type="http://schemas.openxmlformats.org/officeDocument/2006/relationships/hyperlink" Target="https://drive.google.com/file/d/1kIuI6H-TaReVRzs59C1xijVYwPV4CCKd/view?usp=sharing" TargetMode="External"/><Relationship Id="rId6055" Type="http://schemas.openxmlformats.org/officeDocument/2006/relationships/hyperlink" Target="https://twitter.com/666_mancer/status/1500093865990275072?s=20&amp;t=AhMdQMdfbqNuxoX0Mvp7rQ" TargetMode="External"/><Relationship Id="rId7385" Type="http://schemas.openxmlformats.org/officeDocument/2006/relationships/hyperlink" Target="https://t.me/truexanewsua/27889" TargetMode="External"/><Relationship Id="rId6052" Type="http://schemas.openxmlformats.org/officeDocument/2006/relationships/hyperlink" Target="https://bellingcat-archive.nyc3.cdn.digitaloceanspaces.com/Ukraine_Witness_Datasheet/Worksheet/youtube_dl_1500101574869360642.mp4" TargetMode="External"/><Relationship Id="rId7384" Type="http://schemas.openxmlformats.org/officeDocument/2006/relationships/hyperlink" Target="https://bellingcat-archive.nyc3.cdn.digitaloceanspaces.com/Ukraine_Witness_Datasheet/Worksheet/telegram_4b544e2647/index.html" TargetMode="External"/><Relationship Id="rId6053" Type="http://schemas.openxmlformats.org/officeDocument/2006/relationships/hyperlink" Target="https://bellingcat-archive.nyc3.cdn.digitaloceanspaces.com/Ukraine_Witness_Datasheet/Worksheet/youtube_dl__Caucasuswar_status_15001015748693606422022-03-05T13:50:16.444866.png" TargetMode="External"/><Relationship Id="rId7383" Type="http://schemas.openxmlformats.org/officeDocument/2006/relationships/hyperlink" Target="https://bellingcat-archive.nyc3.cdn.digitaloceanspaces.com/Ukraine_Witness_Datasheet/Worksheet/telegram__truexanewsua_278892022-03-08T17:13:41.862940.png" TargetMode="External"/><Relationship Id="rId6058" Type="http://schemas.openxmlformats.org/officeDocument/2006/relationships/hyperlink" Target="https://twitter.com/kromark/status/1500078207374135300?s=20&amp;t=SvDtnjHwT9SUCrmDL7853g" TargetMode="External"/><Relationship Id="rId6059" Type="http://schemas.openxmlformats.org/officeDocument/2006/relationships/hyperlink" Target="https://bellingcat-archive.nyc3.cdn.digitaloceanspaces.com/Ukraine_Witness_Datasheet/Worksheet/youtube_dl_1500078207374135300.mp4" TargetMode="External"/><Relationship Id="rId7389" Type="http://schemas.openxmlformats.org/officeDocument/2006/relationships/hyperlink" Target="https://bellingcat-archive.nyc3.cdn.digitaloceanspaces.com/Ukraine_Witness_Datasheet/Worksheet/telegram__truexanewsua_294092022-03-08T17:14:21.449963.png" TargetMode="External"/><Relationship Id="rId6056" Type="http://schemas.openxmlformats.org/officeDocument/2006/relationships/hyperlink" Target="https://bellingcat-archive.nyc3.cdn.digitaloceanspaces.com/Ukraine_Witness_Datasheet/Worksheet/twitter__666_mancer_status_1500093865990275072.html" TargetMode="External"/><Relationship Id="rId7388" Type="http://schemas.openxmlformats.org/officeDocument/2006/relationships/hyperlink" Target="https://bellingcat-archive.nyc3.cdn.digitaloceanspaces.com/Ukraine_Witness_Datasheet/Worksheet/telegram_bae603b2f2.mp4" TargetMode="External"/><Relationship Id="rId6057" Type="http://schemas.openxmlformats.org/officeDocument/2006/relationships/hyperlink" Target="https://bellingcat-archive.nyc3.cdn.digitaloceanspaces.com/Ukraine_Witness_Datasheet/Worksheet/twitter__666_mancer_status_15000938659902750722022-03-05T13:50:35.013662.png" TargetMode="External"/><Relationship Id="rId7387" Type="http://schemas.openxmlformats.org/officeDocument/2006/relationships/hyperlink" Target="https://t.me/truexanewsua/29409" TargetMode="External"/><Relationship Id="rId3810" Type="http://schemas.openxmlformats.org/officeDocument/2006/relationships/hyperlink" Target="https://bellingcat-archive.nyc3.cdn.digitaloceanspaces.com/Ukraine_Witness_Datasheet/Worksheet/youtube_dl_1497994069993308164/index.html" TargetMode="External"/><Relationship Id="rId3812" Type="http://schemas.openxmlformats.org/officeDocument/2006/relationships/hyperlink" Target="https://bellingcat-archive.nyc3.cdn.digitaloceanspaces.com/Ukraine_Witness_Datasheet/Worksheet/youtube_dl_1497923113593585672.mp4" TargetMode="External"/><Relationship Id="rId3811" Type="http://schemas.openxmlformats.org/officeDocument/2006/relationships/hyperlink" Target="https://twitter.com/Nelson_Serg/status/1497923113593585672?s=20&amp;t=-76tuOE3jxpCAfTt9eZ9Hw" TargetMode="External"/><Relationship Id="rId3814" Type="http://schemas.openxmlformats.org/officeDocument/2006/relationships/hyperlink" Target="https://bellingcat-archive.nyc3.cdn.digitaloceanspaces.com/Ukraine_Witness_Datasheet/Worksheet/youtube_dl_1497923113593585672/index.html" TargetMode="External"/><Relationship Id="rId3813" Type="http://schemas.openxmlformats.org/officeDocument/2006/relationships/hyperlink" Target="https://bellingcat-archive.nyc3.cdn.digitaloceanspaces.com/Ukraine_Witness_Datasheet/Worksheet/youtube_dl__Nelson_Serg_status_14979231135935856722022-02-28T07:26:03.286944.png" TargetMode="External"/><Relationship Id="rId3816" Type="http://schemas.openxmlformats.org/officeDocument/2006/relationships/hyperlink" Target="https://bellingcat-archive.nyc3.cdn.digitaloceanspaces.com/Ukraine_Witness_Datasheet/Worksheet/youtube_dl_1497971946235088899.mp4" TargetMode="External"/><Relationship Id="rId3815" Type="http://schemas.openxmlformats.org/officeDocument/2006/relationships/hyperlink" Target="https://twitter.com/Nelson_Serg/status/1497971946235088899?s=20&amp;t=2sRW6Q81aIWwMe9Pv_Ig_Q" TargetMode="External"/><Relationship Id="rId3818" Type="http://schemas.openxmlformats.org/officeDocument/2006/relationships/hyperlink" Target="https://bellingcat-archive.nyc3.cdn.digitaloceanspaces.com/Ukraine_Witness_Datasheet/Worksheet/youtube_dl_1497971946235088899/index.html" TargetMode="External"/><Relationship Id="rId3817" Type="http://schemas.openxmlformats.org/officeDocument/2006/relationships/hyperlink" Target="https://bellingcat-archive.nyc3.cdn.digitaloceanspaces.com/Ukraine_Witness_Datasheet/Worksheet/youtube_dl__Nelson_Serg_status_14979719462350888992022-02-28T07:26:57.225479.png" TargetMode="External"/><Relationship Id="rId3819" Type="http://schemas.openxmlformats.org/officeDocument/2006/relationships/hyperlink" Target="https://twitter.com/kameniar_ua/status/1498013219671220226?s=20&amp;t=LIBC2x2erGojF8W3HDhJrQ" TargetMode="External"/><Relationship Id="rId6090" Type="http://schemas.openxmlformats.org/officeDocument/2006/relationships/hyperlink" Target="https://twitter.com/Blue_Sauron/status/1500105505511022594?s=20&amp;t=osVhP_ob1s7U-feIbwxF5A" TargetMode="External"/><Relationship Id="rId6091" Type="http://schemas.openxmlformats.org/officeDocument/2006/relationships/hyperlink" Target="https://bellingcat-archive.nyc3.cdn.digitaloceanspaces.com/Ukraine_Witness_Datasheet/Worksheet/youtube_dl_1500105505511022594.mp4" TargetMode="External"/><Relationship Id="rId6083" Type="http://schemas.openxmlformats.org/officeDocument/2006/relationships/hyperlink" Target="https://bellingcat-archive.nyc3.cdn.digitaloceanspaces.com/Ukraine_Witness_Datasheet/Worksheet/youtube_dl_1500090578826055682.mp4" TargetMode="External"/><Relationship Id="rId6084" Type="http://schemas.openxmlformats.org/officeDocument/2006/relationships/hyperlink" Target="https://bellingcat-archive.nyc3.cdn.digitaloceanspaces.com/Ukraine_Witness_Datasheet/Worksheet/youtube_dl__spriter99880_status_15000905788260556822022-03-05T15:05:47.253932.png" TargetMode="External"/><Relationship Id="rId6081" Type="http://schemas.openxmlformats.org/officeDocument/2006/relationships/hyperlink" Target="https://bellingcat-archive.nyc3.cdn.digitaloceanspaces.com/Ukraine_Witness_Datasheet/Worksheet/youtube_dl_1500090236570849282/index.html" TargetMode="External"/><Relationship Id="rId6082" Type="http://schemas.openxmlformats.org/officeDocument/2006/relationships/hyperlink" Target="https://twitter.com/spriter99880/status/1500090578826055682?s=20&amp;t=qhlqcxbu64fFGtH1G6Zx4Q" TargetMode="External"/><Relationship Id="rId6087" Type="http://schemas.openxmlformats.org/officeDocument/2006/relationships/hyperlink" Target="https://bellingcat-archive.nyc3.cdn.digitaloceanspaces.com/Ukraine_Witness_Datasheet/Worksheet/youtube_dl_1500090768194744325.mp4" TargetMode="External"/><Relationship Id="rId6088" Type="http://schemas.openxmlformats.org/officeDocument/2006/relationships/hyperlink" Target="https://bellingcat-archive.nyc3.cdn.digitaloceanspaces.com/Ukraine_Witness_Datasheet/Worksheet/youtube_dl__ntvru_status_15000907681947443252022-03-05T15:10:13.155936.png" TargetMode="External"/><Relationship Id="rId6085" Type="http://schemas.openxmlformats.org/officeDocument/2006/relationships/hyperlink" Target="https://bellingcat-archive.nyc3.cdn.digitaloceanspaces.com/Ukraine_Witness_Datasheet/Worksheet/youtube_dl_1500090578826055682/index.html" TargetMode="External"/><Relationship Id="rId6086" Type="http://schemas.openxmlformats.org/officeDocument/2006/relationships/hyperlink" Target="https://twitter.com/ntvru/status/1500090768194744325?s=20&amp;t=rk2sDq5Fd49akF6oIncs3A" TargetMode="External"/><Relationship Id="rId6089" Type="http://schemas.openxmlformats.org/officeDocument/2006/relationships/hyperlink" Target="https://bellingcat-archive.nyc3.cdn.digitaloceanspaces.com/Ukraine_Witness_Datasheet/Worksheet/youtube_dl_1500090768194744325/index.html" TargetMode="External"/><Relationship Id="rId3801" Type="http://schemas.openxmlformats.org/officeDocument/2006/relationships/hyperlink" Target="https://bellingcat-archive.nyc3.cdn.digitaloceanspaces.com/Ukraine_Witness_Datasheet/Worksheet/youtube_dl__YWNReporter_status_14979874721852497942022-02-27T17:58:26.505233.png" TargetMode="External"/><Relationship Id="rId3800" Type="http://schemas.openxmlformats.org/officeDocument/2006/relationships/hyperlink" Target="https://bellingcat-archive.nyc3.cdn.digitaloceanspaces.com/Ukraine_Witness_Datasheet/Worksheet/youtube_dl_1497987472185249794.mp4" TargetMode="External"/><Relationship Id="rId3803" Type="http://schemas.openxmlformats.org/officeDocument/2006/relationships/hyperlink" Target="https://twitter.com/666_mancer/status/1497987407630774279?s=20&amp;t=kd9vISDa_P9slI-agKgvcw" TargetMode="External"/><Relationship Id="rId3802" Type="http://schemas.openxmlformats.org/officeDocument/2006/relationships/hyperlink" Target="https://bellingcat-archive.nyc3.cdn.digitaloceanspaces.com/Ukraine_Witness_Datasheet/Worksheet/youtube_dl_1497987472185249794/index.html" TargetMode="External"/><Relationship Id="rId3805" Type="http://schemas.openxmlformats.org/officeDocument/2006/relationships/hyperlink" Target="https://bellingcat-archive.nyc3.cdn.digitaloceanspaces.com/Ukraine_Witness_Datasheet/Worksheet/youtube_dl__666_mancer_status_14979874076307742792022-02-27T17:58:49.909220.png" TargetMode="External"/><Relationship Id="rId3804" Type="http://schemas.openxmlformats.org/officeDocument/2006/relationships/hyperlink" Target="https://bellingcat-archive.nyc3.cdn.digitaloceanspaces.com/Ukraine_Witness_Datasheet/Worksheet/youtube_dl_1497987407630774279.mp4" TargetMode="External"/><Relationship Id="rId3807" Type="http://schemas.openxmlformats.org/officeDocument/2006/relationships/hyperlink" Target="https://twitter.com/aldin_ww/status/1497994069993308164?s=20&amp;t=-76tuOE3jxpCAfTt9eZ9Hw" TargetMode="External"/><Relationship Id="rId3806" Type="http://schemas.openxmlformats.org/officeDocument/2006/relationships/hyperlink" Target="https://bellingcat-archive.nyc3.cdn.digitaloceanspaces.com/Ukraine_Witness_Datasheet/Worksheet/youtube_dl_1497987407630774279/index.html" TargetMode="External"/><Relationship Id="rId3809" Type="http://schemas.openxmlformats.org/officeDocument/2006/relationships/hyperlink" Target="https://bellingcat-archive.nyc3.cdn.digitaloceanspaces.com/Ukraine_Witness_Datasheet/Worksheet/youtube_dl__aldin_ww_status_14979940699933081642022-02-27T19:56:45.506962.png" TargetMode="External"/><Relationship Id="rId3808" Type="http://schemas.openxmlformats.org/officeDocument/2006/relationships/hyperlink" Target="https://bellingcat-archive.nyc3.cdn.digitaloceanspaces.com/Ukraine_Witness_Datasheet/Worksheet/youtube_dl_1497994069993308164.mp4" TargetMode="External"/><Relationship Id="rId6080" Type="http://schemas.openxmlformats.org/officeDocument/2006/relationships/hyperlink" Target="https://bellingcat-archive.nyc3.cdn.digitaloceanspaces.com/Ukraine_Witness_Datasheet/Worksheet/youtube_dl__Militarylandnet_status_15000902365708492822022-03-05T15:05:22.815805.png" TargetMode="External"/><Relationship Id="rId6072" Type="http://schemas.openxmlformats.org/officeDocument/2006/relationships/hyperlink" Target="https://bellingcat-archive.nyc3.cdn.digitaloceanspaces.com/Ukraine_Witness_Datasheet/Worksheet/youtube_dl_1499861301241303045/index.html" TargetMode="External"/><Relationship Id="rId6073" Type="http://schemas.openxmlformats.org/officeDocument/2006/relationships/hyperlink" Target="https://twitter.com/shaunwalker7/status/1500059651546755073?s=20&amp;t=nc7QTtlQbGFT56wecLtn3g" TargetMode="External"/><Relationship Id="rId6070" Type="http://schemas.openxmlformats.org/officeDocument/2006/relationships/hyperlink" Target="https://bellingcat-archive.nyc3.cdn.digitaloceanspaces.com/Ukraine_Witness_Datasheet/Worksheet/youtube_dl_1499861301241303045.mp4" TargetMode="External"/><Relationship Id="rId6071" Type="http://schemas.openxmlformats.org/officeDocument/2006/relationships/hyperlink" Target="https://bellingcat-archive.nyc3.cdn.digitaloceanspaces.com/Ukraine_Witness_Datasheet/Worksheet/youtube_dl__TimGatt_status_14998613012413030452022-03-05T14:05:45.788901.png" TargetMode="External"/><Relationship Id="rId6076" Type="http://schemas.openxmlformats.org/officeDocument/2006/relationships/hyperlink" Target="https://bellingcat-archive.nyc3.cdn.digitaloceanspaces.com/Ukraine_Witness_Datasheet/Worksheet/youtube_dl__shaunwalker7_status_15000596515467550732022-03-05T15:00:13.707086.png" TargetMode="External"/><Relationship Id="rId6077" Type="http://schemas.openxmlformats.org/officeDocument/2006/relationships/hyperlink" Target="https://bellingcat-archive.nyc3.cdn.digitaloceanspaces.com/Ukraine_Witness_Datasheet/Worksheet/youtube_dl_1500059651546755073/index.html" TargetMode="External"/><Relationship Id="rId6074" Type="http://schemas.openxmlformats.org/officeDocument/2006/relationships/hyperlink" Target="https://twitter.com/MaximEdwards/status/1500074833283010564?s=20&amp;t=nc7QTtlQbGFT56wecLtn3g" TargetMode="External"/><Relationship Id="rId6075" Type="http://schemas.openxmlformats.org/officeDocument/2006/relationships/hyperlink" Target="https://bellingcat-archive.nyc3.cdn.digitaloceanspaces.com/Ukraine_Witness_Datasheet/Worksheet/youtube_dl_1500059651546755073.mp4" TargetMode="External"/><Relationship Id="rId6078" Type="http://schemas.openxmlformats.org/officeDocument/2006/relationships/hyperlink" Target="https://twitter.com/Militarylandnet/status/1500090236570849282?s=20&amp;t=WhGrONwa45Jn-mZZtAfQ7Q" TargetMode="External"/><Relationship Id="rId6079" Type="http://schemas.openxmlformats.org/officeDocument/2006/relationships/hyperlink" Target="https://bellingcat-archive.nyc3.cdn.digitaloceanspaces.com/Ukraine_Witness_Datasheet/Worksheet/youtube_dl_1500090236570849282.mp4" TargetMode="External"/><Relationship Id="rId6021" Type="http://schemas.openxmlformats.org/officeDocument/2006/relationships/hyperlink" Target="https://twitter.com/MarQs__/status/1500042641337167872" TargetMode="External"/><Relationship Id="rId7353" Type="http://schemas.openxmlformats.org/officeDocument/2006/relationships/hyperlink" Target="https://bellingcat-archive.nyc3.cdn.digitaloceanspaces.com/Ukraine_Witness_Datasheet/Worksheet/telegram__CITeam_2387.html" TargetMode="External"/><Relationship Id="rId6022" Type="http://schemas.openxmlformats.org/officeDocument/2006/relationships/hyperlink" Target="https://bellingcat-archive.nyc3.cdn.digitaloceanspaces.com/Ukraine_Witness_Datasheet/Worksheet/twitter__MarQs___status_1500042641337167872.html" TargetMode="External"/><Relationship Id="rId7352" Type="http://schemas.openxmlformats.org/officeDocument/2006/relationships/hyperlink" Target="https://t.me/CITeam/2387" TargetMode="External"/><Relationship Id="rId7351" Type="http://schemas.openxmlformats.org/officeDocument/2006/relationships/hyperlink" Target="https://bellingcat-archive.nyc3.cdn.digitaloceanspaces.com/Ukraine_Witness_Datasheet/Worksheet/wayback_dirivtsi-na-tanku-rozstrilyali-mashinu-ukrposhti,-sho-vezla-ljudyam-pensiju.-dvoe-ljudey-zaginulo.html2022-03-08T17:08:36.045224.png" TargetMode="External"/><Relationship Id="rId6020" Type="http://schemas.openxmlformats.org/officeDocument/2006/relationships/hyperlink" Target="https://bellingcat-archive.nyc3.cdn.digitaloceanspaces.com/Ukraine_Witness_Datasheet/Worksheet/youtube_dl_1499838283202899969/index.html" TargetMode="External"/><Relationship Id="rId7350" Type="http://schemas.openxmlformats.org/officeDocument/2006/relationships/hyperlink" Target="https://web.archive.org/web/20220308170822/https://www.zoda.gov.ua/news/59696/kadirivtsi-na-tanku-rozstrilyali-mashinu-ukrposhti,-sho-vezla-ljudyam-pensiju.-dvoe-ljudey-zaginulo.html" TargetMode="External"/><Relationship Id="rId6025" Type="http://schemas.openxmlformats.org/officeDocument/2006/relationships/hyperlink" Target="https://bellingcat-archive.nyc3.cdn.digitaloceanspaces.com/Ukraine_Witness_Datasheet/Worksheet/youtube_dl_1500057143256530948.mp4" TargetMode="External"/><Relationship Id="rId7357" Type="http://schemas.openxmlformats.org/officeDocument/2006/relationships/hyperlink" Target="https://bellingcat-archive.nyc3.cdn.digitaloceanspaces.com/Ukraine_Witness_Datasheet/Worksheet/youtube_dl__michaelh992_status_15008503633013432402022-03-08T17:09:00.017467.png" TargetMode="External"/><Relationship Id="rId6026" Type="http://schemas.openxmlformats.org/officeDocument/2006/relationships/hyperlink" Target="https://bellingcat-archive.nyc3.cdn.digitaloceanspaces.com/Ukraine_Witness_Datasheet/Worksheet/youtube_dl__COUPSURE_status_15000571432565309482022-03-05T11:10:13.097638.png" TargetMode="External"/><Relationship Id="rId7356" Type="http://schemas.openxmlformats.org/officeDocument/2006/relationships/hyperlink" Target="https://bellingcat-archive.nyc3.cdn.digitaloceanspaces.com/Ukraine_Witness_Datasheet/Worksheet/youtube_dl_1500850363301343240.mp4" TargetMode="External"/><Relationship Id="rId6023" Type="http://schemas.openxmlformats.org/officeDocument/2006/relationships/hyperlink" Target="https://bellingcat-archive.nyc3.cdn.digitaloceanspaces.com/Ukraine_Witness_Datasheet/Worksheet/twitter__MarQs___status_15000426413371678722022-03-05T10:40:12.881750.png" TargetMode="External"/><Relationship Id="rId7355" Type="http://schemas.openxmlformats.org/officeDocument/2006/relationships/hyperlink" Target="https://twitter.com/michaelh992/status/1500850363301343240" TargetMode="External"/><Relationship Id="rId6024" Type="http://schemas.openxmlformats.org/officeDocument/2006/relationships/hyperlink" Target="https://twitter.com/COUPSURE/status/1500057143256530948?s=20&amp;t=PSjawylprwv7XE_uu7momw" TargetMode="External"/><Relationship Id="rId7354" Type="http://schemas.openxmlformats.org/officeDocument/2006/relationships/hyperlink" Target="https://bellingcat-archive.nyc3.cdn.digitaloceanspaces.com/Ukraine_Witness_Datasheet/Worksheet/telegram__CITeam_23872022-03-08T17:08:46.505404.png" TargetMode="External"/><Relationship Id="rId6029" Type="http://schemas.openxmlformats.org/officeDocument/2006/relationships/hyperlink" Target="https://twitter.com/L_ThinkTank/status/1500066552305102850?s=20&amp;t=mMgScZUFreNSHltUJfVvAQ" TargetMode="External"/><Relationship Id="rId6027" Type="http://schemas.openxmlformats.org/officeDocument/2006/relationships/hyperlink" Target="https://bellingcat-archive.nyc3.cdn.digitaloceanspaces.com/Ukraine_Witness_Datasheet/Worksheet/youtube_dl_1500057143256530948/index.html" TargetMode="External"/><Relationship Id="rId7359" Type="http://schemas.openxmlformats.org/officeDocument/2006/relationships/hyperlink" Target="https://drive.google.com/file/d/1zxQjfLF0RcTcq0ytzNbof3HDsODTNRGB/view?usp=sharing" TargetMode="External"/><Relationship Id="rId6028" Type="http://schemas.openxmlformats.org/officeDocument/2006/relationships/hyperlink" Target="https://twitter.com/L_ThinkTank/status/1500037873608843265?s=20&amp;t=mMgScZUFreNSHltUJfVvAQ" TargetMode="External"/><Relationship Id="rId7358" Type="http://schemas.openxmlformats.org/officeDocument/2006/relationships/hyperlink" Target="https://bellingcat-archive.nyc3.cdn.digitaloceanspaces.com/Ukraine_Witness_Datasheet/Worksheet/youtube_dl_1500850363301343240/index.html" TargetMode="External"/><Relationship Id="rId6010" Type="http://schemas.openxmlformats.org/officeDocument/2006/relationships/hyperlink" Target="https://bellingcat-archive.nyc3.cdn.digitaloceanspaces.com/Ukraine_Witness_Datasheet/Worksheet/youtube_dl_1499838283202899969.mp4" TargetMode="External"/><Relationship Id="rId7342" Type="http://schemas.openxmlformats.org/officeDocument/2006/relationships/hyperlink" Target="http://1news.zp.ua/u-zaporizkij-oblasti-rosijskij-tank-obstrilyav-ta-pere%D1%97hav-avto-ukrposhti-zaginuli-dvo%D1%94-lyudej/" TargetMode="External"/><Relationship Id="rId6011" Type="http://schemas.openxmlformats.org/officeDocument/2006/relationships/hyperlink" Target="https://bellingcat-archive.nyc3.cdn.digitaloceanspaces.com/Ukraine_Witness_Datasheet/Worksheet/youtube_dl__markito0171_status_14998382832028999692022-03-05T10:10:11.281978.png" TargetMode="External"/><Relationship Id="rId7341" Type="http://schemas.openxmlformats.org/officeDocument/2006/relationships/hyperlink" Target="https://bellingcat-archive.nyc3.cdn.digitaloceanspaces.com/Ukraine_Witness_Datasheet/Worksheet/telegram__vorposte_153952022-03-08T17:05:56.607675.png" TargetMode="External"/><Relationship Id="rId7340" Type="http://schemas.openxmlformats.org/officeDocument/2006/relationships/hyperlink" Target="https://bellingcat-archive.nyc3.cdn.digitaloceanspaces.com/Ukraine_Witness_Datasheet/Worksheet/telegram__vorposte_15395.html" TargetMode="External"/><Relationship Id="rId6014" Type="http://schemas.openxmlformats.org/officeDocument/2006/relationships/hyperlink" Target="https://bellingcat-archive.nyc3.cdn.digitaloceanspaces.com/Ukraine_Witness_Datasheet/Worksheet/youtube_dl_1499838283202899969.mp4" TargetMode="External"/><Relationship Id="rId7346" Type="http://schemas.openxmlformats.org/officeDocument/2006/relationships/hyperlink" Target="https://bellingcat-archive.nyc3.cdn.digitaloceanspaces.com/Ukraine_Witness_Datasheet/Worksheet/youtube_dl_dO8UMQUnIUo.webm" TargetMode="External"/><Relationship Id="rId6015" Type="http://schemas.openxmlformats.org/officeDocument/2006/relationships/hyperlink" Target="https://bellingcat-archive.nyc3.cdn.digitaloceanspaces.com/Ukraine_Witness_Datasheet/Worksheet/youtube_dl__markito0171_status_14998382832028999692022-03-05T10:20:11.219473.png" TargetMode="External"/><Relationship Id="rId7345" Type="http://schemas.openxmlformats.org/officeDocument/2006/relationships/hyperlink" Target="https://www.youtube.com/watch?v=dO8UMQUnIUo" TargetMode="External"/><Relationship Id="rId6012" Type="http://schemas.openxmlformats.org/officeDocument/2006/relationships/hyperlink" Target="https://bellingcat-archive.nyc3.cdn.digitaloceanspaces.com/Ukraine_Witness_Datasheet/Worksheet/youtube_dl_1499838283202899969/index.html" TargetMode="External"/><Relationship Id="rId7344" Type="http://schemas.openxmlformats.org/officeDocument/2006/relationships/hyperlink" Target="https://bellingcat-archive.nyc3.cdn.digitaloceanspaces.com/Ukraine_Witness_Datasheet/Worksheet/wayback_aporizkij-oblasti-rosijskij-tank-obstrilyav-ta-pere%D1%97hav-avto-ukrposhti-zaginuli-dvo%D1%94-lyudej_2022-03-08T17:06:57.102815.png" TargetMode="External"/><Relationship Id="rId6013" Type="http://schemas.openxmlformats.org/officeDocument/2006/relationships/hyperlink" Target="https://twitter.com/markito0171/status/1499838283202899969" TargetMode="External"/><Relationship Id="rId7343" Type="http://schemas.openxmlformats.org/officeDocument/2006/relationships/hyperlink" Target="https://web.archive.org/web/20220308170642/http://1news.zp.ua/u-zaporizkij-oblasti-rosijskij-tank-obstrilyav-ta-pere%D1%97hav-avto-ukrposhti-zaginuli-dvo%D1%94-lyudej/" TargetMode="External"/><Relationship Id="rId6018" Type="http://schemas.openxmlformats.org/officeDocument/2006/relationships/hyperlink" Target="https://bellingcat-archive.nyc3.cdn.digitaloceanspaces.com/Ukraine_Witness_Datasheet/Worksheet/youtube_dl_1499838283202899969.mp4" TargetMode="External"/><Relationship Id="rId6019" Type="http://schemas.openxmlformats.org/officeDocument/2006/relationships/hyperlink" Target="https://bellingcat-archive.nyc3.cdn.digitaloceanspaces.com/Ukraine_Witness_Datasheet/Worksheet/youtube_dl__markito0171_status_14998382832028999692022-03-05T10:30:11.867792.png" TargetMode="External"/><Relationship Id="rId7349" Type="http://schemas.openxmlformats.org/officeDocument/2006/relationships/hyperlink" Target="https://www.zoda.gov.ua/news/59696/kadirivtsi-na-tanku-rozstrilyali-mashinu-ukrposhti,-sho-vezla-ljudyam-pensiju.-dvoe-ljudey-zaginulo.html" TargetMode="External"/><Relationship Id="rId6016" Type="http://schemas.openxmlformats.org/officeDocument/2006/relationships/hyperlink" Target="https://bellingcat-archive.nyc3.cdn.digitaloceanspaces.com/Ukraine_Witness_Datasheet/Worksheet/youtube_dl_1499838283202899969/index.html" TargetMode="External"/><Relationship Id="rId7348" Type="http://schemas.openxmlformats.org/officeDocument/2006/relationships/hyperlink" Target="https://bellingcat-archive.nyc3.cdn.digitaloceanspaces.com/Ukraine_Witness_Datasheet/Worksheet/youtube_dl_dO8UMQUnIUo/index.html" TargetMode="External"/><Relationship Id="rId6017" Type="http://schemas.openxmlformats.org/officeDocument/2006/relationships/hyperlink" Target="https://twitter.com/markito0171/status/1499838283202899969" TargetMode="External"/><Relationship Id="rId7347" Type="http://schemas.openxmlformats.org/officeDocument/2006/relationships/hyperlink" Target="https://bellingcat-archive.nyc3.cdn.digitaloceanspaces.com/Ukraine_Witness_Datasheet/Worksheet/youtube_dl__watch2022-03-08T17:07:13.814467.png" TargetMode="External"/><Relationship Id="rId7371" Type="http://schemas.openxmlformats.org/officeDocument/2006/relationships/hyperlink" Target="https://web.archive.org/web/20220308171120/https://drive.google.com/drive/folders/1LKsS61IisBpB9ea5d-UIXvHz_11_MAaz?usp=sharing" TargetMode="External"/><Relationship Id="rId6040" Type="http://schemas.openxmlformats.org/officeDocument/2006/relationships/hyperlink" Target="https://bellingcat-archive.nyc3.cdn.digitaloceanspaces.com/Ukraine_Witness_Datasheet/Worksheet/twitter__SESU_UA_status_15000698142405181442022-03-05T12:15:13.324742.png" TargetMode="External"/><Relationship Id="rId7370" Type="http://schemas.openxmlformats.org/officeDocument/2006/relationships/hyperlink" Target="https://drive.google.com/drive/folders/1LKsS61IisBpB9ea5d-UIXvHz_11_MAaz?usp=sharing" TargetMode="External"/><Relationship Id="rId6043" Type="http://schemas.openxmlformats.org/officeDocument/2006/relationships/hyperlink" Target="https://bellingcat-archive.nyc3.cdn.digitaloceanspaces.com/Ukraine_Witness_Datasheet/Worksheet/youtube_dl_1500080905297317889.mp4" TargetMode="External"/><Relationship Id="rId7375" Type="http://schemas.openxmlformats.org/officeDocument/2006/relationships/hyperlink" Target="https://bellingcat-archive.nyc3.cdn.digitaloceanspaces.com/Ukraine_Witness_Datasheet/Worksheet/telegram__truexanewsua_287052022-03-08T17:11:42.560894.png" TargetMode="External"/><Relationship Id="rId6044" Type="http://schemas.openxmlformats.org/officeDocument/2006/relationships/hyperlink" Target="https://bellingcat-archive.nyc3.cdn.digitaloceanspaces.com/Ukraine_Witness_Datasheet/Worksheet/youtube_dl__DmytroKuleba_status_15000809052973178892022-03-05T12:45:15.531234.png" TargetMode="External"/><Relationship Id="rId7374" Type="http://schemas.openxmlformats.org/officeDocument/2006/relationships/hyperlink" Target="https://bellingcat-archive.nyc3.cdn.digitaloceanspaces.com/Ukraine_Witness_Datasheet/Worksheet/telegram_7ff865dda8.mp4" TargetMode="External"/><Relationship Id="rId6041" Type="http://schemas.openxmlformats.org/officeDocument/2006/relationships/hyperlink" Target="https://twitter.com/DmytroKuleba/status/1500080905297317889?s=20&amp;t=GuJooMuH6sjVRpBRYfi6bQ" TargetMode="External"/><Relationship Id="rId7373" Type="http://schemas.openxmlformats.org/officeDocument/2006/relationships/hyperlink" Target="https://t.me/truexanewsua/28705" TargetMode="External"/><Relationship Id="rId6042" Type="http://schemas.openxmlformats.org/officeDocument/2006/relationships/hyperlink" Target="https://twitter.com/DmytroKuleba/status/1500080905297317889?s=20&amp;t=GuJooMuH6sjVRpBRYfi6bQ" TargetMode="External"/><Relationship Id="rId7372" Type="http://schemas.openxmlformats.org/officeDocument/2006/relationships/hyperlink" Target="https://bellingcat-archive.nyc3.cdn.digitaloceanspaces.com/Ukraine_Witness_Datasheet/Worksheet/wayback__drive_folders_1LKsS61IisBpB9ea5d-UIXvHz_11_MAaz2022-03-08T17:11:32.711517.png" TargetMode="External"/><Relationship Id="rId6047" Type="http://schemas.openxmlformats.org/officeDocument/2006/relationships/hyperlink" Target="https://bellingcat-archive.nyc3.cdn.digitaloceanspaces.com/Ukraine_Witness_Datasheet/Worksheet/telegram_fd1912a45a.mp4" TargetMode="External"/><Relationship Id="rId7379" Type="http://schemas.openxmlformats.org/officeDocument/2006/relationships/hyperlink" Target="https://web.archive.org/web/20220308171318/https://drive.google.com/file/d/10ZlnvtbPtzbwCqvo7WmmkT8Z-bS9A71k/view?usp=sharing" TargetMode="External"/><Relationship Id="rId6048" Type="http://schemas.openxmlformats.org/officeDocument/2006/relationships/hyperlink" Target="https://bellingcat-archive.nyc3.cdn.digitaloceanspaces.com/Ukraine_Witness_Datasheet/Worksheet/telegram__lachentyp_4742022-03-05T13:45:10.253201.png" TargetMode="External"/><Relationship Id="rId7378" Type="http://schemas.openxmlformats.org/officeDocument/2006/relationships/hyperlink" Target="https://drive.google.com/file/d/10ZlnvtbPtzbwCqvo7WmmkT8Z-bS9A71k/view?usp=sharing" TargetMode="External"/><Relationship Id="rId6045" Type="http://schemas.openxmlformats.org/officeDocument/2006/relationships/hyperlink" Target="https://bellingcat-archive.nyc3.cdn.digitaloceanspaces.com/Ukraine_Witness_Datasheet/Worksheet/youtube_dl_1500080905297317889/index.html" TargetMode="External"/><Relationship Id="rId7377" Type="http://schemas.openxmlformats.org/officeDocument/2006/relationships/hyperlink" Target="https://t.me/truexanewsua/28705" TargetMode="External"/><Relationship Id="rId6046" Type="http://schemas.openxmlformats.org/officeDocument/2006/relationships/hyperlink" Target="https://t.me/lachentyp/474" TargetMode="External"/><Relationship Id="rId7376" Type="http://schemas.openxmlformats.org/officeDocument/2006/relationships/hyperlink" Target="https://bellingcat-archive.nyc3.cdn.digitaloceanspaces.com/Ukraine_Witness_Datasheet/Worksheet/telegram_7ff865dda8/index.html" TargetMode="External"/><Relationship Id="rId6049" Type="http://schemas.openxmlformats.org/officeDocument/2006/relationships/hyperlink" Target="https://bellingcat-archive.nyc3.cdn.digitaloceanspaces.com/Ukraine_Witness_Datasheet/Worksheet/telegram_fd1912a45a/index.html" TargetMode="External"/><Relationship Id="rId7360" Type="http://schemas.openxmlformats.org/officeDocument/2006/relationships/hyperlink" Target="https://web.archive.org/web/20220308170934/https://drive.google.com/file/d/1zxQjfLF0RcTcq0ytzNbof3HDsODTNRGB/view?usp=sharing" TargetMode="External"/><Relationship Id="rId6032" Type="http://schemas.openxmlformats.org/officeDocument/2006/relationships/hyperlink" Target="https://bellingcat-archive.nyc3.cdn.digitaloceanspaces.com/Ukraine_Witness_Datasheet/Worksheet/youtube_dl_1500037873608843265/index.html" TargetMode="External"/><Relationship Id="rId7364" Type="http://schemas.openxmlformats.org/officeDocument/2006/relationships/hyperlink" Target="https://bellingcat-archive.nyc3.cdn.digitaloceanspaces.com/Ukraine_Witness_Datasheet/Worksheet/telegram__truexanewsua_286912022-03-08T17:09:51.579564.png" TargetMode="External"/><Relationship Id="rId6033" Type="http://schemas.openxmlformats.org/officeDocument/2006/relationships/hyperlink" Target="https://twitter.com/Ukraine_AF/status/1500071608144257024?s=20&amp;t=mMgScZUFreNSHltUJfVvAQ" TargetMode="External"/><Relationship Id="rId7363" Type="http://schemas.openxmlformats.org/officeDocument/2006/relationships/hyperlink" Target="https://bellingcat-archive.nyc3.cdn.digitaloceanspaces.com/Ukraine_Witness_Datasheet/Worksheet/telegram_fa4e88a74c.mp4" TargetMode="External"/><Relationship Id="rId6030" Type="http://schemas.openxmlformats.org/officeDocument/2006/relationships/hyperlink" Target="https://bellingcat-archive.nyc3.cdn.digitaloceanspaces.com/Ukraine_Witness_Datasheet/Worksheet/youtube_dl_1500037873608843265.mp4" TargetMode="External"/><Relationship Id="rId7362" Type="http://schemas.openxmlformats.org/officeDocument/2006/relationships/hyperlink" Target="https://t.me/truexanewsua/28691" TargetMode="External"/><Relationship Id="rId6031" Type="http://schemas.openxmlformats.org/officeDocument/2006/relationships/hyperlink" Target="https://bellingcat-archive.nyc3.cdn.digitaloceanspaces.com/Ukraine_Witness_Datasheet/Worksheet/youtube_dl__L_ThinkTank_status_15000378736088432652022-03-05T11:25:12.197364.png" TargetMode="External"/><Relationship Id="rId7361" Type="http://schemas.openxmlformats.org/officeDocument/2006/relationships/hyperlink" Target="https://bellingcat-archive.nyc3.cdn.digitaloceanspaces.com/Ukraine_Witness_Datasheet/Worksheet/wayback__file_d_1zxQjfLF0RcTcq0ytzNbof3HDsODTNRGB_view2022-03-08T17:09:42.077191.png" TargetMode="External"/><Relationship Id="rId6036" Type="http://schemas.openxmlformats.org/officeDocument/2006/relationships/hyperlink" Target="https://bellingcat-archive.nyc3.cdn.digitaloceanspaces.com/Ukraine_Witness_Datasheet/Worksheet/twitter__Ukraine_AF_status_15000716081442570242022-03-05T12:10:13.009325.png" TargetMode="External"/><Relationship Id="rId7368" Type="http://schemas.openxmlformats.org/officeDocument/2006/relationships/hyperlink" Target="https://web.archive.org/web/20220308163756/https://drive.google.com/file/d/1FuiJrRqAqhPKK92LB5BwxO-3RrqHIRu4/view?usp=sharing" TargetMode="External"/><Relationship Id="rId6037" Type="http://schemas.openxmlformats.org/officeDocument/2006/relationships/hyperlink" Target="https://twitter.com/SESU_UA/status/1500069814240518144?s=20&amp;t=mMgScZUFreNSHltUJfVvAQ" TargetMode="External"/><Relationship Id="rId7367" Type="http://schemas.openxmlformats.org/officeDocument/2006/relationships/hyperlink" Target="https://drive.google.com/file/d/1FuiJrRqAqhPKK92LB5BwxO-3RrqHIRu4/view?usp=sharing" TargetMode="External"/><Relationship Id="rId6034" Type="http://schemas.openxmlformats.org/officeDocument/2006/relationships/hyperlink" Target="https://twitter.com/COUPSURE/status/1500079696482086913?s=20&amp;t=mMgScZUFreNSHltUJfVvAQ" TargetMode="External"/><Relationship Id="rId7366" Type="http://schemas.openxmlformats.org/officeDocument/2006/relationships/hyperlink" Target="https://t.me/truexanewsua/28691" TargetMode="External"/><Relationship Id="rId6035" Type="http://schemas.openxmlformats.org/officeDocument/2006/relationships/hyperlink" Target="https://bellingcat-archive.nyc3.cdn.digitaloceanspaces.com/Ukraine_Witness_Datasheet/Worksheet/twitter__Ukraine_AF_status_1500071608144257024.html" TargetMode="External"/><Relationship Id="rId7365" Type="http://schemas.openxmlformats.org/officeDocument/2006/relationships/hyperlink" Target="https://bellingcat-archive.nyc3.cdn.digitaloceanspaces.com/Ukraine_Witness_Datasheet/Worksheet/telegram_fa4e88a74c/index.html" TargetMode="External"/><Relationship Id="rId6038" Type="http://schemas.openxmlformats.org/officeDocument/2006/relationships/hyperlink" Target="https://twitter.com/Gerjon_/status/1500077429985095685?s=20&amp;t=mMgScZUFreNSHltUJfVvAQ" TargetMode="External"/><Relationship Id="rId6039" Type="http://schemas.openxmlformats.org/officeDocument/2006/relationships/hyperlink" Target="https://bellingcat-archive.nyc3.cdn.digitaloceanspaces.com/Ukraine_Witness_Datasheet/Worksheet/twitter__SESU_UA_status_1500069814240518144.html" TargetMode="External"/><Relationship Id="rId7369" Type="http://schemas.openxmlformats.org/officeDocument/2006/relationships/hyperlink" Target="https://bellingcat-archive.nyc3.cdn.digitaloceanspaces.com/Ukraine_Witness_Datasheet/Worksheet/wayback__file_d_1FuiJrRqAqhPKK92LB5BwxO-3RrqHIRu4_view2022-03-08T16:38:01.640908.png" TargetMode="External"/><Relationship Id="rId1213" Type="http://schemas.openxmlformats.org/officeDocument/2006/relationships/hyperlink" Target="https://twitter.com/GirkinGirkin/status/1492189535375081479" TargetMode="External"/><Relationship Id="rId2544" Type="http://schemas.openxmlformats.org/officeDocument/2006/relationships/hyperlink" Target="https://bellingcat-archive.nyc3.cdn.digitaloceanspaces.com/Ukraine_Witness_Datasheet/Worksheet/youtube_dl__aldin_ww_status_14968539545583206422022-02-25T12:34:26.678684.png" TargetMode="External"/><Relationship Id="rId3876" Type="http://schemas.openxmlformats.org/officeDocument/2006/relationships/hyperlink" Target="https://t.me/Pravda_Gerashchenko/510" TargetMode="External"/><Relationship Id="rId1214" Type="http://schemas.openxmlformats.org/officeDocument/2006/relationships/hyperlink" Target="https://twitter.com/gfusfus/status/1492238824885428224" TargetMode="External"/><Relationship Id="rId2545" Type="http://schemas.openxmlformats.org/officeDocument/2006/relationships/hyperlink" Target="https://bellingcat-archive.nyc3.cdn.digitaloceanspaces.com/Ukraine_Witness_Datasheet/Worksheet/youtube_dl_1496853954558320642/index.html" TargetMode="External"/><Relationship Id="rId3875" Type="http://schemas.openxmlformats.org/officeDocument/2006/relationships/hyperlink" Target="https://bellingcat-archive.nyc3.cdn.digitaloceanspaces.com/Ukraine_Witness_Datasheet/Worksheet/wayback__anton.gerashchenko.7_posts_48729075727960512022-02-28T10:56:21.475764.png" TargetMode="External"/><Relationship Id="rId1215" Type="http://schemas.openxmlformats.org/officeDocument/2006/relationships/hyperlink" Target="https://bellingcat-archive.nyc3.cdn.digitaloceanspaces.com/Ukraine_Witness_Datasheet/Worksheet/youtube_dl_1492189535375081479.mp4" TargetMode="External"/><Relationship Id="rId2546" Type="http://schemas.openxmlformats.org/officeDocument/2006/relationships/hyperlink" Target="https://twitter.com/RALee85/status/1496841037360340993?s=20&amp;t=dTwmawBnF1c6TRjXx7zNuw" TargetMode="External"/><Relationship Id="rId3878" Type="http://schemas.openxmlformats.org/officeDocument/2006/relationships/hyperlink" Target="https://web.archive.org/web/20220228105846/https://www.facebook.com/dima.boiko.5623/posts/358797962775799" TargetMode="External"/><Relationship Id="rId1216" Type="http://schemas.openxmlformats.org/officeDocument/2006/relationships/hyperlink" Target="https://bellingcat-archive.nyc3.cdn.digitaloceanspaces.com/Ukraine_Witness_Datasheet/Worksheet/youtube_dl__GirkinGirkin_status_14921895353750814792022-02-25T14:18:25.470454.png" TargetMode="External"/><Relationship Id="rId2547" Type="http://schemas.openxmlformats.org/officeDocument/2006/relationships/hyperlink" Target="https://twitter.com/gfusfus/status/1496872569785524224?s=20&amp;t=dTwmawBnF1c6TRjXx7zNuw" TargetMode="External"/><Relationship Id="rId3877" Type="http://schemas.openxmlformats.org/officeDocument/2006/relationships/hyperlink" Target="https://www.facebook.com/dima.boiko.5623/posts/358797962775799" TargetMode="External"/><Relationship Id="rId1217" Type="http://schemas.openxmlformats.org/officeDocument/2006/relationships/hyperlink" Target="https://bellingcat-archive.nyc3.cdn.digitaloceanspaces.com/Ukraine_Witness_Datasheet/Worksheet/youtube_dl_1492189535375081479/index.html" TargetMode="External"/><Relationship Id="rId2548" Type="http://schemas.openxmlformats.org/officeDocument/2006/relationships/hyperlink" Target="https://bellingcat-archive.nyc3.cdn.digitaloceanspaces.com/Ukraine_Witness_Datasheet/Worksheet/youtube_dl_1496841037360340993.mp4" TargetMode="External"/><Relationship Id="rId1218" Type="http://schemas.openxmlformats.org/officeDocument/2006/relationships/hyperlink" Target="https://twitter.com/GirkinGirkin/status/1492026082953891841" TargetMode="External"/><Relationship Id="rId2549" Type="http://schemas.openxmlformats.org/officeDocument/2006/relationships/hyperlink" Target="https://bellingcat-archive.nyc3.cdn.digitaloceanspaces.com/Ukraine_Witness_Datasheet/Worksheet/youtube_dl__RALee85_status_14968410373603409932022-02-25T12:34:08.265154.png" TargetMode="External"/><Relationship Id="rId3879" Type="http://schemas.openxmlformats.org/officeDocument/2006/relationships/hyperlink" Target="https://bellingcat-archive.nyc3.cdn.digitaloceanspaces.com/Ukraine_Witness_Datasheet/Worksheet/wayback__dima.boiko.5623_posts_3587979627757992022-02-28T10:58:52.302405.png" TargetMode="External"/><Relationship Id="rId1219" Type="http://schemas.openxmlformats.org/officeDocument/2006/relationships/hyperlink" Target="https://twitter.com/gfusfus/status/1492160300677746694" TargetMode="External"/><Relationship Id="rId3870" Type="http://schemas.openxmlformats.org/officeDocument/2006/relationships/hyperlink" Target="https://bellingcat-archive.nyc3.cdn.digitaloceanspaces.com/Ukraine_Witness_Datasheet/Worksheet/telegram__milinfolive_772892022-02-28T10:47:04.005744.png" TargetMode="External"/><Relationship Id="rId2540" Type="http://schemas.openxmlformats.org/officeDocument/2006/relationships/hyperlink" Target="https://bellingcat-archive.nyc3.cdn.digitaloceanspaces.com/Ukraine_Witness_Datasheet/Worksheet/youtube_dl__AuroraIntel_status_14968147179643248652022-02-25T12:34:44.020785.png" TargetMode="External"/><Relationship Id="rId3872" Type="http://schemas.openxmlformats.org/officeDocument/2006/relationships/hyperlink" Target="https://t.me/milinfolive/77289" TargetMode="External"/><Relationship Id="rId1210" Type="http://schemas.openxmlformats.org/officeDocument/2006/relationships/hyperlink" Target="https://bellingcat-archive.nyc3.cdn.digitaloceanspaces.com/Ukraine_Witness_Datasheet/Worksheet/youtube_dl_1492287257855758337.mp4" TargetMode="External"/><Relationship Id="rId2541" Type="http://schemas.openxmlformats.org/officeDocument/2006/relationships/hyperlink" Target="https://bellingcat-archive.nyc3.cdn.digitaloceanspaces.com/Ukraine_Witness_Datasheet/Worksheet/youtube_dl_1496814717964324865/index.html" TargetMode="External"/><Relationship Id="rId3871" Type="http://schemas.openxmlformats.org/officeDocument/2006/relationships/hyperlink" Target="https://bellingcat-archive.nyc3.cdn.digitaloceanspaces.com/Ukraine_Witness_Datasheet/Worksheet/telegram_5b479542ef/index.html" TargetMode="External"/><Relationship Id="rId1211" Type="http://schemas.openxmlformats.org/officeDocument/2006/relationships/hyperlink" Target="https://bellingcat-archive.nyc3.cdn.digitaloceanspaces.com/Ukraine_Witness_Datasheet/Worksheet/youtube_dl__GirkinGirkin_status_14922872578557583372022-02-25T14:18:02.627441.png" TargetMode="External"/><Relationship Id="rId2542" Type="http://schemas.openxmlformats.org/officeDocument/2006/relationships/hyperlink" Target="https://twitter.com/aldin_ww/status/1496853954558320642" TargetMode="External"/><Relationship Id="rId3874" Type="http://schemas.openxmlformats.org/officeDocument/2006/relationships/hyperlink" Target="https://web.archive.org/web/20220228105611/https://m.facebook.com/login.php?next=https%3A%2F%2Fm.facebook.com%2Fanton.gerashchenko.7%2Fposts%2F4872907572796051&amp;refsrc=deprecated&amp;_rdr" TargetMode="External"/><Relationship Id="rId1212" Type="http://schemas.openxmlformats.org/officeDocument/2006/relationships/hyperlink" Target="https://bellingcat-archive.nyc3.cdn.digitaloceanspaces.com/Ukraine_Witness_Datasheet/Worksheet/youtube_dl_1492287257855758337/index.html" TargetMode="External"/><Relationship Id="rId2543" Type="http://schemas.openxmlformats.org/officeDocument/2006/relationships/hyperlink" Target="https://bellingcat-archive.nyc3.cdn.digitaloceanspaces.com/Ukraine_Witness_Datasheet/Worksheet/youtube_dl_1496853954558320642.mp4" TargetMode="External"/><Relationship Id="rId3873" Type="http://schemas.openxmlformats.org/officeDocument/2006/relationships/hyperlink" Target="https://m.facebook.com/anton.gerashchenko.7/posts/4872907572796051?_rdr" TargetMode="External"/><Relationship Id="rId1202" Type="http://schemas.openxmlformats.org/officeDocument/2006/relationships/hyperlink" Target="https://bellingcat-archive.nyc3.cdn.digitaloceanspaces.com/Ukraine_Witness_Datasheet/Worksheet/youtube_dl_1492486941375447045/index.html" TargetMode="External"/><Relationship Id="rId2533" Type="http://schemas.openxmlformats.org/officeDocument/2006/relationships/hyperlink" Target="https://t.me/millnr/7240" TargetMode="External"/><Relationship Id="rId3865" Type="http://schemas.openxmlformats.org/officeDocument/2006/relationships/hyperlink" Target="https://bellingcat-archive.nyc3.cdn.digitaloceanspaces.com/Ukraine_Witness_Datasheet/Worksheet/youtube_dl_1497995833035440133.mp4" TargetMode="External"/><Relationship Id="rId1203" Type="http://schemas.openxmlformats.org/officeDocument/2006/relationships/hyperlink" Target="https://twitter.com/GirkinGirkin/status/1492463352123117575" TargetMode="External"/><Relationship Id="rId2534" Type="http://schemas.openxmlformats.org/officeDocument/2006/relationships/hyperlink" Target="https://bellingcat-archive.nyc3.cdn.digitaloceanspaces.com/Ukraine_Witness_Datasheet/Worksheet/telegram_0125326f11.mp4" TargetMode="External"/><Relationship Id="rId3864" Type="http://schemas.openxmlformats.org/officeDocument/2006/relationships/hyperlink" Target="https://twitter.com/TsurkanKate/status/1497995833035440133" TargetMode="External"/><Relationship Id="rId1204" Type="http://schemas.openxmlformats.org/officeDocument/2006/relationships/hyperlink" Target="https://twitter.com/gfusfus/status/1492488364121018375" TargetMode="External"/><Relationship Id="rId2535" Type="http://schemas.openxmlformats.org/officeDocument/2006/relationships/hyperlink" Target="https://bellingcat-archive.nyc3.cdn.digitaloceanspaces.com/Ukraine_Witness_Datasheet/Worksheet/telegram__millnr_72402022-02-25T14:58:57.039629.png" TargetMode="External"/><Relationship Id="rId3867" Type="http://schemas.openxmlformats.org/officeDocument/2006/relationships/hyperlink" Target="https://bellingcat-archive.nyc3.cdn.digitaloceanspaces.com/Ukraine_Witness_Datasheet/Worksheet/youtube_dl_1497995833035440133/index.html" TargetMode="External"/><Relationship Id="rId1205" Type="http://schemas.openxmlformats.org/officeDocument/2006/relationships/hyperlink" Target="https://bellingcat-archive.nyc3.cdn.digitaloceanspaces.com/Ukraine_Witness_Datasheet/Worksheet/youtube_dl_1492463352123117575.mp4" TargetMode="External"/><Relationship Id="rId2536" Type="http://schemas.openxmlformats.org/officeDocument/2006/relationships/hyperlink" Target="https://bellingcat-archive.nyc3.cdn.digitaloceanspaces.com/Ukraine_Witness_Datasheet/Worksheet/telegram_0125326f11/index.html" TargetMode="External"/><Relationship Id="rId3866" Type="http://schemas.openxmlformats.org/officeDocument/2006/relationships/hyperlink" Target="https://bellingcat-archive.nyc3.cdn.digitaloceanspaces.com/Ukraine_Witness_Datasheet/Worksheet/youtube_dl__TsurkanKate_status_14979958330354401332022-02-28T10:46:40.579318.png" TargetMode="External"/><Relationship Id="rId1206" Type="http://schemas.openxmlformats.org/officeDocument/2006/relationships/hyperlink" Target="https://bellingcat-archive.nyc3.cdn.digitaloceanspaces.com/Ukraine_Witness_Datasheet/Worksheet/youtube_dl__GirkinGirkin_status_14924633521231175752022-02-25T14:17:35.014023.png" TargetMode="External"/><Relationship Id="rId2537" Type="http://schemas.openxmlformats.org/officeDocument/2006/relationships/hyperlink" Target="https://t.me/millnr/7240" TargetMode="External"/><Relationship Id="rId3869" Type="http://schemas.openxmlformats.org/officeDocument/2006/relationships/hyperlink" Target="https://bellingcat-archive.nyc3.cdn.digitaloceanspaces.com/Ukraine_Witness_Datasheet/Worksheet/telegram_5b479542ef.mp4" TargetMode="External"/><Relationship Id="rId1207" Type="http://schemas.openxmlformats.org/officeDocument/2006/relationships/hyperlink" Target="https://bellingcat-archive.nyc3.cdn.digitaloceanspaces.com/Ukraine_Witness_Datasheet/Worksheet/youtube_dl_1492463352123117575/index.html" TargetMode="External"/><Relationship Id="rId2538" Type="http://schemas.openxmlformats.org/officeDocument/2006/relationships/hyperlink" Target="https://twitter.com/AuroraIntel/status/1496814717964324865" TargetMode="External"/><Relationship Id="rId3868" Type="http://schemas.openxmlformats.org/officeDocument/2006/relationships/hyperlink" Target="https://t.me/milinfolive/77289" TargetMode="External"/><Relationship Id="rId1208" Type="http://schemas.openxmlformats.org/officeDocument/2006/relationships/hyperlink" Target="https://twitter.com/GirkinGirkin/status/1492287257855758337" TargetMode="External"/><Relationship Id="rId2539" Type="http://schemas.openxmlformats.org/officeDocument/2006/relationships/hyperlink" Target="https://bellingcat-archive.nyc3.cdn.digitaloceanspaces.com/Ukraine_Witness_Datasheet/Worksheet/youtube_dl_1496814717964324865.mp4" TargetMode="External"/><Relationship Id="rId1209" Type="http://schemas.openxmlformats.org/officeDocument/2006/relationships/hyperlink" Target="https://twitter.com/gfusfus/status/1492291727356575747" TargetMode="External"/><Relationship Id="rId3861" Type="http://schemas.openxmlformats.org/officeDocument/2006/relationships/hyperlink" Target="https://bellingcat-archive.nyc3.cdn.digitaloceanspaces.com/Ukraine_Witness_Datasheet/Worksheet/telegram__uniannet_328942022-02-28T10:44:40.474577.png" TargetMode="External"/><Relationship Id="rId2530" Type="http://schemas.openxmlformats.org/officeDocument/2006/relationships/hyperlink" Target="https://bellingcat-archive.nyc3.cdn.digitaloceanspaces.com/Ukraine_Witness_Datasheet/Worksheet/youtube_dl_1496828953515937794.mp4" TargetMode="External"/><Relationship Id="rId3860" Type="http://schemas.openxmlformats.org/officeDocument/2006/relationships/hyperlink" Target="https://bellingcat-archive.nyc3.cdn.digitaloceanspaces.com/Ukraine_Witness_Datasheet/Worksheet/telegram_c8a1ed572f.mp4" TargetMode="External"/><Relationship Id="rId1200" Type="http://schemas.openxmlformats.org/officeDocument/2006/relationships/hyperlink" Target="https://bellingcat-archive.nyc3.cdn.digitaloceanspaces.com/Ukraine_Witness_Datasheet/Worksheet/youtube_dl_1492486941375447045.mp4" TargetMode="External"/><Relationship Id="rId2531" Type="http://schemas.openxmlformats.org/officeDocument/2006/relationships/hyperlink" Target="https://bellingcat-archive.nyc3.cdn.digitaloceanspaces.com/Ukraine_Witness_Datasheet/Worksheet/youtube_dl__Archer83Able_status_14968289535159377942022-02-25T12:37:31.545855.png" TargetMode="External"/><Relationship Id="rId3863" Type="http://schemas.openxmlformats.org/officeDocument/2006/relationships/hyperlink" Target="https://t.me/uniannet/32894" TargetMode="External"/><Relationship Id="rId1201" Type="http://schemas.openxmlformats.org/officeDocument/2006/relationships/hyperlink" Target="https://bellingcat-archive.nyc3.cdn.digitaloceanspaces.com/Ukraine_Witness_Datasheet/Worksheet/youtube_dl__GirkinGirkin_status_14924869413754470452022-02-25T14:17:13.452587.png" TargetMode="External"/><Relationship Id="rId2532" Type="http://schemas.openxmlformats.org/officeDocument/2006/relationships/hyperlink" Target="https://bellingcat-archive.nyc3.cdn.digitaloceanspaces.com/Ukraine_Witness_Datasheet/Worksheet/youtube_dl_1496828953515937794/index.html" TargetMode="External"/><Relationship Id="rId3862" Type="http://schemas.openxmlformats.org/officeDocument/2006/relationships/hyperlink" Target="https://bellingcat-archive.nyc3.cdn.digitaloceanspaces.com/Ukraine_Witness_Datasheet/Worksheet/telegram_c8a1ed572f/index.html" TargetMode="External"/><Relationship Id="rId1235" Type="http://schemas.openxmlformats.org/officeDocument/2006/relationships/hyperlink" Target="https://www.tiktok.com/@r_e_g_i_o_n_5_7/video/7064064236191878402?is_copy_url=1&amp;is_from_webapp=v1" TargetMode="External"/><Relationship Id="rId2566" Type="http://schemas.openxmlformats.org/officeDocument/2006/relationships/hyperlink" Target="https://bellingcat-archive.nyc3.cdn.digitaloceanspaces.com/ukraine_witness_test/Worksheet/yotube_dl__BabakTaghvaee_status_14968826892610682962022-02-25T12:11:56.696098.png" TargetMode="External"/><Relationship Id="rId3898" Type="http://schemas.openxmlformats.org/officeDocument/2006/relationships/hyperlink" Target="https://bellingcat-archive.nyc3.cdn.digitaloceanspaces.com/Ukraine_Witness_Datasheet/Worksheet/youtube_dl_1498218384504283139/index.html" TargetMode="External"/><Relationship Id="rId1236" Type="http://schemas.openxmlformats.org/officeDocument/2006/relationships/hyperlink" Target="https://bellingcat-archive.nyc3.cdn.digitaloceanspaces.com/Ukraine_Witness_Datasheet/Worksheet/tiktok_7064064236191878402.mp4" TargetMode="External"/><Relationship Id="rId2567" Type="http://schemas.openxmlformats.org/officeDocument/2006/relationships/hyperlink" Target="https://bellingcat-archive.nyc3.cdn.digitaloceanspaces.com/ukraine_witness_test/Worksheet/yotube_dl_1496882689261068296/index.html" TargetMode="External"/><Relationship Id="rId3897" Type="http://schemas.openxmlformats.org/officeDocument/2006/relationships/hyperlink" Target="https://bellingcat-archive.nyc3.cdn.digitaloceanspaces.com/Ukraine_Witness_Datasheet/Worksheet/youtube_dl__YWNReporter_status_14982183845042831392022-02-28T11:00:13.202511.png" TargetMode="External"/><Relationship Id="rId1237" Type="http://schemas.openxmlformats.org/officeDocument/2006/relationships/hyperlink" Target="https://bellingcat-archive.nyc3.cdn.digitaloceanspaces.com/Ukraine_Witness_Datasheet/Worksheet/tiktok__@r_e_g_i_o_n_5_7_video_70640642361918784022022-02-25T14:20:11.663617.png" TargetMode="External"/><Relationship Id="rId2568" Type="http://schemas.openxmlformats.org/officeDocument/2006/relationships/hyperlink" Target="https://twitter.com/planet/status/1496901514996031510?s=20&amp;t=fLA9HXcvePcG3oh_T9T5qA" TargetMode="External"/><Relationship Id="rId1238" Type="http://schemas.openxmlformats.org/officeDocument/2006/relationships/hyperlink" Target="https://bellingcat-archive.nyc3.cdn.digitaloceanspaces.com/Ukraine_Witness_Datasheet/Worksheet/tiktok_7064064236191878402/index.html" TargetMode="External"/><Relationship Id="rId2569" Type="http://schemas.openxmlformats.org/officeDocument/2006/relationships/hyperlink" Target="https://bellingcat-archive.nyc3.cdn.digitaloceanspaces.com/Ukraine_Witness_Datasheet/Worksheet/twitter__planet_status_1496901514996031510.html" TargetMode="External"/><Relationship Id="rId3899" Type="http://schemas.openxmlformats.org/officeDocument/2006/relationships/hyperlink" Target="https://twitter.com/no_itsmyturn/status/1498189875023126531?s=21" TargetMode="External"/><Relationship Id="rId1239" Type="http://schemas.openxmlformats.org/officeDocument/2006/relationships/hyperlink" Target="https://www.tiktok.com/@_smaly_17/video/7063058802345626886" TargetMode="External"/><Relationship Id="rId3890" Type="http://schemas.openxmlformats.org/officeDocument/2006/relationships/hyperlink" Target="https://twitter.com/AKMcKeever/status/1498079365732708360?s=20&amp;t=0cTZyzc0_xXKyrV5M2wfSg" TargetMode="External"/><Relationship Id="rId2560" Type="http://schemas.openxmlformats.org/officeDocument/2006/relationships/hyperlink" Target="https://twitter.com/NeilPHauer/status/1496890420260974596?s=20&amp;t=Mh_9AYiKPim3KiINrxUwoQ" TargetMode="External"/><Relationship Id="rId3892" Type="http://schemas.openxmlformats.org/officeDocument/2006/relationships/hyperlink" Target="https://bellingcat-archive.nyc3.cdn.digitaloceanspaces.com/Ukraine_Witness_Datasheet/Worksheet/youtube_dl__MarQs___status_14980499821627719692022-02-28T10:59:53.138559.png" TargetMode="External"/><Relationship Id="rId1230" Type="http://schemas.openxmlformats.org/officeDocument/2006/relationships/hyperlink" Target="https://bellingcat-archive.nyc3.cdn.digitaloceanspaces.com/Ukraine_Witness_Datasheet/Worksheet/tiktok_7063710896807251201/index.html" TargetMode="External"/><Relationship Id="rId2561" Type="http://schemas.openxmlformats.org/officeDocument/2006/relationships/hyperlink" Target="https://bellingcat-archive.nyc3.cdn.digitaloceanspaces.com/ukraine_witness_test/Worksheet/yotube_dl_1496890420260974596.mp4" TargetMode="External"/><Relationship Id="rId3891" Type="http://schemas.openxmlformats.org/officeDocument/2006/relationships/hyperlink" Target="https://bellingcat-archive.nyc3.cdn.digitaloceanspaces.com/Ukraine_Witness_Datasheet/Worksheet/youtube_dl_1498049982162771969.mp4" TargetMode="External"/><Relationship Id="rId1231" Type="http://schemas.openxmlformats.org/officeDocument/2006/relationships/hyperlink" Target="https://www.tiktok.com/@taniya_34_88/video/7064192091626261762" TargetMode="External"/><Relationship Id="rId2562" Type="http://schemas.openxmlformats.org/officeDocument/2006/relationships/hyperlink" Target="https://bellingcat-archive.nyc3.cdn.digitaloceanspaces.com/ukraine_witness_test/Worksheet/yotube_dl__NeilPHauer_status_14968904202609745962022-02-25T12:12:13.233704.png" TargetMode="External"/><Relationship Id="rId3894" Type="http://schemas.openxmlformats.org/officeDocument/2006/relationships/hyperlink" Target="https://twitter.com/YWNReporter/status/1498218384504283139" TargetMode="External"/><Relationship Id="rId1232" Type="http://schemas.openxmlformats.org/officeDocument/2006/relationships/hyperlink" Target="https://bellingcat-archive.nyc3.cdn.digitaloceanspaces.com/Ukraine_Witness_Datasheet/Worksheet/tiktok_7064192091626261762.mp4" TargetMode="External"/><Relationship Id="rId2563" Type="http://schemas.openxmlformats.org/officeDocument/2006/relationships/hyperlink" Target="https://bellingcat-archive.nyc3.cdn.digitaloceanspaces.com/ukraine_witness_test/Worksheet/yotube_dl_1496890420260974596/index.html" TargetMode="External"/><Relationship Id="rId3893" Type="http://schemas.openxmlformats.org/officeDocument/2006/relationships/hyperlink" Target="https://bellingcat-archive.nyc3.cdn.digitaloceanspaces.com/Ukraine_Witness_Datasheet/Worksheet/youtube_dl_1498049982162771969/index.html" TargetMode="External"/><Relationship Id="rId1233" Type="http://schemas.openxmlformats.org/officeDocument/2006/relationships/hyperlink" Target="https://bellingcat-archive.nyc3.cdn.digitaloceanspaces.com/Ukraine_Witness_Datasheet/Worksheet/tiktok__@taniya_34_88_video_70641920916262617622022-02-25T14:19:49.596797.png" TargetMode="External"/><Relationship Id="rId2564" Type="http://schemas.openxmlformats.org/officeDocument/2006/relationships/hyperlink" Target="https://twitter.com/BabakTaghvaee/status/1496882689261068296" TargetMode="External"/><Relationship Id="rId3896" Type="http://schemas.openxmlformats.org/officeDocument/2006/relationships/hyperlink" Target="https://bellingcat-archive.nyc3.cdn.digitaloceanspaces.com/Ukraine_Witness_Datasheet/Worksheet/youtube_dl_1498218384504283139.mp4" TargetMode="External"/><Relationship Id="rId1234" Type="http://schemas.openxmlformats.org/officeDocument/2006/relationships/hyperlink" Target="https://bellingcat-archive.nyc3.cdn.digitaloceanspaces.com/Ukraine_Witness_Datasheet/Worksheet/tiktok_7064192091626261762/index.html" TargetMode="External"/><Relationship Id="rId2565" Type="http://schemas.openxmlformats.org/officeDocument/2006/relationships/hyperlink" Target="https://bellingcat-archive.nyc3.cdn.digitaloceanspaces.com/ukraine_witness_test/Worksheet/yotube_dl_1496882689261068296.mp4" TargetMode="External"/><Relationship Id="rId3895" Type="http://schemas.openxmlformats.org/officeDocument/2006/relationships/hyperlink" Target="https://twitter.com/Den_2042/status/1498225710699368452" TargetMode="External"/><Relationship Id="rId1224" Type="http://schemas.openxmlformats.org/officeDocument/2006/relationships/hyperlink" Target="https://bellingcat-archive.nyc3.cdn.digitaloceanspaces.com/Ukraine_Witness_Datasheet/Worksheet/tiktok_7063710896807251201.mp4" TargetMode="External"/><Relationship Id="rId2555" Type="http://schemas.openxmlformats.org/officeDocument/2006/relationships/hyperlink" Target="https://bellingcat-archive.nyc3.cdn.digitaloceanspaces.com/Ukraine_Witness_Datasheet/Worksheet/youtube_dl_1496838814324641792/index.html" TargetMode="External"/><Relationship Id="rId3887" Type="http://schemas.openxmlformats.org/officeDocument/2006/relationships/hyperlink" Target="https://bellingcat-archive.nyc3.cdn.digitaloceanspaces.com/Ukraine_Witness_Datasheet/Worksheet/youtube_dl__GirkinGirkin_status_14981455776658104342022-02-28T10:59:26.824010.png" TargetMode="External"/><Relationship Id="rId1225" Type="http://schemas.openxmlformats.org/officeDocument/2006/relationships/hyperlink" Target="https://bellingcat-archive.nyc3.cdn.digitaloceanspaces.com/Ukraine_Witness_Datasheet/Worksheet/tiktok__@antistressor_video_70637108968072512012022-02-25T14:19:09.200209.png" TargetMode="External"/><Relationship Id="rId2556" Type="http://schemas.openxmlformats.org/officeDocument/2006/relationships/hyperlink" Target="https://twitter.com/200_zoka/status/1496875924779937793?s=20&amp;t=Mh_9AYiKPim3KiINrxUwoQ" TargetMode="External"/><Relationship Id="rId3886" Type="http://schemas.openxmlformats.org/officeDocument/2006/relationships/hyperlink" Target="https://bellingcat-archive.nyc3.cdn.digitaloceanspaces.com/Ukraine_Witness_Datasheet/Worksheet/youtube_dl_1498145577665810434.mp4" TargetMode="External"/><Relationship Id="rId1226" Type="http://schemas.openxmlformats.org/officeDocument/2006/relationships/hyperlink" Target="https://bellingcat-archive.nyc3.cdn.digitaloceanspaces.com/Ukraine_Witness_Datasheet/Worksheet/tiktok_7063710896807251201/index.html" TargetMode="External"/><Relationship Id="rId2557" Type="http://schemas.openxmlformats.org/officeDocument/2006/relationships/hyperlink" Target="https://bellingcat-archive.nyc3.cdn.digitaloceanspaces.com/Ukraine_Witness_Datasheet/Worksheet/youtube_dl_1496875924779937793.mp4" TargetMode="External"/><Relationship Id="rId3889" Type="http://schemas.openxmlformats.org/officeDocument/2006/relationships/hyperlink" Target="https://twitter.com/MarQs__/status/1498049982162771969?s=20&amp;t=0cTZyzc0_xXKyrV5M2wfSg" TargetMode="External"/><Relationship Id="rId1227" Type="http://schemas.openxmlformats.org/officeDocument/2006/relationships/hyperlink" Target="https://www.tiktok.com/@antistressor/video/7063710896807251201" TargetMode="External"/><Relationship Id="rId2558" Type="http://schemas.openxmlformats.org/officeDocument/2006/relationships/hyperlink" Target="https://bellingcat-archive.nyc3.cdn.digitaloceanspaces.com/Ukraine_Witness_Datasheet/Worksheet/youtube_dl__200_zoka_status_14968759247799377932022-02-25T12:33:26.388995.png" TargetMode="External"/><Relationship Id="rId3888" Type="http://schemas.openxmlformats.org/officeDocument/2006/relationships/hyperlink" Target="https://bellingcat-archive.nyc3.cdn.digitaloceanspaces.com/Ukraine_Witness_Datasheet/Worksheet/youtube_dl_1498145577665810434/index.html" TargetMode="External"/><Relationship Id="rId1228" Type="http://schemas.openxmlformats.org/officeDocument/2006/relationships/hyperlink" Target="https://bellingcat-archive.nyc3.cdn.digitaloceanspaces.com/Ukraine_Witness_Datasheet/Worksheet/tiktok_7063710896807251201.mp4" TargetMode="External"/><Relationship Id="rId2559" Type="http://schemas.openxmlformats.org/officeDocument/2006/relationships/hyperlink" Target="https://bellingcat-archive.nyc3.cdn.digitaloceanspaces.com/Ukraine_Witness_Datasheet/Worksheet/youtube_dl_1496875924779937793/index.html" TargetMode="External"/><Relationship Id="rId1229" Type="http://schemas.openxmlformats.org/officeDocument/2006/relationships/hyperlink" Target="https://bellingcat-archive.nyc3.cdn.digitaloceanspaces.com/Ukraine_Witness_Datasheet/Worksheet/tiktok__@antistressor_video_70637108968072512012022-02-25T14:19:30.889856.png" TargetMode="External"/><Relationship Id="rId3881" Type="http://schemas.openxmlformats.org/officeDocument/2006/relationships/hyperlink" Target="https://twitter.com/666_mancer/status/1497914392209330176?s=20&amp;t=RDwybIvIB_BpUMtiuTYHeg" TargetMode="External"/><Relationship Id="rId2550" Type="http://schemas.openxmlformats.org/officeDocument/2006/relationships/hyperlink" Target="https://bellingcat-archive.nyc3.cdn.digitaloceanspaces.com/Ukraine_Witness_Datasheet/Worksheet/youtube_dl_1496841037360340993/index.html" TargetMode="External"/><Relationship Id="rId3880" Type="http://schemas.openxmlformats.org/officeDocument/2006/relationships/hyperlink" Target="https://twitter.com/nexta_tv/status/1498206119700934657?s=20&amp;t=tg5yXa-QWlXeur8wRukjyg" TargetMode="External"/><Relationship Id="rId1220" Type="http://schemas.openxmlformats.org/officeDocument/2006/relationships/hyperlink" Target="https://bellingcat-archive.nyc3.cdn.digitaloceanspaces.com/Ukraine_Witness_Datasheet/Worksheet/youtube_dl_1492026082953891841.mp4" TargetMode="External"/><Relationship Id="rId2551" Type="http://schemas.openxmlformats.org/officeDocument/2006/relationships/hyperlink" Target="https://twitter.com/GirkinGirkin/status/1496838814324641792" TargetMode="External"/><Relationship Id="rId3883" Type="http://schemas.openxmlformats.org/officeDocument/2006/relationships/hyperlink" Target="https://bellingcat-archive.nyc3.cdn.digitaloceanspaces.com/Ukraine_Witness_Datasheet/Worksheet/youtube_dl__nexta_tv_status_14982061197009346572022-02-28T10:59:03.963986.png" TargetMode="External"/><Relationship Id="rId1221" Type="http://schemas.openxmlformats.org/officeDocument/2006/relationships/hyperlink" Target="https://bellingcat-archive.nyc3.cdn.digitaloceanspaces.com/Ukraine_Witness_Datasheet/Worksheet/youtube_dl__GirkinGirkin_status_14920260829538918412022-02-25T14:18:45.938259.png" TargetMode="External"/><Relationship Id="rId2552" Type="http://schemas.openxmlformats.org/officeDocument/2006/relationships/hyperlink" Target="https://twitter.com/azyakancokkacan/status/1496862156708618249" TargetMode="External"/><Relationship Id="rId3882" Type="http://schemas.openxmlformats.org/officeDocument/2006/relationships/hyperlink" Target="https://bellingcat-archive.nyc3.cdn.digitaloceanspaces.com/Ukraine_Witness_Datasheet/Worksheet/youtube_dl_1498206119700934657.mp4" TargetMode="External"/><Relationship Id="rId1222" Type="http://schemas.openxmlformats.org/officeDocument/2006/relationships/hyperlink" Target="https://bellingcat-archive.nyc3.cdn.digitaloceanspaces.com/Ukraine_Witness_Datasheet/Worksheet/youtube_dl_1492026082953891841/index.html" TargetMode="External"/><Relationship Id="rId2553" Type="http://schemas.openxmlformats.org/officeDocument/2006/relationships/hyperlink" Target="https://bellingcat-archive.nyc3.cdn.digitaloceanspaces.com/Ukraine_Witness_Datasheet/Worksheet/youtube_dl_1496838814324641792.mp4" TargetMode="External"/><Relationship Id="rId3885" Type="http://schemas.openxmlformats.org/officeDocument/2006/relationships/hyperlink" Target="https://twitter.com/GirkinGirkin/status/1498145577665810434" TargetMode="External"/><Relationship Id="rId1223" Type="http://schemas.openxmlformats.org/officeDocument/2006/relationships/hyperlink" Target="https://www.tiktok.com/@antistressor/video/7063710896807251201" TargetMode="External"/><Relationship Id="rId2554" Type="http://schemas.openxmlformats.org/officeDocument/2006/relationships/hyperlink" Target="https://bellingcat-archive.nyc3.cdn.digitaloceanspaces.com/Ukraine_Witness_Datasheet/Worksheet/youtube_dl__GirkinGirkin_status_14968388143246417922022-02-25T12:33:49.380164.png" TargetMode="External"/><Relationship Id="rId3884" Type="http://schemas.openxmlformats.org/officeDocument/2006/relationships/hyperlink" Target="https://bellingcat-archive.nyc3.cdn.digitaloceanspaces.com/Ukraine_Witness_Datasheet/Worksheet/youtube_dl_1498206119700934657/index.html" TargetMode="External"/><Relationship Id="rId2500" Type="http://schemas.openxmlformats.org/officeDocument/2006/relationships/hyperlink" Target="https://bellingcat-archive.nyc3.cdn.digitaloceanspaces.com/Ukraine_Witness_Datasheet/Worksheet/twitter__Kyruer_status_1496813193011908609.html" TargetMode="External"/><Relationship Id="rId3832" Type="http://schemas.openxmlformats.org/officeDocument/2006/relationships/hyperlink" Target="https://twitter.com/john_marquee/status/1498041255699247104" TargetMode="External"/><Relationship Id="rId2501" Type="http://schemas.openxmlformats.org/officeDocument/2006/relationships/hyperlink" Target="https://bellingcat-archive.nyc3.cdn.digitaloceanspaces.com/Ukraine_Witness_Datasheet/Worksheet/twitter__Kyruer_status_14968131930119086092022-02-25T12:39:47.178894.png" TargetMode="External"/><Relationship Id="rId3831" Type="http://schemas.openxmlformats.org/officeDocument/2006/relationships/hyperlink" Target="https://twitter.com/trbrtc/status/1498068721658732554?s=20&amp;t=W7vcDNpwHnyL0oEH9Y2_qQ" TargetMode="External"/><Relationship Id="rId2502" Type="http://schemas.openxmlformats.org/officeDocument/2006/relationships/hyperlink" Target="https://twitter.com/RALee85/status/1496809383929524230" TargetMode="External"/><Relationship Id="rId3834" Type="http://schemas.openxmlformats.org/officeDocument/2006/relationships/hyperlink" Target="https://bellingcat-archive.nyc3.cdn.digitaloceanspaces.com/Ukraine_Witness_Datasheet/Worksheet/youtube_dl__Caucasuswar_status_14980385933732249612022-02-28T07:29:47.548549.png" TargetMode="External"/><Relationship Id="rId2503" Type="http://schemas.openxmlformats.org/officeDocument/2006/relationships/hyperlink" Target="https://twitter.com/EydouxT/status/1496811750628511755" TargetMode="External"/><Relationship Id="rId3833" Type="http://schemas.openxmlformats.org/officeDocument/2006/relationships/hyperlink" Target="https://bellingcat-archive.nyc3.cdn.digitaloceanspaces.com/Ukraine_Witness_Datasheet/Worksheet/youtube_dl_1498038593373224961.mp4" TargetMode="External"/><Relationship Id="rId2504" Type="http://schemas.openxmlformats.org/officeDocument/2006/relationships/hyperlink" Target="https://bellingcat-archive.nyc3.cdn.digitaloceanspaces.com/Ukraine_Witness_Datasheet/Worksheet/youtube_dl_1496809383929524230.mp4" TargetMode="External"/><Relationship Id="rId3836" Type="http://schemas.openxmlformats.org/officeDocument/2006/relationships/hyperlink" Target="https://twitter.com/MotolkoHelp/status/1497924972102230016?s=20&amp;t=LXfwFTwvKtWB_6hiADVMfg" TargetMode="External"/><Relationship Id="rId2505" Type="http://schemas.openxmlformats.org/officeDocument/2006/relationships/hyperlink" Target="https://bellingcat-archive.nyc3.cdn.digitaloceanspaces.com/Ukraine_Witness_Datasheet/Worksheet/youtube_dl__RALee85_status_14968093839295242302022-02-25T12:39:24.704066.png" TargetMode="External"/><Relationship Id="rId3835" Type="http://schemas.openxmlformats.org/officeDocument/2006/relationships/hyperlink" Target="https://bellingcat-archive.nyc3.cdn.digitaloceanspaces.com/Ukraine_Witness_Datasheet/Worksheet/youtube_dl_1498038593373224961/index.html" TargetMode="External"/><Relationship Id="rId2506" Type="http://schemas.openxmlformats.org/officeDocument/2006/relationships/hyperlink" Target="https://bellingcat-archive.nyc3.cdn.digitaloceanspaces.com/Ukraine_Witness_Datasheet/Worksheet/youtube_dl_1496809383929524230/index.html" TargetMode="External"/><Relationship Id="rId3838" Type="http://schemas.openxmlformats.org/officeDocument/2006/relationships/hyperlink" Target="https://bellingcat-archive.nyc3.cdn.digitaloceanspaces.com/Ukraine_Witness_Datasheet/Worksheet/youtube_dl_1497924972102230016.mp4" TargetMode="External"/><Relationship Id="rId2507" Type="http://schemas.openxmlformats.org/officeDocument/2006/relationships/hyperlink" Target="https://twitter.com/tom_bullock_/status/1496804754395213832" TargetMode="External"/><Relationship Id="rId3837" Type="http://schemas.openxmlformats.org/officeDocument/2006/relationships/hyperlink" Target="https://twitter.com/kargolow/status/1497927756822290436?s=20&amp;t=LXfwFTwvKtWB_6hiADVMfg" TargetMode="External"/><Relationship Id="rId2508" Type="http://schemas.openxmlformats.org/officeDocument/2006/relationships/hyperlink" Target="https://bellingcat-archive.nyc3.cdn.digitaloceanspaces.com/Ukraine_Witness_Datasheet/Worksheet/twitter__tom_bullock__status_1496804754395213832.html" TargetMode="External"/><Relationship Id="rId2509" Type="http://schemas.openxmlformats.org/officeDocument/2006/relationships/hyperlink" Target="https://bellingcat-archive.nyc3.cdn.digitaloceanspaces.com/Ukraine_Witness_Datasheet/Worksheet/twitter__tom_bullock__status_14968047543952138322022-02-25T12:39:06.313725.png" TargetMode="External"/><Relationship Id="rId3839" Type="http://schemas.openxmlformats.org/officeDocument/2006/relationships/hyperlink" Target="https://bellingcat-archive.nyc3.cdn.digitaloceanspaces.com/Ukraine_Witness_Datasheet/Worksheet/youtube_dl__MotolkoHelp_status_14979249721022300162022-02-28T07:30:55.769104.png" TargetMode="External"/><Relationship Id="rId3830" Type="http://schemas.openxmlformats.org/officeDocument/2006/relationships/hyperlink" Target="https://twitter.com/Caucasuswar/status/1498038593373224961?s=20&amp;t=fTfwDiJ4keMEiKNOXunZ4w" TargetMode="External"/><Relationship Id="rId3821" Type="http://schemas.openxmlformats.org/officeDocument/2006/relationships/hyperlink" Target="https://bellingcat-archive.nyc3.cdn.digitaloceanspaces.com/Ukraine_Witness_Datasheet/Worksheet/twitter__kameniar_ua_status_14980132196712202262022-02-28T07:27:27.586093.png" TargetMode="External"/><Relationship Id="rId3820" Type="http://schemas.openxmlformats.org/officeDocument/2006/relationships/hyperlink" Target="https://bellingcat-archive.nyc3.cdn.digitaloceanspaces.com/Ukraine_Witness_Datasheet/Worksheet/twitter__kameniar_ua_status_1498013219671220226.html" TargetMode="External"/><Relationship Id="rId3823" Type="http://schemas.openxmlformats.org/officeDocument/2006/relationships/hyperlink" Target="https://twitter.com/il_kanguru/status/1498036288397713417" TargetMode="External"/><Relationship Id="rId3822" Type="http://schemas.openxmlformats.org/officeDocument/2006/relationships/hyperlink" Target="https://twitter.com/ckoettl/status/1498019431804510216" TargetMode="External"/><Relationship Id="rId3825" Type="http://schemas.openxmlformats.org/officeDocument/2006/relationships/hyperlink" Target="https://bellingcat-archive.nyc3.cdn.digitaloceanspaces.com/Ukraine_Witness_Datasheet/Worksheet/twitter__ckoettl_status_14980194318045102162022-02-28T07:28:18.082450.png" TargetMode="External"/><Relationship Id="rId3824" Type="http://schemas.openxmlformats.org/officeDocument/2006/relationships/hyperlink" Target="https://bellingcat-archive.nyc3.cdn.digitaloceanspaces.com/Ukraine_Witness_Datasheet/Worksheet/twitter__ckoettl_status_1498019431804510216.html" TargetMode="External"/><Relationship Id="rId3827" Type="http://schemas.openxmlformats.org/officeDocument/2006/relationships/hyperlink" Target="https://bellingcat-archive.nyc3.cdn.digitaloceanspaces.com/Ukraine_Witness_Datasheet/Worksheet/youtube_dl_1497971946235088899.mp4" TargetMode="External"/><Relationship Id="rId3826" Type="http://schemas.openxmlformats.org/officeDocument/2006/relationships/hyperlink" Target="https://twitter.com/Nelson_Serg/status/1497971946235088899?s=20&amp;t=ubdRC07mJZQTFLvJGWoGhA" TargetMode="External"/><Relationship Id="rId3829" Type="http://schemas.openxmlformats.org/officeDocument/2006/relationships/hyperlink" Target="https://bellingcat-archive.nyc3.cdn.digitaloceanspaces.com/Ukraine_Witness_Datasheet/Worksheet/youtube_dl_1497971946235088899/index.html" TargetMode="External"/><Relationship Id="rId3828" Type="http://schemas.openxmlformats.org/officeDocument/2006/relationships/hyperlink" Target="https://bellingcat-archive.nyc3.cdn.digitaloceanspaces.com/Ukraine_Witness_Datasheet/Worksheet/youtube_dl__Nelson_Serg_status_14979719462350888992022-02-28T07:28:54.844477.png" TargetMode="External"/><Relationship Id="rId6094" Type="http://schemas.openxmlformats.org/officeDocument/2006/relationships/hyperlink" Target="https://twitter.com/ASBMilitary/status/1500109908724924422" TargetMode="External"/><Relationship Id="rId6095" Type="http://schemas.openxmlformats.org/officeDocument/2006/relationships/hyperlink" Target="https://bellingcat-archive.nyc3.cdn.digitaloceanspaces.com/Ukraine_Witness_Datasheet/Worksheet/youtube_dl_1500109908724924422.mp4" TargetMode="External"/><Relationship Id="rId6092" Type="http://schemas.openxmlformats.org/officeDocument/2006/relationships/hyperlink" Target="https://bellingcat-archive.nyc3.cdn.digitaloceanspaces.com/Ukraine_Witness_Datasheet/Worksheet/youtube_dl__Blue_Sauron_status_15001055055110225942022-03-05T15:10:30.822118.png" TargetMode="External"/><Relationship Id="rId6093" Type="http://schemas.openxmlformats.org/officeDocument/2006/relationships/hyperlink" Target="https://bellingcat-archive.nyc3.cdn.digitaloceanspaces.com/Ukraine_Witness_Datasheet/Worksheet/youtube_dl_1500105505511022594/index.html" TargetMode="External"/><Relationship Id="rId6098" Type="http://schemas.openxmlformats.org/officeDocument/2006/relationships/hyperlink" Target="https://twitter.com/MarQs__/status/1500042036598251523" TargetMode="External"/><Relationship Id="rId6099" Type="http://schemas.openxmlformats.org/officeDocument/2006/relationships/hyperlink" Target="https://bellingcat-archive.nyc3.cdn.digitaloceanspaces.com/Ukraine_Witness_Datasheet/Worksheet/youtube_dl_1500108019606163460.mp4" TargetMode="External"/><Relationship Id="rId6096" Type="http://schemas.openxmlformats.org/officeDocument/2006/relationships/hyperlink" Target="https://bellingcat-archive.nyc3.cdn.digitaloceanspaces.com/Ukraine_Witness_Datasheet/Worksheet/youtube_dl__ASBMilitary_status_15001099087249244222022-03-05T15:20:14.930993.png" TargetMode="External"/><Relationship Id="rId6097" Type="http://schemas.openxmlformats.org/officeDocument/2006/relationships/hyperlink" Target="https://bellingcat-archive.nyc3.cdn.digitaloceanspaces.com/Ukraine_Witness_Datasheet/Worksheet/youtube_dl_1500109908724924422/index.html" TargetMode="External"/><Relationship Id="rId2522" Type="http://schemas.openxmlformats.org/officeDocument/2006/relationships/hyperlink" Target="https://bellingcat-archive.nyc3.cdn.digitaloceanspaces.com/Ukraine_Witness_Datasheet/Worksheet/youtube_dl__RALee85_status_14968015320666357792022-02-25T12:38:09.634686.png" TargetMode="External"/><Relationship Id="rId3854" Type="http://schemas.openxmlformats.org/officeDocument/2006/relationships/hyperlink" Target="https://bellingcat-archive.nyc3.cdn.digitaloceanspaces.com/Ukraine_Witness_Datasheet/Worksheet/youtube_dl_1497923113593585672/index.html" TargetMode="External"/><Relationship Id="rId2523" Type="http://schemas.openxmlformats.org/officeDocument/2006/relationships/hyperlink" Target="https://bellingcat-archive.nyc3.cdn.digitaloceanspaces.com/Ukraine_Witness_Datasheet/Worksheet/youtube_dl_1496801532066635779/index.html" TargetMode="External"/><Relationship Id="rId3853" Type="http://schemas.openxmlformats.org/officeDocument/2006/relationships/hyperlink" Target="https://bellingcat-archive.nyc3.cdn.digitaloceanspaces.com/Ukraine_Witness_Datasheet/Worksheet/youtube_dl__Nelson_Serg_status_14979231135935856722022-02-28T10:44:08.269434.png" TargetMode="External"/><Relationship Id="rId2524" Type="http://schemas.openxmlformats.org/officeDocument/2006/relationships/hyperlink" Target="https://twitter.com/Archer83Able/status/1496821978669502471" TargetMode="External"/><Relationship Id="rId3856" Type="http://schemas.openxmlformats.org/officeDocument/2006/relationships/hyperlink" Target="https://bellingcat-archive.nyc3.cdn.digitaloceanspaces.com/Ukraine_Witness_Datasheet/Worksheet/youtube_dl_1497844415150366725.mp4" TargetMode="External"/><Relationship Id="rId2525" Type="http://schemas.openxmlformats.org/officeDocument/2006/relationships/hyperlink" Target="https://bellingcat-archive.nyc3.cdn.digitaloceanspaces.com/Ukraine_Witness_Datasheet/Worksheet/youtube_dl_1496821978669502471.mp4" TargetMode="External"/><Relationship Id="rId3855" Type="http://schemas.openxmlformats.org/officeDocument/2006/relationships/hyperlink" Target="https://twitter.com/yashar_huseyn/status/1497844415150366725" TargetMode="External"/><Relationship Id="rId2526" Type="http://schemas.openxmlformats.org/officeDocument/2006/relationships/hyperlink" Target="https://bellingcat-archive.nyc3.cdn.digitaloceanspaces.com/Ukraine_Witness_Datasheet/Worksheet/youtube_dl__Archer83Able_status_14968219786695024712022-02-25T12:37:47.824762.png" TargetMode="External"/><Relationship Id="rId3858" Type="http://schemas.openxmlformats.org/officeDocument/2006/relationships/hyperlink" Target="https://bellingcat-archive.nyc3.cdn.digitaloceanspaces.com/Ukraine_Witness_Datasheet/Worksheet/youtube_dl_1497844415150366725/index.html" TargetMode="External"/><Relationship Id="rId2527" Type="http://schemas.openxmlformats.org/officeDocument/2006/relationships/hyperlink" Target="https://bellingcat-archive.nyc3.cdn.digitaloceanspaces.com/Ukraine_Witness_Datasheet/Worksheet/youtube_dl_1496821978669502471/index.html" TargetMode="External"/><Relationship Id="rId3857" Type="http://schemas.openxmlformats.org/officeDocument/2006/relationships/hyperlink" Target="https://bellingcat-archive.nyc3.cdn.digitaloceanspaces.com/Ukraine_Witness_Datasheet/Worksheet/youtube_dl__yashar_huseyn_status_14978444151503667252022-02-28T10:44:22.791291.png" TargetMode="External"/><Relationship Id="rId2528" Type="http://schemas.openxmlformats.org/officeDocument/2006/relationships/hyperlink" Target="https://twitter.com/Archer83Able/status/1496828953515937794" TargetMode="External"/><Relationship Id="rId2529" Type="http://schemas.openxmlformats.org/officeDocument/2006/relationships/hyperlink" Target="https://twitter.com/Archer83Able/status/1496828953515937794" TargetMode="External"/><Relationship Id="rId3859" Type="http://schemas.openxmlformats.org/officeDocument/2006/relationships/hyperlink" Target="https://t.me/uniannet/32894" TargetMode="External"/><Relationship Id="rId3850" Type="http://schemas.openxmlformats.org/officeDocument/2006/relationships/hyperlink" Target="https://twitter.com/Nelson_Serg/status/1497923113593585672" TargetMode="External"/><Relationship Id="rId2520" Type="http://schemas.openxmlformats.org/officeDocument/2006/relationships/hyperlink" Target="https://twitter.com/RALee85/status/1496801532066635779" TargetMode="External"/><Relationship Id="rId3852" Type="http://schemas.openxmlformats.org/officeDocument/2006/relationships/hyperlink" Target="https://bellingcat-archive.nyc3.cdn.digitaloceanspaces.com/Ukraine_Witness_Datasheet/Worksheet/youtube_dl_1497923113593585672.mp4" TargetMode="External"/><Relationship Id="rId2521" Type="http://schemas.openxmlformats.org/officeDocument/2006/relationships/hyperlink" Target="https://bellingcat-archive.nyc3.cdn.digitaloceanspaces.com/Ukraine_Witness_Datasheet/Worksheet/youtube_dl_1496801532066635779.mp4" TargetMode="External"/><Relationship Id="rId3851" Type="http://schemas.openxmlformats.org/officeDocument/2006/relationships/hyperlink" Target="https://twitter.com/Nelson_Serg/status/1497923113593585672" TargetMode="External"/><Relationship Id="rId2511" Type="http://schemas.openxmlformats.org/officeDocument/2006/relationships/hyperlink" Target="https://twitter.com/ohsendit/status/1496820988876632070" TargetMode="External"/><Relationship Id="rId3843" Type="http://schemas.openxmlformats.org/officeDocument/2006/relationships/hyperlink" Target="https://bellingcat-archive.nyc3.cdn.digitaloceanspaces.com/Ukraine_Witness_Datasheet/Worksheet/twitter__khalfaguliyev_status_1497866293051109376.html" TargetMode="External"/><Relationship Id="rId2512" Type="http://schemas.openxmlformats.org/officeDocument/2006/relationships/hyperlink" Target="https://bellingcat-archive.nyc3.cdn.digitaloceanspaces.com/Ukraine_Witness_Datasheet/Worksheet/youtube_dl_1496818023306567681.mp4" TargetMode="External"/><Relationship Id="rId3842" Type="http://schemas.openxmlformats.org/officeDocument/2006/relationships/hyperlink" Target="https://twitter.com/khalfaguliyev/status/1497866293051109376" TargetMode="External"/><Relationship Id="rId2513" Type="http://schemas.openxmlformats.org/officeDocument/2006/relationships/hyperlink" Target="https://bellingcat-archive.nyc3.cdn.digitaloceanspaces.com/Ukraine_Witness_Datasheet/Worksheet/youtube_dl__666_mancer_status_14968180233065676812022-02-25T12:38:50.004711.png" TargetMode="External"/><Relationship Id="rId3845" Type="http://schemas.openxmlformats.org/officeDocument/2006/relationships/hyperlink" Target="https://twitter.com/MarQs__/status/1498097535142940674" TargetMode="External"/><Relationship Id="rId2514" Type="http://schemas.openxmlformats.org/officeDocument/2006/relationships/hyperlink" Target="https://bellingcat-archive.nyc3.cdn.digitaloceanspaces.com/Ukraine_Witness_Datasheet/Worksheet/youtube_dl_1496818023306567681/index.html" TargetMode="External"/><Relationship Id="rId3844" Type="http://schemas.openxmlformats.org/officeDocument/2006/relationships/hyperlink" Target="https://bellingcat-archive.nyc3.cdn.digitaloceanspaces.com/Ukraine_Witness_Datasheet/Worksheet/twitter__khalfaguliyev_status_14978662930511093762022-02-28T07:31:22.781724.png" TargetMode="External"/><Relationship Id="rId2515" Type="http://schemas.openxmlformats.org/officeDocument/2006/relationships/hyperlink" Target="https://twitter.com/pmakela1/status/1496781698280865794" TargetMode="External"/><Relationship Id="rId3847" Type="http://schemas.openxmlformats.org/officeDocument/2006/relationships/hyperlink" Target="https://bellingcat-archive.nyc3.cdn.digitaloceanspaces.com/Ukraine_Witness_Datasheet/Worksheet/youtube_dl_1498097535142940674.mp4" TargetMode="External"/><Relationship Id="rId2516" Type="http://schemas.openxmlformats.org/officeDocument/2006/relationships/hyperlink" Target="https://twitter.com/Danspiun/status/1496788882121240580" TargetMode="External"/><Relationship Id="rId3846" Type="http://schemas.openxmlformats.org/officeDocument/2006/relationships/hyperlink" Target="https://twitter.com/john_marquee/status/1498130277138264064" TargetMode="External"/><Relationship Id="rId2517" Type="http://schemas.openxmlformats.org/officeDocument/2006/relationships/hyperlink" Target="https://bellingcat-archive.nyc3.cdn.digitaloceanspaces.com/Ukraine_Witness_Datasheet/Worksheet/youtube_dl_1496758908769161216.mp4" TargetMode="External"/><Relationship Id="rId3849" Type="http://schemas.openxmlformats.org/officeDocument/2006/relationships/hyperlink" Target="https://bellingcat-archive.nyc3.cdn.digitaloceanspaces.com/Ukraine_Witness_Datasheet/Worksheet/youtube_dl_1498097535142940674/index.html" TargetMode="External"/><Relationship Id="rId2518" Type="http://schemas.openxmlformats.org/officeDocument/2006/relationships/hyperlink" Target="https://bellingcat-archive.nyc3.cdn.digitaloceanspaces.com/Ukraine_Witness_Datasheet/Worksheet/youtube_dl__pmakela1_status_14967816982808657942022-02-25T12:38:31.095250.png" TargetMode="External"/><Relationship Id="rId3848" Type="http://schemas.openxmlformats.org/officeDocument/2006/relationships/hyperlink" Target="https://bellingcat-archive.nyc3.cdn.digitaloceanspaces.com/Ukraine_Witness_Datasheet/Worksheet/youtube_dl__MarQs___status_14980975351429406742022-02-28T07:31:43.302882.png" TargetMode="External"/><Relationship Id="rId2519" Type="http://schemas.openxmlformats.org/officeDocument/2006/relationships/hyperlink" Target="https://bellingcat-archive.nyc3.cdn.digitaloceanspaces.com/Ukraine_Witness_Datasheet/Worksheet/youtube_dl_1496758908769161216/index.html" TargetMode="External"/><Relationship Id="rId3841" Type="http://schemas.openxmlformats.org/officeDocument/2006/relationships/hyperlink" Target="https://twitter.com/khalfaguliyev/status/1497866293051109376" TargetMode="External"/><Relationship Id="rId2510" Type="http://schemas.openxmlformats.org/officeDocument/2006/relationships/hyperlink" Target="https://twitter.com/666_mancer/status/1496818023306567681" TargetMode="External"/><Relationship Id="rId3840" Type="http://schemas.openxmlformats.org/officeDocument/2006/relationships/hyperlink" Target="https://bellingcat-archive.nyc3.cdn.digitaloceanspaces.com/Ukraine_Witness_Datasheet/Worksheet/youtube_dl_1497924972102230016/index.html" TargetMode="External"/><Relationship Id="rId1290" Type="http://schemas.openxmlformats.org/officeDocument/2006/relationships/hyperlink" Target="https://twitter.com/Michael1Sheldon/status/1492229635886702592" TargetMode="External"/><Relationship Id="rId1291" Type="http://schemas.openxmlformats.org/officeDocument/2006/relationships/hyperlink" Target="https://bellingcat-archive.nyc3.cdn.digitaloceanspaces.com/Ukraine_Witness_Datasheet/Worksheet/youtube_dl_1492229233485225991.mp4" TargetMode="External"/><Relationship Id="rId1292" Type="http://schemas.openxmlformats.org/officeDocument/2006/relationships/hyperlink" Target="https://bellingcat-archive.nyc3.cdn.digitaloceanspaces.com/Ukraine_Witness_Datasheet/Worksheet/youtube_dl__Michael1Sheldon_status_14922292334852259912022-02-25T14:26:38.558360.png" TargetMode="External"/><Relationship Id="rId1293" Type="http://schemas.openxmlformats.org/officeDocument/2006/relationships/hyperlink" Target="https://bellingcat-archive.nyc3.cdn.digitaloceanspaces.com/Ukraine_Witness_Datasheet/Worksheet/youtube_dl_1492229233485225991/index.html" TargetMode="External"/><Relationship Id="rId1294" Type="http://schemas.openxmlformats.org/officeDocument/2006/relationships/hyperlink" Target="https://twitter.com/GirkinGirkin/status/1492013018296819720" TargetMode="External"/><Relationship Id="rId1295" Type="http://schemas.openxmlformats.org/officeDocument/2006/relationships/hyperlink" Target="https://twitter.com/Danspiun/status/1493368700061241355" TargetMode="External"/><Relationship Id="rId1296" Type="http://schemas.openxmlformats.org/officeDocument/2006/relationships/hyperlink" Target="https://bellingcat-archive.nyc3.cdn.digitaloceanspaces.com/Ukraine_Witness_Datasheet/Worksheet/youtube_dl_1492013018296819720.mp4" TargetMode="External"/><Relationship Id="rId1297" Type="http://schemas.openxmlformats.org/officeDocument/2006/relationships/hyperlink" Target="https://bellingcat-archive.nyc3.cdn.digitaloceanspaces.com/Ukraine_Witness_Datasheet/Worksheet/youtube_dl__GirkinGirkin_status_14920130182968197202022-02-25T14:26:57.412378.png" TargetMode="External"/><Relationship Id="rId1298" Type="http://schemas.openxmlformats.org/officeDocument/2006/relationships/hyperlink" Target="https://bellingcat-archive.nyc3.cdn.digitaloceanspaces.com/Ukraine_Witness_Datasheet/Worksheet/youtube_dl_1492013018296819720/index.html" TargetMode="External"/><Relationship Id="rId1299" Type="http://schemas.openxmlformats.org/officeDocument/2006/relationships/hyperlink" Target="https://twitter.com/GirkinGirkin/status/1492765937568821249" TargetMode="External"/><Relationship Id="rId1280" Type="http://schemas.openxmlformats.org/officeDocument/2006/relationships/hyperlink" Target="https://twitter.com/Michael1Sheldon/status/1492368698384039936" TargetMode="External"/><Relationship Id="rId1281" Type="http://schemas.openxmlformats.org/officeDocument/2006/relationships/hyperlink" Target="https://bellingcat-archive.nyc3.cdn.digitaloceanspaces.com/Ukraine_Witness_Datasheet/Worksheet/youtube_dl_1492368406036860930.mp4" TargetMode="External"/><Relationship Id="rId1282" Type="http://schemas.openxmlformats.org/officeDocument/2006/relationships/hyperlink" Target="https://bellingcat-archive.nyc3.cdn.digitaloceanspaces.com/Ukraine_Witness_Datasheet/Worksheet/youtube_dl__Michael1Sheldon_status_14923684060368609302022-02-25T14:26:04.317130.png" TargetMode="External"/><Relationship Id="rId1283" Type="http://schemas.openxmlformats.org/officeDocument/2006/relationships/hyperlink" Target="https://bellingcat-archive.nyc3.cdn.digitaloceanspaces.com/Ukraine_Witness_Datasheet/Worksheet/youtube_dl_1492368406036860930/index.html" TargetMode="External"/><Relationship Id="rId1284" Type="http://schemas.openxmlformats.org/officeDocument/2006/relationships/hyperlink" Target="https://twitter.com/Michael1Sheldon/status/1492329248052420610" TargetMode="External"/><Relationship Id="rId1285" Type="http://schemas.openxmlformats.org/officeDocument/2006/relationships/hyperlink" Target="https://twitter.com/Michael1Sheldon/status/1492330368770392073" TargetMode="External"/><Relationship Id="rId1286" Type="http://schemas.openxmlformats.org/officeDocument/2006/relationships/hyperlink" Target="https://bellingcat-archive.nyc3.cdn.digitaloceanspaces.com/Ukraine_Witness_Datasheet/Worksheet/youtube_dl_1492329248052420610.mp4" TargetMode="External"/><Relationship Id="rId1287" Type="http://schemas.openxmlformats.org/officeDocument/2006/relationships/hyperlink" Target="https://bellingcat-archive.nyc3.cdn.digitaloceanspaces.com/Ukraine_Witness_Datasheet/Worksheet/youtube_dl__Michael1Sheldon_status_14923292480524206102022-02-25T14:26:21.410640.png" TargetMode="External"/><Relationship Id="rId1288" Type="http://schemas.openxmlformats.org/officeDocument/2006/relationships/hyperlink" Target="https://bellingcat-archive.nyc3.cdn.digitaloceanspaces.com/Ukraine_Witness_Datasheet/Worksheet/youtube_dl_1492329248052420610/index.html" TargetMode="External"/><Relationship Id="rId1289" Type="http://schemas.openxmlformats.org/officeDocument/2006/relationships/hyperlink" Target="https://twitter.com/Michael1Sheldon/status/1492229233485225991" TargetMode="External"/><Relationship Id="rId1257" Type="http://schemas.openxmlformats.org/officeDocument/2006/relationships/hyperlink" Target="https://web.archive.org/web/20220225142413/https://twitter.com/herooftheday10/status/1493282279434633220" TargetMode="External"/><Relationship Id="rId2588" Type="http://schemas.openxmlformats.org/officeDocument/2006/relationships/hyperlink" Target="https://bellingcat-archive.nyc3.cdn.digitaloceanspaces.com/ukraine_witness_test/Worksheet/yotube_dl__sternenko_status_14968924180666900492022-02-25T12:07:54.214240.png" TargetMode="External"/><Relationship Id="rId1258" Type="http://schemas.openxmlformats.org/officeDocument/2006/relationships/hyperlink" Target="https://bellingcat-archive.nyc3.cdn.digitaloceanspaces.com/Ukraine_Witness_Datasheet/Worksheet/wayback__herooftheday10_status_14932822794346332202022-02-25T14:24:22.774900.png" TargetMode="External"/><Relationship Id="rId2589" Type="http://schemas.openxmlformats.org/officeDocument/2006/relationships/hyperlink" Target="https://bellingcat-archive.nyc3.cdn.digitaloceanspaces.com/ukraine_witness_test/Worksheet/yotube_dl_1496892418066690049/index.html" TargetMode="External"/><Relationship Id="rId1259" Type="http://schemas.openxmlformats.org/officeDocument/2006/relationships/hyperlink" Target="https://twitter.com/4emberlen/status/1493246283875864576" TargetMode="External"/><Relationship Id="rId2580" Type="http://schemas.openxmlformats.org/officeDocument/2006/relationships/hyperlink" Target="https://bellingcat-archive.nyc3.cdn.digitaloceanspaces.com/ukraine_witness_test/Worksheet/yotube_dl__MarQs___status_14968517442273034252022-02-25T12:08:26.261675.png" TargetMode="External"/><Relationship Id="rId1250" Type="http://schemas.openxmlformats.org/officeDocument/2006/relationships/hyperlink" Target="https://twitter.com/GirkinGirkin/status/1493281590281129987" TargetMode="External"/><Relationship Id="rId2581" Type="http://schemas.openxmlformats.org/officeDocument/2006/relationships/hyperlink" Target="https://bellingcat-archive.nyc3.cdn.digitaloceanspaces.com/ukraine_witness_test/Worksheet/yotube_dl_1496851744227303425/index.html" TargetMode="External"/><Relationship Id="rId1251" Type="http://schemas.openxmlformats.org/officeDocument/2006/relationships/hyperlink" Target="https://twitter.com/gfusfus/status/1493287351614902286" TargetMode="External"/><Relationship Id="rId2582" Type="http://schemas.openxmlformats.org/officeDocument/2006/relationships/hyperlink" Target="https://twitter.com/antiputler_news/status/1496837191183577097" TargetMode="External"/><Relationship Id="rId1252" Type="http://schemas.openxmlformats.org/officeDocument/2006/relationships/hyperlink" Target="https://bellingcat-archive.nyc3.cdn.digitaloceanspaces.com/Ukraine_Witness_Datasheet/Worksheet/youtube_dl_1493281590281129987.mp4" TargetMode="External"/><Relationship Id="rId2583" Type="http://schemas.openxmlformats.org/officeDocument/2006/relationships/hyperlink" Target="https://bellingcat-archive.nyc3.cdn.digitaloceanspaces.com/ukraine_witness_test/Worksheet/yotube_dl_1496837191183577097.mp4" TargetMode="External"/><Relationship Id="rId1253" Type="http://schemas.openxmlformats.org/officeDocument/2006/relationships/hyperlink" Target="https://bellingcat-archive.nyc3.cdn.digitaloceanspaces.com/Ukraine_Witness_Datasheet/Worksheet/youtube_dl__GirkinGirkin_status_14932815902811299872022-02-25T14:22:23.157755.png" TargetMode="External"/><Relationship Id="rId2584" Type="http://schemas.openxmlformats.org/officeDocument/2006/relationships/hyperlink" Target="https://bellingcat-archive.nyc3.cdn.digitaloceanspaces.com/ukraine_witness_test/Worksheet/yotube_dl__antiputler_news_status_14968371911835770972022-02-25T12:08:11.077079.png" TargetMode="External"/><Relationship Id="rId1254" Type="http://schemas.openxmlformats.org/officeDocument/2006/relationships/hyperlink" Target="https://bellingcat-archive.nyc3.cdn.digitaloceanspaces.com/Ukraine_Witness_Datasheet/Worksheet/youtube_dl_1493281590281129987/index.html" TargetMode="External"/><Relationship Id="rId2585" Type="http://schemas.openxmlformats.org/officeDocument/2006/relationships/hyperlink" Target="https://bellingcat-archive.nyc3.cdn.digitaloceanspaces.com/ukraine_witness_test/Worksheet/yotube_dl_1496837191183577097/index.html" TargetMode="External"/><Relationship Id="rId1255" Type="http://schemas.openxmlformats.org/officeDocument/2006/relationships/hyperlink" Target="https://twitter.com/herooftheday10/status/1493282279434633220" TargetMode="External"/><Relationship Id="rId2586" Type="http://schemas.openxmlformats.org/officeDocument/2006/relationships/hyperlink" Target="https://twitter.com/sternenko/status/1496892418066690049" TargetMode="External"/><Relationship Id="rId1256" Type="http://schemas.openxmlformats.org/officeDocument/2006/relationships/hyperlink" Target="https://twitter.com/gfusfus/status/1493300892912824322" TargetMode="External"/><Relationship Id="rId2587" Type="http://schemas.openxmlformats.org/officeDocument/2006/relationships/hyperlink" Target="https://bellingcat-archive.nyc3.cdn.digitaloceanspaces.com/ukraine_witness_test/Worksheet/yotube_dl_1496892418066690049.mp4" TargetMode="External"/><Relationship Id="rId1246" Type="http://schemas.openxmlformats.org/officeDocument/2006/relationships/hyperlink" Target="https://twitter.com/gfusfus/status/1493257787647930370" TargetMode="External"/><Relationship Id="rId2577" Type="http://schemas.openxmlformats.org/officeDocument/2006/relationships/hyperlink" Target="https://bellingcat-archive.nyc3.cdn.digitaloceanspaces.com/ukraine_witness_test/Worksheet/yotube_dl_1496907711602204673/index.html" TargetMode="External"/><Relationship Id="rId1247" Type="http://schemas.openxmlformats.org/officeDocument/2006/relationships/hyperlink" Target="https://bellingcat-archive.nyc3.cdn.digitaloceanspaces.com/Ukraine_Witness_Datasheet/Worksheet/youtube_dl_1492745393423237121.mp4" TargetMode="External"/><Relationship Id="rId2578" Type="http://schemas.openxmlformats.org/officeDocument/2006/relationships/hyperlink" Target="https://twitter.com/MarQs__/status/1496851744227303425" TargetMode="External"/><Relationship Id="rId1248" Type="http://schemas.openxmlformats.org/officeDocument/2006/relationships/hyperlink" Target="https://bellingcat-archive.nyc3.cdn.digitaloceanspaces.com/Ukraine_Witness_Datasheet/Worksheet/youtube_dl__GirkinGirkin_status_14927453934232371212022-02-25T14:22:05.366606.png" TargetMode="External"/><Relationship Id="rId2579" Type="http://schemas.openxmlformats.org/officeDocument/2006/relationships/hyperlink" Target="https://bellingcat-archive.nyc3.cdn.digitaloceanspaces.com/ukraine_witness_test/Worksheet/yotube_dl_1496851744227303425.mp4" TargetMode="External"/><Relationship Id="rId1249" Type="http://schemas.openxmlformats.org/officeDocument/2006/relationships/hyperlink" Target="https://bellingcat-archive.nyc3.cdn.digitaloceanspaces.com/Ukraine_Witness_Datasheet/Worksheet/youtube_dl_1492745393423237121/index.html" TargetMode="External"/><Relationship Id="rId2570" Type="http://schemas.openxmlformats.org/officeDocument/2006/relationships/hyperlink" Target="https://bellingcat-archive.nyc3.cdn.digitaloceanspaces.com/Ukraine_Witness_Datasheet/Worksheet/twitter__planet_status_14969015149960315102022-02-25T14:48:47.321655.png" TargetMode="External"/><Relationship Id="rId1240" Type="http://schemas.openxmlformats.org/officeDocument/2006/relationships/hyperlink" Target="https://twitter.com/GirkinGirkin/status/1493246368592404486" TargetMode="External"/><Relationship Id="rId2571" Type="http://schemas.openxmlformats.org/officeDocument/2006/relationships/hyperlink" Target="https://twitter.com/COUPSURE/status/1496903553109086210?s=20&amp;t=Mh_9AYiKPim3KiINrxUwoQ" TargetMode="External"/><Relationship Id="rId1241" Type="http://schemas.openxmlformats.org/officeDocument/2006/relationships/hyperlink" Target="https://twitter.com/gfusfus/status/1493251987168714756" TargetMode="External"/><Relationship Id="rId2572" Type="http://schemas.openxmlformats.org/officeDocument/2006/relationships/hyperlink" Target="https://bellingcat-archive.nyc3.cdn.digitaloceanspaces.com/Ukraine_Witness_Datasheet/Worksheet/twitter__COUPSURE_status_1496903553109086210.html" TargetMode="External"/><Relationship Id="rId1242" Type="http://schemas.openxmlformats.org/officeDocument/2006/relationships/hyperlink" Target="https://bellingcat-archive.nyc3.cdn.digitaloceanspaces.com/Ukraine_Witness_Datasheet/Worksheet/youtube_dl_1493246368592404486.mp4" TargetMode="External"/><Relationship Id="rId2573" Type="http://schemas.openxmlformats.org/officeDocument/2006/relationships/hyperlink" Target="https://bellingcat-archive.nyc3.cdn.digitaloceanspaces.com/Ukraine_Witness_Datasheet/Worksheet/twitter__COUPSURE_status_14969035531090862102022-02-25T14:49:01.368635.png" TargetMode="External"/><Relationship Id="rId1243" Type="http://schemas.openxmlformats.org/officeDocument/2006/relationships/hyperlink" Target="https://bellingcat-archive.nyc3.cdn.digitaloceanspaces.com/Ukraine_Witness_Datasheet/Worksheet/youtube_dl__GirkinGirkin_status_14932463685924044862022-02-25T14:21:46.740436.png" TargetMode="External"/><Relationship Id="rId2574" Type="http://schemas.openxmlformats.org/officeDocument/2006/relationships/hyperlink" Target="https://twitter.com/ThomasVLinge/status/1496907711602204673?s=20&amp;t=Mh_9AYiKPim3KiINrxUwoQ" TargetMode="External"/><Relationship Id="rId1244" Type="http://schemas.openxmlformats.org/officeDocument/2006/relationships/hyperlink" Target="https://bellingcat-archive.nyc3.cdn.digitaloceanspaces.com/Ukraine_Witness_Datasheet/Worksheet/youtube_dl_1493246368592404486/index.html" TargetMode="External"/><Relationship Id="rId2575" Type="http://schemas.openxmlformats.org/officeDocument/2006/relationships/hyperlink" Target="https://bellingcat-archive.nyc3.cdn.digitaloceanspaces.com/ukraine_witness_test/Worksheet/yotube_dl_1496907711602204673.mp4" TargetMode="External"/><Relationship Id="rId1245" Type="http://schemas.openxmlformats.org/officeDocument/2006/relationships/hyperlink" Target="https://twitter.com/GirkinGirkin/status/1492745393423237121" TargetMode="External"/><Relationship Id="rId2576" Type="http://schemas.openxmlformats.org/officeDocument/2006/relationships/hyperlink" Target="https://bellingcat-archive.nyc3.cdn.digitaloceanspaces.com/ukraine_witness_test/Worksheet/yotube_dl__ThomasVLinge_status_14969077116022046732022-02-25T12:08:43.391382.png" TargetMode="External"/><Relationship Id="rId1279" Type="http://schemas.openxmlformats.org/officeDocument/2006/relationships/hyperlink" Target="https://twitter.com/Michael1Sheldon/status/1492368406036860930" TargetMode="External"/><Relationship Id="rId1270" Type="http://schemas.openxmlformats.org/officeDocument/2006/relationships/hyperlink" Target="https://twitter.com/Idzanagi4/status/1493045331830968324" TargetMode="External"/><Relationship Id="rId1271" Type="http://schemas.openxmlformats.org/officeDocument/2006/relationships/hyperlink" Target="https://bellingcat-archive.nyc3.cdn.digitaloceanspaces.com/Ukraine_Witness_Datasheet/Worksheet/youtube_dl_1493037767625826306.mp4" TargetMode="External"/><Relationship Id="rId1272" Type="http://schemas.openxmlformats.org/officeDocument/2006/relationships/hyperlink" Target="https://bellingcat-archive.nyc3.cdn.digitaloceanspaces.com/Ukraine_Witness_Datasheet/Worksheet/youtube_dl__Michael1Sheldon_status_14930377676258263062022-02-25T14:25:16.034072.png" TargetMode="External"/><Relationship Id="rId1273" Type="http://schemas.openxmlformats.org/officeDocument/2006/relationships/hyperlink" Target="https://bellingcat-archive.nyc3.cdn.digitaloceanspaces.com/Ukraine_Witness_Datasheet/Worksheet/youtube_dl_1493037767625826306/index.html" TargetMode="External"/><Relationship Id="rId1274" Type="http://schemas.openxmlformats.org/officeDocument/2006/relationships/hyperlink" Target="https://twitter.com/Michael1Sheldon/status/1492886012082728961" TargetMode="External"/><Relationship Id="rId1275" Type="http://schemas.openxmlformats.org/officeDocument/2006/relationships/hyperlink" Target="https://twitter.com/Michael1Sheldon/status/1492886621573812233" TargetMode="External"/><Relationship Id="rId1276" Type="http://schemas.openxmlformats.org/officeDocument/2006/relationships/hyperlink" Target="https://bellingcat-archive.nyc3.cdn.digitaloceanspaces.com/Ukraine_Witness_Datasheet/Worksheet/youtube_dl_1492886012082728961.mp4" TargetMode="External"/><Relationship Id="rId1277" Type="http://schemas.openxmlformats.org/officeDocument/2006/relationships/hyperlink" Target="https://bellingcat-archive.nyc3.cdn.digitaloceanspaces.com/Ukraine_Witness_Datasheet/Worksheet/youtube_dl__Michael1Sheldon_status_14928860120827289612022-02-25T14:25:43.411144.png" TargetMode="External"/><Relationship Id="rId1278" Type="http://schemas.openxmlformats.org/officeDocument/2006/relationships/hyperlink" Target="https://bellingcat-archive.nyc3.cdn.digitaloceanspaces.com/Ukraine_Witness_Datasheet/Worksheet/youtube_dl_1492886012082728961/index.html" TargetMode="External"/><Relationship Id="rId1268" Type="http://schemas.openxmlformats.org/officeDocument/2006/relationships/hyperlink" Target="https://bellingcat-archive.nyc3.cdn.digitaloceanspaces.com/Ukraine_Witness_Datasheet/Worksheet/youtube_dl_1493036503974486018/index.html" TargetMode="External"/><Relationship Id="rId2599" Type="http://schemas.openxmlformats.org/officeDocument/2006/relationships/hyperlink" Target="https://www.youtube.com/watch?v=ywUryvex00w&amp;ab_channel=DFRLMichaelSheldon" TargetMode="External"/><Relationship Id="rId1269" Type="http://schemas.openxmlformats.org/officeDocument/2006/relationships/hyperlink" Target="https://twitter.com/Michael1Sheldon/status/1493037767625826306" TargetMode="External"/><Relationship Id="rId2590" Type="http://schemas.openxmlformats.org/officeDocument/2006/relationships/hyperlink" Target="https://twitter.com/MotolkoHelp/status/1496937266668883974" TargetMode="External"/><Relationship Id="rId1260" Type="http://schemas.openxmlformats.org/officeDocument/2006/relationships/hyperlink" Target="https://twitter.com/Michael1Sheldon/status/1493326820397178886" TargetMode="External"/><Relationship Id="rId2591" Type="http://schemas.openxmlformats.org/officeDocument/2006/relationships/hyperlink" Target="https://bellingcat-archive.nyc3.cdn.digitaloceanspaces.com/ukraine_witness_test/Worksheet/yotube_dl_1496937266668883974.mp4" TargetMode="External"/><Relationship Id="rId1261" Type="http://schemas.openxmlformats.org/officeDocument/2006/relationships/hyperlink" Target="https://bellingcat-archive.nyc3.cdn.digitaloceanspaces.com/Ukraine_Witness_Datasheet/Worksheet/youtube_dl_1493246283875864576.mp4" TargetMode="External"/><Relationship Id="rId2592" Type="http://schemas.openxmlformats.org/officeDocument/2006/relationships/hyperlink" Target="https://bellingcat-archive.nyc3.cdn.digitaloceanspaces.com/ukraine_witness_test/Worksheet/yotube_dl__MotolkoHelp_status_14969372666688839742022-02-25T12:07:28.821395.png" TargetMode="External"/><Relationship Id="rId1262" Type="http://schemas.openxmlformats.org/officeDocument/2006/relationships/hyperlink" Target="https://bellingcat-archive.nyc3.cdn.digitaloceanspaces.com/Ukraine_Witness_Datasheet/Worksheet/youtube_dl__4emberlen_status_14932462838758645762022-02-25T14:24:37.785315.png" TargetMode="External"/><Relationship Id="rId2593" Type="http://schemas.openxmlformats.org/officeDocument/2006/relationships/hyperlink" Target="https://bellingcat-archive.nyc3.cdn.digitaloceanspaces.com/ukraine_witness_test/Worksheet/yotube_dl_1496937266668883974/index.html" TargetMode="External"/><Relationship Id="rId1263" Type="http://schemas.openxmlformats.org/officeDocument/2006/relationships/hyperlink" Target="https://bellingcat-archive.nyc3.cdn.digitaloceanspaces.com/Ukraine_Witness_Datasheet/Worksheet/youtube_dl_1493246283875864576/index.html" TargetMode="External"/><Relationship Id="rId2594" Type="http://schemas.openxmlformats.org/officeDocument/2006/relationships/hyperlink" Target="https://twitter.com/Danspiun/status/1496962298342109195" TargetMode="External"/><Relationship Id="rId1264" Type="http://schemas.openxmlformats.org/officeDocument/2006/relationships/hyperlink" Target="https://twitter.com/Michael1Sheldon/status/1493036503974486018" TargetMode="External"/><Relationship Id="rId2595" Type="http://schemas.openxmlformats.org/officeDocument/2006/relationships/hyperlink" Target="https://twitter.com/Danspiun/status/1496959317446389760" TargetMode="External"/><Relationship Id="rId1265" Type="http://schemas.openxmlformats.org/officeDocument/2006/relationships/hyperlink" Target="https://twitter.com/Michael1Sheldon/status/1493037057085689856" TargetMode="External"/><Relationship Id="rId2596" Type="http://schemas.openxmlformats.org/officeDocument/2006/relationships/hyperlink" Target="https://bellingcat-archive.nyc3.cdn.digitaloceanspaces.com/ukraine_witness_test/Worksheet/yotube_dl_1496962298342109195.mp4" TargetMode="External"/><Relationship Id="rId1266" Type="http://schemas.openxmlformats.org/officeDocument/2006/relationships/hyperlink" Target="https://bellingcat-archive.nyc3.cdn.digitaloceanspaces.com/Ukraine_Witness_Datasheet/Worksheet/youtube_dl_1493036503974486018.mp4" TargetMode="External"/><Relationship Id="rId2597" Type="http://schemas.openxmlformats.org/officeDocument/2006/relationships/hyperlink" Target="https://bellingcat-archive.nyc3.cdn.digitaloceanspaces.com/ukraine_witness_test/Worksheet/yotube_dl__Danspiun_status_14969622983421091952022-02-25T12:07:08.994940.png" TargetMode="External"/><Relationship Id="rId1267" Type="http://schemas.openxmlformats.org/officeDocument/2006/relationships/hyperlink" Target="https://bellingcat-archive.nyc3.cdn.digitaloceanspaces.com/Ukraine_Witness_Datasheet/Worksheet/youtube_dl__Michael1Sheldon_status_14930365039744860182022-02-25T14:24:54.389022.png" TargetMode="External"/><Relationship Id="rId2598" Type="http://schemas.openxmlformats.org/officeDocument/2006/relationships/hyperlink" Target="https://bellingcat-archive.nyc3.cdn.digitaloceanspaces.com/ukraine_witness_test/Worksheet/yotube_dl_1496962298342109195/index.html" TargetMode="External"/><Relationship Id="rId3070" Type="http://schemas.openxmlformats.org/officeDocument/2006/relationships/hyperlink" Target="https://bellingcat-archive.nyc3.cdn.digitaloceanspaces.com/Ukraine_Witness_Datasheet/Worksheet/wayback__vladimir.veselkin_posts_48795892754938522022-02-25T19:01:18.076586.png" TargetMode="External"/><Relationship Id="rId3072" Type="http://schemas.openxmlformats.org/officeDocument/2006/relationships/hyperlink" Target="https://bellingcat-archive.nyc3.cdn.digitaloceanspaces.com/Ukraine_Witness_Datasheet/Worksheet/youtube_dl_1496831609902968840.mp4" TargetMode="External"/><Relationship Id="rId3071" Type="http://schemas.openxmlformats.org/officeDocument/2006/relationships/hyperlink" Target="https://twitter.com/GayanaYuksel/status/1496831609902968840" TargetMode="External"/><Relationship Id="rId3074" Type="http://schemas.openxmlformats.org/officeDocument/2006/relationships/hyperlink" Target="https://bellingcat-archive.nyc3.cdn.digitaloceanspaces.com/Ukraine_Witness_Datasheet/Worksheet/youtube_dl_1496831609902968840/index.html" TargetMode="External"/><Relationship Id="rId3073" Type="http://schemas.openxmlformats.org/officeDocument/2006/relationships/hyperlink" Target="https://bellingcat-archive.nyc3.cdn.digitaloceanspaces.com/Ukraine_Witness_Datasheet/Worksheet/youtube_dl__GayanaYuksel_status_14968316099029688402022-02-25T19:01:35.053799.png" TargetMode="External"/><Relationship Id="rId3076" Type="http://schemas.openxmlformats.org/officeDocument/2006/relationships/hyperlink" Target="https://bellingcat-archive.nyc3.cdn.digitaloceanspaces.com/Ukraine_Witness_Datasheet/Worksheet/telegram__Pravda_Gerashchenko_190.html" TargetMode="External"/><Relationship Id="rId3075" Type="http://schemas.openxmlformats.org/officeDocument/2006/relationships/hyperlink" Target="https://t.me/Pravda_Gerashchenko/190" TargetMode="External"/><Relationship Id="rId3078" Type="http://schemas.openxmlformats.org/officeDocument/2006/relationships/hyperlink" Target="https://t.me/mariupol/3007" TargetMode="External"/><Relationship Id="rId3077" Type="http://schemas.openxmlformats.org/officeDocument/2006/relationships/hyperlink" Target="https://bellingcat-archive.nyc3.cdn.digitaloceanspaces.com/Ukraine_Witness_Datasheet/Worksheet/telegram__Pravda_Gerashchenko_1902022-03-02T13:01:14.420308.png" TargetMode="External"/><Relationship Id="rId3079" Type="http://schemas.openxmlformats.org/officeDocument/2006/relationships/hyperlink" Target="https://bellingcat-archive.nyc3.cdn.digitaloceanspaces.com/Ukraine_Witness_Datasheet/Worksheet/telegram_6022c7cb4f.mp4" TargetMode="External"/><Relationship Id="rId4390" Type="http://schemas.openxmlformats.org/officeDocument/2006/relationships/hyperlink" Target="https://bellingcat-archive.nyc3.cdn.digitaloceanspaces.com/Ukraine_Witness_Datasheet/Worksheet/wayback__kharkow_obstrel-saltovki-pogib-chelovek2022-03-02T13:51:56.044986.png" TargetMode="External"/><Relationship Id="rId3061" Type="http://schemas.openxmlformats.org/officeDocument/2006/relationships/hyperlink" Target="https://twitter.com/nexta_tv/status/1497240135615791107" TargetMode="External"/><Relationship Id="rId4392" Type="http://schemas.openxmlformats.org/officeDocument/2006/relationships/hyperlink" Target="https://bellingcat-archive.nyc3.cdn.digitaloceanspaces.com/Ukraine_Witness_Datasheet/Worksheet/twitter__JhanSDoriel_status_1497556585396125700.html" TargetMode="External"/><Relationship Id="rId3060" Type="http://schemas.openxmlformats.org/officeDocument/2006/relationships/hyperlink" Target="https://bellingcat-archive.nyc3.cdn.digitaloceanspaces.com/Ukraine_Witness_Datasheet/Worksheet/youtube_dl_1497253753476599814/index.html" TargetMode="External"/><Relationship Id="rId4391" Type="http://schemas.openxmlformats.org/officeDocument/2006/relationships/hyperlink" Target="https://twitter.com/JhanSDoriel/status/1497556585396125700" TargetMode="External"/><Relationship Id="rId3063" Type="http://schemas.openxmlformats.org/officeDocument/2006/relationships/hyperlink" Target="https://bellingcat-archive.nyc3.cdn.digitaloceanspaces.com/Ukraine_Witness_Datasheet/Worksheet/youtube_dl__nexta_tv_status_14972401356157911072022-02-25T17:48:54.325222.png" TargetMode="External"/><Relationship Id="rId4394" Type="http://schemas.openxmlformats.org/officeDocument/2006/relationships/hyperlink" Target="https://twitter.com/JhanSDoriel/status/1497583504577732610" TargetMode="External"/><Relationship Id="rId3062" Type="http://schemas.openxmlformats.org/officeDocument/2006/relationships/hyperlink" Target="https://bellingcat-archive.nyc3.cdn.digitaloceanspaces.com/Ukraine_Witness_Datasheet/Worksheet/youtube_dl_1497240135615791107.mp4" TargetMode="External"/><Relationship Id="rId4393" Type="http://schemas.openxmlformats.org/officeDocument/2006/relationships/hyperlink" Target="https://bellingcat-archive.nyc3.cdn.digitaloceanspaces.com/Ukraine_Witness_Datasheet/Worksheet/twitter__JhanSDoriel_status_14975565853961257002022-03-01T15:18:44.132797.png" TargetMode="External"/><Relationship Id="rId3065" Type="http://schemas.openxmlformats.org/officeDocument/2006/relationships/hyperlink" Target="https://twitter.com/vital_ovchar/status/1496808502802759683" TargetMode="External"/><Relationship Id="rId4396" Type="http://schemas.openxmlformats.org/officeDocument/2006/relationships/hyperlink" Target="https://bellingcat-archive.nyc3.cdn.digitaloceanspaces.com/Ukraine_Witness_Datasheet/Worksheet/youtube_dl__JhanSDoriel_status_14975835045777326102022-03-02T14:01:02.686236.png" TargetMode="External"/><Relationship Id="rId3064" Type="http://schemas.openxmlformats.org/officeDocument/2006/relationships/hyperlink" Target="https://bellingcat-archive.nyc3.cdn.digitaloceanspaces.com/Ukraine_Witness_Datasheet/Worksheet/youtube_dl_1497240135615791107/index.html" TargetMode="External"/><Relationship Id="rId4395" Type="http://schemas.openxmlformats.org/officeDocument/2006/relationships/hyperlink" Target="https://bellingcat-archive.nyc3.cdn.digitaloceanspaces.com/Ukraine_Witness_Datasheet/Worksheet/youtube_dl_1497583504577732610.mp4" TargetMode="External"/><Relationship Id="rId3067" Type="http://schemas.openxmlformats.org/officeDocument/2006/relationships/hyperlink" Target="https://bellingcat-archive.nyc3.cdn.digitaloceanspaces.com/Ukraine_Witness_Datasheet/Worksheet/twitter__vital_ovchar_status_14968085028027596832022-02-25T17:49:14.332049.png" TargetMode="External"/><Relationship Id="rId4398" Type="http://schemas.openxmlformats.org/officeDocument/2006/relationships/hyperlink" Target="https://www.instagram.com/tv/Cab70RxFXMU/?utm_source=ig_web_copy_link" TargetMode="External"/><Relationship Id="rId3066" Type="http://schemas.openxmlformats.org/officeDocument/2006/relationships/hyperlink" Target="https://bellingcat-archive.nyc3.cdn.digitaloceanspaces.com/Ukraine_Witness_Datasheet/Worksheet/twitter__vital_ovchar_status_1496808502802759683.html" TargetMode="External"/><Relationship Id="rId4397" Type="http://schemas.openxmlformats.org/officeDocument/2006/relationships/hyperlink" Target="https://bellingcat-archive.nyc3.cdn.digitaloceanspaces.com/Ukraine_Witness_Datasheet/Worksheet/youtube_dl_1497583504577732610/index.html" TargetMode="External"/><Relationship Id="rId3069" Type="http://schemas.openxmlformats.org/officeDocument/2006/relationships/hyperlink" Target="https://web.archive.org/web/20220225190106/https://www.facebook.com/login/?next=https%3A%2F%2Fwww.facebook.com%2Fvladimir.veselkin%2Fposts%2F4879589275493852%3F__cft__%255B0%255D%3DAZXA_3UfzprG0miGLoWQnskeHb73AKh7lPhzX_HGf-cLpIwl3cpOlBTWaB_4DUIIXOpSF7IsZJbPsT_r3dfPH1sFLM7n1Zg-XcAEtvPQ6bkNud09ukdcOLGFNGMy1-f_iFg%26__tn__%3D%252CO%252CP-R" TargetMode="External"/><Relationship Id="rId3068" Type="http://schemas.openxmlformats.org/officeDocument/2006/relationships/hyperlink" Target="https://www.facebook.com/vladimir.veselkin/posts/4879589275493852?__cft__%5B0%5D=AZXA_3UfzprG0miGLoWQnskeHb73AKh7lPhzX_HGf-cLpIwl3cpOlBTWaB_4DUIIXOpSF7IsZJbPsT_r3dfPH1sFLM7n1Zg-XcAEtvPQ6bkNud09ukdcOLGFNGMy1-f_iFg&amp;__tn__=%2CO%2CP-R" TargetMode="External"/><Relationship Id="rId4399" Type="http://schemas.openxmlformats.org/officeDocument/2006/relationships/hyperlink" Target="https://bellingcat-archive.nyc3.cdn.digitaloceanspaces.com/Ukraine_Witness_Datasheet/Worksheet/youtube_dl_Cab70RxFXMU.mp4" TargetMode="External"/><Relationship Id="rId3090" Type="http://schemas.openxmlformats.org/officeDocument/2006/relationships/hyperlink" Target="https://bellingcat-archive.nyc3.cdn.digitaloceanspaces.com/Ukraine_Witness_Datasheet/Worksheet/twitter__City_Donetsk_status_14968778016890388592022-02-25T19:02:36.001149.png" TargetMode="External"/><Relationship Id="rId3092" Type="http://schemas.openxmlformats.org/officeDocument/2006/relationships/hyperlink" Target="https://bellingcat-archive.nyc3.cdn.digitaloceanspaces.com/Ukraine_Witness_Datasheet/Worksheet/youtube_dl_1497048113504301090.mp4" TargetMode="External"/><Relationship Id="rId3091" Type="http://schemas.openxmlformats.org/officeDocument/2006/relationships/hyperlink" Target="https://twitter.com/ChristopherJM/status/1497048113504301090?s=20&amp;t=F0--qN8xA_f7DUIGDOmN4w" TargetMode="External"/><Relationship Id="rId3094" Type="http://schemas.openxmlformats.org/officeDocument/2006/relationships/hyperlink" Target="https://bellingcat-archive.nyc3.cdn.digitaloceanspaces.com/Ukraine_Witness_Datasheet/Worksheet/youtube_dl_1497048113504301090/index.html" TargetMode="External"/><Relationship Id="rId3093" Type="http://schemas.openxmlformats.org/officeDocument/2006/relationships/hyperlink" Target="https://bellingcat-archive.nyc3.cdn.digitaloceanspaces.com/Ukraine_Witness_Datasheet/Worksheet/youtube_dl__ChristopherJM_status_14970481135043010902022-02-25T19:02:53.523182.png" TargetMode="External"/><Relationship Id="rId3096" Type="http://schemas.openxmlformats.org/officeDocument/2006/relationships/hyperlink" Target="https://bellingcat-archive.nyc3.cdn.digitaloceanspaces.com/Ukraine_Witness_Datasheet/Worksheet/youtube_dl_1497057602794049537.mp4" TargetMode="External"/><Relationship Id="rId3095" Type="http://schemas.openxmlformats.org/officeDocument/2006/relationships/hyperlink" Target="https://twitter.com/HannaLiubakova/status/1497057602794049537?s=20&amp;t=OVvhaH-5fg2hPLYK8iF8Lw" TargetMode="External"/><Relationship Id="rId3098" Type="http://schemas.openxmlformats.org/officeDocument/2006/relationships/hyperlink" Target="https://bellingcat-archive.nyc3.cdn.digitaloceanspaces.com/Ukraine_Witness_Datasheet/Worksheet/youtube_dl_1497057602794049537/index.html" TargetMode="External"/><Relationship Id="rId3097" Type="http://schemas.openxmlformats.org/officeDocument/2006/relationships/hyperlink" Target="https://bellingcat-archive.nyc3.cdn.digitaloceanspaces.com/Ukraine_Witness_Datasheet/Worksheet/youtube_dl__HannaLiubakova_status_14970576027940495372022-02-25T19:03:12.730409.png" TargetMode="External"/><Relationship Id="rId3099" Type="http://schemas.openxmlformats.org/officeDocument/2006/relationships/hyperlink" Target="https://t.me/nexta_live/17090" TargetMode="External"/><Relationship Id="rId3081" Type="http://schemas.openxmlformats.org/officeDocument/2006/relationships/hyperlink" Target="https://bellingcat-archive.nyc3.cdn.digitaloceanspaces.com/Ukraine_Witness_Datasheet/Worksheet/telegram_6022c7cb4f/index.html" TargetMode="External"/><Relationship Id="rId3080" Type="http://schemas.openxmlformats.org/officeDocument/2006/relationships/hyperlink" Target="https://bellingcat-archive.nyc3.cdn.digitaloceanspaces.com/Ukraine_Witness_Datasheet/Worksheet/telegram__mariupol_30072022-02-25T19:01:59.535241.png" TargetMode="External"/><Relationship Id="rId3083" Type="http://schemas.openxmlformats.org/officeDocument/2006/relationships/hyperlink" Target="https://t.me/nexta_live/16696" TargetMode="External"/><Relationship Id="rId3082" Type="http://schemas.openxmlformats.org/officeDocument/2006/relationships/hyperlink" Target="https://t.me/mariupol/3007" TargetMode="External"/><Relationship Id="rId3085" Type="http://schemas.openxmlformats.org/officeDocument/2006/relationships/hyperlink" Target="https://bellingcat-archive.nyc3.cdn.digitaloceanspaces.com/Ukraine_Witness_Datasheet/Worksheet/telegram__nexta_live_166962022-02-25T19:02:19.525521.png" TargetMode="External"/><Relationship Id="rId3084" Type="http://schemas.openxmlformats.org/officeDocument/2006/relationships/hyperlink" Target="https://bellingcat-archive.nyc3.cdn.digitaloceanspaces.com/Ukraine_Witness_Datasheet/Worksheet/telegram_9843bc455a.mp4" TargetMode="External"/><Relationship Id="rId3087" Type="http://schemas.openxmlformats.org/officeDocument/2006/relationships/hyperlink" Target="https://t.me/nexta_live/16696" TargetMode="External"/><Relationship Id="rId3086" Type="http://schemas.openxmlformats.org/officeDocument/2006/relationships/hyperlink" Target="https://bellingcat-archive.nyc3.cdn.digitaloceanspaces.com/Ukraine_Witness_Datasheet/Worksheet/telegram_9843bc455a/index.html" TargetMode="External"/><Relationship Id="rId3089" Type="http://schemas.openxmlformats.org/officeDocument/2006/relationships/hyperlink" Target="https://bellingcat-archive.nyc3.cdn.digitaloceanspaces.com/Ukraine_Witness_Datasheet/Worksheet/twitter__City_Donetsk_status_1496877801689038859.html" TargetMode="External"/><Relationship Id="rId3088" Type="http://schemas.openxmlformats.org/officeDocument/2006/relationships/hyperlink" Target="https://twitter.com/City_Donetsk/status/1496877801689038859?s=20&amp;t=o76iN01FC_pqK6l4rX_fFQ" TargetMode="External"/><Relationship Id="rId3039" Type="http://schemas.openxmlformats.org/officeDocument/2006/relationships/hyperlink" Target="https://t.me/nexta_live/17239" TargetMode="External"/><Relationship Id="rId5691" Type="http://schemas.openxmlformats.org/officeDocument/2006/relationships/hyperlink" Target="https://bellingcat-archive.nyc3.cdn.digitaloceanspaces.com/Ukraine_Witness_Datasheet/Worksheet/telegram__suspilnenews_7037.html" TargetMode="External"/><Relationship Id="rId5692" Type="http://schemas.openxmlformats.org/officeDocument/2006/relationships/hyperlink" Target="https://bellingcat-archive.nyc3.cdn.digitaloceanspaces.com/Ukraine_Witness_Datasheet/Worksheet/telegram__suspilnenews_70372022-03-05T08:36:16.825034.png" TargetMode="External"/><Relationship Id="rId3030" Type="http://schemas.openxmlformats.org/officeDocument/2006/relationships/hyperlink" Target="https://bellingcat-archive.nyc3.cdn.digitaloceanspaces.com/Ukraine_Witness_Datasheet/Worksheet/twitter__no_itsmyturn_status_14971847303950745622022-02-25T17:42:29.943564.png" TargetMode="External"/><Relationship Id="rId4361" Type="http://schemas.openxmlformats.org/officeDocument/2006/relationships/hyperlink" Target="https://www.facebook.com/MNS.GOV.UA/posts/323872166447346" TargetMode="External"/><Relationship Id="rId4360" Type="http://schemas.openxmlformats.org/officeDocument/2006/relationships/hyperlink" Target="https://bellingcat-archive.nyc3.cdn.digitaloceanspaces.com/Ukraine_Witness_Datasheet/Worksheet/youtube_dl_1498564169234268166/index.html" TargetMode="External"/><Relationship Id="rId5690" Type="http://schemas.openxmlformats.org/officeDocument/2006/relationships/hyperlink" Target="https://t.me/suspilnenews/7037" TargetMode="External"/><Relationship Id="rId3032" Type="http://schemas.openxmlformats.org/officeDocument/2006/relationships/hyperlink" Target="https://bellingcat-archive.nyc3.cdn.digitaloceanspaces.com/Ukraine_Witness_Datasheet/Worksheet/youtube_dl_1497197120566165506.mp4" TargetMode="External"/><Relationship Id="rId4363" Type="http://schemas.openxmlformats.org/officeDocument/2006/relationships/hyperlink" Target="https://bellingcat-archive.nyc3.cdn.digitaloceanspaces.com/Ukraine_Witness_Datasheet/Worksheet/wayback__MNS.GOV.UA_posts_3238721664473462022-03-01T15:16:23.226693.png" TargetMode="External"/><Relationship Id="rId5695" Type="http://schemas.openxmlformats.org/officeDocument/2006/relationships/hyperlink" Target="https://bellingcat-archive.nyc3.cdn.digitaloceanspaces.com/Ukraine_Witness_Datasheet/Worksheet/wayback__rubric-ato_3419144-el-enemigo-dispara-contra-zatoka-en-la-region-de-odesa.html2022-03-05T08:37:09.967779.png" TargetMode="External"/><Relationship Id="rId3031" Type="http://schemas.openxmlformats.org/officeDocument/2006/relationships/hyperlink" Target="https://twitter.com/A_Yuzhakov/status/1497197120566165506" TargetMode="External"/><Relationship Id="rId4362" Type="http://schemas.openxmlformats.org/officeDocument/2006/relationships/hyperlink" Target="https://web.archive.org/web/20220301151614/https://www.facebook.com/login/?next=https%3A%2F%2Fwww.facebook.com%2FMNS.GOV.UA%2Fposts%2F323872166447346" TargetMode="External"/><Relationship Id="rId5696" Type="http://schemas.openxmlformats.org/officeDocument/2006/relationships/hyperlink" Target="https://www.facebook.com/DSNSODE/videos/287010830206212" TargetMode="External"/><Relationship Id="rId3034" Type="http://schemas.openxmlformats.org/officeDocument/2006/relationships/hyperlink" Target="https://bellingcat-archive.nyc3.cdn.digitaloceanspaces.com/Ukraine_Witness_Datasheet/Worksheet/youtube_dl_1497197120566165506/index.html" TargetMode="External"/><Relationship Id="rId4365" Type="http://schemas.openxmlformats.org/officeDocument/2006/relationships/hyperlink" Target="https://bellingcat-archive.nyc3.cdn.digitaloceanspaces.com/Ukraine_Witness_Datasheet/Worksheet/youtube_dl_1498593301699739649.mp4" TargetMode="External"/><Relationship Id="rId5693" Type="http://schemas.openxmlformats.org/officeDocument/2006/relationships/hyperlink" Target="https://www.ukrinform.es/rubric-ato/3419144-el-enemigo-dispara-contra-zatoka-en-la-region-de-odesa.html" TargetMode="External"/><Relationship Id="rId3033" Type="http://schemas.openxmlformats.org/officeDocument/2006/relationships/hyperlink" Target="https://bellingcat-archive.nyc3.cdn.digitaloceanspaces.com/Ukraine_Witness_Datasheet/Worksheet/youtube_dl__A_Yuzhakov_status_14971971205661655062022-02-25T17:46:39.766285.png" TargetMode="External"/><Relationship Id="rId4364" Type="http://schemas.openxmlformats.org/officeDocument/2006/relationships/hyperlink" Target="https://twitter.com/Osinttechnical/status/1498593301699739649?s=20&amp;t=jwvHefenwYjibrw5p7Q3Sw" TargetMode="External"/><Relationship Id="rId5694" Type="http://schemas.openxmlformats.org/officeDocument/2006/relationships/hyperlink" Target="https://web.archive.org/web/20220305083633/https://www.ukrinform.es/rubric-ato/3419144-el-enemigo-dispara-contra-zatoka-en-la-region-de-odesa.html" TargetMode="External"/><Relationship Id="rId3036" Type="http://schemas.openxmlformats.org/officeDocument/2006/relationships/hyperlink" Target="https://bellingcat-archive.nyc3.cdn.digitaloceanspaces.com/Ukraine_Witness_Datasheet/Worksheet/telegram_a362967325.mp4" TargetMode="External"/><Relationship Id="rId4367" Type="http://schemas.openxmlformats.org/officeDocument/2006/relationships/hyperlink" Target="https://bellingcat-archive.nyc3.cdn.digitaloceanspaces.com/Ukraine_Witness_Datasheet/Worksheet/youtube_dl_1498593301699739649/index.html" TargetMode="External"/><Relationship Id="rId5699" Type="http://schemas.openxmlformats.org/officeDocument/2006/relationships/hyperlink" Target="https://bellingcat-archive.nyc3.cdn.digitaloceanspaces.com/Ukraine_Witness_Datasheet/Worksheet/youtube_dl_287010830206212/index.html" TargetMode="External"/><Relationship Id="rId3035" Type="http://schemas.openxmlformats.org/officeDocument/2006/relationships/hyperlink" Target="https://t.me/nexta_live/17239" TargetMode="External"/><Relationship Id="rId4366" Type="http://schemas.openxmlformats.org/officeDocument/2006/relationships/hyperlink" Target="https://bellingcat-archive.nyc3.cdn.digitaloceanspaces.com/Ukraine_Witness_Datasheet/Worksheet/youtube_dl__Osinttechnical_status_14985933016997396492022-03-01T15:16:39.814893.png" TargetMode="External"/><Relationship Id="rId3038" Type="http://schemas.openxmlformats.org/officeDocument/2006/relationships/hyperlink" Target="https://bellingcat-archive.nyc3.cdn.digitaloceanspaces.com/Ukraine_Witness_Datasheet/Worksheet/telegram_a362967325/index.html" TargetMode="External"/><Relationship Id="rId4369" Type="http://schemas.openxmlformats.org/officeDocument/2006/relationships/hyperlink" Target="https://bellingcat-archive.nyc3.cdn.digitaloceanspaces.com/Ukraine_Witness_Datasheet/Worksheet/telegram_e16209d3fd.mp4" TargetMode="External"/><Relationship Id="rId5697" Type="http://schemas.openxmlformats.org/officeDocument/2006/relationships/hyperlink" Target="https://bellingcat-archive.nyc3.cdn.digitaloceanspaces.com/Ukraine_Witness_Datasheet/Worksheet/youtube_dl_287010830206212.mkv" TargetMode="External"/><Relationship Id="rId3037" Type="http://schemas.openxmlformats.org/officeDocument/2006/relationships/hyperlink" Target="https://bellingcat-archive.nyc3.cdn.digitaloceanspaces.com/Ukraine_Witness_Datasheet/Worksheet/telegram__nexta_live_172392022-02-25T17:47:02.536018.png" TargetMode="External"/><Relationship Id="rId4368" Type="http://schemas.openxmlformats.org/officeDocument/2006/relationships/hyperlink" Target="https://t.me/insiderUKR/22849" TargetMode="External"/><Relationship Id="rId5698" Type="http://schemas.openxmlformats.org/officeDocument/2006/relationships/hyperlink" Target="https://bellingcat-archive.nyc3.cdn.digitaloceanspaces.com/Ukraine_Witness_Datasheet/Worksheet/youtube_dl__DSNSODE_videos_2870108302062122022-03-05T08:37:34.800896.png" TargetMode="External"/><Relationship Id="rId3029" Type="http://schemas.openxmlformats.org/officeDocument/2006/relationships/hyperlink" Target="https://bellingcat-archive.nyc3.cdn.digitaloceanspaces.com/Ukraine_Witness_Datasheet/Worksheet/twitter__no_itsmyturn_status_1497184730395074562.html" TargetMode="External"/><Relationship Id="rId3028" Type="http://schemas.openxmlformats.org/officeDocument/2006/relationships/hyperlink" Target="https://twitter.com/no_itsmyturn/status/1497184730395074562" TargetMode="External"/><Relationship Id="rId4359" Type="http://schemas.openxmlformats.org/officeDocument/2006/relationships/hyperlink" Target="https://bellingcat-archive.nyc3.cdn.digitaloceanspaces.com/Ukraine_Witness_Datasheet/Worksheet/youtube_dl__christogrozev_status_14985641692342681662022-03-01T15:15:53.125514.png" TargetMode="External"/><Relationship Id="rId5680" Type="http://schemas.openxmlformats.org/officeDocument/2006/relationships/hyperlink" Target="https://twitter.com/i_army_org/status/1499343075377926144?s=20&amp;t=c6PFJKWMwoMMFaz5pkqgDg" TargetMode="External"/><Relationship Id="rId5681" Type="http://schemas.openxmlformats.org/officeDocument/2006/relationships/hyperlink" Target="https://bellingcat-archive.nyc3.cdn.digitaloceanspaces.com/Ukraine_Witness_Datasheet/Worksheet/twitter__i_army_org_status_1499343075377926144.html" TargetMode="External"/><Relationship Id="rId4350" Type="http://schemas.openxmlformats.org/officeDocument/2006/relationships/hyperlink" Target="https://bellingcat-archive.nyc3.cdn.digitaloceanspaces.com/Ukraine_Witness_Datasheet/Worksheet/youtube_dl_1498559231141765120.mp4" TargetMode="External"/><Relationship Id="rId3021" Type="http://schemas.openxmlformats.org/officeDocument/2006/relationships/hyperlink" Target="https://bellingcat-archive.nyc3.cdn.digitaloceanspaces.com/Ukraine_Witness_Datasheet/Worksheet/twitter__MitchvdKlundert_status_14972015125478604832022-02-25T17:39:53.629991.png" TargetMode="External"/><Relationship Id="rId4352" Type="http://schemas.openxmlformats.org/officeDocument/2006/relationships/hyperlink" Target="https://bellingcat-archive.nyc3.cdn.digitaloceanspaces.com/Ukraine_Witness_Datasheet/Worksheet/youtube_dl_1498559231141765120/index.html" TargetMode="External"/><Relationship Id="rId5684" Type="http://schemas.openxmlformats.org/officeDocument/2006/relationships/hyperlink" Target="https://bellingcat-archive.nyc3.cdn.digitaloceanspaces.com/Ukraine_Witness_Datasheet/Worksheet/youtube_dl_1499349949158416384.mp4" TargetMode="External"/><Relationship Id="rId3020" Type="http://schemas.openxmlformats.org/officeDocument/2006/relationships/hyperlink" Target="https://bellingcat-archive.nyc3.cdn.digitaloceanspaces.com/Ukraine_Witness_Datasheet/Worksheet/twitter__MitchvdKlundert_status_1497201512547860483.html" TargetMode="External"/><Relationship Id="rId4351" Type="http://schemas.openxmlformats.org/officeDocument/2006/relationships/hyperlink" Target="https://bellingcat-archive.nyc3.cdn.digitaloceanspaces.com/Ukraine_Witness_Datasheet/Worksheet/youtube_dl__christogrozev_status_14985592311417651202022-03-01T15:14:45.612875.png" TargetMode="External"/><Relationship Id="rId5685" Type="http://schemas.openxmlformats.org/officeDocument/2006/relationships/hyperlink" Target="https://bellingcat-archive.nyc3.cdn.digitaloceanspaces.com/Ukraine_Witness_Datasheet/Worksheet/youtube_dl__TWMCLtd_status_14993499491584163842022-03-05T08:35:50.852844.png" TargetMode="External"/><Relationship Id="rId3023" Type="http://schemas.openxmlformats.org/officeDocument/2006/relationships/hyperlink" Target="https://web.archive.org/web/20220225174056/https://twitter.com/KyivIndependent/status/1497184726595125250" TargetMode="External"/><Relationship Id="rId4354" Type="http://schemas.openxmlformats.org/officeDocument/2006/relationships/hyperlink" Target="https://bellingcat-archive.nyc3.cdn.digitaloceanspaces.com/Ukraine_Witness_Datasheet/Worksheet/youtube_dl_1498555475025137667.mp4" TargetMode="External"/><Relationship Id="rId5682" Type="http://schemas.openxmlformats.org/officeDocument/2006/relationships/hyperlink" Target="https://bellingcat-archive.nyc3.cdn.digitaloceanspaces.com/Ukraine_Witness_Datasheet/Worksheet/twitter__i_army_org_status_14993430753779261442022-03-05T08:35:39.636870.png" TargetMode="External"/><Relationship Id="rId3022" Type="http://schemas.openxmlformats.org/officeDocument/2006/relationships/hyperlink" Target="https://twitter.com/KyivIndependent/status/1497184726595125250" TargetMode="External"/><Relationship Id="rId4353" Type="http://schemas.openxmlformats.org/officeDocument/2006/relationships/hyperlink" Target="https://twitter.com/Brijeshbsingh/status/1498555475025137667" TargetMode="External"/><Relationship Id="rId5683" Type="http://schemas.openxmlformats.org/officeDocument/2006/relationships/hyperlink" Target="https://twitter.com/TWMCLtd/status/1499349949158416384" TargetMode="External"/><Relationship Id="rId3025" Type="http://schemas.openxmlformats.org/officeDocument/2006/relationships/hyperlink" Target="https://drive.google.com/file/d/15BxYoZN0vMZbnGJA4WipINhXZBC_UOLz/view?usp=sharing" TargetMode="External"/><Relationship Id="rId4356" Type="http://schemas.openxmlformats.org/officeDocument/2006/relationships/hyperlink" Target="https://bellingcat-archive.nyc3.cdn.digitaloceanspaces.com/Ukraine_Witness_Datasheet/Worksheet/youtube_dl_1498555475025137667/index.html" TargetMode="External"/><Relationship Id="rId5688" Type="http://schemas.openxmlformats.org/officeDocument/2006/relationships/hyperlink" Target="https://bellingcat-archive.nyc3.cdn.digitaloceanspaces.com/Ukraine_Witness_Datasheet/Worksheet/twitter__ArmedForcesUkr_status_1499728883180093441.html" TargetMode="External"/><Relationship Id="rId3024" Type="http://schemas.openxmlformats.org/officeDocument/2006/relationships/hyperlink" Target="https://bellingcat-archive.nyc3.cdn.digitaloceanspaces.com/Ukraine_Witness_Datasheet/Worksheet/wayback__KyivIndependent_status_14971847265951252502022-02-25T17:41:11.535544.png" TargetMode="External"/><Relationship Id="rId4355" Type="http://schemas.openxmlformats.org/officeDocument/2006/relationships/hyperlink" Target="https://bellingcat-archive.nyc3.cdn.digitaloceanspaces.com/Ukraine_Witness_Datasheet/Worksheet/youtube_dl__Brijeshbsingh_status_14985554750251376672022-03-01T15:15:16.190371.png" TargetMode="External"/><Relationship Id="rId5689" Type="http://schemas.openxmlformats.org/officeDocument/2006/relationships/hyperlink" Target="https://bellingcat-archive.nyc3.cdn.digitaloceanspaces.com/Ukraine_Witness_Datasheet/Worksheet/twitter__ArmedForcesUkr_status_14997288831800934412022-03-05T08:36:07.224446.png" TargetMode="External"/><Relationship Id="rId3027" Type="http://schemas.openxmlformats.org/officeDocument/2006/relationships/hyperlink" Target="https://bellingcat-archive.nyc3.cdn.digitaloceanspaces.com/Ukraine_Witness_Datasheet/Worksheet/wayback__file_d_15BxYoZN0vMZbnGJA4WipINhXZBC_UOLz_view2022-02-25T17:42:17.276926.png" TargetMode="External"/><Relationship Id="rId4358" Type="http://schemas.openxmlformats.org/officeDocument/2006/relationships/hyperlink" Target="https://bellingcat-archive.nyc3.cdn.digitaloceanspaces.com/Ukraine_Witness_Datasheet/Worksheet/youtube_dl_1498564169234268166.mp4" TargetMode="External"/><Relationship Id="rId5686" Type="http://schemas.openxmlformats.org/officeDocument/2006/relationships/hyperlink" Target="https://bellingcat-archive.nyc3.cdn.digitaloceanspaces.com/Ukraine_Witness_Datasheet/Worksheet/youtube_dl_1499349949158416384/index.html" TargetMode="External"/><Relationship Id="rId3026" Type="http://schemas.openxmlformats.org/officeDocument/2006/relationships/hyperlink" Target="https://web.archive.org/web/20220225174204/https://drive.google.com/file/d/15BxYoZN0vMZbnGJA4WipINhXZBC_UOLz/view?usp=sharing" TargetMode="External"/><Relationship Id="rId4357" Type="http://schemas.openxmlformats.org/officeDocument/2006/relationships/hyperlink" Target="https://twitter.com/christogrozev/status/1498564169234268166" TargetMode="External"/><Relationship Id="rId5687" Type="http://schemas.openxmlformats.org/officeDocument/2006/relationships/hyperlink" Target="https://twitter.com/ArmedForcesUkr/status/1499728883180093441?s=20&amp;t=sOdD2Q-L9YGH1GRnp-msyw" TargetMode="External"/><Relationship Id="rId3050" Type="http://schemas.openxmlformats.org/officeDocument/2006/relationships/hyperlink" Target="https://twitter.com/novostidnua/status/1497251987796242433" TargetMode="External"/><Relationship Id="rId4381" Type="http://schemas.openxmlformats.org/officeDocument/2006/relationships/hyperlink" Target="https://bellingcat-archive.nyc3.cdn.digitaloceanspaces.com/Ukraine_Witness_Datasheet/Worksheet/youtube_dl__shcherbininainn_status_14984047759390023802022-03-01T15:17:10.669700.png" TargetMode="External"/><Relationship Id="rId4380" Type="http://schemas.openxmlformats.org/officeDocument/2006/relationships/hyperlink" Target="https://bellingcat-archive.nyc3.cdn.digitaloceanspaces.com/Ukraine_Witness_Datasheet/Worksheet/youtube_dl_1498404775939002380.mp4" TargetMode="External"/><Relationship Id="rId3052" Type="http://schemas.openxmlformats.org/officeDocument/2006/relationships/hyperlink" Target="https://bellingcat-archive.nyc3.cdn.digitaloceanspaces.com/Ukraine_Witness_Datasheet/Worksheet/twitter__novostidnua_status_14972519877962424332022-02-25T17:48:07.783717.png" TargetMode="External"/><Relationship Id="rId4383" Type="http://schemas.openxmlformats.org/officeDocument/2006/relationships/hyperlink" Target="https://t.me/KharkivTODAY1/3164" TargetMode="External"/><Relationship Id="rId3051" Type="http://schemas.openxmlformats.org/officeDocument/2006/relationships/hyperlink" Target="https://bellingcat-archive.nyc3.cdn.digitaloceanspaces.com/Ukraine_Witness_Datasheet/Worksheet/twitter__novostidnua_status_1497251987796242433.html" TargetMode="External"/><Relationship Id="rId4382" Type="http://schemas.openxmlformats.org/officeDocument/2006/relationships/hyperlink" Target="https://bellingcat-archive.nyc3.cdn.digitaloceanspaces.com/Ukraine_Witness_Datasheet/Worksheet/youtube_dl_1498404775939002380/index.html" TargetMode="External"/><Relationship Id="rId3054" Type="http://schemas.openxmlformats.org/officeDocument/2006/relationships/hyperlink" Target="https://bellingcat-archive.nyc3.cdn.digitaloceanspaces.com/Ukraine_Witness_Datasheet/Worksheet/youtube_dl_1497205249362247694.mp4" TargetMode="External"/><Relationship Id="rId4385" Type="http://schemas.openxmlformats.org/officeDocument/2006/relationships/hyperlink" Target="https://bellingcat-archive.nyc3.cdn.digitaloceanspaces.com/Ukraine_Witness_Datasheet/Worksheet/telegram__KharkivTODAY1_31642022-03-01T15:17:35.614408.png" TargetMode="External"/><Relationship Id="rId3053" Type="http://schemas.openxmlformats.org/officeDocument/2006/relationships/hyperlink" Target="https://twitter.com/poppoppopkt/status/1497205249362247694" TargetMode="External"/><Relationship Id="rId4384" Type="http://schemas.openxmlformats.org/officeDocument/2006/relationships/hyperlink" Target="https://bellingcat-archive.nyc3.cdn.digitaloceanspaces.com/Ukraine_Witness_Datasheet/Worksheet/telegram_61038725a6.mp4" TargetMode="External"/><Relationship Id="rId3056" Type="http://schemas.openxmlformats.org/officeDocument/2006/relationships/hyperlink" Target="https://bellingcat-archive.nyc3.cdn.digitaloceanspaces.com/Ukraine_Witness_Datasheet/Worksheet/youtube_dl_1497205249362247694/index.html" TargetMode="External"/><Relationship Id="rId4387" Type="http://schemas.openxmlformats.org/officeDocument/2006/relationships/hyperlink" Target="https://t.me/KharkivTODAY1/3164" TargetMode="External"/><Relationship Id="rId3055" Type="http://schemas.openxmlformats.org/officeDocument/2006/relationships/hyperlink" Target="https://bellingcat-archive.nyc3.cdn.digitaloceanspaces.com/Ukraine_Witness_Datasheet/Worksheet/youtube_dl__poppoppopkt_status_14972052493622476942022-02-25T17:48:21.285539.png" TargetMode="External"/><Relationship Id="rId4386" Type="http://schemas.openxmlformats.org/officeDocument/2006/relationships/hyperlink" Target="https://bellingcat-archive.nyc3.cdn.digitaloceanspaces.com/Ukraine_Witness_Datasheet/Worksheet/telegram_61038725a6/index.html" TargetMode="External"/><Relationship Id="rId3058" Type="http://schemas.openxmlformats.org/officeDocument/2006/relationships/hyperlink" Target="https://bellingcat-archive.nyc3.cdn.digitaloceanspaces.com/Ukraine_Witness_Datasheet/Worksheet/youtube_dl_1497253753476599814.mp4" TargetMode="External"/><Relationship Id="rId4389" Type="http://schemas.openxmlformats.org/officeDocument/2006/relationships/hyperlink" Target="https://web.archive.org/web/20220302135142/https://2day.kh.ua/kharkow/obstrel-saltovki-pogibli-lyudi" TargetMode="External"/><Relationship Id="rId3057" Type="http://schemas.openxmlformats.org/officeDocument/2006/relationships/hyperlink" Target="https://twitter.com/Shrik_E/status/1497253753476599814" TargetMode="External"/><Relationship Id="rId4388" Type="http://schemas.openxmlformats.org/officeDocument/2006/relationships/hyperlink" Target="https://2day.kh.ua/kharkow/obstrel-saltovki-pogib-chelovek" TargetMode="External"/><Relationship Id="rId3059" Type="http://schemas.openxmlformats.org/officeDocument/2006/relationships/hyperlink" Target="https://bellingcat-archive.nyc3.cdn.digitaloceanspaces.com/Ukraine_Witness_Datasheet/Worksheet/youtube_dl__Shrik_E_status_14972537534765998142022-02-25T17:48:37.687297.png" TargetMode="External"/><Relationship Id="rId4370" Type="http://schemas.openxmlformats.org/officeDocument/2006/relationships/hyperlink" Target="https://bellingcat-archive.nyc3.cdn.digitaloceanspaces.com/Ukraine_Witness_Datasheet/Worksheet/telegram__insiderUKR_228492022-03-02T13:50:07.851744.png" TargetMode="External"/><Relationship Id="rId3041" Type="http://schemas.openxmlformats.org/officeDocument/2006/relationships/hyperlink" Target="https://bellingcat-archive.nyc3.cdn.digitaloceanspaces.com/Ukraine_Witness_Datasheet/Worksheet/twitter__Vasilij88559984_status_1497262949190221837.html" TargetMode="External"/><Relationship Id="rId4372" Type="http://schemas.openxmlformats.org/officeDocument/2006/relationships/hyperlink" Target="https://t.me/insiderUKR/22849" TargetMode="External"/><Relationship Id="rId3040" Type="http://schemas.openxmlformats.org/officeDocument/2006/relationships/hyperlink" Target="https://twitter.com/Vasilij88559984/status/1497262949190221837" TargetMode="External"/><Relationship Id="rId4371" Type="http://schemas.openxmlformats.org/officeDocument/2006/relationships/hyperlink" Target="https://bellingcat-archive.nyc3.cdn.digitaloceanspaces.com/Ukraine_Witness_Datasheet/Worksheet/telegram_e16209d3fd/index.html" TargetMode="External"/><Relationship Id="rId3043" Type="http://schemas.openxmlformats.org/officeDocument/2006/relationships/hyperlink" Target="https://twitter.com/Arslon_Xudosi/status/1497258865469100035" TargetMode="External"/><Relationship Id="rId4374" Type="http://schemas.openxmlformats.org/officeDocument/2006/relationships/hyperlink" Target="https://bellingcat-archive.nyc3.cdn.digitaloceanspaces.com/Ukraine_Witness_Datasheet/Worksheet/twitter__khersonci_status_1498596668987555841.html" TargetMode="External"/><Relationship Id="rId3042" Type="http://schemas.openxmlformats.org/officeDocument/2006/relationships/hyperlink" Target="https://bellingcat-archive.nyc3.cdn.digitaloceanspaces.com/Ukraine_Witness_Datasheet/Worksheet/twitter__Vasilij88559984_status_14972629491902218372022-02-25T17:47:23.099934.png" TargetMode="External"/><Relationship Id="rId4373" Type="http://schemas.openxmlformats.org/officeDocument/2006/relationships/hyperlink" Target="https://twitter.com/khersonci/status/1498596668987555841?s=20&amp;t=l4pmXCdLhimD0FXCeAqsDA" TargetMode="External"/><Relationship Id="rId3045" Type="http://schemas.openxmlformats.org/officeDocument/2006/relationships/hyperlink" Target="https://bellingcat-archive.nyc3.cdn.digitaloceanspaces.com/Ukraine_Witness_Datasheet/Worksheet/twitter__Arslon_Xudosi_status_14972588654691000352022-02-25T17:47:36.146517.png" TargetMode="External"/><Relationship Id="rId4376" Type="http://schemas.openxmlformats.org/officeDocument/2006/relationships/hyperlink" Target="https://twitter.com/Hromadske/status/1498622103020580864?s=20&amp;t=l4pmXCdLhimD0FXCeAqsDA" TargetMode="External"/><Relationship Id="rId3044" Type="http://schemas.openxmlformats.org/officeDocument/2006/relationships/hyperlink" Target="https://bellingcat-archive.nyc3.cdn.digitaloceanspaces.com/Ukraine_Witness_Datasheet/Worksheet/twitter__Arslon_Xudosi_status_1497258865469100035.html" TargetMode="External"/><Relationship Id="rId4375" Type="http://schemas.openxmlformats.org/officeDocument/2006/relationships/hyperlink" Target="https://bellingcat-archive.nyc3.cdn.digitaloceanspaces.com/Ukraine_Witness_Datasheet/Worksheet/twitter__khersonci_status_14985966689875558412022-03-02T13:50:54.380868.png" TargetMode="External"/><Relationship Id="rId3047" Type="http://schemas.openxmlformats.org/officeDocument/2006/relationships/hyperlink" Target="https://bellingcat-archive.nyc3.cdn.digitaloceanspaces.com/Ukraine_Witness_Datasheet/Worksheet/youtube_dl_1497264226863357960.mp4" TargetMode="External"/><Relationship Id="rId4378" Type="http://schemas.openxmlformats.org/officeDocument/2006/relationships/hyperlink" Target="https://bellingcat-archive.nyc3.cdn.digitaloceanspaces.com/Ukraine_Witness_Datasheet/Worksheet/wayback__Hromadske_status_14986221030205808642022-03-02T13:51:22.129993.png" TargetMode="External"/><Relationship Id="rId3046" Type="http://schemas.openxmlformats.org/officeDocument/2006/relationships/hyperlink" Target="https://twitter.com/zcjbrooker/status/1497264226863357960" TargetMode="External"/><Relationship Id="rId4377" Type="http://schemas.openxmlformats.org/officeDocument/2006/relationships/hyperlink" Target="https://web.archive.org/web/20220302135115/https://twitter.com/Hromadske/status/1498622103020580864?s=20&amp;t=l4pmXCdLhimD0FXCeAqsDA" TargetMode="External"/><Relationship Id="rId3049" Type="http://schemas.openxmlformats.org/officeDocument/2006/relationships/hyperlink" Target="https://bellingcat-archive.nyc3.cdn.digitaloceanspaces.com/Ukraine_Witness_Datasheet/Worksheet/youtube_dl_1497264226863357960/index.html" TargetMode="External"/><Relationship Id="rId3048" Type="http://schemas.openxmlformats.org/officeDocument/2006/relationships/hyperlink" Target="https://bellingcat-archive.nyc3.cdn.digitaloceanspaces.com/Ukraine_Witness_Datasheet/Worksheet/youtube_dl__zcjbrooker_status_14972642268633579602022-02-25T17:47:50.681871.png" TargetMode="External"/><Relationship Id="rId4379" Type="http://schemas.openxmlformats.org/officeDocument/2006/relationships/hyperlink" Target="https://twitter.com/shcherbininainn/status/1498404775939002380?s=20&amp;t=72-YqqvMgeW2MuyxCEe1yA" TargetMode="External"/><Relationship Id="rId5714" Type="http://schemas.openxmlformats.org/officeDocument/2006/relationships/hyperlink" Target="https://t.me/vorposte/14610" TargetMode="External"/><Relationship Id="rId5715" Type="http://schemas.openxmlformats.org/officeDocument/2006/relationships/hyperlink" Target="https://bellingcat-archive.nyc3.cdn.digitaloceanspaces.com/Ukraine_Witness_Datasheet/Worksheet/telegram__vorposte_14610.html" TargetMode="External"/><Relationship Id="rId5712" Type="http://schemas.openxmlformats.org/officeDocument/2006/relationships/hyperlink" Target="https://bellingcat-archive.nyc3.cdn.digitaloceanspaces.com/Ukraine_Witness_Datasheet/Worksheet/telegram__mariupol_3581.html" TargetMode="External"/><Relationship Id="rId5713" Type="http://schemas.openxmlformats.org/officeDocument/2006/relationships/hyperlink" Target="https://bellingcat-archive.nyc3.cdn.digitaloceanspaces.com/Ukraine_Witness_Datasheet/Worksheet/telegram__mariupol_35812022-03-05T08:42:26.712681.png" TargetMode="External"/><Relationship Id="rId5718" Type="http://schemas.openxmlformats.org/officeDocument/2006/relationships/hyperlink" Target="https://web.archive.org/web/20220305084300/https://www.facebook.com/login/?next=https%3A%2F%2Fwww.facebook.com%2Fmariupolrada.gov.ua%2Fposts%2F3178160222510098%3F__cft__%255B0%255D%3DAZX34Suv1_eEJhZ5zBCzCLbwSfj1EKFB3UYysiUe2LQvzrVgzh-9lRiJzeg4TuYnrseq6l2AXbaI49_2Vb1HrScyPoeorvoFEMteh3ZQ8yFfBBAfB2E4asnmydzFqZvCuJ4bOORVbdF4SpUYtdQ6m5pq%26__tn__%3D%252CO%252CP-R" TargetMode="External"/><Relationship Id="rId5719" Type="http://schemas.openxmlformats.org/officeDocument/2006/relationships/hyperlink" Target="https://bellingcat-archive.nyc3.cdn.digitaloceanspaces.com/Ukraine_Witness_Datasheet/Worksheet/wayback__mariupolrada.gov.ua_posts_31781602225100982022-03-05T08:43:06.027711.png" TargetMode="External"/><Relationship Id="rId5716" Type="http://schemas.openxmlformats.org/officeDocument/2006/relationships/hyperlink" Target="https://bellingcat-archive.nyc3.cdn.digitaloceanspaces.com/Ukraine_Witness_Datasheet/Worksheet/telegram__vorposte_146102022-03-05T08:42:41.654863.png" TargetMode="External"/><Relationship Id="rId5717" Type="http://schemas.openxmlformats.org/officeDocument/2006/relationships/hyperlink" Target="https://www.facebook.com/mariupolrada.gov.ua/posts/3178160222510098?__cft__%5B0%5D=AZX34Suv1_eEJhZ5zBCzCLbwSfj1EKFB3UYysiUe2LQvzrVgzh-9lRiJzeg4TuYnrseq6l2AXbaI49_2Vb1HrScyPoeorvoFEMteh3ZQ8yFfBBAfB2E4asnmydzFqZvCuJ4bOORVbdF4SpUYtdQ6m5pq&amp;__tn__=%2CO%2CP-R" TargetMode="External"/><Relationship Id="rId5710" Type="http://schemas.openxmlformats.org/officeDocument/2006/relationships/hyperlink" Target="https://bellingcat-archive.nyc3.cdn.digitaloceanspaces.com/Ukraine_Witness_Datasheet/Worksheet/wayback__mariupolrada.gov.ua_posts_31774534325807772022-03-05T08:42:17.903502.png" TargetMode="External"/><Relationship Id="rId5711" Type="http://schemas.openxmlformats.org/officeDocument/2006/relationships/hyperlink" Target="https://t.me/mariupol/3581" TargetMode="External"/><Relationship Id="rId5703" Type="http://schemas.openxmlformats.org/officeDocument/2006/relationships/hyperlink" Target="https://www.facebook.com/DSNSODE/photos/7282992968410013" TargetMode="External"/><Relationship Id="rId5704" Type="http://schemas.openxmlformats.org/officeDocument/2006/relationships/hyperlink" Target="https://web.archive.org/web/20220305083815/https://www.facebook.com/DSNSODE/photos/7282992968410013" TargetMode="External"/><Relationship Id="rId5701" Type="http://schemas.openxmlformats.org/officeDocument/2006/relationships/hyperlink" Target="https://web.archive.org/web/20220305083755/https://www.facebook.com/DSNSODE/photos/7282992991743344" TargetMode="External"/><Relationship Id="rId5702" Type="http://schemas.openxmlformats.org/officeDocument/2006/relationships/hyperlink" Target="https://bellingcat-archive.nyc3.cdn.digitaloceanspaces.com/Ukraine_Witness_Datasheet/Worksheet/wayback__DSNSODE_photos_72829929917433442022-03-05T08:38:03.653896.png" TargetMode="External"/><Relationship Id="rId5707" Type="http://schemas.openxmlformats.org/officeDocument/2006/relationships/hyperlink" Target="http://t.me/milinfolive/77531" TargetMode="External"/><Relationship Id="rId5708" Type="http://schemas.openxmlformats.org/officeDocument/2006/relationships/hyperlink" Target="https://www.facebook.com/mariupolrada.gov.ua/posts/3177453432580777?__cft__%5B0%5D=AZV1dXzA949shp6ZXL3vKIzOeAL5a-CdSeJZzxNWQgEWAmCNHJGT1hONw1oxLR6z6cbbpxDnP7ZpZfG8w1gce_aco-03ng1eFRp_GIPesUXeTlqsugNcUSxKBN8cSdptQNklGTWDOJy2B46-HqfrtUjS&amp;__tn__=%2CO%2CP-R" TargetMode="External"/><Relationship Id="rId5705" Type="http://schemas.openxmlformats.org/officeDocument/2006/relationships/hyperlink" Target="https://bellingcat-archive.nyc3.cdn.digitaloceanspaces.com/Ukraine_Witness_Datasheet/Worksheet/wayback__DSNSODE_photos_72829929684100132022-03-05T08:38:23.553231.png" TargetMode="External"/><Relationship Id="rId5706" Type="http://schemas.openxmlformats.org/officeDocument/2006/relationships/hyperlink" Target="http://t.me/mariupol/3562" TargetMode="External"/><Relationship Id="rId5709" Type="http://schemas.openxmlformats.org/officeDocument/2006/relationships/hyperlink" Target="https://web.archive.org/web/20220305084206/https://www.facebook.com/login/?next=https%3A%2F%2Fwww.facebook.com%2Fmariupolrada.gov.ua%2Fposts%2F3177453432580777%3F__cft__%255B0%255D%3DAZV1dXzA949shp6ZXL3vKIzOeAL5a-CdSeJZzxNWQgEWAmCNHJGT1hONw1oxLR6z6cbbpxDnP7ZpZfG8w1gce_aco-03ng1eFRp_GIPesUXeTlqsugNcUSxKBN8cSdptQNklGTWDOJy2B46-HqfrtUjS%26__tn__%3D%252CO%252CP-R" TargetMode="External"/><Relationship Id="rId5700" Type="http://schemas.openxmlformats.org/officeDocument/2006/relationships/hyperlink" Target="https://www.facebook.com/DSNSODE/photos/7282992991743344" TargetMode="External"/><Relationship Id="rId3117" Type="http://schemas.openxmlformats.org/officeDocument/2006/relationships/hyperlink" Target="https://bellingcat-archive.nyc3.cdn.digitaloceanspaces.com/Ukraine_Witness_Datasheet/Worksheet/telegram_f639bcb149/index.html" TargetMode="External"/><Relationship Id="rId4448" Type="http://schemas.openxmlformats.org/officeDocument/2006/relationships/hyperlink" Target="https://bellingcat-archive.nyc3.cdn.digitaloceanspaces.com/Ukraine_Witness_Datasheet/Worksheet/telegram_74ea211ec4/index.html" TargetMode="External"/><Relationship Id="rId3116" Type="http://schemas.openxmlformats.org/officeDocument/2006/relationships/hyperlink" Target="https://bellingcat-archive.nyc3.cdn.digitaloceanspaces.com/Ukraine_Witness_Datasheet/Worksheet/telegram__LastBP_44992022-02-25T19:07:03.237201.png" TargetMode="External"/><Relationship Id="rId4447" Type="http://schemas.openxmlformats.org/officeDocument/2006/relationships/hyperlink" Target="https://bellingcat-archive.nyc3.cdn.digitaloceanspaces.com/Ukraine_Witness_Datasheet/Worksheet/telegram__ukraina_novosti_173652022-03-01T15:27:54.491988.png" TargetMode="External"/><Relationship Id="rId3119" Type="http://schemas.openxmlformats.org/officeDocument/2006/relationships/hyperlink" Target="https://t.me/nexta_live/17107" TargetMode="External"/><Relationship Id="rId5778" Type="http://schemas.openxmlformats.org/officeDocument/2006/relationships/hyperlink" Target="https://bellingcat-archive.nyc3.cdn.digitaloceanspaces.com/Ukraine_Witness_Datasheet/Worksheet/youtube_dl_1498544825062375434.mp4" TargetMode="External"/><Relationship Id="rId3118" Type="http://schemas.openxmlformats.org/officeDocument/2006/relationships/hyperlink" Target="https://t.me/LastBP/4499" TargetMode="External"/><Relationship Id="rId4449" Type="http://schemas.openxmlformats.org/officeDocument/2006/relationships/hyperlink" Target="https://t.me/ukraina_novosti/17365" TargetMode="External"/><Relationship Id="rId5779" Type="http://schemas.openxmlformats.org/officeDocument/2006/relationships/hyperlink" Target="https://bellingcat-archive.nyc3.cdn.digitaloceanspaces.com/Ukraine_Witness_Datasheet/Worksheet/youtube_dl__maria_avdv_status_14985448250623754342022-03-05T08:55:18.952526.png" TargetMode="External"/><Relationship Id="rId4440" Type="http://schemas.openxmlformats.org/officeDocument/2006/relationships/hyperlink" Target="https://bellingcat-archive.nyc3.cdn.digitaloceanspaces.com/Ukraine_Witness_Datasheet/Worksheet/telegram_7d40c74f5d/index.html" TargetMode="External"/><Relationship Id="rId5772" Type="http://schemas.openxmlformats.org/officeDocument/2006/relationships/hyperlink" Target="https://bellingcat-archive.nyc3.cdn.digitaloceanspaces.com/Ukraine_Witness_Datasheet/Worksheet/wayback__photo2022-03-05T08:54:53.723542.png" TargetMode="External"/><Relationship Id="rId5773" Type="http://schemas.openxmlformats.org/officeDocument/2006/relationships/hyperlink" Target="https://twitter.com/grimcultzero/status/1498549712869371906" TargetMode="External"/><Relationship Id="rId3111" Type="http://schemas.openxmlformats.org/officeDocument/2006/relationships/hyperlink" Target="https://bellingcat-archive.nyc3.cdn.digitaloceanspaces.com/Ukraine_Witness_Datasheet/Worksheet/youtube_dl_1497182733071753230.mp4" TargetMode="External"/><Relationship Id="rId4442" Type="http://schemas.openxmlformats.org/officeDocument/2006/relationships/hyperlink" Target="https://drive.google.com/file/d/1wWqQZlI5PrlzwgDJTgGhXoIr5lgno8qO/view?usp=sharing" TargetMode="External"/><Relationship Id="rId5770" Type="http://schemas.openxmlformats.org/officeDocument/2006/relationships/hyperlink" Target="https://www.facebook.com/photo?fbid=323871983114031&amp;set=pcb.323872166447346" TargetMode="External"/><Relationship Id="rId3110" Type="http://schemas.openxmlformats.org/officeDocument/2006/relationships/hyperlink" Target="https://twitter.com/ItsBorys/status/1497182733071753230" TargetMode="External"/><Relationship Id="rId4441" Type="http://schemas.openxmlformats.org/officeDocument/2006/relationships/hyperlink" Target="https://t.me/truexanewsua/26021" TargetMode="External"/><Relationship Id="rId5771" Type="http://schemas.openxmlformats.org/officeDocument/2006/relationships/hyperlink" Target="https://web.archive.org/web/20220305085446/https://www.facebook.com/photo?fbid=323871983114031&amp;set=pcb.323872166447346" TargetMode="External"/><Relationship Id="rId3113" Type="http://schemas.openxmlformats.org/officeDocument/2006/relationships/hyperlink" Target="https://bellingcat-archive.nyc3.cdn.digitaloceanspaces.com/Ukraine_Witness_Datasheet/Worksheet/youtube_dl_1497182733071753230/index.html" TargetMode="External"/><Relationship Id="rId4444" Type="http://schemas.openxmlformats.org/officeDocument/2006/relationships/hyperlink" Target="https://bellingcat-archive.nyc3.cdn.digitaloceanspaces.com/Ukraine_Witness_Datasheet/Worksheet/wayback__file_d_1wWqQZlI5PrlzwgDJTgGhXoIr5lgno8qO_view2022-03-02T14:02:55.489766.png" TargetMode="External"/><Relationship Id="rId5776" Type="http://schemas.openxmlformats.org/officeDocument/2006/relationships/hyperlink" Target="https://bellingcat-archive.nyc3.cdn.digitaloceanspaces.com/Ukraine_Witness_Datasheet/Worksheet/youtube_dl_1498549712869371906/index.html" TargetMode="External"/><Relationship Id="rId3112" Type="http://schemas.openxmlformats.org/officeDocument/2006/relationships/hyperlink" Target="https://bellingcat-archive.nyc3.cdn.digitaloceanspaces.com/Ukraine_Witness_Datasheet/Worksheet/youtube_dl__ItsBorys_status_14971827330717532302022-02-25T19:06:46.238169.png" TargetMode="External"/><Relationship Id="rId4443" Type="http://schemas.openxmlformats.org/officeDocument/2006/relationships/hyperlink" Target="https://web.archive.org/web/20220302140247/https://drive.google.com/file/d/1wWqQZlI5PrlzwgDJTgGhXoIr5lgno8qO/view?usp=sharing" TargetMode="External"/><Relationship Id="rId5777" Type="http://schemas.openxmlformats.org/officeDocument/2006/relationships/hyperlink" Target="https://twitter.com/maria_avdv/status/1498544825062375434" TargetMode="External"/><Relationship Id="rId3115" Type="http://schemas.openxmlformats.org/officeDocument/2006/relationships/hyperlink" Target="https://bellingcat-archive.nyc3.cdn.digitaloceanspaces.com/Ukraine_Witness_Datasheet/Worksheet/telegram_f639bcb149.mp4" TargetMode="External"/><Relationship Id="rId4446" Type="http://schemas.openxmlformats.org/officeDocument/2006/relationships/hyperlink" Target="https://bellingcat-archive.nyc3.cdn.digitaloceanspaces.com/Ukraine_Witness_Datasheet/Worksheet/telegram_74ea211ec4.mp4" TargetMode="External"/><Relationship Id="rId5774" Type="http://schemas.openxmlformats.org/officeDocument/2006/relationships/hyperlink" Target="https://bellingcat-archive.nyc3.cdn.digitaloceanspaces.com/Ukraine_Witness_Datasheet/Worksheet/youtube_dl_1498549712869371906.mp4" TargetMode="External"/><Relationship Id="rId3114" Type="http://schemas.openxmlformats.org/officeDocument/2006/relationships/hyperlink" Target="https://t.me/LastBP/4499" TargetMode="External"/><Relationship Id="rId4445" Type="http://schemas.openxmlformats.org/officeDocument/2006/relationships/hyperlink" Target="https://t.me/ukraina_novosti/17365" TargetMode="External"/><Relationship Id="rId5775" Type="http://schemas.openxmlformats.org/officeDocument/2006/relationships/hyperlink" Target="https://bellingcat-archive.nyc3.cdn.digitaloceanspaces.com/Ukraine_Witness_Datasheet/Worksheet/youtube_dl__grimcultzero_status_14985497128693719062022-03-05T08:55:04.089295.png" TargetMode="External"/><Relationship Id="rId3106" Type="http://schemas.openxmlformats.org/officeDocument/2006/relationships/hyperlink" Target="https://twitter.com/jimmysecuk/status/1497130333556334595?s=21" TargetMode="External"/><Relationship Id="rId4437" Type="http://schemas.openxmlformats.org/officeDocument/2006/relationships/hyperlink" Target="https://t.me/truexanewsua/26021" TargetMode="External"/><Relationship Id="rId5769" Type="http://schemas.openxmlformats.org/officeDocument/2006/relationships/hyperlink" Target="https://bellingcat-archive.nyc3.cdn.digitaloceanspaces.com/Ukraine_Witness_Datasheet/Worksheet/wayback__photo2022-03-05T08:54:27.448035.png" TargetMode="External"/><Relationship Id="rId3105" Type="http://schemas.openxmlformats.org/officeDocument/2006/relationships/hyperlink" Target="https://bellingcat-archive.nyc3.cdn.digitaloceanspaces.com/Ukraine_Witness_Datasheet/Worksheet/youtube_dl_1497134872992833551/index.html" TargetMode="External"/><Relationship Id="rId4436" Type="http://schemas.openxmlformats.org/officeDocument/2006/relationships/hyperlink" Target="https://bellingcat-archive.nyc3.cdn.digitaloceanspaces.com/Ukraine_Witness_Datasheet/Worksheet/wayback__file_d_1N2mCelCBJ-nJIcbHvLRkY8JB5gsuCtJU_view2022-03-02T14:02:10.749731.png" TargetMode="External"/><Relationship Id="rId3108" Type="http://schemas.openxmlformats.org/officeDocument/2006/relationships/hyperlink" Target="https://bellingcat-archive.nyc3.cdn.digitaloceanspaces.com/Ukraine_Witness_Datasheet/Worksheet/youtube_dl__jimmysecuk_status_14971303335563345952022-02-25T19:06:26.903243.png" TargetMode="External"/><Relationship Id="rId4439" Type="http://schemas.openxmlformats.org/officeDocument/2006/relationships/hyperlink" Target="https://bellingcat-archive.nyc3.cdn.digitaloceanspaces.com/Ukraine_Witness_Datasheet/Worksheet/telegram__truexanewsua_260212022-03-01T15:25:52.931846.png" TargetMode="External"/><Relationship Id="rId5767" Type="http://schemas.openxmlformats.org/officeDocument/2006/relationships/hyperlink" Target="https://www.facebook.com/photo?fbid=323871956447367&amp;set=pcb.323872166447346" TargetMode="External"/><Relationship Id="rId3107" Type="http://schemas.openxmlformats.org/officeDocument/2006/relationships/hyperlink" Target="https://bellingcat-archive.nyc3.cdn.digitaloceanspaces.com/Ukraine_Witness_Datasheet/Worksheet/youtube_dl_1497130333556334595.mp4" TargetMode="External"/><Relationship Id="rId4438" Type="http://schemas.openxmlformats.org/officeDocument/2006/relationships/hyperlink" Target="https://bellingcat-archive.nyc3.cdn.digitaloceanspaces.com/Ukraine_Witness_Datasheet/Worksheet/telegram_7d40c74f5d.mp4" TargetMode="External"/><Relationship Id="rId5768" Type="http://schemas.openxmlformats.org/officeDocument/2006/relationships/hyperlink" Target="https://web.archive.org/web/20220305085419/https://www.facebook.com/photo?fbid=323871956447367&amp;set=pcb.323872166447346" TargetMode="External"/><Relationship Id="rId3109" Type="http://schemas.openxmlformats.org/officeDocument/2006/relationships/hyperlink" Target="https://bellingcat-archive.nyc3.cdn.digitaloceanspaces.com/Ukraine_Witness_Datasheet/Worksheet/youtube_dl_1497130333556334595/index.html" TargetMode="External"/><Relationship Id="rId5761" Type="http://schemas.openxmlformats.org/officeDocument/2006/relationships/hyperlink" Target="https://bellingcat-archive.nyc3.cdn.digitaloceanspaces.com/Ukraine_Witness_Datasheet/Worksheet/youtube_dl__100064736946785_videos_pcb.323872166447346_6940094150750552022-03-05T08:53:51.446516.png" TargetMode="External"/><Relationship Id="rId5762" Type="http://schemas.openxmlformats.org/officeDocument/2006/relationships/hyperlink" Target="https://bellingcat-archive.nyc3.cdn.digitaloceanspaces.com/Ukraine_Witness_Datasheet/Worksheet/youtube_dl_694009415075055/index.html" TargetMode="External"/><Relationship Id="rId3100" Type="http://schemas.openxmlformats.org/officeDocument/2006/relationships/hyperlink" Target="https://bellingcat-archive.nyc3.cdn.digitaloceanspaces.com/Ukraine_Witness_Datasheet/Worksheet/telegram__nexta_live_17090.html" TargetMode="External"/><Relationship Id="rId4431" Type="http://schemas.openxmlformats.org/officeDocument/2006/relationships/hyperlink" Target="https://bellingcat-archive.nyc3.cdn.digitaloceanspaces.com/Ukraine_Witness_Datasheet/Worksheet/telegram__Tsaplienko_13192022-03-01T15:25:17.163726.png" TargetMode="External"/><Relationship Id="rId4430" Type="http://schemas.openxmlformats.org/officeDocument/2006/relationships/hyperlink" Target="https://bellingcat-archive.nyc3.cdn.digitaloceanspaces.com/Ukraine_Witness_Datasheet/Worksheet/telegram_c1a36b9569.mp4" TargetMode="External"/><Relationship Id="rId5760" Type="http://schemas.openxmlformats.org/officeDocument/2006/relationships/hyperlink" Target="https://bellingcat-archive.nyc3.cdn.digitaloceanspaces.com/Ukraine_Witness_Datasheet/Worksheet/youtube_dl_694009415075055.mkv" TargetMode="External"/><Relationship Id="rId3102" Type="http://schemas.openxmlformats.org/officeDocument/2006/relationships/hyperlink" Target="https://twitter.com/terrelljstarr/status/1497134872992833551?s=21" TargetMode="External"/><Relationship Id="rId4433" Type="http://schemas.openxmlformats.org/officeDocument/2006/relationships/hyperlink" Target="https://t.me/Tsaplienko/1319" TargetMode="External"/><Relationship Id="rId5765" Type="http://schemas.openxmlformats.org/officeDocument/2006/relationships/hyperlink" Target="https://bellingcat-archive.nyc3.cdn.digitaloceanspaces.com/Ukraine_Witness_Datasheet/Worksheet/youtube_dl__100064736946785_videos_pcb.323872166447346_7207356693076002022-03-05T08:54:05.493960.png" TargetMode="External"/><Relationship Id="rId3101" Type="http://schemas.openxmlformats.org/officeDocument/2006/relationships/hyperlink" Target="https://bellingcat-archive.nyc3.cdn.digitaloceanspaces.com/Ukraine_Witness_Datasheet/Worksheet/telegram__nexta_live_170902022-02-25T20:13:49.319009.png" TargetMode="External"/><Relationship Id="rId4432" Type="http://schemas.openxmlformats.org/officeDocument/2006/relationships/hyperlink" Target="https://bellingcat-archive.nyc3.cdn.digitaloceanspaces.com/Ukraine_Witness_Datasheet/Worksheet/telegram_c1a36b9569/index.html" TargetMode="External"/><Relationship Id="rId5766" Type="http://schemas.openxmlformats.org/officeDocument/2006/relationships/hyperlink" Target="https://bellingcat-archive.nyc3.cdn.digitaloceanspaces.com/Ukraine_Witness_Datasheet/Worksheet/youtube_dl_720735669307600/index.html" TargetMode="External"/><Relationship Id="rId3104" Type="http://schemas.openxmlformats.org/officeDocument/2006/relationships/hyperlink" Target="https://bellingcat-archive.nyc3.cdn.digitaloceanspaces.com/Ukraine_Witness_Datasheet/Worksheet/youtube_dl__terrelljstarr_status_14971348729928335512022-02-25T19:05:54.599867.png" TargetMode="External"/><Relationship Id="rId4435" Type="http://schemas.openxmlformats.org/officeDocument/2006/relationships/hyperlink" Target="https://web.archive.org/web/20220302140202/https://drive.google.com/file/d/1N2mCelCBJ-nJIcbHvLRkY8JB5gsuCtJU/view?usp=sharing" TargetMode="External"/><Relationship Id="rId5763" Type="http://schemas.openxmlformats.org/officeDocument/2006/relationships/hyperlink" Target="https://www.facebook.com/100064736946785/videos/pcb.323872166447346/720735669307600" TargetMode="External"/><Relationship Id="rId3103" Type="http://schemas.openxmlformats.org/officeDocument/2006/relationships/hyperlink" Target="https://bellingcat-archive.nyc3.cdn.digitaloceanspaces.com/Ukraine_Witness_Datasheet/Worksheet/youtube_dl_1497134872992833551.mp4" TargetMode="External"/><Relationship Id="rId4434" Type="http://schemas.openxmlformats.org/officeDocument/2006/relationships/hyperlink" Target="https://drive.google.com/file/d/1N2mCelCBJ-nJIcbHvLRkY8JB5gsuCtJU/view?usp=sharing" TargetMode="External"/><Relationship Id="rId5764" Type="http://schemas.openxmlformats.org/officeDocument/2006/relationships/hyperlink" Target="https://bellingcat-archive.nyc3.cdn.digitaloceanspaces.com/Ukraine_Witness_Datasheet/Worksheet/youtube_dl_720735669307600.mkv" TargetMode="External"/><Relationship Id="rId3139" Type="http://schemas.openxmlformats.org/officeDocument/2006/relationships/hyperlink" Target="https://t.me/vorposte/13723" TargetMode="External"/><Relationship Id="rId3138" Type="http://schemas.openxmlformats.org/officeDocument/2006/relationships/hyperlink" Target="https://bellingcat-archive.nyc3.cdn.digitaloceanspaces.com/Ukraine_Witness_Datasheet/Worksheet/telegram__vorposte_137972022-02-25T20:14:11.951602.png" TargetMode="External"/><Relationship Id="rId4469" Type="http://schemas.openxmlformats.org/officeDocument/2006/relationships/hyperlink" Target="https://bellingcat-archive.nyc3.cdn.digitaloceanspaces.com/Ukraine_Witness_Datasheet/Worksheet/youtube_dl__shorts_c8rgp5ImoMc2022-03-01T15:31:00.081458.png" TargetMode="External"/><Relationship Id="rId5790" Type="http://schemas.openxmlformats.org/officeDocument/2006/relationships/hyperlink" Target="https://bellingcat-archive.nyc3.cdn.digitaloceanspaces.com/Ukraine_Witness_Datasheet/Worksheet/youtube_dl_1498607642037858304.mp4" TargetMode="External"/><Relationship Id="rId5791" Type="http://schemas.openxmlformats.org/officeDocument/2006/relationships/hyperlink" Target="https://bellingcat-archive.nyc3.cdn.digitaloceanspaces.com/Ukraine_Witness_Datasheet/Worksheet/youtube_dl__EremNews_status_14986076420378583042022-03-05T08:56:11.349410.png" TargetMode="External"/><Relationship Id="rId4460" Type="http://schemas.openxmlformats.org/officeDocument/2006/relationships/hyperlink" Target="https://bellingcat-archive.nyc3.cdn.digitaloceanspaces.com/Ukraine_Witness_Datasheet/Worksheet/youtube_dl_1498627544437960710.mp4" TargetMode="External"/><Relationship Id="rId3131" Type="http://schemas.openxmlformats.org/officeDocument/2006/relationships/hyperlink" Target="https://bellingcat-archive.nyc3.cdn.digitaloceanspaces.com/Ukraine_Witness_Datasheet/Worksheet/telegram__nexta_live_171332022-02-25T20:14:00.700182.png" TargetMode="External"/><Relationship Id="rId4462" Type="http://schemas.openxmlformats.org/officeDocument/2006/relationships/hyperlink" Target="https://bellingcat-archive.nyc3.cdn.digitaloceanspaces.com/Ukraine_Witness_Datasheet/Worksheet/youtube_dl_1498627544437960710/index.html" TargetMode="External"/><Relationship Id="rId5794" Type="http://schemas.openxmlformats.org/officeDocument/2006/relationships/hyperlink" Target="https://bellingcat-archive.nyc3.cdn.digitaloceanspaces.com/Ukraine_Witness_Datasheet/Worksheet/telegram__milinfolive_77533.html" TargetMode="External"/><Relationship Id="rId3130" Type="http://schemas.openxmlformats.org/officeDocument/2006/relationships/hyperlink" Target="https://bellingcat-archive.nyc3.cdn.digitaloceanspaces.com/Ukraine_Witness_Datasheet/Worksheet/telegram__nexta_live_17133.html" TargetMode="External"/><Relationship Id="rId4461" Type="http://schemas.openxmlformats.org/officeDocument/2006/relationships/hyperlink" Target="https://bellingcat-archive.nyc3.cdn.digitaloceanspaces.com/Ukraine_Witness_Datasheet/Worksheet/youtube_dl__zloy_odessit_status_14986275444379607102022-03-01T15:29:52.585492.png" TargetMode="External"/><Relationship Id="rId5795" Type="http://schemas.openxmlformats.org/officeDocument/2006/relationships/hyperlink" Target="https://bellingcat-archive.nyc3.cdn.digitaloceanspaces.com/Ukraine_Witness_Datasheet/Worksheet/telegram__milinfolive_775332022-03-05T08:56:28.042116.png" TargetMode="External"/><Relationship Id="rId3133" Type="http://schemas.openxmlformats.org/officeDocument/2006/relationships/hyperlink" Target="https://bellingcat-archive.nyc3.cdn.digitaloceanspaces.com/Ukraine_Witness_Datasheet/Worksheet/youtube_dl_1497178406617759745.mp4" TargetMode="External"/><Relationship Id="rId4464" Type="http://schemas.openxmlformats.org/officeDocument/2006/relationships/hyperlink" Target="https://twitter.com/michaeldweiss/status/1498650772623564806" TargetMode="External"/><Relationship Id="rId5792" Type="http://schemas.openxmlformats.org/officeDocument/2006/relationships/hyperlink" Target="https://bellingcat-archive.nyc3.cdn.digitaloceanspaces.com/Ukraine_Witness_Datasheet/Worksheet/youtube_dl_1498607642037858304/index.html" TargetMode="External"/><Relationship Id="rId3132" Type="http://schemas.openxmlformats.org/officeDocument/2006/relationships/hyperlink" Target="https://twitter.com/Balshone/status/1497178406617759745" TargetMode="External"/><Relationship Id="rId4463" Type="http://schemas.openxmlformats.org/officeDocument/2006/relationships/hyperlink" Target="https://twitter.com/michaeldweiss/status/1498650772623564806" TargetMode="External"/><Relationship Id="rId5793" Type="http://schemas.openxmlformats.org/officeDocument/2006/relationships/hyperlink" Target="https://t.me/milinfolive/77533" TargetMode="External"/><Relationship Id="rId3135" Type="http://schemas.openxmlformats.org/officeDocument/2006/relationships/hyperlink" Target="https://bellingcat-archive.nyc3.cdn.digitaloceanspaces.com/Ukraine_Witness_Datasheet/Worksheet/youtube_dl_1497178406617759745/index.html" TargetMode="External"/><Relationship Id="rId4466" Type="http://schemas.openxmlformats.org/officeDocument/2006/relationships/hyperlink" Target="https://bellingcat-archive.nyc3.cdn.digitaloceanspaces.com/Ukraine_Witness_Datasheet/Worksheet/twitter__michaeldweiss_status_14986507726235648062022-03-01T15:30:23.416864.png" TargetMode="External"/><Relationship Id="rId5798" Type="http://schemas.openxmlformats.org/officeDocument/2006/relationships/hyperlink" Target="https://bellingcat-archive.nyc3.cdn.digitaloceanspaces.com/Ukraine_Witness_Datasheet/Worksheet/youtube_dl__Elisonext_status_14986542948070359052022-03-05T08:56:40.099534.png" TargetMode="External"/><Relationship Id="rId3134" Type="http://schemas.openxmlformats.org/officeDocument/2006/relationships/hyperlink" Target="https://bellingcat-archive.nyc3.cdn.digitaloceanspaces.com/Ukraine_Witness_Datasheet/Worksheet/youtube_dl__Balshone_status_14971784066177597452022-02-25T19:10:01.840043.png" TargetMode="External"/><Relationship Id="rId4465" Type="http://schemas.openxmlformats.org/officeDocument/2006/relationships/hyperlink" Target="https://bellingcat-archive.nyc3.cdn.digitaloceanspaces.com/Ukraine_Witness_Datasheet/Worksheet/twitter__michaeldweiss_status_1498650772623564806.html" TargetMode="External"/><Relationship Id="rId5799" Type="http://schemas.openxmlformats.org/officeDocument/2006/relationships/hyperlink" Target="https://bellingcat-archive.nyc3.cdn.digitaloceanspaces.com/Ukraine_Witness_Datasheet/Worksheet/youtube_dl_1498654294807035905/index.html" TargetMode="External"/><Relationship Id="rId3137" Type="http://schemas.openxmlformats.org/officeDocument/2006/relationships/hyperlink" Target="https://bellingcat-archive.nyc3.cdn.digitaloceanspaces.com/Ukraine_Witness_Datasheet/Worksheet/telegram__vorposte_13797.html" TargetMode="External"/><Relationship Id="rId4468" Type="http://schemas.openxmlformats.org/officeDocument/2006/relationships/hyperlink" Target="https://bellingcat-archive.nyc3.cdn.digitaloceanspaces.com/Ukraine_Witness_Datasheet/Worksheet/youtube_dl_c8rgp5ImoMc.webm" TargetMode="External"/><Relationship Id="rId5796" Type="http://schemas.openxmlformats.org/officeDocument/2006/relationships/hyperlink" Target="https://twitter.com/Elisonext/status/1498654294807035905" TargetMode="External"/><Relationship Id="rId3136" Type="http://schemas.openxmlformats.org/officeDocument/2006/relationships/hyperlink" Target="https://t.me/vorposte/13797" TargetMode="External"/><Relationship Id="rId4467" Type="http://schemas.openxmlformats.org/officeDocument/2006/relationships/hyperlink" Target="https://youtube.com/shorts/c8rgp5ImoMc?feature=share" TargetMode="External"/><Relationship Id="rId5797" Type="http://schemas.openxmlformats.org/officeDocument/2006/relationships/hyperlink" Target="https://bellingcat-archive.nyc3.cdn.digitaloceanspaces.com/Ukraine_Witness_Datasheet/Worksheet/youtube_dl_1498654294807035905.mp4" TargetMode="External"/><Relationship Id="rId3128" Type="http://schemas.openxmlformats.org/officeDocument/2006/relationships/hyperlink" Target="https://t.me/nexta_live/17131" TargetMode="External"/><Relationship Id="rId4459" Type="http://schemas.openxmlformats.org/officeDocument/2006/relationships/hyperlink" Target="https://twitter.com/zloy_odessit/status/1498627544437960710" TargetMode="External"/><Relationship Id="rId3127" Type="http://schemas.openxmlformats.org/officeDocument/2006/relationships/hyperlink" Target="https://bellingcat-archive.nyc3.cdn.digitaloceanspaces.com/Ukraine_Witness_Datasheet/Worksheet/telegram_6ce5e82fb0/index.html" TargetMode="External"/><Relationship Id="rId4458" Type="http://schemas.openxmlformats.org/officeDocument/2006/relationships/hyperlink" Target="https://bellingcat-archive.nyc3.cdn.digitaloceanspaces.com/Ukraine_Witness_Datasheet/Worksheet/telegram__truexanewsua_251822022-03-01T15:29:35.838571.png" TargetMode="External"/><Relationship Id="rId5789" Type="http://schemas.openxmlformats.org/officeDocument/2006/relationships/hyperlink" Target="https://twitter.com/EremNews/status/1498607642037858304?s=20&amp;t=hcr1ApTHUaDPWdhndnjZLA" TargetMode="External"/><Relationship Id="rId3129" Type="http://schemas.openxmlformats.org/officeDocument/2006/relationships/hyperlink" Target="https://t.me/nexta_live/17133" TargetMode="External"/><Relationship Id="rId5780" Type="http://schemas.openxmlformats.org/officeDocument/2006/relationships/hyperlink" Target="https://bellingcat-archive.nyc3.cdn.digitaloceanspaces.com/Ukraine_Witness_Datasheet/Worksheet/youtube_dl_1498544825062375434/index.html" TargetMode="External"/><Relationship Id="rId3120" Type="http://schemas.openxmlformats.org/officeDocument/2006/relationships/hyperlink" Target="https://bellingcat-archive.nyc3.cdn.digitaloceanspaces.com/Ukraine_Witness_Datasheet/Worksheet/telegram_f9f24c71fe.mp4" TargetMode="External"/><Relationship Id="rId4451" Type="http://schemas.openxmlformats.org/officeDocument/2006/relationships/hyperlink" Target="https://bellingcat-archive.nyc3.cdn.digitaloceanspaces.com/Ukraine_Witness_Datasheet/Worksheet/telegram__KharkivTODAY1_3065.html" TargetMode="External"/><Relationship Id="rId5783" Type="http://schemas.openxmlformats.org/officeDocument/2006/relationships/hyperlink" Target="https://bellingcat-archive.nyc3.cdn.digitaloceanspaces.com/Ukraine_Witness_Datasheet/Worksheet/youtube_dl__aldin_ww_status_14986058697555107862022-03-05T08:55:33.034640.png" TargetMode="External"/><Relationship Id="rId4450" Type="http://schemas.openxmlformats.org/officeDocument/2006/relationships/hyperlink" Target="https://t.me/KharkivTODAY1/3065" TargetMode="External"/><Relationship Id="rId5784" Type="http://schemas.openxmlformats.org/officeDocument/2006/relationships/hyperlink" Target="https://bellingcat-archive.nyc3.cdn.digitaloceanspaces.com/Ukraine_Witness_Datasheet/Worksheet/youtube_dl_1498605869755510786/index.html" TargetMode="External"/><Relationship Id="rId3122" Type="http://schemas.openxmlformats.org/officeDocument/2006/relationships/hyperlink" Target="https://bellingcat-archive.nyc3.cdn.digitaloceanspaces.com/Ukraine_Witness_Datasheet/Worksheet/telegram_f9f24c71fe/index.html" TargetMode="External"/><Relationship Id="rId4453" Type="http://schemas.openxmlformats.org/officeDocument/2006/relationships/hyperlink" Target="https://t.me/truexanewsua/25866" TargetMode="External"/><Relationship Id="rId5781" Type="http://schemas.openxmlformats.org/officeDocument/2006/relationships/hyperlink" Target="https://twitter.com/aldin_ww/status/1498605869755510786" TargetMode="External"/><Relationship Id="rId3121" Type="http://schemas.openxmlformats.org/officeDocument/2006/relationships/hyperlink" Target="https://bellingcat-archive.nyc3.cdn.digitaloceanspaces.com/Ukraine_Witness_Datasheet/Worksheet/telegram__nexta_live_171072022-02-25T19:07:21.628745.png" TargetMode="External"/><Relationship Id="rId4452" Type="http://schemas.openxmlformats.org/officeDocument/2006/relationships/hyperlink" Target="https://bellingcat-archive.nyc3.cdn.digitaloceanspaces.com/Ukraine_Witness_Datasheet/Worksheet/telegram__KharkivTODAY1_30652022-03-01T15:29:15.163636.png" TargetMode="External"/><Relationship Id="rId5782" Type="http://schemas.openxmlformats.org/officeDocument/2006/relationships/hyperlink" Target="https://bellingcat-archive.nyc3.cdn.digitaloceanspaces.com/Ukraine_Witness_Datasheet/Worksheet/youtube_dl_1498605869755510786.mp4" TargetMode="External"/><Relationship Id="rId3124" Type="http://schemas.openxmlformats.org/officeDocument/2006/relationships/hyperlink" Target="https://t.me/nexta_live/17131" TargetMode="External"/><Relationship Id="rId4455" Type="http://schemas.openxmlformats.org/officeDocument/2006/relationships/hyperlink" Target="https://bellingcat-archive.nyc3.cdn.digitaloceanspaces.com/Ukraine_Witness_Datasheet/Worksheet/telegram__truexanewsua_258662022-03-01T15:29:24.632394.png" TargetMode="External"/><Relationship Id="rId5787" Type="http://schemas.openxmlformats.org/officeDocument/2006/relationships/hyperlink" Target="https://bellingcat-archive.nyc3.cdn.digitaloceanspaces.com/Ukraine_Witness_Datasheet/Worksheet/youtube_dl__loogunda_status_14986032312026644492022-03-05T08:55:46.745386.png" TargetMode="External"/><Relationship Id="rId3123" Type="http://schemas.openxmlformats.org/officeDocument/2006/relationships/hyperlink" Target="https://t.me/nexta_live/17107" TargetMode="External"/><Relationship Id="rId4454" Type="http://schemas.openxmlformats.org/officeDocument/2006/relationships/hyperlink" Target="https://bellingcat-archive.nyc3.cdn.digitaloceanspaces.com/Ukraine_Witness_Datasheet/Worksheet/telegram__truexanewsua_25866.html" TargetMode="External"/><Relationship Id="rId5788" Type="http://schemas.openxmlformats.org/officeDocument/2006/relationships/hyperlink" Target="https://bellingcat-archive.nyc3.cdn.digitaloceanspaces.com/Ukraine_Witness_Datasheet/Worksheet/youtube_dl_1498603231202664449/index.html" TargetMode="External"/><Relationship Id="rId3126" Type="http://schemas.openxmlformats.org/officeDocument/2006/relationships/hyperlink" Target="https://bellingcat-archive.nyc3.cdn.digitaloceanspaces.com/Ukraine_Witness_Datasheet/Worksheet/telegram__nexta_live_171312022-02-25T19:07:43.067438.png" TargetMode="External"/><Relationship Id="rId4457" Type="http://schemas.openxmlformats.org/officeDocument/2006/relationships/hyperlink" Target="https://bellingcat-archive.nyc3.cdn.digitaloceanspaces.com/Ukraine_Witness_Datasheet/Worksheet/telegram__truexanewsua_25182.html" TargetMode="External"/><Relationship Id="rId5785" Type="http://schemas.openxmlformats.org/officeDocument/2006/relationships/hyperlink" Target="https://twitter.com/loogunda/status/1498603231202664449" TargetMode="External"/><Relationship Id="rId3125" Type="http://schemas.openxmlformats.org/officeDocument/2006/relationships/hyperlink" Target="https://bellingcat-archive.nyc3.cdn.digitaloceanspaces.com/Ukraine_Witness_Datasheet/Worksheet/telegram_6ce5e82fb0.mp4" TargetMode="External"/><Relationship Id="rId4456" Type="http://schemas.openxmlformats.org/officeDocument/2006/relationships/hyperlink" Target="https://t.me/truexanewsua/25182" TargetMode="External"/><Relationship Id="rId5786" Type="http://schemas.openxmlformats.org/officeDocument/2006/relationships/hyperlink" Target="https://bellingcat-archive.nyc3.cdn.digitaloceanspaces.com/Ukraine_Witness_Datasheet/Worksheet/youtube_dl_1498603231202664449.mp4" TargetMode="External"/><Relationship Id="rId4404" Type="http://schemas.openxmlformats.org/officeDocument/2006/relationships/hyperlink" Target="https://bellingcat-archive.nyc3.cdn.digitaloceanspaces.com/Ukraine_Witness_Datasheet/Worksheet/youtube_dl__file_d_1Ui6Vm7ShCFcR69010g64in53Z4UrKFCZ_view2022-03-01T15:20:40.974140.png" TargetMode="External"/><Relationship Id="rId5736" Type="http://schemas.openxmlformats.org/officeDocument/2006/relationships/hyperlink" Target="https://bellingcat-archive.nyc3.cdn.digitaloceanspaces.com/Ukraine_Witness_Datasheet/Worksheet/youtube_dl_1498560544931987466.mp4" TargetMode="External"/><Relationship Id="rId4403" Type="http://schemas.openxmlformats.org/officeDocument/2006/relationships/hyperlink" Target="https://bellingcat-archive.nyc3.cdn.digitaloceanspaces.com/Ukraine_Witness_Datasheet/Worksheet/youtube_dl_1Ui6Vm7ShCFcR69010g64in53Z4UrKFCZ.mp4" TargetMode="External"/><Relationship Id="rId5737" Type="http://schemas.openxmlformats.org/officeDocument/2006/relationships/hyperlink" Target="https://bellingcat-archive.nyc3.cdn.digitaloceanspaces.com/Ukraine_Witness_Datasheet/Worksheet/youtube_dl__BNONews_status_14985605449319874662022-03-05T08:49:32.852126.png" TargetMode="External"/><Relationship Id="rId4406" Type="http://schemas.openxmlformats.org/officeDocument/2006/relationships/hyperlink" Target="https://drive.google.com/file/d/1P3TS1hmAr-Lkf_FM7F3OxC-0SxfQSkdI/view?usp=sharing" TargetMode="External"/><Relationship Id="rId5734" Type="http://schemas.openxmlformats.org/officeDocument/2006/relationships/hyperlink" Target="https://bellingcat-archive.nyc3.cdn.digitaloceanspaces.com/Ukraine_Witness_Datasheet/Worksheet/wayback__permalink.php2022-03-05T08:49:22.110304.png" TargetMode="External"/><Relationship Id="rId4405" Type="http://schemas.openxmlformats.org/officeDocument/2006/relationships/hyperlink" Target="https://bellingcat-archive.nyc3.cdn.digitaloceanspaces.com/Ukraine_Witness_Datasheet/Worksheet/youtube_dl_1Ui6Vm7ShCFcR69010g64in53Z4UrKFCZ/index.html" TargetMode="External"/><Relationship Id="rId5735" Type="http://schemas.openxmlformats.org/officeDocument/2006/relationships/hyperlink" Target="https://twitter.com/BNONews/status/1498560544931987466" TargetMode="External"/><Relationship Id="rId4408" Type="http://schemas.openxmlformats.org/officeDocument/2006/relationships/hyperlink" Target="https://bellingcat-archive.nyc3.cdn.digitaloceanspaces.com/Ukraine_Witness_Datasheet/Worksheet/youtube_dl__file_d_1P3TS1hmAr-Lkf_FM7F3OxC-0SxfQSkdI_view2022-03-01T15:21:08.610733.png" TargetMode="External"/><Relationship Id="rId4407" Type="http://schemas.openxmlformats.org/officeDocument/2006/relationships/hyperlink" Target="https://bellingcat-archive.nyc3.cdn.digitaloceanspaces.com/Ukraine_Witness_Datasheet/Worksheet/youtube_dl_1P3TS1hmAr-Lkf_FM7F3OxC-0SxfQSkdI.mp4" TargetMode="External"/><Relationship Id="rId5738" Type="http://schemas.openxmlformats.org/officeDocument/2006/relationships/hyperlink" Target="https://bellingcat-archive.nyc3.cdn.digitaloceanspaces.com/Ukraine_Witness_Datasheet/Worksheet/youtube_dl_1498560544931987466/index.html" TargetMode="External"/><Relationship Id="rId4409" Type="http://schemas.openxmlformats.org/officeDocument/2006/relationships/hyperlink" Target="https://bellingcat-archive.nyc3.cdn.digitaloceanspaces.com/Ukraine_Witness_Datasheet/Worksheet/youtube_dl_1P3TS1hmAr-Lkf_FM7F3OxC-0SxfQSkdI/index.html" TargetMode="External"/><Relationship Id="rId5739" Type="http://schemas.openxmlformats.org/officeDocument/2006/relationships/hyperlink" Target="https://twitter.com/KevinRothrock/status/1498577232272441345?t=m2_hq0I_D8jWtbS_fCa9qQ&amp;s=19" TargetMode="External"/><Relationship Id="rId4400" Type="http://schemas.openxmlformats.org/officeDocument/2006/relationships/hyperlink" Target="https://bellingcat-archive.nyc3.cdn.digitaloceanspaces.com/Ukraine_Witness_Datasheet/Worksheet/youtube_dl__tv_Cab70RxFXMU_2022-03-01T15:19:21.065719.png" TargetMode="External"/><Relationship Id="rId5732" Type="http://schemas.openxmlformats.org/officeDocument/2006/relationships/hyperlink" Target="https://www.facebook.com/permalink.php?story_fbid=488704459506573&amp;id=100051010689288" TargetMode="External"/><Relationship Id="rId5733" Type="http://schemas.openxmlformats.org/officeDocument/2006/relationships/hyperlink" Target="https://web.archive.org/web/20220305084832/https://www.facebook.com/login/?next=https%3A%2F%2Fwww.facebook.com%2Fpermalink.php%3Fstory_fbid%3D488704459506573%26id%3D100051010689288" TargetMode="External"/><Relationship Id="rId4402" Type="http://schemas.openxmlformats.org/officeDocument/2006/relationships/hyperlink" Target="https://drive.google.com/file/d/1Ui6Vm7ShCFcR69010g64in53Z4UrKFCZ/view?usp=sharing" TargetMode="External"/><Relationship Id="rId5730" Type="http://schemas.openxmlformats.org/officeDocument/2006/relationships/hyperlink" Target="https://bellingcat-archive.nyc3.cdn.digitaloceanspaces.com/Ukraine_Witness_Datasheet/Worksheet/youtube_dl__RFERL_status_14994945063448903742022-03-05T08:47:30.126556.png" TargetMode="External"/><Relationship Id="rId4401" Type="http://schemas.openxmlformats.org/officeDocument/2006/relationships/hyperlink" Target="https://bellingcat-archive.nyc3.cdn.digitaloceanspaces.com/Ukraine_Witness_Datasheet/Worksheet/youtube_dl_Cab70RxFXMU/index.html" TargetMode="External"/><Relationship Id="rId5731" Type="http://schemas.openxmlformats.org/officeDocument/2006/relationships/hyperlink" Target="https://bellingcat-archive.nyc3.cdn.digitaloceanspaces.com/Ukraine_Witness_Datasheet/Worksheet/youtube_dl_1499494506344890374/index.html" TargetMode="External"/><Relationship Id="rId5725" Type="http://schemas.openxmlformats.org/officeDocument/2006/relationships/hyperlink" Target="https://bellingcat-archive.nyc3.cdn.digitaloceanspaces.com/Ukraine_Witness_Datasheet/Worksheet/telegram__voynareal_109082022-03-05T08:45:49.242550.png" TargetMode="External"/><Relationship Id="rId5726" Type="http://schemas.openxmlformats.org/officeDocument/2006/relationships/hyperlink" Target="https://bellingcat-archive.nyc3.cdn.digitaloceanspaces.com/Ukraine_Witness_Datasheet/Worksheet/telegram_3b85770531/index.html" TargetMode="External"/><Relationship Id="rId5723" Type="http://schemas.openxmlformats.org/officeDocument/2006/relationships/hyperlink" Target="https://t.me/voynareal/10908" TargetMode="External"/><Relationship Id="rId5724" Type="http://schemas.openxmlformats.org/officeDocument/2006/relationships/hyperlink" Target="https://bellingcat-archive.nyc3.cdn.digitaloceanspaces.com/Ukraine_Witness_Datasheet/Worksheet/telegram_3b85770531.mp4" TargetMode="External"/><Relationship Id="rId5729" Type="http://schemas.openxmlformats.org/officeDocument/2006/relationships/hyperlink" Target="https://bellingcat-archive.nyc3.cdn.digitaloceanspaces.com/Ukraine_Witness_Datasheet/Worksheet/youtube_dl_1499494506344890374.mp4" TargetMode="External"/><Relationship Id="rId5727" Type="http://schemas.openxmlformats.org/officeDocument/2006/relationships/hyperlink" Target="https://t.me/voynareal/10908" TargetMode="External"/><Relationship Id="rId5728" Type="http://schemas.openxmlformats.org/officeDocument/2006/relationships/hyperlink" Target="https://twitter.com/RFERL/status/1499494506344890374?s=20&amp;t=iVneCtdYzEzJRq-k1MiNoA" TargetMode="External"/><Relationship Id="rId5721" Type="http://schemas.openxmlformats.org/officeDocument/2006/relationships/hyperlink" Target="https://web.archive.org/web/20220305083608/https://twitter.com/SputnikATO/status/1497834319569633283" TargetMode="External"/><Relationship Id="rId5722" Type="http://schemas.openxmlformats.org/officeDocument/2006/relationships/hyperlink" Target="https://bellingcat-archive.nyc3.cdn.digitaloceanspaces.com/Ukraine_Witness_Datasheet/Worksheet/wayback__SputnikATO_status_14978343195696332832022-03-05T08:45:40.483474.png" TargetMode="External"/><Relationship Id="rId5720" Type="http://schemas.openxmlformats.org/officeDocument/2006/relationships/hyperlink" Target="https://twitter.com/SputnikATO/status/1497834319569633283" TargetMode="External"/><Relationship Id="rId4426" Type="http://schemas.openxmlformats.org/officeDocument/2006/relationships/hyperlink" Target="https://drive.google.com/drive/folders/1zcrwz0oohUMtii52WlozW-6VWd4Wmthf?usp=sharing" TargetMode="External"/><Relationship Id="rId5758" Type="http://schemas.openxmlformats.org/officeDocument/2006/relationships/hyperlink" Target="https://bellingcat-archive.nyc3.cdn.digitaloceanspaces.com/Ukraine_Witness_Datasheet/Worksheet/wayback__photo_2022-03-05T08:53:40.049897.png" TargetMode="External"/><Relationship Id="rId4425" Type="http://schemas.openxmlformats.org/officeDocument/2006/relationships/hyperlink" Target="https://t.me/truexanewsua/25978" TargetMode="External"/><Relationship Id="rId5759" Type="http://schemas.openxmlformats.org/officeDocument/2006/relationships/hyperlink" Target="https://www.facebook.com/100064736946785/videos/pcb.323872166447346/694009415075055" TargetMode="External"/><Relationship Id="rId4428" Type="http://schemas.openxmlformats.org/officeDocument/2006/relationships/hyperlink" Target="https://bellingcat-archive.nyc3.cdn.digitaloceanspaces.com/Ukraine_Witness_Datasheet/Worksheet/wayback__drive_folders_1zcrwz0oohUMtii52WlozW-6VWd4Wmthf2022-03-02T14:01:28.902934.png" TargetMode="External"/><Relationship Id="rId5756" Type="http://schemas.openxmlformats.org/officeDocument/2006/relationships/hyperlink" Target="https://www.facebook.com/photo/?fbid=323872056447357&amp;set=pcb.323872166447346" TargetMode="External"/><Relationship Id="rId4427" Type="http://schemas.openxmlformats.org/officeDocument/2006/relationships/hyperlink" Target="https://web.archive.org/web/20220302140118/https://drive.google.com/drive/folders/1zcrwz0oohUMtii52WlozW-6VWd4Wmthf?usp=sharing" TargetMode="External"/><Relationship Id="rId5757" Type="http://schemas.openxmlformats.org/officeDocument/2006/relationships/hyperlink" Target="https://web.archive.org/web/20220305085328/https://www.facebook.com/photo/?fbid=323872056447357&amp;set=pcb.323872166447346" TargetMode="External"/><Relationship Id="rId4429" Type="http://schemas.openxmlformats.org/officeDocument/2006/relationships/hyperlink" Target="https://t.me/Tsaplienko/1319" TargetMode="External"/><Relationship Id="rId5750" Type="http://schemas.openxmlformats.org/officeDocument/2006/relationships/hyperlink" Target="https://web.archive.org/web/20220305085218/https://www.facebook.com/100064736946785/videos/pcb.323872166447346/301724298728303" TargetMode="External"/><Relationship Id="rId5751" Type="http://schemas.openxmlformats.org/officeDocument/2006/relationships/hyperlink" Target="https://bellingcat-archive.nyc3.cdn.digitaloceanspaces.com/Ukraine_Witness_Datasheet/Worksheet/wayback__100064736946785_videos_pcb.323872166447346_3017242987283032022-03-05T08:52:27.219869.png" TargetMode="External"/><Relationship Id="rId4420" Type="http://schemas.openxmlformats.org/officeDocument/2006/relationships/hyperlink" Target="https://bellingcat-archive.nyc3.cdn.digitaloceanspaces.com/Ukraine_Witness_Datasheet/Worksheet/wayback__c_1348181349_194542022-03-02T13:53:48.891990.png" TargetMode="External"/><Relationship Id="rId4422" Type="http://schemas.openxmlformats.org/officeDocument/2006/relationships/hyperlink" Target="https://bellingcat-archive.nyc3.cdn.digitaloceanspaces.com/Ukraine_Witness_Datasheet/Worksheet/telegram_8bc8f9489a.mp4" TargetMode="External"/><Relationship Id="rId5754" Type="http://schemas.openxmlformats.org/officeDocument/2006/relationships/hyperlink" Target="https://bellingcat-archive.nyc3.cdn.digitaloceanspaces.com/Ukraine_Witness_Datasheet/Worksheet/youtube_dl__100064736946785_videos_pcb.323872166447346_31515392251013322022-03-05T08:52:40.858964.png" TargetMode="External"/><Relationship Id="rId4421" Type="http://schemas.openxmlformats.org/officeDocument/2006/relationships/hyperlink" Target="https://t.me/truexanewsua/25978" TargetMode="External"/><Relationship Id="rId5755" Type="http://schemas.openxmlformats.org/officeDocument/2006/relationships/hyperlink" Target="https://bellingcat-archive.nyc3.cdn.digitaloceanspaces.com/Ukraine_Witness_Datasheet/Worksheet/youtube_dl_3151539225101332/index.html" TargetMode="External"/><Relationship Id="rId4424" Type="http://schemas.openxmlformats.org/officeDocument/2006/relationships/hyperlink" Target="https://bellingcat-archive.nyc3.cdn.digitaloceanspaces.com/Ukraine_Witness_Datasheet/Worksheet/telegram_8bc8f9489a/index.html" TargetMode="External"/><Relationship Id="rId5752" Type="http://schemas.openxmlformats.org/officeDocument/2006/relationships/hyperlink" Target="https://www.facebook.com/100064736946785/videos/pcb.323872166447346/3151539225101332" TargetMode="External"/><Relationship Id="rId4423" Type="http://schemas.openxmlformats.org/officeDocument/2006/relationships/hyperlink" Target="https://bellingcat-archive.nyc3.cdn.digitaloceanspaces.com/Ukraine_Witness_Datasheet/Worksheet/telegram__truexanewsua_259782022-03-01T15:23:11.712359.png" TargetMode="External"/><Relationship Id="rId5753" Type="http://schemas.openxmlformats.org/officeDocument/2006/relationships/hyperlink" Target="https://bellingcat-archive.nyc3.cdn.digitaloceanspaces.com/Ukraine_Witness_Datasheet/Worksheet/youtube_dl_3151539225101332.mkv" TargetMode="External"/><Relationship Id="rId4415" Type="http://schemas.openxmlformats.org/officeDocument/2006/relationships/hyperlink" Target="https://bellingcat-archive.nyc3.cdn.digitaloceanspaces.com/Ukraine_Witness_Datasheet/Worksheet/youtube_dl_1m6PlMAA6I8Oh-bIj1EVTw0Up-s1c1G-n.mp4" TargetMode="External"/><Relationship Id="rId5747" Type="http://schemas.openxmlformats.org/officeDocument/2006/relationships/hyperlink" Target="https://web.archive.org/web/20220305085138/https://www.facebook.com/photo/?fbid=323872019780694&amp;set=pcb.323872166447346" TargetMode="External"/><Relationship Id="rId4414" Type="http://schemas.openxmlformats.org/officeDocument/2006/relationships/hyperlink" Target="https://drive.google.com/file/d/1m6PlMAA6I8Oh-bIj1EVTw0Up-s1c1G-n/view?usp=sharing" TargetMode="External"/><Relationship Id="rId5748" Type="http://schemas.openxmlformats.org/officeDocument/2006/relationships/hyperlink" Target="https://bellingcat-archive.nyc3.cdn.digitaloceanspaces.com/Ukraine_Witness_Datasheet/Worksheet/wayback__photo_2022-03-05T08:51:47.078427.png" TargetMode="External"/><Relationship Id="rId4417" Type="http://schemas.openxmlformats.org/officeDocument/2006/relationships/hyperlink" Target="https://bellingcat-archive.nyc3.cdn.digitaloceanspaces.com/Ukraine_Witness_Datasheet/Worksheet/youtube_dl_1m6PlMAA6I8Oh-bIj1EVTw0Up-s1c1G-n/index.html" TargetMode="External"/><Relationship Id="rId5745" Type="http://schemas.openxmlformats.org/officeDocument/2006/relationships/hyperlink" Target="https://bellingcat-archive.nyc3.cdn.digitaloceanspaces.com/Ukraine_Witness_Datasheet/Worksheet/wayback__markmackinnon_status_14986291466158161972022-03-05T08:50:54.777671.png" TargetMode="External"/><Relationship Id="rId4416" Type="http://schemas.openxmlformats.org/officeDocument/2006/relationships/hyperlink" Target="https://bellingcat-archive.nyc3.cdn.digitaloceanspaces.com/Ukraine_Witness_Datasheet/Worksheet/youtube_dl__file_d_1m6PlMAA6I8Oh-bIj1EVTw0Up-s1c1G-n_view2022-03-01T15:22:49.817353.png" TargetMode="External"/><Relationship Id="rId5746" Type="http://schemas.openxmlformats.org/officeDocument/2006/relationships/hyperlink" Target="https://www.facebook.com/photo/?fbid=323872019780694&amp;set=pcb.323872166447346" TargetMode="External"/><Relationship Id="rId4419" Type="http://schemas.openxmlformats.org/officeDocument/2006/relationships/hyperlink" Target="https://web.archive.org/web/20220302135214/https://t.me/c/1348181349/19454" TargetMode="External"/><Relationship Id="rId4418" Type="http://schemas.openxmlformats.org/officeDocument/2006/relationships/hyperlink" Target="https://t.me/c/1348181349/19454" TargetMode="External"/><Relationship Id="rId5749" Type="http://schemas.openxmlformats.org/officeDocument/2006/relationships/hyperlink" Target="https://www.facebook.com/100064736946785/videos/pcb.323872166447346/301724298728303" TargetMode="External"/><Relationship Id="rId5740" Type="http://schemas.openxmlformats.org/officeDocument/2006/relationships/hyperlink" Target="https://bellingcat-archive.nyc3.cdn.digitaloceanspaces.com/Ukraine_Witness_Datasheet/Worksheet/youtube_dl_3151539225101332.mkv" TargetMode="External"/><Relationship Id="rId4411" Type="http://schemas.openxmlformats.org/officeDocument/2006/relationships/hyperlink" Target="https://bellingcat-archive.nyc3.cdn.digitaloceanspaces.com/Ukraine_Witness_Datasheet/Worksheet/youtube_dl_3hefkebvrbk81.mp4" TargetMode="External"/><Relationship Id="rId5743" Type="http://schemas.openxmlformats.org/officeDocument/2006/relationships/hyperlink" Target="https://twitter.com/markmackinnon/status/1498629146615816197?s=20&amp;t=l4pmXCdLhimD0FXCeAqsDA" TargetMode="External"/><Relationship Id="rId4410" Type="http://schemas.openxmlformats.org/officeDocument/2006/relationships/hyperlink" Target="https://www.reddit.com/r/ukraine/comments/t2ihg8/russian_invaders_killed_civilian_family_and_dogs/" TargetMode="External"/><Relationship Id="rId5744" Type="http://schemas.openxmlformats.org/officeDocument/2006/relationships/hyperlink" Target="https://web.archive.org/web/20220305085039/https://twitter.com/markmackinnon/status/1498629146615816197?s=20&amp;t=l4pmXCdLhimD0FXCeAqsDA" TargetMode="External"/><Relationship Id="rId4413" Type="http://schemas.openxmlformats.org/officeDocument/2006/relationships/hyperlink" Target="https://bellingcat-archive.nyc3.cdn.digitaloceanspaces.com/Ukraine_Witness_Datasheet/Worksheet/youtube_dl_3hefkebvrbk81/index.html" TargetMode="External"/><Relationship Id="rId5741" Type="http://schemas.openxmlformats.org/officeDocument/2006/relationships/hyperlink" Target="https://bellingcat-archive.nyc3.cdn.digitaloceanspaces.com/Ukraine_Witness_Datasheet/Worksheet/youtube_dl__KevinRothrock_status_14985772322724413452022-03-05T08:49:50.458550.png" TargetMode="External"/><Relationship Id="rId4412" Type="http://schemas.openxmlformats.org/officeDocument/2006/relationships/hyperlink" Target="https://bellingcat-archive.nyc3.cdn.digitaloceanspaces.com/Ukraine_Witness_Datasheet/Worksheet/youtube_dl__r_ukraine_comments_t2ihg8_russian_invaders_killed_civilian_family_and_dogs_2022-03-01T15:21:54.419909.png" TargetMode="External"/><Relationship Id="rId5742" Type="http://schemas.openxmlformats.org/officeDocument/2006/relationships/hyperlink" Target="https://bellingcat-archive.nyc3.cdn.digitaloceanspaces.com/Ukraine_Witness_Datasheet/Worksheet/youtube_dl_3151539225101332/index.html" TargetMode="External"/><Relationship Id="rId3191" Type="http://schemas.openxmlformats.org/officeDocument/2006/relationships/hyperlink" Target="https://bellingcat-archive.nyc3.cdn.digitaloceanspaces.com/Ukraine_Witness_Datasheet/Worksheet/youtube_dl__noclador_status_14972708535574937722022-02-25T19:28:46.076433.png" TargetMode="External"/><Relationship Id="rId3190" Type="http://schemas.openxmlformats.org/officeDocument/2006/relationships/hyperlink" Target="https://bellingcat-archive.nyc3.cdn.digitaloceanspaces.com/Ukraine_Witness_Datasheet/Worksheet/youtube_dl_1497270853557493772.mp4" TargetMode="External"/><Relationship Id="rId3193" Type="http://schemas.openxmlformats.org/officeDocument/2006/relationships/hyperlink" Target="https://twitter.com/MarQs__/status/1497257979883581442?s=20&amp;t=lNnb2igcjUkgbdwLoI6rzw" TargetMode="External"/><Relationship Id="rId3192" Type="http://schemas.openxmlformats.org/officeDocument/2006/relationships/hyperlink" Target="https://bellingcat-archive.nyc3.cdn.digitaloceanspaces.com/Ukraine_Witness_Datasheet/Worksheet/youtube_dl_1497270853557493772/index.html" TargetMode="External"/><Relationship Id="rId3195" Type="http://schemas.openxmlformats.org/officeDocument/2006/relationships/hyperlink" Target="https://bellingcat-archive.nyc3.cdn.digitaloceanspaces.com/Ukraine_Witness_Datasheet/Worksheet/youtube_dl__MarQs___status_14972579798835814422022-02-25T19:29:05.685330.png" TargetMode="External"/><Relationship Id="rId3194" Type="http://schemas.openxmlformats.org/officeDocument/2006/relationships/hyperlink" Target="https://bellingcat-archive.nyc3.cdn.digitaloceanspaces.com/Ukraine_Witness_Datasheet/Worksheet/youtube_dl_1497257979883581442.mp4" TargetMode="External"/><Relationship Id="rId3197" Type="http://schemas.openxmlformats.org/officeDocument/2006/relationships/hyperlink" Target="https://twitter.com/HananyaNaftali/status/1497272827489226754" TargetMode="External"/><Relationship Id="rId3196" Type="http://schemas.openxmlformats.org/officeDocument/2006/relationships/hyperlink" Target="https://bellingcat-archive.nyc3.cdn.digitaloceanspaces.com/Ukraine_Witness_Datasheet/Worksheet/youtube_dl_1497257979883581442/index.html" TargetMode="External"/><Relationship Id="rId3199" Type="http://schemas.openxmlformats.org/officeDocument/2006/relationships/hyperlink" Target="https://bellingcat-archive.nyc3.cdn.digitaloceanspaces.com/Ukraine_Witness_Datasheet/Worksheet/youtube_dl__HananyaNaftali_status_14972728274892267542022-02-25T19:29:26.487565.png" TargetMode="External"/><Relationship Id="rId3198" Type="http://schemas.openxmlformats.org/officeDocument/2006/relationships/hyperlink" Target="https://bellingcat-archive.nyc3.cdn.digitaloceanspaces.com/Ukraine_Witness_Datasheet/Worksheet/youtube_dl_1497272827489226754.mp4" TargetMode="External"/><Relationship Id="rId3180" Type="http://schemas.openxmlformats.org/officeDocument/2006/relationships/hyperlink" Target="https://t.me/nexta_live/17278" TargetMode="External"/><Relationship Id="rId3182" Type="http://schemas.openxmlformats.org/officeDocument/2006/relationships/hyperlink" Target="https://bellingcat-archive.nyc3.cdn.digitaloceanspaces.com/Ukraine_Witness_Datasheet/Worksheet/youtube_dl_1497238121183944707.mp4" TargetMode="External"/><Relationship Id="rId3181" Type="http://schemas.openxmlformats.org/officeDocument/2006/relationships/hyperlink" Target="https://twitter.com/MarQs__/status/1497238121183944707" TargetMode="External"/><Relationship Id="rId3184" Type="http://schemas.openxmlformats.org/officeDocument/2006/relationships/hyperlink" Target="https://bellingcat-archive.nyc3.cdn.digitaloceanspaces.com/Ukraine_Witness_Datasheet/Worksheet/youtube_dl_1497238121183944707/index.html" TargetMode="External"/><Relationship Id="rId3183" Type="http://schemas.openxmlformats.org/officeDocument/2006/relationships/hyperlink" Target="https://bellingcat-archive.nyc3.cdn.digitaloceanspaces.com/Ukraine_Witness_Datasheet/Worksheet/youtube_dl__MarQs___status_14972381211839447072022-02-25T19:28:06.925317.png" TargetMode="External"/><Relationship Id="rId3186" Type="http://schemas.openxmlformats.org/officeDocument/2006/relationships/hyperlink" Target="https://bellingcat-archive.nyc3.cdn.digitaloceanspaces.com/Ukraine_Witness_Datasheet/Worksheet/youtube_dl_1497264217317154816.mp4" TargetMode="External"/><Relationship Id="rId3185" Type="http://schemas.openxmlformats.org/officeDocument/2006/relationships/hyperlink" Target="https://twitter.com/bbcrussian/status/1497264217317154816" TargetMode="External"/><Relationship Id="rId3188" Type="http://schemas.openxmlformats.org/officeDocument/2006/relationships/hyperlink" Target="https://bellingcat-archive.nyc3.cdn.digitaloceanspaces.com/Ukraine_Witness_Datasheet/Worksheet/youtube_dl_1497264217317154816/index.html" TargetMode="External"/><Relationship Id="rId3187" Type="http://schemas.openxmlformats.org/officeDocument/2006/relationships/hyperlink" Target="https://bellingcat-archive.nyc3.cdn.digitaloceanspaces.com/Ukraine_Witness_Datasheet/Worksheet/youtube_dl__bbcrussian_status_14972642173171548162022-02-25T19:28:29.378300.png" TargetMode="External"/><Relationship Id="rId3189" Type="http://schemas.openxmlformats.org/officeDocument/2006/relationships/hyperlink" Target="https://twitter.com/noclador/status/1497270853557493772" TargetMode="External"/><Relationship Id="rId4480" Type="http://schemas.openxmlformats.org/officeDocument/2006/relationships/hyperlink" Target="https://bellingcat-archive.nyc3.cdn.digitaloceanspaces.com/Ukraine_Witness_Datasheet/Worksheet/youtube_dl_1498667975045525510.mp4" TargetMode="External"/><Relationship Id="rId3151" Type="http://schemas.openxmlformats.org/officeDocument/2006/relationships/hyperlink" Target="https://bellingcat-archive.nyc3.cdn.digitaloceanspaces.com/Ukraine_Witness_Datasheet/Worksheet/wayback__file_d_17XDaloleq4WRnUwtD634az-UiLRbf_0n_view2022-02-25T19:17:12.961476.png" TargetMode="External"/><Relationship Id="rId4482" Type="http://schemas.openxmlformats.org/officeDocument/2006/relationships/hyperlink" Target="https://bellingcat-archive.nyc3.cdn.digitaloceanspaces.com/Ukraine_Witness_Datasheet/Worksheet/youtube_dl_1498667975045525510/index.html" TargetMode="External"/><Relationship Id="rId3150" Type="http://schemas.openxmlformats.org/officeDocument/2006/relationships/hyperlink" Target="https://web.archive.org/web/20220225191659/https://drive.google.com/file/d/17XDaloleq4WRnUwtD634az-UiLRbf_0n/view?usp=sharing" TargetMode="External"/><Relationship Id="rId4481" Type="http://schemas.openxmlformats.org/officeDocument/2006/relationships/hyperlink" Target="https://bellingcat-archive.nyc3.cdn.digitaloceanspaces.com/Ukraine_Witness_Datasheet/Worksheet/youtube_dl__InnaSovsun_status_14986679750455255102022-03-01T16:29:46.582296.png" TargetMode="External"/><Relationship Id="rId3153" Type="http://schemas.openxmlformats.org/officeDocument/2006/relationships/hyperlink" Target="https://bellingcat-archive.nyc3.cdn.digitaloceanspaces.com/Ukraine_Witness_Datasheet/Worksheet/youtube_dl_1497161918586499109.mp4" TargetMode="External"/><Relationship Id="rId4484" Type="http://schemas.openxmlformats.org/officeDocument/2006/relationships/hyperlink" Target="https://bellingcat-archive.nyc3.cdn.digitaloceanspaces.com/Ukraine_Witness_Datasheet/Worksheet/youtube_dl_1498692622386348032.mp4" TargetMode="External"/><Relationship Id="rId3152" Type="http://schemas.openxmlformats.org/officeDocument/2006/relationships/hyperlink" Target="https://twitter.com/3TrAmvL026aJRar/status/1497161918586499109" TargetMode="External"/><Relationship Id="rId4483" Type="http://schemas.openxmlformats.org/officeDocument/2006/relationships/hyperlink" Target="https://twitter.com/ArmedForcesUkr/status/1498692622386348032?s=20&amp;t=ef5CSqF6wwePXY6LkcHHdQ" TargetMode="External"/><Relationship Id="rId3155" Type="http://schemas.openxmlformats.org/officeDocument/2006/relationships/hyperlink" Target="https://bellingcat-archive.nyc3.cdn.digitaloceanspaces.com/Ukraine_Witness_Datasheet/Worksheet/youtube_dl_1497161918586499109/index.html" TargetMode="External"/><Relationship Id="rId4486" Type="http://schemas.openxmlformats.org/officeDocument/2006/relationships/hyperlink" Target="https://bellingcat-archive.nyc3.cdn.digitaloceanspaces.com/Ukraine_Witness_Datasheet/Worksheet/youtube_dl_1498692622386348032/index.html" TargetMode="External"/><Relationship Id="rId3154" Type="http://schemas.openxmlformats.org/officeDocument/2006/relationships/hyperlink" Target="https://bellingcat-archive.nyc3.cdn.digitaloceanspaces.com/Ukraine_Witness_Datasheet/Worksheet/youtube_dl__3TrAmvL026aJRar_status_14971619185864991092022-02-25T19:17:38.361234.png" TargetMode="External"/><Relationship Id="rId4485" Type="http://schemas.openxmlformats.org/officeDocument/2006/relationships/hyperlink" Target="https://bellingcat-archive.nyc3.cdn.digitaloceanspaces.com/Ukraine_Witness_Datasheet/Worksheet/youtube_dl__ArmedForcesUkr_status_14986926223863480322022-03-01T16:30:38.394494.png" TargetMode="External"/><Relationship Id="rId3157" Type="http://schemas.openxmlformats.org/officeDocument/2006/relationships/hyperlink" Target="https://bellingcat-archive.nyc3.cdn.digitaloceanspaces.com/Ukraine_Witness_Datasheet/Worksheet/telegram_d80fc48bc8.mp4" TargetMode="External"/><Relationship Id="rId4488" Type="http://schemas.openxmlformats.org/officeDocument/2006/relationships/hyperlink" Target="https://bellingcat-archive.nyc3.cdn.digitaloceanspaces.com/Ukraine_Witness_Datasheet/Worksheet/youtube_dl_1498696448883535883.mp4" TargetMode="External"/><Relationship Id="rId3156" Type="http://schemas.openxmlformats.org/officeDocument/2006/relationships/hyperlink" Target="https://t.me/Caucasian_bureau/31685" TargetMode="External"/><Relationship Id="rId4487" Type="http://schemas.openxmlformats.org/officeDocument/2006/relationships/hyperlink" Target="https://twitter.com/markito0171/status/1498696448883535883" TargetMode="External"/><Relationship Id="rId3159" Type="http://schemas.openxmlformats.org/officeDocument/2006/relationships/hyperlink" Target="https://bellingcat-archive.nyc3.cdn.digitaloceanspaces.com/Ukraine_Witness_Datasheet/Worksheet/telegram_d80fc48bc8/index.html" TargetMode="External"/><Relationship Id="rId3158" Type="http://schemas.openxmlformats.org/officeDocument/2006/relationships/hyperlink" Target="https://bellingcat-archive.nyc3.cdn.digitaloceanspaces.com/Ukraine_Witness_Datasheet/Worksheet/telegram__Caucasian_bureau_316852022-02-25T19:17:56.975012.png" TargetMode="External"/><Relationship Id="rId4489" Type="http://schemas.openxmlformats.org/officeDocument/2006/relationships/hyperlink" Target="https://bellingcat-archive.nyc3.cdn.digitaloceanspaces.com/Ukraine_Witness_Datasheet/Worksheet/youtube_dl__markito0171_status_14986964488835358832022-03-01T16:40:10.096316.png" TargetMode="External"/><Relationship Id="rId3149" Type="http://schemas.openxmlformats.org/officeDocument/2006/relationships/hyperlink" Target="https://drive.google.com/file/d/17XDaloleq4WRnUwtD634az-UiLRbf_0n/view?usp=sharing" TargetMode="External"/><Relationship Id="rId3140" Type="http://schemas.openxmlformats.org/officeDocument/2006/relationships/hyperlink" Target="https://bellingcat-archive.nyc3.cdn.digitaloceanspaces.com/Ukraine_Witness_Datasheet/Worksheet/telegram__vorposte_13723.html" TargetMode="External"/><Relationship Id="rId4471" Type="http://schemas.openxmlformats.org/officeDocument/2006/relationships/hyperlink" Target="https://twitter.com/CasusBellii/status/1498671012887638016" TargetMode="External"/><Relationship Id="rId4470" Type="http://schemas.openxmlformats.org/officeDocument/2006/relationships/hyperlink" Target="https://bellingcat-archive.nyc3.cdn.digitaloceanspaces.com/Ukraine_Witness_Datasheet/Worksheet/youtube_dl_c8rgp5ImoMc/index.html" TargetMode="External"/><Relationship Id="rId3142" Type="http://schemas.openxmlformats.org/officeDocument/2006/relationships/hyperlink" Target="https://twitter.com/UAWeapons/status/1497176385420464133" TargetMode="External"/><Relationship Id="rId4473" Type="http://schemas.openxmlformats.org/officeDocument/2006/relationships/hyperlink" Target="https://bellingcat-archive.nyc3.cdn.digitaloceanspaces.com/Ukraine_Witness_Datasheet/Worksheet/youtube_dl__CasusBellii_status_14986710128876380162022-03-01T15:31:59.495633.png" TargetMode="External"/><Relationship Id="rId3141" Type="http://schemas.openxmlformats.org/officeDocument/2006/relationships/hyperlink" Target="https://bellingcat-archive.nyc3.cdn.digitaloceanspaces.com/Ukraine_Witness_Datasheet/Worksheet/telegram__vorposte_137232022-02-25T20:14:21.108749.png" TargetMode="External"/><Relationship Id="rId4472" Type="http://schemas.openxmlformats.org/officeDocument/2006/relationships/hyperlink" Target="https://bellingcat-archive.nyc3.cdn.digitaloceanspaces.com/Ukraine_Witness_Datasheet/Worksheet/youtube_dl_1498671012887638016.mp4" TargetMode="External"/><Relationship Id="rId3144" Type="http://schemas.openxmlformats.org/officeDocument/2006/relationships/hyperlink" Target="https://bellingcat-archive.nyc3.cdn.digitaloceanspaces.com/Ukraine_Witness_Datasheet/Worksheet/youtube_dl__UAWeapons_status_14971763854204641332022-02-25T19:14:13.144578.png" TargetMode="External"/><Relationship Id="rId4475" Type="http://schemas.openxmlformats.org/officeDocument/2006/relationships/hyperlink" Target="https://twitter.com/aldin_ww/status/1498680800572751875?s=20&amp;t=pq1WaH4hmqr0bMsfne5T1w" TargetMode="External"/><Relationship Id="rId3143" Type="http://schemas.openxmlformats.org/officeDocument/2006/relationships/hyperlink" Target="https://bellingcat-archive.nyc3.cdn.digitaloceanspaces.com/Ukraine_Witness_Datasheet/Worksheet/youtube_dl_1497176385420464133.mp4" TargetMode="External"/><Relationship Id="rId4474" Type="http://schemas.openxmlformats.org/officeDocument/2006/relationships/hyperlink" Target="https://bellingcat-archive.nyc3.cdn.digitaloceanspaces.com/Ukraine_Witness_Datasheet/Worksheet/youtube_dl_1498671012887638016/index.html" TargetMode="External"/><Relationship Id="rId3146" Type="http://schemas.openxmlformats.org/officeDocument/2006/relationships/hyperlink" Target="https://www.facebook.com/pantera.kira/posts/1957953117745193" TargetMode="External"/><Relationship Id="rId4477" Type="http://schemas.openxmlformats.org/officeDocument/2006/relationships/hyperlink" Target="https://bellingcat-archive.nyc3.cdn.digitaloceanspaces.com/Ukraine_Witness_Datasheet/Worksheet/youtube_dl__aldin_ww_status_14986808005727518752022-03-01T15:37:42.061361.png" TargetMode="External"/><Relationship Id="rId3145" Type="http://schemas.openxmlformats.org/officeDocument/2006/relationships/hyperlink" Target="https://bellingcat-archive.nyc3.cdn.digitaloceanspaces.com/Ukraine_Witness_Datasheet/Worksheet/youtube_dl_1497176385420464133/index.html" TargetMode="External"/><Relationship Id="rId4476" Type="http://schemas.openxmlformats.org/officeDocument/2006/relationships/hyperlink" Target="https://bellingcat-archive.nyc3.cdn.digitaloceanspaces.com/Ukraine_Witness_Datasheet/Worksheet/youtube_dl_1498680800572751875.mp4" TargetMode="External"/><Relationship Id="rId3148" Type="http://schemas.openxmlformats.org/officeDocument/2006/relationships/hyperlink" Target="https://bellingcat-archive.nyc3.cdn.digitaloceanspaces.com/Ukraine_Witness_Datasheet/Worksheet/wayback__pantera.kira_posts_19579531177451932022-02-25T19:15:42.117795.png" TargetMode="External"/><Relationship Id="rId4479" Type="http://schemas.openxmlformats.org/officeDocument/2006/relationships/hyperlink" Target="https://twitter.com/InnaSovsun/status/1498667975045525510?s=20&amp;t=6gpODgjgSxhBgB_gs-waYw" TargetMode="External"/><Relationship Id="rId3147" Type="http://schemas.openxmlformats.org/officeDocument/2006/relationships/hyperlink" Target="https://web.archive.org/web/20220225191503/https://www.facebook.com/login/?next=https%3A%2F%2Fwww.facebook.com%2Fpantera.kira%2Fposts%2F1957953117745193" TargetMode="External"/><Relationship Id="rId4478" Type="http://schemas.openxmlformats.org/officeDocument/2006/relationships/hyperlink" Target="https://bellingcat-archive.nyc3.cdn.digitaloceanspaces.com/Ukraine_Witness_Datasheet/Worksheet/youtube_dl_1498680800572751875/index.html" TargetMode="External"/><Relationship Id="rId3171" Type="http://schemas.openxmlformats.org/officeDocument/2006/relationships/hyperlink" Target="https://bellingcat-archive.nyc3.cdn.digitaloceanspaces.com/Ukraine_Witness_Datasheet/Worksheet/telegram__Pravda_Gerashchenko_338.html" TargetMode="External"/><Relationship Id="rId3170" Type="http://schemas.openxmlformats.org/officeDocument/2006/relationships/hyperlink" Target="https://t.me/Pravda_Gerashchenko/338" TargetMode="External"/><Relationship Id="rId3173" Type="http://schemas.openxmlformats.org/officeDocument/2006/relationships/hyperlink" Target="https://t.me/nexta_live/17252" TargetMode="External"/><Relationship Id="rId3172" Type="http://schemas.openxmlformats.org/officeDocument/2006/relationships/hyperlink" Target="https://bellingcat-archive.nyc3.cdn.digitaloceanspaces.com/Ukraine_Witness_Datasheet/Worksheet/telegram__Pravda_Gerashchenko_3382022-02-25T20:14:55.446781.png" TargetMode="External"/><Relationship Id="rId3175" Type="http://schemas.openxmlformats.org/officeDocument/2006/relationships/hyperlink" Target="https://bellingcat-archive.nyc3.cdn.digitaloceanspaces.com/Ukraine_Witness_Datasheet/Worksheet/telegram__nexta_live_172522022-02-25T20:15:13.352609.png" TargetMode="External"/><Relationship Id="rId3174" Type="http://schemas.openxmlformats.org/officeDocument/2006/relationships/hyperlink" Target="https://bellingcat-archive.nyc3.cdn.digitaloceanspaces.com/Ukraine_Witness_Datasheet/Worksheet/telegram__nexta_live_17252.html" TargetMode="External"/><Relationship Id="rId3177" Type="http://schemas.openxmlformats.org/officeDocument/2006/relationships/hyperlink" Target="https://bellingcat-archive.nyc3.cdn.digitaloceanspaces.com/Ukraine_Witness_Datasheet/Worksheet/telegram_c9fbbbd681.mp4" TargetMode="External"/><Relationship Id="rId3176" Type="http://schemas.openxmlformats.org/officeDocument/2006/relationships/hyperlink" Target="https://t.me/nexta_live/17278" TargetMode="External"/><Relationship Id="rId3179" Type="http://schemas.openxmlformats.org/officeDocument/2006/relationships/hyperlink" Target="https://bellingcat-archive.nyc3.cdn.digitaloceanspaces.com/Ukraine_Witness_Datasheet/Worksheet/telegram_c9fbbbd681/index.html" TargetMode="External"/><Relationship Id="rId3178" Type="http://schemas.openxmlformats.org/officeDocument/2006/relationships/hyperlink" Target="https://bellingcat-archive.nyc3.cdn.digitaloceanspaces.com/Ukraine_Witness_Datasheet/Worksheet/telegram__nexta_live_172782022-02-25T19:27:49.036582.png" TargetMode="External"/><Relationship Id="rId3160" Type="http://schemas.openxmlformats.org/officeDocument/2006/relationships/hyperlink" Target="https://t.me/Caucasian_bureau/31685" TargetMode="External"/><Relationship Id="rId4491" Type="http://schemas.openxmlformats.org/officeDocument/2006/relationships/hyperlink" Target="https://t.me/voynareal/10903" TargetMode="External"/><Relationship Id="rId4490" Type="http://schemas.openxmlformats.org/officeDocument/2006/relationships/hyperlink" Target="https://bellingcat-archive.nyc3.cdn.digitaloceanspaces.com/Ukraine_Witness_Datasheet/Worksheet/youtube_dl_1498696448883535883/index.html" TargetMode="External"/><Relationship Id="rId3162" Type="http://schemas.openxmlformats.org/officeDocument/2006/relationships/hyperlink" Target="https://bellingcat-archive.nyc3.cdn.digitaloceanspaces.com/Ukraine_Witness_Datasheet/Worksheet/telegram__nexta_live_17207.html" TargetMode="External"/><Relationship Id="rId4493" Type="http://schemas.openxmlformats.org/officeDocument/2006/relationships/hyperlink" Target="https://bellingcat-archive.nyc3.cdn.digitaloceanspaces.com/Ukraine_Witness_Datasheet/Worksheet/telegram__voynareal_109032022-03-02T08:00:38.473891.png" TargetMode="External"/><Relationship Id="rId3161" Type="http://schemas.openxmlformats.org/officeDocument/2006/relationships/hyperlink" Target="https://t.me/nexta_live/17207" TargetMode="External"/><Relationship Id="rId4492" Type="http://schemas.openxmlformats.org/officeDocument/2006/relationships/hyperlink" Target="https://bellingcat-archive.nyc3.cdn.digitaloceanspaces.com/Ukraine_Witness_Datasheet/Worksheet/telegram_8677afb7d2.mp4" TargetMode="External"/><Relationship Id="rId3164" Type="http://schemas.openxmlformats.org/officeDocument/2006/relationships/hyperlink" Target="https://twitter.com/DmytroKuleba/status/1497185289667817472" TargetMode="External"/><Relationship Id="rId4495" Type="http://schemas.openxmlformats.org/officeDocument/2006/relationships/hyperlink" Target="https://t.me/voynareal/10903" TargetMode="External"/><Relationship Id="rId3163" Type="http://schemas.openxmlformats.org/officeDocument/2006/relationships/hyperlink" Target="https://bellingcat-archive.nyc3.cdn.digitaloceanspaces.com/Ukraine_Witness_Datasheet/Worksheet/telegram__nexta_live_172072022-02-25T20:14:34.892367.png" TargetMode="External"/><Relationship Id="rId4494" Type="http://schemas.openxmlformats.org/officeDocument/2006/relationships/hyperlink" Target="https://bellingcat-archive.nyc3.cdn.digitaloceanspaces.com/Ukraine_Witness_Datasheet/Worksheet/telegram_8677afb7d2/index.html" TargetMode="External"/><Relationship Id="rId3166" Type="http://schemas.openxmlformats.org/officeDocument/2006/relationships/hyperlink" Target="https://bellingcat-archive.nyc3.cdn.digitaloceanspaces.com/Ukraine_Witness_Datasheet/Worksheet/wayback__DmytroKuleba_status_14971852896678174722022-02-25T19:21:19.635175.png" TargetMode="External"/><Relationship Id="rId4497" Type="http://schemas.openxmlformats.org/officeDocument/2006/relationships/hyperlink" Target="https://web.archive.org/web/20220302080118/https://twitter.com/loogunda/status/1498262829840973828?s=20&amp;t=zKf3Nb7bCgUn-dgAFPWdRg" TargetMode="External"/><Relationship Id="rId3165" Type="http://schemas.openxmlformats.org/officeDocument/2006/relationships/hyperlink" Target="https://web.archive.org/web/20220225192108/https://twitter.com/DmytroKuleba/status/1497185289667817472" TargetMode="External"/><Relationship Id="rId4496" Type="http://schemas.openxmlformats.org/officeDocument/2006/relationships/hyperlink" Target="https://twitter.com/loogunda/status/1498262829840973828?s=20&amp;t=zKf3Nb7bCgUn-dgAFPWdRg" TargetMode="External"/><Relationship Id="rId3168" Type="http://schemas.openxmlformats.org/officeDocument/2006/relationships/hyperlink" Target="https://bellingcat-archive.nyc3.cdn.digitaloceanspaces.com/Ukraine_Witness_Datasheet/Worksheet/telegram__nexta_live_17220.html" TargetMode="External"/><Relationship Id="rId4499" Type="http://schemas.openxmlformats.org/officeDocument/2006/relationships/hyperlink" Target="https://t.me/hueviykharkov/46999" TargetMode="External"/><Relationship Id="rId3167" Type="http://schemas.openxmlformats.org/officeDocument/2006/relationships/hyperlink" Target="https://t.me/nexta_live/17220" TargetMode="External"/><Relationship Id="rId4498" Type="http://schemas.openxmlformats.org/officeDocument/2006/relationships/hyperlink" Target="https://bellingcat-archive.nyc3.cdn.digitaloceanspaces.com/Ukraine_Witness_Datasheet/Worksheet/wayback__loogunda_status_14982628298409738282022-03-02T08:01:24.073427.png" TargetMode="External"/><Relationship Id="rId3169" Type="http://schemas.openxmlformats.org/officeDocument/2006/relationships/hyperlink" Target="https://bellingcat-archive.nyc3.cdn.digitaloceanspaces.com/Ukraine_Witness_Datasheet/Worksheet/telegram__nexta_live_172202022-02-25T20:14:44.369401.png" TargetMode="External"/><Relationship Id="rId8002" Type="http://schemas.openxmlformats.org/officeDocument/2006/relationships/hyperlink" Target="https://bellingcat-archive.nyc3.cdn.digitaloceanspaces.com/Ukraine_Witness_Datasheet/Worksheet/telegram_40c9fdd752.mp4" TargetMode="External"/><Relationship Id="rId8001" Type="http://schemas.openxmlformats.org/officeDocument/2006/relationships/hyperlink" Target="https://twitter.com/GeoConfirmed/status/1500745952570888192" TargetMode="External"/><Relationship Id="rId8000" Type="http://schemas.openxmlformats.org/officeDocument/2006/relationships/hyperlink" Target="https://t.me/vorposte/15271" TargetMode="External"/><Relationship Id="rId8006" Type="http://schemas.openxmlformats.org/officeDocument/2006/relationships/hyperlink" Target="https://twitter.com/ua_industrial/status/1500073702414766090" TargetMode="External"/><Relationship Id="rId8005" Type="http://schemas.openxmlformats.org/officeDocument/2006/relationships/hyperlink" Target="https://t.me/vorposte/15271" TargetMode="External"/><Relationship Id="rId8004" Type="http://schemas.openxmlformats.org/officeDocument/2006/relationships/hyperlink" Target="https://bellingcat-archive.nyc3.cdn.digitaloceanspaces.com/Ukraine_Witness_Datasheet/Worksheet/telegram_40c9fdd752/index.html" TargetMode="External"/><Relationship Id="rId8003" Type="http://schemas.openxmlformats.org/officeDocument/2006/relationships/hyperlink" Target="https://bellingcat-archive.nyc3.cdn.digitaloceanspaces.com/Ukraine_Witness_Datasheet/Worksheet/telegram__vorposte_152712022-03-09T17:45:53.933984.png" TargetMode="External"/><Relationship Id="rId8009" Type="http://schemas.openxmlformats.org/officeDocument/2006/relationships/hyperlink" Target="https://bellingcat-archive.nyc3.cdn.digitaloceanspaces.com/Ukraine_Witness_Datasheet/Worksheet/twitter__ua_industrial_status_15000737024147660902022-03-09T17:50:14.277548.png" TargetMode="External"/><Relationship Id="rId8008" Type="http://schemas.openxmlformats.org/officeDocument/2006/relationships/hyperlink" Target="https://bellingcat-archive.nyc3.cdn.digitaloceanspaces.com/Ukraine_Witness_Datasheet/Worksheet/twitter__ua_industrial_status_1500073702414766090.html" TargetMode="External"/><Relationship Id="rId8007" Type="http://schemas.openxmlformats.org/officeDocument/2006/relationships/hyperlink" Target="https://twitter.com/GeoConfirmed/status/1500579616896995341" TargetMode="External"/><Relationship Id="rId8020" Type="http://schemas.openxmlformats.org/officeDocument/2006/relationships/hyperlink" Target="https://bellingcat-archive.nyc3.cdn.digitaloceanspaces.com/Ukraine_Witness_Datasheet/Worksheet/youtube_dl_1500502033526370304/index.html" TargetMode="External"/><Relationship Id="rId8024" Type="http://schemas.openxmlformats.org/officeDocument/2006/relationships/hyperlink" Target="https://bellingcat-archive.nyc3.cdn.digitaloceanspaces.com/Ukraine_Witness_Datasheet/Worksheet/telegram_07ceda6112.mp4" TargetMode="External"/><Relationship Id="rId8023" Type="http://schemas.openxmlformats.org/officeDocument/2006/relationships/hyperlink" Target="https://www.google.com/maps/@50.5397231,30.1920041,3a,75y,272.12h,90t/data=!3m8!1e1!3m6!1sAF1QipOqrUCQs44GDMsBDcDyx0ep4GtupexUD5fOdl6v!2e10!3e11!6shttps:%2F%2Flh5.googleusercontent.com%2Fp%2FAF1QipOqrUCQs44GDMsBDcDyx0ep4GtupexUD5fOdl6v%3Dw203-h100-k-no-pi0-ya249.61722-ro-0-fo100!7i8000!8i4000" TargetMode="External"/><Relationship Id="rId8022" Type="http://schemas.openxmlformats.org/officeDocument/2006/relationships/hyperlink" Target="https://twitter.com/zwedowz/status/1500485152316829696" TargetMode="External"/><Relationship Id="rId8021" Type="http://schemas.openxmlformats.org/officeDocument/2006/relationships/hyperlink" Target="https://t.me/irpininteresting/4049" TargetMode="External"/><Relationship Id="rId8028" Type="http://schemas.openxmlformats.org/officeDocument/2006/relationships/hyperlink" Target="https://twitter.com/RALee85/status/1497840077665452036" TargetMode="External"/><Relationship Id="rId8027" Type="http://schemas.openxmlformats.org/officeDocument/2006/relationships/hyperlink" Target="https://t.me/irpininteresting/4049" TargetMode="External"/><Relationship Id="rId8026" Type="http://schemas.openxmlformats.org/officeDocument/2006/relationships/hyperlink" Target="https://bellingcat-archive.nyc3.cdn.digitaloceanspaces.com/Ukraine_Witness_Datasheet/Worksheet/telegram_07ceda6112/index.html" TargetMode="External"/><Relationship Id="rId8025" Type="http://schemas.openxmlformats.org/officeDocument/2006/relationships/hyperlink" Target="https://bellingcat-archive.nyc3.cdn.digitaloceanspaces.com/Ukraine_Witness_Datasheet/Worksheet/telegram__irpininteresting_40492022-03-09T17:55:10.428079.png" TargetMode="External"/><Relationship Id="rId8029" Type="http://schemas.openxmlformats.org/officeDocument/2006/relationships/hyperlink" Target="https://twitter.com/GeoConfirmed/status/1500490784335876098" TargetMode="External"/><Relationship Id="rId8013" Type="http://schemas.openxmlformats.org/officeDocument/2006/relationships/hyperlink" Target="https://bellingcat-archive.nyc3.cdn.digitaloceanspaces.com/Ukraine_Witness_Datasheet/Worksheet/youtube_dl__GirkinGirkin_status_15005055435802173442022-03-09T17:50:26.426008.png" TargetMode="External"/><Relationship Id="rId8012" Type="http://schemas.openxmlformats.org/officeDocument/2006/relationships/hyperlink" Target="https://bellingcat-archive.nyc3.cdn.digitaloceanspaces.com/Ukraine_Witness_Datasheet/Worksheet/youtube_dl_1500505543580217344.mp4" TargetMode="External"/><Relationship Id="rId8011" Type="http://schemas.openxmlformats.org/officeDocument/2006/relationships/hyperlink" Target="https://twitter.com/Noobieshunta_/status/1500567810807939076" TargetMode="External"/><Relationship Id="rId8010" Type="http://schemas.openxmlformats.org/officeDocument/2006/relationships/hyperlink" Target="https://twitter.com/GirkinGirkin/status/1500505543580217344" TargetMode="External"/><Relationship Id="rId8017" Type="http://schemas.openxmlformats.org/officeDocument/2006/relationships/hyperlink" Target="https://www.google.com/maps/@46.2165416,34.6685697,3a,75y,207.24h,75.92t/data=!3m7!1e1!3m5!1sAF1QipObiYciwvGYDWyvNi2k3R5vA26UaKsfmrHKW0P5!2e10!3e11!7i5760!8i2880" TargetMode="External"/><Relationship Id="rId8016" Type="http://schemas.openxmlformats.org/officeDocument/2006/relationships/hyperlink" Target="https://twitter.com/zwedowz/status/1500512472414961665" TargetMode="External"/><Relationship Id="rId8015" Type="http://schemas.openxmlformats.org/officeDocument/2006/relationships/hyperlink" Target="https://twitter.com/GirkinGirkin/status/1500502033526370304" TargetMode="External"/><Relationship Id="rId8014" Type="http://schemas.openxmlformats.org/officeDocument/2006/relationships/hyperlink" Target="https://bellingcat-archive.nyc3.cdn.digitaloceanspaces.com/Ukraine_Witness_Datasheet/Worksheet/youtube_dl_1500505543580217344/index.html" TargetMode="External"/><Relationship Id="rId8019" Type="http://schemas.openxmlformats.org/officeDocument/2006/relationships/hyperlink" Target="https://bellingcat-archive.nyc3.cdn.digitaloceanspaces.com/Ukraine_Witness_Datasheet/Worksheet/youtube_dl__GirkinGirkin_status_15005020335263703042022-03-09T17:50:41.197761.png" TargetMode="External"/><Relationship Id="rId8018" Type="http://schemas.openxmlformats.org/officeDocument/2006/relationships/hyperlink" Target="https://bellingcat-archive.nyc3.cdn.digitaloceanspaces.com/Ukraine_Witness_Datasheet/Worksheet/youtube_dl_1500502033526370304.mp4" TargetMode="External"/><Relationship Id="rId5813" Type="http://schemas.openxmlformats.org/officeDocument/2006/relationships/hyperlink" Target="https://bellingcat-archive.nyc3.cdn.digitaloceanspaces.com/Ukraine_Witness_Datasheet/Worksheet/youtube_dl_hVgp4yrUIJw.webm" TargetMode="External"/><Relationship Id="rId5814" Type="http://schemas.openxmlformats.org/officeDocument/2006/relationships/hyperlink" Target="https://bellingcat-archive.nyc3.cdn.digitaloceanspaces.com/Ukraine_Witness_Datasheet/Worksheet/youtube_dl__watch2022-03-05T09:00:15.312412.png" TargetMode="External"/><Relationship Id="rId5811" Type="http://schemas.openxmlformats.org/officeDocument/2006/relationships/hyperlink" Target="https://t.me/hueviykharkov/47292" TargetMode="External"/><Relationship Id="rId5812" Type="http://schemas.openxmlformats.org/officeDocument/2006/relationships/hyperlink" Target="https://www.youtube.com/watch?app=desktop&amp;v=hVgp4yrUIJw" TargetMode="External"/><Relationship Id="rId5817" Type="http://schemas.openxmlformats.org/officeDocument/2006/relationships/hyperlink" Target="https://bellingcat-archive.nyc3.cdn.digitaloceanspaces.com/Ukraine_Witness_Datasheet/Worksheet/youtube_dl_1498702380271083520.mp4" TargetMode="External"/><Relationship Id="rId5818" Type="http://schemas.openxmlformats.org/officeDocument/2006/relationships/hyperlink" Target="https://bellingcat-archive.nyc3.cdn.digitaloceanspaces.com/Ukraine_Witness_Datasheet/Worksheet/youtube_dl__ELINTNews_status_14987023802710835202022-03-05T09:00:33.878114.png" TargetMode="External"/><Relationship Id="rId5815" Type="http://schemas.openxmlformats.org/officeDocument/2006/relationships/hyperlink" Target="https://bellingcat-archive.nyc3.cdn.digitaloceanspaces.com/Ukraine_Witness_Datasheet/Worksheet/youtube_dl_hVgp4yrUIJw/index.html" TargetMode="External"/><Relationship Id="rId5816" Type="http://schemas.openxmlformats.org/officeDocument/2006/relationships/hyperlink" Target="https://twitter.com/ELINTNews/status/1498702380271083520" TargetMode="External"/><Relationship Id="rId5819" Type="http://schemas.openxmlformats.org/officeDocument/2006/relationships/hyperlink" Target="https://bellingcat-archive.nyc3.cdn.digitaloceanspaces.com/Ukraine_Witness_Datasheet/Worksheet/youtube_dl_1498702380271083520/index.html" TargetMode="External"/><Relationship Id="rId8093" Type="http://schemas.openxmlformats.org/officeDocument/2006/relationships/hyperlink" Target="https://bellingcat-archive.nyc3.cdn.digitaloceanspaces.com/Ukraine_Witness_Datasheet/Worksheet/youtube_dl_1499799964347772930/index.html" TargetMode="External"/><Relationship Id="rId8092" Type="http://schemas.openxmlformats.org/officeDocument/2006/relationships/hyperlink" Target="https://bellingcat-archive.nyc3.cdn.digitaloceanspaces.com/Ukraine_Witness_Datasheet/Worksheet/youtube_dl__Blue_Sauron_status_14997999643477729302022-03-09T18:07:26.765309.png" TargetMode="External"/><Relationship Id="rId8091" Type="http://schemas.openxmlformats.org/officeDocument/2006/relationships/hyperlink" Target="https://bellingcat-archive.nyc3.cdn.digitaloceanspaces.com/Ukraine_Witness_Datasheet/Worksheet/youtube_dl_1499799964347772930.mp4" TargetMode="External"/><Relationship Id="rId8090" Type="http://schemas.openxmlformats.org/officeDocument/2006/relationships/hyperlink" Target="https://twitter.com/GeoConfirmed/status/1499824744627064837" TargetMode="External"/><Relationship Id="rId8086" Type="http://schemas.openxmlformats.org/officeDocument/2006/relationships/hyperlink" Target="https://twitter.com/GeoConfirmed/status/1499828113261346826" TargetMode="External"/><Relationship Id="rId8085" Type="http://schemas.openxmlformats.org/officeDocument/2006/relationships/hyperlink" Target="https://bellingcat-archive.nyc3.cdn.digitaloceanspaces.com/Ukraine_Witness_Datasheet/Worksheet/youtube_dl_1499754662047752193/index.html" TargetMode="External"/><Relationship Id="rId8084" Type="http://schemas.openxmlformats.org/officeDocument/2006/relationships/hyperlink" Target="https://bellingcat-archive.nyc3.cdn.digitaloceanspaces.com/Ukraine_Witness_Datasheet/Worksheet/youtube_dl__UkraineNews0_status_14997546620477521932022-03-09T18:06:59.658796.png" TargetMode="External"/><Relationship Id="rId8083" Type="http://schemas.openxmlformats.org/officeDocument/2006/relationships/hyperlink" Target="https://bellingcat-archive.nyc3.cdn.digitaloceanspaces.com/Ukraine_Witness_Datasheet/Worksheet/youtube_dl_1499754662047752193.mp4" TargetMode="External"/><Relationship Id="rId8089" Type="http://schemas.openxmlformats.org/officeDocument/2006/relationships/hyperlink" Target="https://twitter.com/Blue_Sauron/status/1499799964347772930" TargetMode="External"/><Relationship Id="rId8088" Type="http://schemas.openxmlformats.org/officeDocument/2006/relationships/hyperlink" Target="https://bellingcat-archive.nyc3.cdn.digitaloceanspaces.com/Ukraine_Witness_Datasheet/Worksheet/twitter__GeoConfirmed_status_14998281132613468262022-03-09T18:07:14.279437.png" TargetMode="External"/><Relationship Id="rId8087" Type="http://schemas.openxmlformats.org/officeDocument/2006/relationships/hyperlink" Target="https://bellingcat-archive.nyc3.cdn.digitaloceanspaces.com/Ukraine_Witness_Datasheet/Worksheet/twitter__GeoConfirmed_status_1499828113261346826.html" TargetMode="External"/><Relationship Id="rId5810" Type="http://schemas.openxmlformats.org/officeDocument/2006/relationships/hyperlink" Target="https://bellingcat-archive.nyc3.cdn.digitaloceanspaces.com/Ukraine_Witness_Datasheet/Worksheet/telegram_b545e1b819/index.html" TargetMode="External"/><Relationship Id="rId5802" Type="http://schemas.openxmlformats.org/officeDocument/2006/relationships/hyperlink" Target="https://bellingcat-archive.nyc3.cdn.digitaloceanspaces.com/Ukraine_Witness_Datasheet/Worksheet/twitter__EMaloletka_status_14979882267112734762022-03-05T08:56:53.857864.png" TargetMode="External"/><Relationship Id="rId5803" Type="http://schemas.openxmlformats.org/officeDocument/2006/relationships/hyperlink" Target="https://twitter.com/UkraineWhat/status/1499051939333644300?s=20&amp;t=hfCOP-19SL9bQPnhci0LXw" TargetMode="External"/><Relationship Id="rId5800" Type="http://schemas.openxmlformats.org/officeDocument/2006/relationships/hyperlink" Target="https://twitter.com/EMaloletka/status/1497988226711273476" TargetMode="External"/><Relationship Id="rId5801" Type="http://schemas.openxmlformats.org/officeDocument/2006/relationships/hyperlink" Target="https://bellingcat-archive.nyc3.cdn.digitaloceanspaces.com/Ukraine_Witness_Datasheet/Worksheet/twitter__EMaloletka_status_1497988226711273476.html" TargetMode="External"/><Relationship Id="rId5806" Type="http://schemas.openxmlformats.org/officeDocument/2006/relationships/hyperlink" Target="https://bellingcat-archive.nyc3.cdn.digitaloceanspaces.com/Ukraine_Witness_Datasheet/Worksheet/youtube_dl_1499051939333644300/index.html" TargetMode="External"/><Relationship Id="rId5807" Type="http://schemas.openxmlformats.org/officeDocument/2006/relationships/hyperlink" Target="https://t.me/hueviykharkov/47292" TargetMode="External"/><Relationship Id="rId5804" Type="http://schemas.openxmlformats.org/officeDocument/2006/relationships/hyperlink" Target="https://bellingcat-archive.nyc3.cdn.digitaloceanspaces.com/Ukraine_Witness_Datasheet/Worksheet/youtube_dl_1499051939333644300.mp4" TargetMode="External"/><Relationship Id="rId5805" Type="http://schemas.openxmlformats.org/officeDocument/2006/relationships/hyperlink" Target="https://bellingcat-archive.nyc3.cdn.digitaloceanspaces.com/Ukraine_Witness_Datasheet/Worksheet/youtube_dl__UkraineWhat_status_14990519393336443002022-03-05T08:57:04.104892.png" TargetMode="External"/><Relationship Id="rId5808" Type="http://schemas.openxmlformats.org/officeDocument/2006/relationships/hyperlink" Target="https://bellingcat-archive.nyc3.cdn.digitaloceanspaces.com/Ukraine_Witness_Datasheet/Worksheet/telegram_b545e1b819.mp4" TargetMode="External"/><Relationship Id="rId5809" Type="http://schemas.openxmlformats.org/officeDocument/2006/relationships/hyperlink" Target="https://bellingcat-archive.nyc3.cdn.digitaloceanspaces.com/Ukraine_Witness_Datasheet/Worksheet/telegram__hueviykharkov_472922022-03-05T08:57:17.622757.png" TargetMode="External"/><Relationship Id="rId8082" Type="http://schemas.openxmlformats.org/officeDocument/2006/relationships/hyperlink" Target="https://twitter.com/nl_osint/status/1499799248342237184" TargetMode="External"/><Relationship Id="rId8081" Type="http://schemas.openxmlformats.org/officeDocument/2006/relationships/hyperlink" Target="https://twitter.com/UkraineNews0/status/1499754662047752193" TargetMode="External"/><Relationship Id="rId8080" Type="http://schemas.openxmlformats.org/officeDocument/2006/relationships/hyperlink" Target="https://bellingcat-archive.nyc3.cdn.digitaloceanspaces.com/Ukraine_Witness_Datasheet/Worksheet/youtube_dl_1499814376873902081/index.html" TargetMode="External"/><Relationship Id="rId8075" Type="http://schemas.openxmlformats.org/officeDocument/2006/relationships/hyperlink" Target="https://t.me/OSINTUKRAINE/2234" TargetMode="External"/><Relationship Id="rId8074" Type="http://schemas.openxmlformats.org/officeDocument/2006/relationships/hyperlink" Target="https://bellingcat-archive.nyc3.cdn.digitaloceanspaces.com/Ukraine_Witness_Datasheet/Worksheet/telegram_8fdf050771/index.html" TargetMode="External"/><Relationship Id="rId8073" Type="http://schemas.openxmlformats.org/officeDocument/2006/relationships/hyperlink" Target="https://bellingcat-archive.nyc3.cdn.digitaloceanspaces.com/Ukraine_Witness_Datasheet/Worksheet/telegram__OSINTUKRAINE_22342022-03-09T18:05:49.092404.png" TargetMode="External"/><Relationship Id="rId8072" Type="http://schemas.openxmlformats.org/officeDocument/2006/relationships/hyperlink" Target="https://bellingcat-archive.nyc3.cdn.digitaloceanspaces.com/Ukraine_Witness_Datasheet/Worksheet/telegram_8fdf050771.mp4" TargetMode="External"/><Relationship Id="rId8079" Type="http://schemas.openxmlformats.org/officeDocument/2006/relationships/hyperlink" Target="https://bellingcat-archive.nyc3.cdn.digitaloceanspaces.com/Ukraine_Witness_Datasheet/Worksheet/youtube_dl__RALee85_status_14998143768739020812022-03-09T18:06:36.776159.png" TargetMode="External"/><Relationship Id="rId8078" Type="http://schemas.openxmlformats.org/officeDocument/2006/relationships/hyperlink" Target="https://bellingcat-archive.nyc3.cdn.digitaloceanspaces.com/Ukraine_Witness_Datasheet/Worksheet/youtube_dl_1499814376873902081.mp4" TargetMode="External"/><Relationship Id="rId8077" Type="http://schemas.openxmlformats.org/officeDocument/2006/relationships/hyperlink" Target="https://twitter.com/AKMcKeever/status/1499820341320896520" TargetMode="External"/><Relationship Id="rId8076" Type="http://schemas.openxmlformats.org/officeDocument/2006/relationships/hyperlink" Target="https://twitter.com/RALee85/status/1499814376873902081" TargetMode="External"/><Relationship Id="rId4503" Type="http://schemas.openxmlformats.org/officeDocument/2006/relationships/hyperlink" Target="https://bellingcat-archive.nyc3.cdn.digitaloceanspaces.com/Ukraine_Witness_Datasheet/Worksheet/telegram_72fd4c64e0.mp4" TargetMode="External"/><Relationship Id="rId5835" Type="http://schemas.openxmlformats.org/officeDocument/2006/relationships/hyperlink" Target="https://bellingcat-archive.nyc3.cdn.digitaloceanspaces.com/Ukraine_Witness_Datasheet/Worksheet/telegram_fb9ddffa7c.mp4" TargetMode="External"/><Relationship Id="rId4502" Type="http://schemas.openxmlformats.org/officeDocument/2006/relationships/hyperlink" Target="https://t.me/truexanewsua/26053" TargetMode="External"/><Relationship Id="rId5836" Type="http://schemas.openxmlformats.org/officeDocument/2006/relationships/hyperlink" Target="https://bellingcat-archive.nyc3.cdn.digitaloceanspaces.com/Ukraine_Witness_Datasheet/Worksheet/telegram__voyna_novost_170412022-03-05T09:02:16.990583.png" TargetMode="External"/><Relationship Id="rId4505" Type="http://schemas.openxmlformats.org/officeDocument/2006/relationships/hyperlink" Target="https://bellingcat-archive.nyc3.cdn.digitaloceanspaces.com/Ukraine_Witness_Datasheet/Worksheet/telegram_72fd4c64e0/index.html" TargetMode="External"/><Relationship Id="rId5833" Type="http://schemas.openxmlformats.org/officeDocument/2006/relationships/hyperlink" Target="https://bellingcat-archive.nyc3.cdn.digitaloceanspaces.com/Ukraine_Witness_Datasheet/Worksheet/wayback__uk_news_rosiyany-bombarduvaly-kyyivskyj-teletsentr-suspilnogo-na-dorogozhychah_2022-03-05T09:02:06.198287.png" TargetMode="External"/><Relationship Id="rId4504" Type="http://schemas.openxmlformats.org/officeDocument/2006/relationships/hyperlink" Target="https://bellingcat-archive.nyc3.cdn.digitaloceanspaces.com/Ukraine_Witness_Datasheet/Worksheet/telegram__truexanewsua_260532022-03-02T08:01:42.619266.png" TargetMode="External"/><Relationship Id="rId5834" Type="http://schemas.openxmlformats.org/officeDocument/2006/relationships/hyperlink" Target="https://t.me/voyna_novost/17041" TargetMode="External"/><Relationship Id="rId4507" Type="http://schemas.openxmlformats.org/officeDocument/2006/relationships/hyperlink" Target="https://drive.google.com/file/d/1mPujwIWeoGdsvyUK1v4LVtN4Eb_5gW9T/view?usp=sharing" TargetMode="External"/><Relationship Id="rId5839" Type="http://schemas.openxmlformats.org/officeDocument/2006/relationships/hyperlink" Target="https://t.me/rivne_1283/2311" TargetMode="External"/><Relationship Id="rId4506" Type="http://schemas.openxmlformats.org/officeDocument/2006/relationships/hyperlink" Target="https://t.me/truexanewsua/26053" TargetMode="External"/><Relationship Id="rId4509" Type="http://schemas.openxmlformats.org/officeDocument/2006/relationships/hyperlink" Target="https://bellingcat-archive.nyc3.cdn.digitaloceanspaces.com/Ukraine_Witness_Datasheet/Worksheet/youtube_dl__file_d_1mPujwIWeoGdsvyUK1v4LVtN4Eb_5gW9T_view2022-03-02T08:03:17.535762.png" TargetMode="External"/><Relationship Id="rId5837" Type="http://schemas.openxmlformats.org/officeDocument/2006/relationships/hyperlink" Target="https://bellingcat-archive.nyc3.cdn.digitaloceanspaces.com/Ukraine_Witness_Datasheet/Worksheet/telegram_fb9ddffa7c/index.html" TargetMode="External"/><Relationship Id="rId4508" Type="http://schemas.openxmlformats.org/officeDocument/2006/relationships/hyperlink" Target="https://bellingcat-archive.nyc3.cdn.digitaloceanspaces.com/Ukraine_Witness_Datasheet/Worksheet/youtube_dl_1mPujwIWeoGdsvyUK1v4LVtN4Eb_5gW9T.mov" TargetMode="External"/><Relationship Id="rId5838" Type="http://schemas.openxmlformats.org/officeDocument/2006/relationships/hyperlink" Target="https://t.me/voyna_novost/17041" TargetMode="External"/><Relationship Id="rId5831" Type="http://schemas.openxmlformats.org/officeDocument/2006/relationships/hyperlink" Target="https://mil.in.ua/uk/news/rosiyany-bombarduvaly-kyyivskyj-teletsentr-suspilnogo-na-dorogozhychah/" TargetMode="External"/><Relationship Id="rId5832" Type="http://schemas.openxmlformats.org/officeDocument/2006/relationships/hyperlink" Target="https://web.archive.org/web/20220305090139/https://mil.in.ua/uk/news/rosiyany-bombarduvaly-kyyivskyj-teletsentr-suspilnogo-na-dorogozhychah/" TargetMode="External"/><Relationship Id="rId4501" Type="http://schemas.openxmlformats.org/officeDocument/2006/relationships/hyperlink" Target="https://bellingcat-archive.nyc3.cdn.digitaloceanspaces.com/Ukraine_Witness_Datasheet/Worksheet/telegram__hueviykharkov_469992022-03-02T08:01:33.486608.png" TargetMode="External"/><Relationship Id="rId4500" Type="http://schemas.openxmlformats.org/officeDocument/2006/relationships/hyperlink" Target="https://bellingcat-archive.nyc3.cdn.digitaloceanspaces.com/Ukraine_Witness_Datasheet/Worksheet/telegram__hueviykharkov_46999.html" TargetMode="External"/><Relationship Id="rId5830" Type="http://schemas.openxmlformats.org/officeDocument/2006/relationships/hyperlink" Target="https://bellingcat-archive.nyc3.cdn.digitaloceanspaces.com/Ukraine_Witness_Datasheet/Worksheet/youtube_dl_1498924276128305154/index.html" TargetMode="External"/><Relationship Id="rId5824" Type="http://schemas.openxmlformats.org/officeDocument/2006/relationships/hyperlink" Target="https://t.me/Tsaplienko/1543" TargetMode="External"/><Relationship Id="rId5825" Type="http://schemas.openxmlformats.org/officeDocument/2006/relationships/hyperlink" Target="https://bellingcat-archive.nyc3.cdn.digitaloceanspaces.com/Ukraine_Witness_Datasheet/Worksheet/telegram__Tsaplienko_1543.html" TargetMode="External"/><Relationship Id="rId5822" Type="http://schemas.openxmlformats.org/officeDocument/2006/relationships/hyperlink" Target="https://bellingcat-archive.nyc3.cdn.digitaloceanspaces.com/Ukraine_Witness_Datasheet/Worksheet/youtube_dl__RALee85_status_14987202335987343372022-03-05T09:00:53.035591.png" TargetMode="External"/><Relationship Id="rId5823" Type="http://schemas.openxmlformats.org/officeDocument/2006/relationships/hyperlink" Target="https://bellingcat-archive.nyc3.cdn.digitaloceanspaces.com/Ukraine_Witness_Datasheet/Worksheet/youtube_dl_1498720233598734337/index.html" TargetMode="External"/><Relationship Id="rId5828" Type="http://schemas.openxmlformats.org/officeDocument/2006/relationships/hyperlink" Target="https://bellingcat-archive.nyc3.cdn.digitaloceanspaces.com/Ukraine_Witness_Datasheet/Worksheet/youtube_dl_1498924276128305154.mp4" TargetMode="External"/><Relationship Id="rId5829" Type="http://schemas.openxmlformats.org/officeDocument/2006/relationships/hyperlink" Target="https://bellingcat-archive.nyc3.cdn.digitaloceanspaces.com/Ukraine_Witness_Datasheet/Worksheet/youtube_dl__Den_2042_status_14989242761283051542022-03-05T09:01:18.640244.png" TargetMode="External"/><Relationship Id="rId5826" Type="http://schemas.openxmlformats.org/officeDocument/2006/relationships/hyperlink" Target="https://bellingcat-archive.nyc3.cdn.digitaloceanspaces.com/Ukraine_Witness_Datasheet/Worksheet/telegram__Tsaplienko_15432022-03-05T09:01:08.618118.png" TargetMode="External"/><Relationship Id="rId5827" Type="http://schemas.openxmlformats.org/officeDocument/2006/relationships/hyperlink" Target="https://twitter.com/Den_2042/status/1498924276128305154?s=20&amp;t=Ttn1cbGQ2md02mL9Qkx6gA" TargetMode="External"/><Relationship Id="rId8097" Type="http://schemas.openxmlformats.org/officeDocument/2006/relationships/hyperlink" Target="https://bellingcat-archive.nyc3.cdn.digitaloceanspaces.com/Ukraine_Witness_Datasheet/Worksheet/youtube_dl__HillridgeOSINT_status_14997387896856944682022-03-09T18:07:42.796631.png" TargetMode="External"/><Relationship Id="rId8096" Type="http://schemas.openxmlformats.org/officeDocument/2006/relationships/hyperlink" Target="https://bellingcat-archive.nyc3.cdn.digitaloceanspaces.com/Ukraine_Witness_Datasheet/Worksheet/youtube_dl_1499738789685694468.mp4" TargetMode="External"/><Relationship Id="rId8095" Type="http://schemas.openxmlformats.org/officeDocument/2006/relationships/hyperlink" Target="https://twitter.com/HillridgeOSINT/status/1499739188312383493" TargetMode="External"/><Relationship Id="rId8094" Type="http://schemas.openxmlformats.org/officeDocument/2006/relationships/hyperlink" Target="https://twitter.com/HillridgeOSINT/status/1499738789685694468" TargetMode="External"/><Relationship Id="rId8099" Type="http://schemas.openxmlformats.org/officeDocument/2006/relationships/hyperlink" Target="https://twitter.com/OsintTv/status/1499725490684416002" TargetMode="External"/><Relationship Id="rId8098" Type="http://schemas.openxmlformats.org/officeDocument/2006/relationships/hyperlink" Target="https://bellingcat-archive.nyc3.cdn.digitaloceanspaces.com/Ukraine_Witness_Datasheet/Worksheet/youtube_dl_1499738789685694468/index.html" TargetMode="External"/><Relationship Id="rId5820" Type="http://schemas.openxmlformats.org/officeDocument/2006/relationships/hyperlink" Target="https://twitter.com/RALee85/status/1498720233598734337?s=20&amp;t=MvVjkfxO22qslA-u9zpV_Q" TargetMode="External"/><Relationship Id="rId5821" Type="http://schemas.openxmlformats.org/officeDocument/2006/relationships/hyperlink" Target="https://bellingcat-archive.nyc3.cdn.digitaloceanspaces.com/Ukraine_Witness_Datasheet/Worksheet/youtube_dl_1498720233598734337.mp4" TargetMode="External"/><Relationship Id="rId8042" Type="http://schemas.openxmlformats.org/officeDocument/2006/relationships/hyperlink" Target="https://twitter.com/Noobieshunta_/status/1500427324830924801" TargetMode="External"/><Relationship Id="rId8041" Type="http://schemas.openxmlformats.org/officeDocument/2006/relationships/hyperlink" Target="https://twitter.com/Liveuamap/status/1500413691958865923" TargetMode="External"/><Relationship Id="rId8040" Type="http://schemas.openxmlformats.org/officeDocument/2006/relationships/hyperlink" Target="https://bellingcat-archive.nyc3.cdn.digitaloceanspaces.com/Ukraine_Witness_Datasheet/Worksheet/telegram__istorijaoruzija_401642022-03-09T17:56:51.858220.png" TargetMode="External"/><Relationship Id="rId8046" Type="http://schemas.openxmlformats.org/officeDocument/2006/relationships/hyperlink" Target="https://twitter.com/Archer83Able/status/1501613837287624713?s=20&amp;t=Oz1z1qQq9mQH7-5Hi9Y9Kg" TargetMode="External"/><Relationship Id="rId8045" Type="http://schemas.openxmlformats.org/officeDocument/2006/relationships/hyperlink" Target="https://twitter.com/Archer83Able/status/1501613527676723205?s=20&amp;t=Oz1z1qQq9mQH7-5Hi9Y9Kg" TargetMode="External"/><Relationship Id="rId8044" Type="http://schemas.openxmlformats.org/officeDocument/2006/relationships/hyperlink" Target="https://bellingcat-archive.nyc3.cdn.digitaloceanspaces.com/Ukraine_Witness_Datasheet/Worksheet/twitter__Liveuamap_status_15004136919588659232022-03-09T17:57:08.317853.png" TargetMode="External"/><Relationship Id="rId8043" Type="http://schemas.openxmlformats.org/officeDocument/2006/relationships/hyperlink" Target="https://bellingcat-archive.nyc3.cdn.digitaloceanspaces.com/Ukraine_Witness_Datasheet/Worksheet/twitter__Liveuamap_status_1500413691958865923.html" TargetMode="External"/><Relationship Id="rId8049" Type="http://schemas.openxmlformats.org/officeDocument/2006/relationships/hyperlink" Target="https://bellingcat-archive.nyc3.cdn.digitaloceanspaces.com/Ukraine_Witness_Datasheet/Worksheet/youtube_dl_1501613527676723205/index.html" TargetMode="External"/><Relationship Id="rId8048" Type="http://schemas.openxmlformats.org/officeDocument/2006/relationships/hyperlink" Target="https://bellingcat-archive.nyc3.cdn.digitaloceanspaces.com/Ukraine_Witness_Datasheet/Worksheet/youtube_dl__Archer83Able_status_15016135276767232052022-03-09T17:57:19.270102.png" TargetMode="External"/><Relationship Id="rId8047" Type="http://schemas.openxmlformats.org/officeDocument/2006/relationships/hyperlink" Target="https://bellingcat-archive.nyc3.cdn.digitaloceanspaces.com/Ukraine_Witness_Datasheet/Worksheet/youtube_dl_1501613527676723205.mp4" TargetMode="External"/><Relationship Id="rId8031" Type="http://schemas.openxmlformats.org/officeDocument/2006/relationships/hyperlink" Target="https://bellingcat-archive.nyc3.cdn.digitaloceanspaces.com/Ukraine_Witness_Datasheet/Worksheet/twitter__RALee85_status_14978400776654520362022-03-09T17:56:27.551433.png" TargetMode="External"/><Relationship Id="rId8030" Type="http://schemas.openxmlformats.org/officeDocument/2006/relationships/hyperlink" Target="https://bellingcat-archive.nyc3.cdn.digitaloceanspaces.com/Ukraine_Witness_Datasheet/Worksheet/twitter__RALee85_status_1497840077665452036.html" TargetMode="External"/><Relationship Id="rId8035" Type="http://schemas.openxmlformats.org/officeDocument/2006/relationships/hyperlink" Target="https://bellingcat-archive.nyc3.cdn.digitaloceanspaces.com/Ukraine_Witness_Datasheet/Worksheet/youtube_dl__Osinttechnical_status_14996994054773227542022-03-09T17:56:38.061120.png" TargetMode="External"/><Relationship Id="rId8034" Type="http://schemas.openxmlformats.org/officeDocument/2006/relationships/hyperlink" Target="https://bellingcat-archive.nyc3.cdn.digitaloceanspaces.com/Ukraine_Witness_Datasheet/Worksheet/youtube_dl_1499699405477322754.mp4" TargetMode="External"/><Relationship Id="rId8033" Type="http://schemas.openxmlformats.org/officeDocument/2006/relationships/hyperlink" Target="https://twitter.com/zcjbrooker/status/1499725948937248772" TargetMode="External"/><Relationship Id="rId8032" Type="http://schemas.openxmlformats.org/officeDocument/2006/relationships/hyperlink" Target="https://twitter.com/Osinttechnical/status/1499699405477322754" TargetMode="External"/><Relationship Id="rId8039" Type="http://schemas.openxmlformats.org/officeDocument/2006/relationships/hyperlink" Target="https://bellingcat-archive.nyc3.cdn.digitaloceanspaces.com/Ukraine_Witness_Datasheet/Worksheet/telegram__istorijaoruzija_40164.html" TargetMode="External"/><Relationship Id="rId8038" Type="http://schemas.openxmlformats.org/officeDocument/2006/relationships/hyperlink" Target="https://twitter.com/GeoConfirmed/status/1500459200853516295" TargetMode="External"/><Relationship Id="rId8037" Type="http://schemas.openxmlformats.org/officeDocument/2006/relationships/hyperlink" Target="https://t.me/istorijaoruzija/40164" TargetMode="External"/><Relationship Id="rId8036" Type="http://schemas.openxmlformats.org/officeDocument/2006/relationships/hyperlink" Target="https://bellingcat-archive.nyc3.cdn.digitaloceanspaces.com/Ukraine_Witness_Datasheet/Worksheet/youtube_dl_1499699405477322754/index.html" TargetMode="External"/><Relationship Id="rId8071" Type="http://schemas.openxmlformats.org/officeDocument/2006/relationships/hyperlink" Target="https://twitter.com/GeoConfirmed/status/1500074699379945476" TargetMode="External"/><Relationship Id="rId8070" Type="http://schemas.openxmlformats.org/officeDocument/2006/relationships/hyperlink" Target="https://t.me/OSINTUKRAINE/2234" TargetMode="External"/><Relationship Id="rId8064" Type="http://schemas.openxmlformats.org/officeDocument/2006/relationships/hyperlink" Target="https://bellingcat-archive.nyc3.cdn.digitaloceanspaces.com/Ukraine_Witness_Datasheet/Worksheet/twitter__no_itsmyturn_status_15001978470478397492022-03-09T18:05:13.096652.png" TargetMode="External"/><Relationship Id="rId8063" Type="http://schemas.openxmlformats.org/officeDocument/2006/relationships/hyperlink" Target="https://bellingcat-archive.nyc3.cdn.digitaloceanspaces.com/Ukraine_Witness_Datasheet/Worksheet/twitter__no_itsmyturn_status_1500197847047839749.html" TargetMode="External"/><Relationship Id="rId8062" Type="http://schemas.openxmlformats.org/officeDocument/2006/relationships/hyperlink" Target="https://twitter.com/GeoConfirmed/status/1500208071653707780" TargetMode="External"/><Relationship Id="rId8061" Type="http://schemas.openxmlformats.org/officeDocument/2006/relationships/hyperlink" Target="https://twitter.com/no_itsmyturn/status/1500197847047839749" TargetMode="External"/><Relationship Id="rId8068" Type="http://schemas.openxmlformats.org/officeDocument/2006/relationships/hyperlink" Target="https://bellingcat-archive.nyc3.cdn.digitaloceanspaces.com/Ukraine_Witness_Datasheet/Worksheet/youtube_dl__aldin_ww_status_15001631314227445772022-03-09T18:05:26.188322.png" TargetMode="External"/><Relationship Id="rId8067" Type="http://schemas.openxmlformats.org/officeDocument/2006/relationships/hyperlink" Target="https://bellingcat-archive.nyc3.cdn.digitaloceanspaces.com/Ukraine_Witness_Datasheet/Worksheet/youtube_dl_1500163131422744577.mp4" TargetMode="External"/><Relationship Id="rId8066" Type="http://schemas.openxmlformats.org/officeDocument/2006/relationships/hyperlink" Target="https://twitter.com/AosiGeo/status/1500175184774451205" TargetMode="External"/><Relationship Id="rId8065" Type="http://schemas.openxmlformats.org/officeDocument/2006/relationships/hyperlink" Target="https://twitter.com/aldin_ww/status/1500163131422744577" TargetMode="External"/><Relationship Id="rId8069" Type="http://schemas.openxmlformats.org/officeDocument/2006/relationships/hyperlink" Target="https://bellingcat-archive.nyc3.cdn.digitaloceanspaces.com/Ukraine_Witness_Datasheet/Worksheet/youtube_dl_1500163131422744577/index.html" TargetMode="External"/><Relationship Id="rId8060" Type="http://schemas.openxmlformats.org/officeDocument/2006/relationships/hyperlink" Target="https://bellingcat-archive.nyc3.cdn.digitaloceanspaces.com/Ukraine_Witness_Datasheet/Worksheet/telegram__suspilnekharkiv_87972022-03-09T18:00:40.896613.png" TargetMode="External"/><Relationship Id="rId8053" Type="http://schemas.openxmlformats.org/officeDocument/2006/relationships/hyperlink" Target="https://bellingcat-archive.nyc3.cdn.digitaloceanspaces.com/Ukraine_Witness_Datasheet/Worksheet/youtube_dl__SputnikATO_status_15003305169139998762022-03-09T18:00:13.351978.png" TargetMode="External"/><Relationship Id="rId8052" Type="http://schemas.openxmlformats.org/officeDocument/2006/relationships/hyperlink" Target="https://bellingcat-archive.nyc3.cdn.digitaloceanspaces.com/Ukraine_Witness_Datasheet/Worksheet/youtube_dl_1500330516913999876.mp4" TargetMode="External"/><Relationship Id="rId8051" Type="http://schemas.openxmlformats.org/officeDocument/2006/relationships/hyperlink" Target="https://twitter.com/Noobieshunta_/status/1500387977238822916" TargetMode="External"/><Relationship Id="rId8050" Type="http://schemas.openxmlformats.org/officeDocument/2006/relationships/hyperlink" Target="https://twitter.com/SputnikATO/status/1500330516913999876" TargetMode="External"/><Relationship Id="rId8057" Type="http://schemas.openxmlformats.org/officeDocument/2006/relationships/hyperlink" Target="https://bellingcat-archive.nyc3.cdn.digitaloceanspaces.com/Ukraine_Witness_Datasheet/Worksheet/telegram__suspilnekharkiv_87972022-03-09T18:00:25.182245.png" TargetMode="External"/><Relationship Id="rId8056" Type="http://schemas.openxmlformats.org/officeDocument/2006/relationships/hyperlink" Target="https://bellingcat-archive.nyc3.cdn.digitaloceanspaces.com/Ukraine_Witness_Datasheet/Worksheet/telegram__suspilnekharkiv_8797.html" TargetMode="External"/><Relationship Id="rId8055" Type="http://schemas.openxmlformats.org/officeDocument/2006/relationships/hyperlink" Target="https://t.me/suspilnekharkiv/8797" TargetMode="External"/><Relationship Id="rId8054" Type="http://schemas.openxmlformats.org/officeDocument/2006/relationships/hyperlink" Target="https://bellingcat-archive.nyc3.cdn.digitaloceanspaces.com/Ukraine_Witness_Datasheet/Worksheet/youtube_dl_1500330516913999876/index.html" TargetMode="External"/><Relationship Id="rId8059" Type="http://schemas.openxmlformats.org/officeDocument/2006/relationships/hyperlink" Target="https://bellingcat-archive.nyc3.cdn.digitaloceanspaces.com/Ukraine_Witness_Datasheet/Worksheet/telegram__suspilnekharkiv_8797.html" TargetMode="External"/><Relationship Id="rId8058" Type="http://schemas.openxmlformats.org/officeDocument/2006/relationships/hyperlink" Target="https://t.me/suspilnekharkiv/8797" TargetMode="External"/><Relationship Id="rId3238" Type="http://schemas.openxmlformats.org/officeDocument/2006/relationships/hyperlink" Target="https://twitter.com/UAWeapons/status/1497235213713395723?s=20&amp;t=yu7tuGrNgoDZkuWlYF4apw" TargetMode="External"/><Relationship Id="rId4569" Type="http://schemas.openxmlformats.org/officeDocument/2006/relationships/hyperlink" Target="https://twitter.com/UAWeapons/status/1498725396346507269" TargetMode="External"/><Relationship Id="rId3237" Type="http://schemas.openxmlformats.org/officeDocument/2006/relationships/hyperlink" Target="https://bellingcat-archive.nyc3.cdn.digitaloceanspaces.com/Ukraine_Witness_Datasheet/Worksheet/youtube_dl_1497206869986787330/index.html" TargetMode="External"/><Relationship Id="rId4568" Type="http://schemas.openxmlformats.org/officeDocument/2006/relationships/hyperlink" Target="https://bellingcat-archive.nyc3.cdn.digitaloceanspaces.com/Ukraine_Witness_Datasheet/Worksheet/youtube_dl_1498709008311590922/index.html" TargetMode="External"/><Relationship Id="rId5899" Type="http://schemas.openxmlformats.org/officeDocument/2006/relationships/hyperlink" Target="https://bellingcat-archive.nyc3.cdn.digitaloceanspaces.com/Ukraine_Witness_Datasheet/Worksheet/youtube_dl__KyleJGlen_status_14993365083644928012022-03-05T09:13:37.987214.png" TargetMode="External"/><Relationship Id="rId3239" Type="http://schemas.openxmlformats.org/officeDocument/2006/relationships/hyperlink" Target="https://twitter.com/azyakancokkacan/status/1497319130931814403?s=20&amp;t=g4jIqyvuALeSk_Qc-kYXbw" TargetMode="External"/><Relationship Id="rId5890" Type="http://schemas.openxmlformats.org/officeDocument/2006/relationships/hyperlink" Target="https://bellingcat-archive.nyc3.cdn.digitaloceanspaces.com/Ukraine_Witness_Datasheet/Worksheet/youtube_dl_Yi9701_goo0.webm" TargetMode="External"/><Relationship Id="rId3230" Type="http://schemas.openxmlformats.org/officeDocument/2006/relationships/hyperlink" Target="https://twitter.com/AnatolGordienko/status/1497260854349283333" TargetMode="External"/><Relationship Id="rId4561" Type="http://schemas.openxmlformats.org/officeDocument/2006/relationships/hyperlink" Target="https://twitter.com/aldin_ww/status/1498716479465918470" TargetMode="External"/><Relationship Id="rId5893" Type="http://schemas.openxmlformats.org/officeDocument/2006/relationships/hyperlink" Target="https://twitter.com/avalaina/status/1499472543312404484?s=20&amp;t=Pn5C64ICPWKI1rgvXu7BCA" TargetMode="External"/><Relationship Id="rId4560" Type="http://schemas.openxmlformats.org/officeDocument/2006/relationships/hyperlink" Target="https://bellingcat-archive.nyc3.cdn.digitaloceanspaces.com/Ukraine_Witness_Datasheet/Worksheet/youtube_dl_1498714042155905031/index.html" TargetMode="External"/><Relationship Id="rId5894" Type="http://schemas.openxmlformats.org/officeDocument/2006/relationships/hyperlink" Target="https://bellingcat-archive.nyc3.cdn.digitaloceanspaces.com/Ukraine_Witness_Datasheet/Worksheet/youtube_dl_1499472543312404484.mp4" TargetMode="External"/><Relationship Id="rId3232" Type="http://schemas.openxmlformats.org/officeDocument/2006/relationships/hyperlink" Target="https://bellingcat-archive.nyc3.cdn.digitaloceanspaces.com/Ukraine_Witness_Datasheet/Worksheet/twitter__AnatolGordienko_status_14972608543492833332022-02-26T07:14:52.276538.png" TargetMode="External"/><Relationship Id="rId4563" Type="http://schemas.openxmlformats.org/officeDocument/2006/relationships/hyperlink" Target="https://bellingcat-archive.nyc3.cdn.digitaloceanspaces.com/Ukraine_Witness_Datasheet/Worksheet/youtube_dl__aldin_ww_status_14987164794659184702022-03-02T09:08:44.414674.png" TargetMode="External"/><Relationship Id="rId5891" Type="http://schemas.openxmlformats.org/officeDocument/2006/relationships/hyperlink" Target="https://bellingcat-archive.nyc3.cdn.digitaloceanspaces.com/Ukraine_Witness_Datasheet/Worksheet/youtube_dl_-aviatsiya-atakovala-dve-shkolyi-i-chastnyie-doma-pogibli-9-chelovek-chetvero-ranenyi-foto-i-video.htm2022-03-05T09:13:09.198587.png" TargetMode="External"/><Relationship Id="rId3231" Type="http://schemas.openxmlformats.org/officeDocument/2006/relationships/hyperlink" Target="https://bellingcat-archive.nyc3.cdn.digitaloceanspaces.com/Ukraine_Witness_Datasheet/Worksheet/twitter__AnatolGordienko_status_1497260854349283333.html" TargetMode="External"/><Relationship Id="rId4562" Type="http://schemas.openxmlformats.org/officeDocument/2006/relationships/hyperlink" Target="https://bellingcat-archive.nyc3.cdn.digitaloceanspaces.com/Ukraine_Witness_Datasheet/Worksheet/youtube_dl_1498716479465918470.mp4" TargetMode="External"/><Relationship Id="rId5892" Type="http://schemas.openxmlformats.org/officeDocument/2006/relationships/hyperlink" Target="https://bellingcat-archive.nyc3.cdn.digitaloceanspaces.com/Ukraine_Witness_Datasheet/Worksheet/youtube_dl_Yi9701_goo0/index.html" TargetMode="External"/><Relationship Id="rId3234" Type="http://schemas.openxmlformats.org/officeDocument/2006/relationships/hyperlink" Target="https://www.marinetraffic.com/en/ais/home/shipid:284968/zoom:10" TargetMode="External"/><Relationship Id="rId4565" Type="http://schemas.openxmlformats.org/officeDocument/2006/relationships/hyperlink" Target="https://twitter.com/aldin_ww/status/1498709008311590922?s=20&amp;t=0YoxZYVXG1mj_KWAulgueQ" TargetMode="External"/><Relationship Id="rId5897" Type="http://schemas.openxmlformats.org/officeDocument/2006/relationships/hyperlink" Target="https://twitter.com/KyleJGlen/status/1499336508364492801?s=20&amp;t=wQbcvAgAVgQ6A8oWjLPbXg" TargetMode="External"/><Relationship Id="rId3233" Type="http://schemas.openxmlformats.org/officeDocument/2006/relationships/hyperlink" Target="https://twitter.com/ua_intelligence/status/1497206869986787330" TargetMode="External"/><Relationship Id="rId4564" Type="http://schemas.openxmlformats.org/officeDocument/2006/relationships/hyperlink" Target="https://bellingcat-archive.nyc3.cdn.digitaloceanspaces.com/Ukraine_Witness_Datasheet/Worksheet/youtube_dl_1498716479465918470/index.html" TargetMode="External"/><Relationship Id="rId5898" Type="http://schemas.openxmlformats.org/officeDocument/2006/relationships/hyperlink" Target="https://bellingcat-archive.nyc3.cdn.digitaloceanspaces.com/Ukraine_Witness_Datasheet/Worksheet/youtube_dl_1499336508364492801.mp4" TargetMode="External"/><Relationship Id="rId3236" Type="http://schemas.openxmlformats.org/officeDocument/2006/relationships/hyperlink" Target="https://bellingcat-archive.nyc3.cdn.digitaloceanspaces.com/Ukraine_Witness_Datasheet/Worksheet/youtube_dl__ua_intelligence_status_14972068699867873302022-02-26T07:15:36.664376.png" TargetMode="External"/><Relationship Id="rId4567" Type="http://schemas.openxmlformats.org/officeDocument/2006/relationships/hyperlink" Target="https://bellingcat-archive.nyc3.cdn.digitaloceanspaces.com/Ukraine_Witness_Datasheet/Worksheet/youtube_dl__aldin_ww_status_14987090083115909222022-03-02T09:08:58.204200.png" TargetMode="External"/><Relationship Id="rId5895" Type="http://schemas.openxmlformats.org/officeDocument/2006/relationships/hyperlink" Target="https://bellingcat-archive.nyc3.cdn.digitaloceanspaces.com/Ukraine_Witness_Datasheet/Worksheet/youtube_dl__avalaina_status_14994725433124044842022-03-05T09:13:22.701589.png" TargetMode="External"/><Relationship Id="rId3235" Type="http://schemas.openxmlformats.org/officeDocument/2006/relationships/hyperlink" Target="https://bellingcat-archive.nyc3.cdn.digitaloceanspaces.com/Ukraine_Witness_Datasheet/Worksheet/youtube_dl_1497206869986787330.mp4" TargetMode="External"/><Relationship Id="rId4566" Type="http://schemas.openxmlformats.org/officeDocument/2006/relationships/hyperlink" Target="https://bellingcat-archive.nyc3.cdn.digitaloceanspaces.com/Ukraine_Witness_Datasheet/Worksheet/youtube_dl_1498709008311590922.mp4" TargetMode="External"/><Relationship Id="rId5896" Type="http://schemas.openxmlformats.org/officeDocument/2006/relationships/hyperlink" Target="https://bellingcat-archive.nyc3.cdn.digitaloceanspaces.com/Ukraine_Witness_Datasheet/Worksheet/youtube_dl_1499472543312404484/index.html" TargetMode="External"/><Relationship Id="rId3227" Type="http://schemas.openxmlformats.org/officeDocument/2006/relationships/hyperlink" Target="https://bellingcat-archive.nyc3.cdn.digitaloceanspaces.com/Ukraine_Witness_Datasheet/Worksheet/telegram__faceofwar_158652022-02-25T21:26:14.725569.png" TargetMode="External"/><Relationship Id="rId4558" Type="http://schemas.openxmlformats.org/officeDocument/2006/relationships/hyperlink" Target="https://bellingcat-archive.nyc3.cdn.digitaloceanspaces.com/Ukraine_Witness_Datasheet/Worksheet/youtube_dl_1498714042155905031.mp4" TargetMode="External"/><Relationship Id="rId3226" Type="http://schemas.openxmlformats.org/officeDocument/2006/relationships/hyperlink" Target="https://bellingcat-archive.nyc3.cdn.digitaloceanspaces.com/Ukraine_Witness_Datasheet/Worksheet/telegram_2a070ae19b.mp4" TargetMode="External"/><Relationship Id="rId4557" Type="http://schemas.openxmlformats.org/officeDocument/2006/relationships/hyperlink" Target="https://twitter.com/RALee85/status/1498714042155905031" TargetMode="External"/><Relationship Id="rId3229" Type="http://schemas.openxmlformats.org/officeDocument/2006/relationships/hyperlink" Target="https://t.me/faceofwar/15865" TargetMode="External"/><Relationship Id="rId5888" Type="http://schemas.openxmlformats.org/officeDocument/2006/relationships/hyperlink" Target="https://twitter.com/OsintTv/status/1499326903941050370" TargetMode="External"/><Relationship Id="rId3228" Type="http://schemas.openxmlformats.org/officeDocument/2006/relationships/hyperlink" Target="https://bellingcat-archive.nyc3.cdn.digitaloceanspaces.com/Ukraine_Witness_Datasheet/Worksheet/telegram_2a070ae19b/index.html" TargetMode="External"/><Relationship Id="rId4559" Type="http://schemas.openxmlformats.org/officeDocument/2006/relationships/hyperlink" Target="https://bellingcat-archive.nyc3.cdn.digitaloceanspaces.com/Ukraine_Witness_Datasheet/Worksheet/youtube_dl__RALee85_status_14987140421559050312022-03-02T09:08:30.744940.png" TargetMode="External"/><Relationship Id="rId5889" Type="http://schemas.openxmlformats.org/officeDocument/2006/relationships/hyperlink" Target="https://news.obozrevatel.com/society/v-chernigove-rossijskaya-aviatsiya-atakovala-dve-shkolyi-i-chastnyie-doma-pogibli-9-chelovek-chetvero-ranenyi-foto-i-video.htm" TargetMode="External"/><Relationship Id="rId4550" Type="http://schemas.openxmlformats.org/officeDocument/2006/relationships/hyperlink" Target="https://bellingcat-archive.nyc3.cdn.digitaloceanspaces.com/Ukraine_Witness_Datasheet/Worksheet/youtube_dl__IntelDoge_status_14987030333913251842022-03-02T09:06:30.869353.png" TargetMode="External"/><Relationship Id="rId5882" Type="http://schemas.openxmlformats.org/officeDocument/2006/relationships/hyperlink" Target="https://t.me/truexanewsua/27293" TargetMode="External"/><Relationship Id="rId5883" Type="http://schemas.openxmlformats.org/officeDocument/2006/relationships/hyperlink" Target="https://bellingcat-archive.nyc3.cdn.digitaloceanspaces.com/Ukraine_Witness_Datasheet/Worksheet/telegram__truexanewsua_27293.html" TargetMode="External"/><Relationship Id="rId3221" Type="http://schemas.openxmlformats.org/officeDocument/2006/relationships/hyperlink" Target="https://twitter.com/andreymuz/status/1497266735984037890" TargetMode="External"/><Relationship Id="rId4552" Type="http://schemas.openxmlformats.org/officeDocument/2006/relationships/hyperlink" Target="https://t.me/riamelitopol/44999" TargetMode="External"/><Relationship Id="rId5880" Type="http://schemas.openxmlformats.org/officeDocument/2006/relationships/hyperlink" Target="https://bellingcat-archive.nyc3.cdn.digitaloceanspaces.com/Ukraine_Witness_Datasheet/Worksheet/telegram__hueviykharkov_47735.html" TargetMode="External"/><Relationship Id="rId3220" Type="http://schemas.openxmlformats.org/officeDocument/2006/relationships/hyperlink" Target="https://bellingcat-archive.nyc3.cdn.digitaloceanspaces.com/Ukraine_Witness_Datasheet/Worksheet/twitter__RomanVMoroz_status_1497243456871227397_photo_32022-02-25T19:39:35.432525.png" TargetMode="External"/><Relationship Id="rId4551" Type="http://schemas.openxmlformats.org/officeDocument/2006/relationships/hyperlink" Target="https://bellingcat-archive.nyc3.cdn.digitaloceanspaces.com/Ukraine_Witness_Datasheet/Worksheet/youtube_dl_1498703033391325184/index.html" TargetMode="External"/><Relationship Id="rId5881" Type="http://schemas.openxmlformats.org/officeDocument/2006/relationships/hyperlink" Target="https://bellingcat-archive.nyc3.cdn.digitaloceanspaces.com/Ukraine_Witness_Datasheet/Worksheet/telegram__hueviykharkov_477352022-03-05T09:11:47.316915.png" TargetMode="External"/><Relationship Id="rId3223" Type="http://schemas.openxmlformats.org/officeDocument/2006/relationships/hyperlink" Target="https://bellingcat-archive.nyc3.cdn.digitaloceanspaces.com/Ukraine_Witness_Datasheet/Worksheet/youtube_dl__andreymuz_status_14972667359840378902022-02-25T21:25:54.889128.png" TargetMode="External"/><Relationship Id="rId4554" Type="http://schemas.openxmlformats.org/officeDocument/2006/relationships/hyperlink" Target="https://bellingcat-archive.nyc3.cdn.digitaloceanspaces.com/Ukraine_Witness_Datasheet/Worksheet/telegram__riamelitopol_449992022-03-02T09:06:43.685024.png" TargetMode="External"/><Relationship Id="rId5886" Type="http://schemas.openxmlformats.org/officeDocument/2006/relationships/hyperlink" Target="https://web.archive.org/web/20220305091218/https://www.facebook.com/sergey.gaidai.loga/posts/133329415873117" TargetMode="External"/><Relationship Id="rId3222" Type="http://schemas.openxmlformats.org/officeDocument/2006/relationships/hyperlink" Target="https://bellingcat-archive.nyc3.cdn.digitaloceanspaces.com/Ukraine_Witness_Datasheet/Worksheet/youtube_dl_1497266735984037890.mp4" TargetMode="External"/><Relationship Id="rId4553" Type="http://schemas.openxmlformats.org/officeDocument/2006/relationships/hyperlink" Target="https://bellingcat-archive.nyc3.cdn.digitaloceanspaces.com/Ukraine_Witness_Datasheet/Worksheet/telegram_c3050b39d1.mp4" TargetMode="External"/><Relationship Id="rId5887" Type="http://schemas.openxmlformats.org/officeDocument/2006/relationships/hyperlink" Target="https://bellingcat-archive.nyc3.cdn.digitaloceanspaces.com/Ukraine_Witness_Datasheet/Worksheet/wayback__sergey.gaidai.loga_posts_1333294158731172022-03-05T09:12:29.191360.png" TargetMode="External"/><Relationship Id="rId3225" Type="http://schemas.openxmlformats.org/officeDocument/2006/relationships/hyperlink" Target="https://t.me/faceofwar/15865" TargetMode="External"/><Relationship Id="rId4556" Type="http://schemas.openxmlformats.org/officeDocument/2006/relationships/hyperlink" Target="https://t.me/riamelitopol/44999" TargetMode="External"/><Relationship Id="rId5884" Type="http://schemas.openxmlformats.org/officeDocument/2006/relationships/hyperlink" Target="https://bellingcat-archive.nyc3.cdn.digitaloceanspaces.com/Ukraine_Witness_Datasheet/Worksheet/telegram__truexanewsua_272932022-03-05T09:11:59.323499.png" TargetMode="External"/><Relationship Id="rId3224" Type="http://schemas.openxmlformats.org/officeDocument/2006/relationships/hyperlink" Target="https://bellingcat-archive.nyc3.cdn.digitaloceanspaces.com/Ukraine_Witness_Datasheet/Worksheet/youtube_dl_1497266735984037890/index.html" TargetMode="External"/><Relationship Id="rId4555" Type="http://schemas.openxmlformats.org/officeDocument/2006/relationships/hyperlink" Target="https://bellingcat-archive.nyc3.cdn.digitaloceanspaces.com/Ukraine_Witness_Datasheet/Worksheet/telegram_c3050b39d1/index.html" TargetMode="External"/><Relationship Id="rId5885" Type="http://schemas.openxmlformats.org/officeDocument/2006/relationships/hyperlink" Target="https://www.facebook.com/sergey.gaidai.loga/posts/133329415873117" TargetMode="External"/><Relationship Id="rId3259" Type="http://schemas.openxmlformats.org/officeDocument/2006/relationships/hyperlink" Target="https://bellingcat-archive.nyc3.cdn.digitaloceanspaces.com/Ukraine_Witness_Datasheet/Worksheet/youtube_dl__RALee85_status_14973446740921794592022-02-26T07:18:20.205242.png" TargetMode="External"/><Relationship Id="rId3250" Type="http://schemas.openxmlformats.org/officeDocument/2006/relationships/hyperlink" Target="https://bellingcat-archive.nyc3.cdn.digitaloceanspaces.com/Ukraine_Witness_Datasheet/Worksheet/youtube_dl__GirkinGirkin_status_14968388143246417922022-02-26T07:17:29.966078.png" TargetMode="External"/><Relationship Id="rId4581" Type="http://schemas.openxmlformats.org/officeDocument/2006/relationships/hyperlink" Target="https://bellingcat-archive.nyc3.cdn.digitaloceanspaces.com/Ukraine_Witness_Datasheet/Worksheet/youtube_dl_1498689358349623304.mp4" TargetMode="External"/><Relationship Id="rId4580" Type="http://schemas.openxmlformats.org/officeDocument/2006/relationships/hyperlink" Target="https://twitter.com/RestitutorOrien/status/1498689358349623304" TargetMode="External"/><Relationship Id="rId3252" Type="http://schemas.openxmlformats.org/officeDocument/2006/relationships/hyperlink" Target="https://twitter.com/UAWeapons/status/1497235213713395723" TargetMode="External"/><Relationship Id="rId4583" Type="http://schemas.openxmlformats.org/officeDocument/2006/relationships/hyperlink" Target="https://bellingcat-archive.nyc3.cdn.digitaloceanspaces.com/Ukraine_Witness_Datasheet/Worksheet/youtube_dl_1498689358349623304/index.html" TargetMode="External"/><Relationship Id="rId3251" Type="http://schemas.openxmlformats.org/officeDocument/2006/relationships/hyperlink" Target="https://bellingcat-archive.nyc3.cdn.digitaloceanspaces.com/Ukraine_Witness_Datasheet/Worksheet/youtube_dl_1496838814324641792/index.html" TargetMode="External"/><Relationship Id="rId4582" Type="http://schemas.openxmlformats.org/officeDocument/2006/relationships/hyperlink" Target="https://bellingcat-archive.nyc3.cdn.digitaloceanspaces.com/Ukraine_Witness_Datasheet/Worksheet/youtube_dl__RestitutorOrien_status_14986893583496233042022-03-02T09:10:09.871300.png" TargetMode="External"/><Relationship Id="rId3254" Type="http://schemas.openxmlformats.org/officeDocument/2006/relationships/hyperlink" Target="https://bellingcat-archive.nyc3.cdn.digitaloceanspaces.com/Ukraine_Witness_Datasheet/Worksheet/youtube_dl_1497235213713395723.mp4" TargetMode="External"/><Relationship Id="rId4585" Type="http://schemas.openxmlformats.org/officeDocument/2006/relationships/hyperlink" Target="https://twitter.com/Michael1Sheldon/status/1498044553915420674" TargetMode="External"/><Relationship Id="rId3253" Type="http://schemas.openxmlformats.org/officeDocument/2006/relationships/hyperlink" Target="https://twitter.com/azyakancokkacan/status/1497319130931814403" TargetMode="External"/><Relationship Id="rId4584" Type="http://schemas.openxmlformats.org/officeDocument/2006/relationships/hyperlink" Target="https://twitter.com/Michael1Sheldon/status/1498044130416594947" TargetMode="External"/><Relationship Id="rId3256" Type="http://schemas.openxmlformats.org/officeDocument/2006/relationships/hyperlink" Target="https://bellingcat-archive.nyc3.cdn.digitaloceanspaces.com/Ukraine_Witness_Datasheet/Worksheet/youtube_dl_1497235213713395723/index.html" TargetMode="External"/><Relationship Id="rId4587" Type="http://schemas.openxmlformats.org/officeDocument/2006/relationships/hyperlink" Target="https://bellingcat-archive.nyc3.cdn.digitaloceanspaces.com/Ukraine_Witness_Datasheet/Worksheet/youtube_dl__Michael1Sheldon_status_14980441304165949472022-03-02T09:10:23.439420.png" TargetMode="External"/><Relationship Id="rId3255" Type="http://schemas.openxmlformats.org/officeDocument/2006/relationships/hyperlink" Target="https://bellingcat-archive.nyc3.cdn.digitaloceanspaces.com/Ukraine_Witness_Datasheet/Worksheet/youtube_dl__UAWeapons_status_14972352137133957232022-02-26T07:17:55.252885.png" TargetMode="External"/><Relationship Id="rId4586" Type="http://schemas.openxmlformats.org/officeDocument/2006/relationships/hyperlink" Target="https://bellingcat-archive.nyc3.cdn.digitaloceanspaces.com/Ukraine_Witness_Datasheet/Worksheet/youtube_dl_1498044130416594947.mp4" TargetMode="External"/><Relationship Id="rId3258" Type="http://schemas.openxmlformats.org/officeDocument/2006/relationships/hyperlink" Target="https://bellingcat-archive.nyc3.cdn.digitaloceanspaces.com/Ukraine_Witness_Datasheet/Worksheet/youtube_dl_1497344674092179459.mp4" TargetMode="External"/><Relationship Id="rId4589" Type="http://schemas.openxmlformats.org/officeDocument/2006/relationships/hyperlink" Target="https://twitter.com/UAWeapons/status/1498721718386544647" TargetMode="External"/><Relationship Id="rId3257" Type="http://schemas.openxmlformats.org/officeDocument/2006/relationships/hyperlink" Target="https://twitter.com/RALee85/status/1497344674092179459" TargetMode="External"/><Relationship Id="rId4588" Type="http://schemas.openxmlformats.org/officeDocument/2006/relationships/hyperlink" Target="https://bellingcat-archive.nyc3.cdn.digitaloceanspaces.com/Ukraine_Witness_Datasheet/Worksheet/youtube_dl_1498044130416594947/index.html" TargetMode="External"/><Relationship Id="rId3249" Type="http://schemas.openxmlformats.org/officeDocument/2006/relationships/hyperlink" Target="https://bellingcat-archive.nyc3.cdn.digitaloceanspaces.com/Ukraine_Witness_Datasheet/Worksheet/youtube_dl_1496838814324641792.mp4" TargetMode="External"/><Relationship Id="rId3248" Type="http://schemas.openxmlformats.org/officeDocument/2006/relationships/hyperlink" Target="https://twitter.com/azyakancokkacan/status/1496862156708618249?s=20&amp;t=g4jIqyvuALeSk_Qc-kYXbw" TargetMode="External"/><Relationship Id="rId4579" Type="http://schemas.openxmlformats.org/officeDocument/2006/relationships/hyperlink" Target="https://bellingcat-archive.nyc3.cdn.digitaloceanspaces.com/Ukraine_Witness_Datasheet/Worksheet/youtube_dl_1498748931827814400/index.html" TargetMode="External"/><Relationship Id="rId4570" Type="http://schemas.openxmlformats.org/officeDocument/2006/relationships/hyperlink" Target="https://bellingcat-archive.nyc3.cdn.digitaloceanspaces.com/Ukraine_Witness_Datasheet/Worksheet/twitter__UAWeapons_status_1498725396346507269.html" TargetMode="External"/><Relationship Id="rId3241" Type="http://schemas.openxmlformats.org/officeDocument/2006/relationships/hyperlink" Target="https://bellingcat-archive.nyc3.cdn.digitaloceanspaces.com/Ukraine_Witness_Datasheet/Worksheet/youtube_dl__UAWeapons_status_14972352137133957232022-02-26T07:16:43.245848.png" TargetMode="External"/><Relationship Id="rId4572" Type="http://schemas.openxmlformats.org/officeDocument/2006/relationships/hyperlink" Target="https://twitter.com/COUPSURE/status/1498745618692517892?s=20&amp;t=0YoxZYVXG1mj_KWAulgueQ" TargetMode="External"/><Relationship Id="rId3240" Type="http://schemas.openxmlformats.org/officeDocument/2006/relationships/hyperlink" Target="https://bellingcat-archive.nyc3.cdn.digitaloceanspaces.com/Ukraine_Witness_Datasheet/Worksheet/youtube_dl_1497235213713395723.mp4" TargetMode="External"/><Relationship Id="rId4571" Type="http://schemas.openxmlformats.org/officeDocument/2006/relationships/hyperlink" Target="https://bellingcat-archive.nyc3.cdn.digitaloceanspaces.com/Ukraine_Witness_Datasheet/Worksheet/twitter__UAWeapons_status_14987253963465072692022-03-02T09:09:12.428236.png" TargetMode="External"/><Relationship Id="rId3243" Type="http://schemas.openxmlformats.org/officeDocument/2006/relationships/hyperlink" Target="https://twitter.com/BreakingNews_n/status/1497307206374633472" TargetMode="External"/><Relationship Id="rId4574" Type="http://schemas.openxmlformats.org/officeDocument/2006/relationships/hyperlink" Target="https://bellingcat-archive.nyc3.cdn.digitaloceanspaces.com/Ukraine_Witness_Datasheet/Worksheet/youtube_dl__COUPSURE_status_14987456186925178922022-03-02T09:09:32.327311.png" TargetMode="External"/><Relationship Id="rId3242" Type="http://schemas.openxmlformats.org/officeDocument/2006/relationships/hyperlink" Target="https://bellingcat-archive.nyc3.cdn.digitaloceanspaces.com/Ukraine_Witness_Datasheet/Worksheet/youtube_dl_1497235213713395723/index.html" TargetMode="External"/><Relationship Id="rId4573" Type="http://schemas.openxmlformats.org/officeDocument/2006/relationships/hyperlink" Target="https://bellingcat-archive.nyc3.cdn.digitaloceanspaces.com/Ukraine_Witness_Datasheet/Worksheet/youtube_dl_1497917151314911234.mp4" TargetMode="External"/><Relationship Id="rId3245" Type="http://schemas.openxmlformats.org/officeDocument/2006/relationships/hyperlink" Target="https://bellingcat-archive.nyc3.cdn.digitaloceanspaces.com/Ukraine_Witness_Datasheet/Worksheet/youtube_dl__BreakingNews_n_status_14973072063746334722022-02-26T07:17:14.219517.png" TargetMode="External"/><Relationship Id="rId4576" Type="http://schemas.openxmlformats.org/officeDocument/2006/relationships/hyperlink" Target="https://twitter.com/aldin_ww/status/1498748931827814400?s=20&amp;t=0YoxZYVXG1mj_KWAulgueQ" TargetMode="External"/><Relationship Id="rId3244" Type="http://schemas.openxmlformats.org/officeDocument/2006/relationships/hyperlink" Target="https://bellingcat-archive.nyc3.cdn.digitaloceanspaces.com/Ukraine_Witness_Datasheet/Worksheet/youtube_dl_1497307206374633472.mp4" TargetMode="External"/><Relationship Id="rId4575" Type="http://schemas.openxmlformats.org/officeDocument/2006/relationships/hyperlink" Target="https://bellingcat-archive.nyc3.cdn.digitaloceanspaces.com/Ukraine_Witness_Datasheet/Worksheet/youtube_dl_1497917151314911234/index.html" TargetMode="External"/><Relationship Id="rId3247" Type="http://schemas.openxmlformats.org/officeDocument/2006/relationships/hyperlink" Target="https://twitter.com/GirkinGirkin/status/1496838814324641792?s=20&amp;t=g4jIqyvuALeSk_Qc-kYXbw" TargetMode="External"/><Relationship Id="rId4578" Type="http://schemas.openxmlformats.org/officeDocument/2006/relationships/hyperlink" Target="https://bellingcat-archive.nyc3.cdn.digitaloceanspaces.com/Ukraine_Witness_Datasheet/Worksheet/youtube_dl__aldin_ww_status_14987489318278144002022-03-02T09:09:55.796845.png" TargetMode="External"/><Relationship Id="rId3246" Type="http://schemas.openxmlformats.org/officeDocument/2006/relationships/hyperlink" Target="https://bellingcat-archive.nyc3.cdn.digitaloceanspaces.com/Ukraine_Witness_Datasheet/Worksheet/youtube_dl_1497307206374633472/index.html" TargetMode="External"/><Relationship Id="rId4577" Type="http://schemas.openxmlformats.org/officeDocument/2006/relationships/hyperlink" Target="https://bellingcat-archive.nyc3.cdn.digitaloceanspaces.com/Ukraine_Witness_Datasheet/Worksheet/youtube_dl_1498748931827814400.mp4" TargetMode="External"/><Relationship Id="rId4525" Type="http://schemas.openxmlformats.org/officeDocument/2006/relationships/hyperlink" Target="https://bellingcat-archive.nyc3.cdn.digitaloceanspaces.com/Ukraine_Witness_Datasheet/Worksheet/youtube_dl_1497348792038924290/index.html" TargetMode="External"/><Relationship Id="rId5857" Type="http://schemas.openxmlformats.org/officeDocument/2006/relationships/hyperlink" Target="https://bellingcat-archive.nyc3.cdn.digitaloceanspaces.com/Ukraine_Witness_Datasheet/Worksheet/telegram_f326895ad0/index.html" TargetMode="External"/><Relationship Id="rId4524" Type="http://schemas.openxmlformats.org/officeDocument/2006/relationships/hyperlink" Target="https://bellingcat-archive.nyc3.cdn.digitaloceanspaces.com/Ukraine_Witness_Datasheet/Worksheet/youtube_dl__TiranaHassan_status_14973487920389242902022-03-02T08:04:50.615259.png" TargetMode="External"/><Relationship Id="rId5858" Type="http://schemas.openxmlformats.org/officeDocument/2006/relationships/hyperlink" Target="https://t.me/uniannet/34161" TargetMode="External"/><Relationship Id="rId4527" Type="http://schemas.openxmlformats.org/officeDocument/2006/relationships/hyperlink" Target="https://bellingcat-archive.nyc3.cdn.digitaloceanspaces.com/Ukraine_Witness_Datasheet/Worksheet/youtube_dl_42NknSPpcCI.webm" TargetMode="External"/><Relationship Id="rId5855" Type="http://schemas.openxmlformats.org/officeDocument/2006/relationships/hyperlink" Target="https://t.me/uniannet/34161" TargetMode="External"/><Relationship Id="rId4526" Type="http://schemas.openxmlformats.org/officeDocument/2006/relationships/hyperlink" Target="https://www.hrw.org/news/2022/02/25/ukraine-russian-cluster-munition-hits-hospital" TargetMode="External"/><Relationship Id="rId5856" Type="http://schemas.openxmlformats.org/officeDocument/2006/relationships/hyperlink" Target="https://bellingcat-archive.nyc3.cdn.digitaloceanspaces.com/Ukraine_Witness_Datasheet/Worksheet/telegram_f326895ad0.mp4" TargetMode="External"/><Relationship Id="rId4529" Type="http://schemas.openxmlformats.org/officeDocument/2006/relationships/hyperlink" Target="https://bellingcat-archive.nyc3.cdn.digitaloceanspaces.com/Ukraine_Witness_Datasheet/Worksheet/youtube_dl_42NknSPpcCI/index.html" TargetMode="External"/><Relationship Id="rId4528" Type="http://schemas.openxmlformats.org/officeDocument/2006/relationships/hyperlink" Target="https://bellingcat-archive.nyc3.cdn.digitaloceanspaces.com/Ukraine_Witness_Datasheet/Worksheet/youtube_dl__news_2022_02_25_ukraine-russian-cluster-munition-hits-hospital2022-03-02T08:05:08.219217.png" TargetMode="External"/><Relationship Id="rId5859" Type="http://schemas.openxmlformats.org/officeDocument/2006/relationships/hyperlink" Target="https://twitter.com/maria_avdv/status/1498945600754274304?s=20&amp;t=mywWeVgKyNlqWBLmET-yRg" TargetMode="External"/><Relationship Id="rId5850" Type="http://schemas.openxmlformats.org/officeDocument/2006/relationships/hyperlink" Target="https://bellingcat-archive.nyc3.cdn.digitaloceanspaces.com/Ukraine_Witness_Datasheet/Worksheet/youtube_dl_1499375631653556224/index.html" TargetMode="External"/><Relationship Id="rId4521" Type="http://schemas.openxmlformats.org/officeDocument/2006/relationships/hyperlink" Target="https://bellingcat-archive.nyc3.cdn.digitaloceanspaces.com/Ukraine_Witness_Datasheet/Worksheet/youtube_dl_1498695443638894595/index.html" TargetMode="External"/><Relationship Id="rId5853" Type="http://schemas.openxmlformats.org/officeDocument/2006/relationships/hyperlink" Target="https://bellingcat-archive.nyc3.cdn.digitaloceanspaces.com/Ukraine_Witness_Datasheet/Worksheet/youtube_dl__DAlperovitch_status_14989177908451778592022-03-05T09:03:29.880005.png" TargetMode="External"/><Relationship Id="rId4520" Type="http://schemas.openxmlformats.org/officeDocument/2006/relationships/hyperlink" Target="https://bellingcat-archive.nyc3.cdn.digitaloceanspaces.com/Ukraine_Witness_Datasheet/Worksheet/youtube_dl__laura_zelinska_status_14986954436388945952022-03-02T08:04:35.318691.png" TargetMode="External"/><Relationship Id="rId5854" Type="http://schemas.openxmlformats.org/officeDocument/2006/relationships/hyperlink" Target="https://bellingcat-archive.nyc3.cdn.digitaloceanspaces.com/Ukraine_Witness_Datasheet/Worksheet/youtube_dl_1498914132225048576/index.html" TargetMode="External"/><Relationship Id="rId4523" Type="http://schemas.openxmlformats.org/officeDocument/2006/relationships/hyperlink" Target="https://bellingcat-archive.nyc3.cdn.digitaloceanspaces.com/Ukraine_Witness_Datasheet/Worksheet/youtube_dl_1497348792038924290.mp4" TargetMode="External"/><Relationship Id="rId5851" Type="http://schemas.openxmlformats.org/officeDocument/2006/relationships/hyperlink" Target="https://twitter.com/DAlperovitch/status/1498917790845177859?s=20&amp;t=7MfqlqMPDmEAzllsrvkpOg" TargetMode="External"/><Relationship Id="rId4522" Type="http://schemas.openxmlformats.org/officeDocument/2006/relationships/hyperlink" Target="https://twitter.com/TiranaHassan/status/1497348792038924290?s=20&amp;t=gy1DPWfjpK8P3DeXkOB93g" TargetMode="External"/><Relationship Id="rId5852" Type="http://schemas.openxmlformats.org/officeDocument/2006/relationships/hyperlink" Target="https://bellingcat-archive.nyc3.cdn.digitaloceanspaces.com/Ukraine_Witness_Datasheet/Worksheet/youtube_dl_1498914132225048576.mp4" TargetMode="External"/><Relationship Id="rId4514" Type="http://schemas.openxmlformats.org/officeDocument/2006/relationships/hyperlink" Target="https://mobile.twitter.com/christogrozev/status/1498262958287302658" TargetMode="External"/><Relationship Id="rId5846" Type="http://schemas.openxmlformats.org/officeDocument/2006/relationships/hyperlink" Target="https://bellingcat-archive.nyc3.cdn.digitaloceanspaces.com/Ukraine_Witness_Datasheet/Worksheet/telegram__truexanewsua_274562022-03-05T09:02:57.998514.png" TargetMode="External"/><Relationship Id="rId4513" Type="http://schemas.openxmlformats.org/officeDocument/2006/relationships/hyperlink" Target="https://bellingcat-archive.nyc3.cdn.digitaloceanspaces.com/Ukraine_Witness_Datasheet/Worksheet/wayback__RolandOliphant_status_14982699432714690632022-03-02T08:04:05.240544.png" TargetMode="External"/><Relationship Id="rId5847" Type="http://schemas.openxmlformats.org/officeDocument/2006/relationships/hyperlink" Target="https://twitter.com/ELINTNews/status/1499375631653556224?s=20&amp;t=HMP9xE2tNdag1l4FJ9ZN0g" TargetMode="External"/><Relationship Id="rId4516" Type="http://schemas.openxmlformats.org/officeDocument/2006/relationships/hyperlink" Target="https://bellingcat-archive.nyc3.cdn.digitaloceanspaces.com/Ukraine_Witness_Datasheet/Worksheet/youtube_dl__christogrozev_status_14982629582873026582022-03-02T08:04:17.789354.png" TargetMode="External"/><Relationship Id="rId5844" Type="http://schemas.openxmlformats.org/officeDocument/2006/relationships/hyperlink" Target="https://t.me/truexanewsua/27456" TargetMode="External"/><Relationship Id="rId4515" Type="http://schemas.openxmlformats.org/officeDocument/2006/relationships/hyperlink" Target="https://bellingcat-archive.nyc3.cdn.digitaloceanspaces.com/Ukraine_Witness_Datasheet/Worksheet/youtube_dl_1498262958287302658.mp4" TargetMode="External"/><Relationship Id="rId5845" Type="http://schemas.openxmlformats.org/officeDocument/2006/relationships/hyperlink" Target="https://bellingcat-archive.nyc3.cdn.digitaloceanspaces.com/Ukraine_Witness_Datasheet/Worksheet/telegram__truexanewsua_27456.html" TargetMode="External"/><Relationship Id="rId4518" Type="http://schemas.openxmlformats.org/officeDocument/2006/relationships/hyperlink" Target="https://twitter.com/laura_zelinska/status/1498695443638894595" TargetMode="External"/><Relationship Id="rId4517" Type="http://schemas.openxmlformats.org/officeDocument/2006/relationships/hyperlink" Target="https://bellingcat-archive.nyc3.cdn.digitaloceanspaces.com/Ukraine_Witness_Datasheet/Worksheet/youtube_dl_1498262958287302658/index.html" TargetMode="External"/><Relationship Id="rId5848" Type="http://schemas.openxmlformats.org/officeDocument/2006/relationships/hyperlink" Target="https://bellingcat-archive.nyc3.cdn.digitaloceanspaces.com/Ukraine_Witness_Datasheet/Worksheet/youtube_dl_1499375631653556224.mp4" TargetMode="External"/><Relationship Id="rId4519" Type="http://schemas.openxmlformats.org/officeDocument/2006/relationships/hyperlink" Target="https://bellingcat-archive.nyc3.cdn.digitaloceanspaces.com/Ukraine_Witness_Datasheet/Worksheet/youtube_dl_1498695443638894595.mp4" TargetMode="External"/><Relationship Id="rId5849" Type="http://schemas.openxmlformats.org/officeDocument/2006/relationships/hyperlink" Target="https://bellingcat-archive.nyc3.cdn.digitaloceanspaces.com/Ukraine_Witness_Datasheet/Worksheet/youtube_dl__ELINTNews_status_14993756316535562242022-03-05T09:03:16.430401.png" TargetMode="External"/><Relationship Id="rId4510" Type="http://schemas.openxmlformats.org/officeDocument/2006/relationships/hyperlink" Target="https://bellingcat-archive.nyc3.cdn.digitaloceanspaces.com/Ukraine_Witness_Datasheet/Worksheet/youtube_dl_1mPujwIWeoGdsvyUK1v4LVtN4Eb_5gW9T/index.html" TargetMode="External"/><Relationship Id="rId5842" Type="http://schemas.openxmlformats.org/officeDocument/2006/relationships/hyperlink" Target="https://bellingcat-archive.nyc3.cdn.digitaloceanspaces.com/Ukraine_Witness_Datasheet/Worksheet/telegram_1744a888fb/index.html" TargetMode="External"/><Relationship Id="rId5843" Type="http://schemas.openxmlformats.org/officeDocument/2006/relationships/hyperlink" Target="https://t.me/rivne_1283/2311" TargetMode="External"/><Relationship Id="rId4512" Type="http://schemas.openxmlformats.org/officeDocument/2006/relationships/hyperlink" Target="https://web.archive.org/web/20220302080351/https://mobile.twitter.com/RolandOliphant/status/1498269943271469063" TargetMode="External"/><Relationship Id="rId5840" Type="http://schemas.openxmlformats.org/officeDocument/2006/relationships/hyperlink" Target="https://bellingcat-archive.nyc3.cdn.digitaloceanspaces.com/Ukraine_Witness_Datasheet/Worksheet/telegram_1744a888fb.mp4" TargetMode="External"/><Relationship Id="rId4511" Type="http://schemas.openxmlformats.org/officeDocument/2006/relationships/hyperlink" Target="https://mobile.twitter.com/RolandOliphant/status/1498269943271469063" TargetMode="External"/><Relationship Id="rId5841" Type="http://schemas.openxmlformats.org/officeDocument/2006/relationships/hyperlink" Target="https://bellingcat-archive.nyc3.cdn.digitaloceanspaces.com/Ukraine_Witness_Datasheet/Worksheet/telegram__rivne_1283_23112022-03-05T09:02:34.561870.png" TargetMode="External"/><Relationship Id="rId3216" Type="http://schemas.openxmlformats.org/officeDocument/2006/relationships/hyperlink" Target="https://bellingcat-archive.nyc3.cdn.digitaloceanspaces.com/Ukraine_Witness_Datasheet/Worksheet/twitter__COUPSURE_status_1497282879339986946.html" TargetMode="External"/><Relationship Id="rId4547" Type="http://schemas.openxmlformats.org/officeDocument/2006/relationships/hyperlink" Target="https://t.me/c/1401646220/5042" TargetMode="External"/><Relationship Id="rId5879" Type="http://schemas.openxmlformats.org/officeDocument/2006/relationships/hyperlink" Target="https://t.me/hueviykharkov/47735" TargetMode="External"/><Relationship Id="rId3215" Type="http://schemas.openxmlformats.org/officeDocument/2006/relationships/hyperlink" Target="https://twitter.com/CourtenaySargon/status/1497288100879421443" TargetMode="External"/><Relationship Id="rId4546" Type="http://schemas.openxmlformats.org/officeDocument/2006/relationships/hyperlink" Target="https://bellingcat-archive.nyc3.cdn.digitaloceanspaces.com/Ukraine_Witness_Datasheet/Worksheet/youtube_dl_1497140485013467137/index.html" TargetMode="External"/><Relationship Id="rId3218" Type="http://schemas.openxmlformats.org/officeDocument/2006/relationships/hyperlink" Target="https://twitter.com/RomanVMoroz/status/1497243456871227397/photo/3" TargetMode="External"/><Relationship Id="rId4549" Type="http://schemas.openxmlformats.org/officeDocument/2006/relationships/hyperlink" Target="https://bellingcat-archive.nyc3.cdn.digitaloceanspaces.com/Ukraine_Witness_Datasheet/Worksheet/youtube_dl_1498703033391325184.mp4" TargetMode="External"/><Relationship Id="rId5877" Type="http://schemas.openxmlformats.org/officeDocument/2006/relationships/hyperlink" Target="https://bellingcat-archive.nyc3.cdn.digitaloceanspaces.com/Ukraine_Witness_Datasheet/Worksheet/telegram_44e62da264/index.html" TargetMode="External"/><Relationship Id="rId3217" Type="http://schemas.openxmlformats.org/officeDocument/2006/relationships/hyperlink" Target="https://bellingcat-archive.nyc3.cdn.digitaloceanspaces.com/Ukraine_Witness_Datasheet/Worksheet/twitter__COUPSURE_status_14972828793399869462022-02-25T19:39:18.831456.png" TargetMode="External"/><Relationship Id="rId4548" Type="http://schemas.openxmlformats.org/officeDocument/2006/relationships/hyperlink" Target="https://twitter.com/IntelDoge/status/1498703033391325184" TargetMode="External"/><Relationship Id="rId5878" Type="http://schemas.openxmlformats.org/officeDocument/2006/relationships/hyperlink" Target="https://t.me/nexta_live/19338" TargetMode="External"/><Relationship Id="rId3219" Type="http://schemas.openxmlformats.org/officeDocument/2006/relationships/hyperlink" Target="https://bellingcat-archive.nyc3.cdn.digitaloceanspaces.com/Ukraine_Witness_Datasheet/Worksheet/twitter__RomanVMoroz_status_1497243456871227397_photo_3.html" TargetMode="External"/><Relationship Id="rId5871" Type="http://schemas.openxmlformats.org/officeDocument/2006/relationships/hyperlink" Target="https://bellingcat-archive.nyc3.cdn.digitaloceanspaces.com/Ukraine_Witness_Datasheet/Worksheet/youtube_dl_1499369411001602050.mp4" TargetMode="External"/><Relationship Id="rId5872" Type="http://schemas.openxmlformats.org/officeDocument/2006/relationships/hyperlink" Target="https://bellingcat-archive.nyc3.cdn.digitaloceanspaces.com/Ukraine_Witness_Datasheet/Worksheet/youtube_dl__AlertaNews24_status_14993694110016020502022-03-05T09:10:15.237861.png" TargetMode="External"/><Relationship Id="rId3210" Type="http://schemas.openxmlformats.org/officeDocument/2006/relationships/hyperlink" Target="https://t.me/mariupol/3081" TargetMode="External"/><Relationship Id="rId4541" Type="http://schemas.openxmlformats.org/officeDocument/2006/relationships/hyperlink" Target="https://bellingcat-archive.nyc3.cdn.digitaloceanspaces.com/Ukraine_Witness_Datasheet/Worksheet/youtube_dl__aldin_ww_status_14986196667087994892022-03-02T08:05:50.285263.png" TargetMode="External"/><Relationship Id="rId4540" Type="http://schemas.openxmlformats.org/officeDocument/2006/relationships/hyperlink" Target="https://bellingcat-archive.nyc3.cdn.digitaloceanspaces.com/Ukraine_Witness_Datasheet/Worksheet/youtube_dl_1498619666708799489.mp4" TargetMode="External"/><Relationship Id="rId5870" Type="http://schemas.openxmlformats.org/officeDocument/2006/relationships/hyperlink" Target="https://twitter.com/AlertaNews24/status/1499369411001602050?s=20&amp;t=VVvWp6UGyo3FW-i6JOgEFw" TargetMode="External"/><Relationship Id="rId3212" Type="http://schemas.openxmlformats.org/officeDocument/2006/relationships/hyperlink" Target="https://bellingcat-archive.nyc3.cdn.digitaloceanspaces.com/Ukraine_Witness_Datasheet/Worksheet/twitter__ChetVic_status_1497149480134717451.html" TargetMode="External"/><Relationship Id="rId4543" Type="http://schemas.openxmlformats.org/officeDocument/2006/relationships/hyperlink" Target="https://twitter.com/poppoppopkt/status/1497140485013467137" TargetMode="External"/><Relationship Id="rId5875" Type="http://schemas.openxmlformats.org/officeDocument/2006/relationships/hyperlink" Target="https://bellingcat-archive.nyc3.cdn.digitaloceanspaces.com/Ukraine_Witness_Datasheet/Worksheet/telegram_44e62da264.mp4" TargetMode="External"/><Relationship Id="rId3211" Type="http://schemas.openxmlformats.org/officeDocument/2006/relationships/hyperlink" Target="https://twitter.com/ChetVic/status/1497149480134717451" TargetMode="External"/><Relationship Id="rId4542" Type="http://schemas.openxmlformats.org/officeDocument/2006/relationships/hyperlink" Target="https://bellingcat-archive.nyc3.cdn.digitaloceanspaces.com/Ukraine_Witness_Datasheet/Worksheet/youtube_dl_1498619666708799489/index.html" TargetMode="External"/><Relationship Id="rId5876" Type="http://schemas.openxmlformats.org/officeDocument/2006/relationships/hyperlink" Target="https://bellingcat-archive.nyc3.cdn.digitaloceanspaces.com/Ukraine_Witness_Datasheet/Worksheet/telegram__nexta_live_193382022-03-05T09:10:27.519091.png" TargetMode="External"/><Relationship Id="rId3214" Type="http://schemas.openxmlformats.org/officeDocument/2006/relationships/hyperlink" Target="https://twitter.com/COUPSURE/status/1497282879339986946" TargetMode="External"/><Relationship Id="rId4545" Type="http://schemas.openxmlformats.org/officeDocument/2006/relationships/hyperlink" Target="https://bellingcat-archive.nyc3.cdn.digitaloceanspaces.com/Ukraine_Witness_Datasheet/Worksheet/youtube_dl__poppoppopkt_status_14971404850134671372022-03-02T08:06:05.379651.png" TargetMode="External"/><Relationship Id="rId5873" Type="http://schemas.openxmlformats.org/officeDocument/2006/relationships/hyperlink" Target="https://bellingcat-archive.nyc3.cdn.digitaloceanspaces.com/Ukraine_Witness_Datasheet/Worksheet/youtube_dl_1499369411001602050/index.html" TargetMode="External"/><Relationship Id="rId3213" Type="http://schemas.openxmlformats.org/officeDocument/2006/relationships/hyperlink" Target="https://bellingcat-archive.nyc3.cdn.digitaloceanspaces.com/Ukraine_Witness_Datasheet/Worksheet/twitter__ChetVic_status_14971494801347174512022-02-25T19:39:00.053424.png" TargetMode="External"/><Relationship Id="rId4544" Type="http://schemas.openxmlformats.org/officeDocument/2006/relationships/hyperlink" Target="https://bellingcat-archive.nyc3.cdn.digitaloceanspaces.com/Ukraine_Witness_Datasheet/Worksheet/youtube_dl_1497140485013467137.mp4" TargetMode="External"/><Relationship Id="rId5874" Type="http://schemas.openxmlformats.org/officeDocument/2006/relationships/hyperlink" Target="https://t.me/nexta_live/19338" TargetMode="External"/><Relationship Id="rId3205" Type="http://schemas.openxmlformats.org/officeDocument/2006/relationships/hyperlink" Target="https://bellingcat-archive.nyc3.cdn.digitaloceanspaces.com/Ukraine_Witness_Datasheet/Worksheet/youtube_dl_1497266803214532609/index.html" TargetMode="External"/><Relationship Id="rId4536" Type="http://schemas.openxmlformats.org/officeDocument/2006/relationships/hyperlink" Target="https://bellingcat-archive.nyc3.cdn.digitaloceanspaces.com/Ukraine_Witness_Datasheet/Worksheet/youtube_dl_1498699212577460224.mp4" TargetMode="External"/><Relationship Id="rId5868" Type="http://schemas.openxmlformats.org/officeDocument/2006/relationships/hyperlink" Target="https://bellingcat-archive.nyc3.cdn.digitaloceanspaces.com/Ukraine_Witness_Datasheet/Worksheet/twitter__666_mancer_status_1499039079077457927.html" TargetMode="External"/><Relationship Id="rId3204" Type="http://schemas.openxmlformats.org/officeDocument/2006/relationships/hyperlink" Target="https://bellingcat-archive.nyc3.cdn.digitaloceanspaces.com/Ukraine_Witness_Datasheet/Worksheet/youtube_dl__Archer83Able_status_14972668032145326092022-02-25T19:38:02.776499.png" TargetMode="External"/><Relationship Id="rId4535" Type="http://schemas.openxmlformats.org/officeDocument/2006/relationships/hyperlink" Target="https://twitter.com/gfusfus/status/1498706389698494465" TargetMode="External"/><Relationship Id="rId5869" Type="http://schemas.openxmlformats.org/officeDocument/2006/relationships/hyperlink" Target="https://bellingcat-archive.nyc3.cdn.digitaloceanspaces.com/Ukraine_Witness_Datasheet/Worksheet/twitter__666_mancer_status_14990390790774579272022-03-05T09:05:09.390634.png" TargetMode="External"/><Relationship Id="rId3207" Type="http://schemas.openxmlformats.org/officeDocument/2006/relationships/hyperlink" Target="https://bellingcat-archive.nyc3.cdn.digitaloceanspaces.com/Ukraine_Witness_Datasheet/Worksheet/telegram_a032e796ac.mp4" TargetMode="External"/><Relationship Id="rId4538" Type="http://schemas.openxmlformats.org/officeDocument/2006/relationships/hyperlink" Target="https://bellingcat-archive.nyc3.cdn.digitaloceanspaces.com/Ukraine_Witness_Datasheet/Worksheet/youtube_dl_1498699212577460224/index.html" TargetMode="External"/><Relationship Id="rId5866" Type="http://schemas.openxmlformats.org/officeDocument/2006/relationships/hyperlink" Target="https://bellingcat-archive.nyc3.cdn.digitaloceanspaces.com/Ukraine_Witness_Datasheet/Worksheet/youtube_dl_1499073503902973964/index.html" TargetMode="External"/><Relationship Id="rId3206" Type="http://schemas.openxmlformats.org/officeDocument/2006/relationships/hyperlink" Target="https://t.me/mariupol/3081" TargetMode="External"/><Relationship Id="rId4537" Type="http://schemas.openxmlformats.org/officeDocument/2006/relationships/hyperlink" Target="https://bellingcat-archive.nyc3.cdn.digitaloceanspaces.com/Ukraine_Witness_Datasheet/Worksheet/youtube_dl__GirkinGirkin_status_14986992125774602242022-03-02T08:05:35.902142.png" TargetMode="External"/><Relationship Id="rId5867" Type="http://schemas.openxmlformats.org/officeDocument/2006/relationships/hyperlink" Target="https://twitter.com/666_mancer/status/1499039079077457927" TargetMode="External"/><Relationship Id="rId3209" Type="http://schemas.openxmlformats.org/officeDocument/2006/relationships/hyperlink" Target="https://bellingcat-archive.nyc3.cdn.digitaloceanspaces.com/Ukraine_Witness_Datasheet/Worksheet/telegram_a032e796ac/index.html" TargetMode="External"/><Relationship Id="rId3208" Type="http://schemas.openxmlformats.org/officeDocument/2006/relationships/hyperlink" Target="https://bellingcat-archive.nyc3.cdn.digitaloceanspaces.com/Ukraine_Witness_Datasheet/Worksheet/telegram__mariupol_30812022-02-25T19:38:40.031876.png" TargetMode="External"/><Relationship Id="rId4539" Type="http://schemas.openxmlformats.org/officeDocument/2006/relationships/hyperlink" Target="https://twitter.com/aldin_ww/status/1498619666708799489?s=20&amp;t=MNhIR_16UMWpqDOB_BAX7g" TargetMode="External"/><Relationship Id="rId5860" Type="http://schemas.openxmlformats.org/officeDocument/2006/relationships/hyperlink" Target="https://bellingcat-archive.nyc3.cdn.digitaloceanspaces.com/Ukraine_Witness_Datasheet/Worksheet/youtube_dl_1498945600754274304.mp4" TargetMode="External"/><Relationship Id="rId5861" Type="http://schemas.openxmlformats.org/officeDocument/2006/relationships/hyperlink" Target="https://bellingcat-archive.nyc3.cdn.digitaloceanspaces.com/Ukraine_Witness_Datasheet/Worksheet/youtube_dl__maria_avdv_status_14989456007542743042022-03-05T09:04:31.777447.png" TargetMode="External"/><Relationship Id="rId4530" Type="http://schemas.openxmlformats.org/officeDocument/2006/relationships/hyperlink" Target="https://twitter.com/Michael1Sheldon/status/1497506836995612673?s=20&amp;t=LygYWDfjzSKMDUJ35qzwtA" TargetMode="External"/><Relationship Id="rId3201" Type="http://schemas.openxmlformats.org/officeDocument/2006/relationships/hyperlink" Target="https://twitter.com/Archer83Able/status/1497266803214532609" TargetMode="External"/><Relationship Id="rId4532" Type="http://schemas.openxmlformats.org/officeDocument/2006/relationships/hyperlink" Target="https://bellingcat-archive.nyc3.cdn.digitaloceanspaces.com/Ukraine_Witness_Datasheet/Worksheet/youtube_dl__Michael1Sheldon_status_14975068369956126732022-03-02T08:05:22.485125.png" TargetMode="External"/><Relationship Id="rId5864" Type="http://schemas.openxmlformats.org/officeDocument/2006/relationships/hyperlink" Target="https://bellingcat-archive.nyc3.cdn.digitaloceanspaces.com/Ukraine_Witness_Datasheet/Worksheet/youtube_dl_1499073503902973964.mp4" TargetMode="External"/><Relationship Id="rId3200" Type="http://schemas.openxmlformats.org/officeDocument/2006/relationships/hyperlink" Target="https://bellingcat-archive.nyc3.cdn.digitaloceanspaces.com/Ukraine_Witness_Datasheet/Worksheet/youtube_dl_1497272827489226754/index.html" TargetMode="External"/><Relationship Id="rId4531" Type="http://schemas.openxmlformats.org/officeDocument/2006/relationships/hyperlink" Target="https://bellingcat-archive.nyc3.cdn.digitaloceanspaces.com/Ukraine_Witness_Datasheet/Worksheet/youtube_dl_1497437744125128709.mp4" TargetMode="External"/><Relationship Id="rId5865" Type="http://schemas.openxmlformats.org/officeDocument/2006/relationships/hyperlink" Target="https://bellingcat-archive.nyc3.cdn.digitaloceanspaces.com/Ukraine_Witness_Datasheet/Worksheet/youtube_dl__RALee85_status_14990735039029739642022-03-05T09:04:54.097686.png" TargetMode="External"/><Relationship Id="rId3203" Type="http://schemas.openxmlformats.org/officeDocument/2006/relationships/hyperlink" Target="https://bellingcat-archive.nyc3.cdn.digitaloceanspaces.com/Ukraine_Witness_Datasheet/Worksheet/youtube_dl_1497266803214532609.mp4" TargetMode="External"/><Relationship Id="rId4534" Type="http://schemas.openxmlformats.org/officeDocument/2006/relationships/hyperlink" Target="https://twitter.com/GirkinGirkin/status/1498699212577460224" TargetMode="External"/><Relationship Id="rId5862" Type="http://schemas.openxmlformats.org/officeDocument/2006/relationships/hyperlink" Target="https://bellingcat-archive.nyc3.cdn.digitaloceanspaces.com/Ukraine_Witness_Datasheet/Worksheet/youtube_dl_1498945600754274304/index.html" TargetMode="External"/><Relationship Id="rId3202" Type="http://schemas.openxmlformats.org/officeDocument/2006/relationships/hyperlink" Target="https://twitter.com/AUT_INT/status/1497269433638793226" TargetMode="External"/><Relationship Id="rId4533" Type="http://schemas.openxmlformats.org/officeDocument/2006/relationships/hyperlink" Target="https://bellingcat-archive.nyc3.cdn.digitaloceanspaces.com/Ukraine_Witness_Datasheet/Worksheet/youtube_dl_1497437744125128709/index.html" TargetMode="External"/><Relationship Id="rId5863" Type="http://schemas.openxmlformats.org/officeDocument/2006/relationships/hyperlink" Target="https://twitter.com/RALee85/status/1499073503902973964?s=20&amp;t=2HKJRUPKmMU0_U7TfV-53A" TargetMode="External"/><Relationship Id="rId190" Type="http://schemas.openxmlformats.org/officeDocument/2006/relationships/hyperlink" Target="https://bellingcat-archive.nyc3.cdn.digitaloceanspaces.com/ukraine_witness_test/Worksheet/yotube_dl__GirkinGirkin_status_14869343184254566442022-02-25T10:30:55.619462.png" TargetMode="External"/><Relationship Id="rId194" Type="http://schemas.openxmlformats.org/officeDocument/2006/relationships/hyperlink" Target="https://bellingcat-archive.nyc3.cdn.digitaloceanspaces.com/ukraine_witness_test/Worksheet/yotube_dl_SA0QmOg6Vu8.webm" TargetMode="External"/><Relationship Id="rId193" Type="http://schemas.openxmlformats.org/officeDocument/2006/relationships/hyperlink" Target="https://twitter.com/4emberlen/status/1486050681052176389" TargetMode="External"/><Relationship Id="rId192" Type="http://schemas.openxmlformats.org/officeDocument/2006/relationships/hyperlink" Target="https://www.youtube.com/watch?v=SA0QmOg6Vu8" TargetMode="External"/><Relationship Id="rId191" Type="http://schemas.openxmlformats.org/officeDocument/2006/relationships/hyperlink" Target="https://bellingcat-archive.nyc3.cdn.digitaloceanspaces.com/ukraine_witness_test/Worksheet/yotube_dl_1486934318425456644/index.html" TargetMode="External"/><Relationship Id="rId187" Type="http://schemas.openxmlformats.org/officeDocument/2006/relationships/hyperlink" Target="https://twitter.com/GirkinGirkin/status/1486934318425456644" TargetMode="External"/><Relationship Id="rId186" Type="http://schemas.openxmlformats.org/officeDocument/2006/relationships/hyperlink" Target="https://bellingcat-archive.nyc3.cdn.digitaloceanspaces.com/ukraine_witness_test/Worksheet/yotube_dl_1486776568118665218/index.html" TargetMode="External"/><Relationship Id="rId185" Type="http://schemas.openxmlformats.org/officeDocument/2006/relationships/hyperlink" Target="https://bellingcat-archive.nyc3.cdn.digitaloceanspaces.com/ukraine_witness_test/Worksheet/yotube_dl__4emberlen_status_14867765681186652182022-02-25T10:30:40.413128.png" TargetMode="External"/><Relationship Id="rId184" Type="http://schemas.openxmlformats.org/officeDocument/2006/relationships/hyperlink" Target="https://bellingcat-archive.nyc3.cdn.digitaloceanspaces.com/ukraine_witness_test/Worksheet/yotube_dl_1486776568118665218.mp4" TargetMode="External"/><Relationship Id="rId189" Type="http://schemas.openxmlformats.org/officeDocument/2006/relationships/hyperlink" Target="https://bellingcat-archive.nyc3.cdn.digitaloceanspaces.com/ukraine_witness_test/Worksheet/yotube_dl_1486934318425456644.mp4" TargetMode="External"/><Relationship Id="rId188" Type="http://schemas.openxmlformats.org/officeDocument/2006/relationships/hyperlink" Target="https://twitter.com/danvan71/status/1487083062269730820" TargetMode="External"/><Relationship Id="rId183" Type="http://schemas.openxmlformats.org/officeDocument/2006/relationships/hyperlink" Target="https://twitter.com/danvan71/status/1486855902628093958" TargetMode="External"/><Relationship Id="rId182" Type="http://schemas.openxmlformats.org/officeDocument/2006/relationships/hyperlink" Target="https://twitter.com/4emberlen/status/1486776568118665218" TargetMode="External"/><Relationship Id="rId181" Type="http://schemas.openxmlformats.org/officeDocument/2006/relationships/hyperlink" Target="https://bellingcat-archive.nyc3.cdn.digitaloceanspaces.com/ukraine_witness_test/Worksheet/tiktok_7058593644382522626/index.html" TargetMode="External"/><Relationship Id="rId180" Type="http://schemas.openxmlformats.org/officeDocument/2006/relationships/hyperlink" Target="https://bellingcat-archive.nyc3.cdn.digitaloceanspaces.com/ukraine_witness_test/Worksheet/tiktok__@user97580963417951_video_70585936443825226262022-02-25T10:30:29.241816.png" TargetMode="External"/><Relationship Id="rId176" Type="http://schemas.openxmlformats.org/officeDocument/2006/relationships/hyperlink" Target="https://bellingcat-archive.nyc3.cdn.digitaloceanspaces.com/ukraine_witness_test/Worksheet/tiktok__@vados_andreevich_video_70585299989776990732022-02-25T10:30:07.027350.png" TargetMode="External"/><Relationship Id="rId175" Type="http://schemas.openxmlformats.org/officeDocument/2006/relationships/hyperlink" Target="https://bellingcat-archive.nyc3.cdn.digitaloceanspaces.com/ukraine_witness_test/Worksheet/tiktok_7058529998977699073.mp4" TargetMode="External"/><Relationship Id="rId174" Type="http://schemas.openxmlformats.org/officeDocument/2006/relationships/hyperlink" Target="https://www.tiktok.com/@vados_andreevich/video/7058529998977699073?is_copy_url=1&amp;is_from_webapp=v1" TargetMode="External"/><Relationship Id="rId173" Type="http://schemas.openxmlformats.org/officeDocument/2006/relationships/hyperlink" Target="https://bellingcat-archive.nyc3.cdn.digitaloceanspaces.com/ukraine_witness_test/Worksheet/yotube_dl_1484791666024271874/index.html" TargetMode="External"/><Relationship Id="rId179" Type="http://schemas.openxmlformats.org/officeDocument/2006/relationships/hyperlink" Target="https://bellingcat-archive.nyc3.cdn.digitaloceanspaces.com/ukraine_witness_test/Worksheet/tiktok_7058593644382522626.mp4" TargetMode="External"/><Relationship Id="rId178" Type="http://schemas.openxmlformats.org/officeDocument/2006/relationships/hyperlink" Target="https://www.tiktok.com/@user97580963417951/video/7058593644382522626?is_copy_url=1&amp;is_from_webapp=v1" TargetMode="External"/><Relationship Id="rId177" Type="http://schemas.openxmlformats.org/officeDocument/2006/relationships/hyperlink" Target="https://bellingcat-archive.nyc3.cdn.digitaloceanspaces.com/ukraine_witness_test/Worksheet/tiktok_7058529998977699073/index.html" TargetMode="External"/><Relationship Id="rId198" Type="http://schemas.openxmlformats.org/officeDocument/2006/relationships/hyperlink" Target="https://bellingcat-archive.nyc3.cdn.digitaloceanspaces.com/ukraine_witness_test/Worksheet/tiktok_7056698808381541637.mp4" TargetMode="External"/><Relationship Id="rId197" Type="http://schemas.openxmlformats.org/officeDocument/2006/relationships/hyperlink" Target="https://www.tiktok.com/@vladislavzavadich3/video/7056698808381541637?is_copy_url=1&amp;is_from_webapp=v1&amp;q=vladislavsavadich&amp;t=1643540661207" TargetMode="External"/><Relationship Id="rId196" Type="http://schemas.openxmlformats.org/officeDocument/2006/relationships/hyperlink" Target="https://bellingcat-archive.nyc3.cdn.digitaloceanspaces.com/ukraine_witness_test/Worksheet/yotube_dl_SA0QmOg6Vu8/index.html" TargetMode="External"/><Relationship Id="rId195" Type="http://schemas.openxmlformats.org/officeDocument/2006/relationships/hyperlink" Target="https://bellingcat-archive.nyc3.cdn.digitaloceanspaces.com/ukraine_witness_test/Worksheet/yotube_dl__watch2022-02-25T11:36:01.870334.png" TargetMode="External"/><Relationship Id="rId199" Type="http://schemas.openxmlformats.org/officeDocument/2006/relationships/hyperlink" Target="https://bellingcat-archive.nyc3.cdn.digitaloceanspaces.com/ukraine_witness_test/Worksheet/tiktok__@vladislavzavadich3_video_70566988083815416372022-02-25T11:18:14.150937.png" TargetMode="External"/><Relationship Id="rId150" Type="http://schemas.openxmlformats.org/officeDocument/2006/relationships/hyperlink" Target="https://bellingcat-archive.nyc3.cdn.digitaloceanspaces.com/ukraine_witness_test/Worksheet/yotube_dl_1485980462451466240/index.html" TargetMode="External"/><Relationship Id="rId149" Type="http://schemas.openxmlformats.org/officeDocument/2006/relationships/hyperlink" Target="https://bellingcat-archive.nyc3.cdn.digitaloceanspaces.com/ukraine_witness_test/Worksheet/yotube_dl__jp_clancy_status_14859804624514662402022-02-25T10:28:34.608788.png" TargetMode="External"/><Relationship Id="rId148" Type="http://schemas.openxmlformats.org/officeDocument/2006/relationships/hyperlink" Target="https://bellingcat-archive.nyc3.cdn.digitaloceanspaces.com/ukraine_witness_test/Worksheet/yotube_dl_1485980462451466240.mp4" TargetMode="External"/><Relationship Id="rId3270" Type="http://schemas.openxmlformats.org/officeDocument/2006/relationships/hyperlink" Target="https://bellingcat-archive.nyc3.cdn.digitaloceanspaces.com/Ukraine_Witness_Datasheet/Worksheet/youtube_dl__RALee85_status_14973828552484290652022-02-26T07:19:52.818246.png" TargetMode="External"/><Relationship Id="rId3272" Type="http://schemas.openxmlformats.org/officeDocument/2006/relationships/hyperlink" Target="https://twitter.com/RALee85/status/1497384275561308168" TargetMode="External"/><Relationship Id="rId3271" Type="http://schemas.openxmlformats.org/officeDocument/2006/relationships/hyperlink" Target="https://bellingcat-archive.nyc3.cdn.digitaloceanspaces.com/Ukraine_Witness_Datasheet/Worksheet/youtube_dl_1497382855248429065/index.html" TargetMode="External"/><Relationship Id="rId143" Type="http://schemas.openxmlformats.org/officeDocument/2006/relationships/hyperlink" Target="https://bellingcat-archive.nyc3.cdn.digitaloceanspaces.com/ukraine_witness_test/Worksheet/yotube_dl_1487451465526435844.mp4" TargetMode="External"/><Relationship Id="rId3274" Type="http://schemas.openxmlformats.org/officeDocument/2006/relationships/hyperlink" Target="https://bellingcat-archive.nyc3.cdn.digitaloceanspaces.com/Ukraine_Witness_Datasheet/Worksheet/youtube_dl__RALee85_status_14973842755613081682022-02-26T07:20:13.089279.png" TargetMode="External"/><Relationship Id="rId142" Type="http://schemas.openxmlformats.org/officeDocument/2006/relationships/hyperlink" Target="https://twitter.com/GirkinGirkin/status/1487451465526435844" TargetMode="External"/><Relationship Id="rId3273" Type="http://schemas.openxmlformats.org/officeDocument/2006/relationships/hyperlink" Target="https://bellingcat-archive.nyc3.cdn.digitaloceanspaces.com/Ukraine_Witness_Datasheet/Worksheet/youtube_dl_1497384275561308168.mp4" TargetMode="External"/><Relationship Id="rId141" Type="http://schemas.openxmlformats.org/officeDocument/2006/relationships/hyperlink" Target="https://bellingcat-archive.nyc3.cdn.digitaloceanspaces.com/ukraine_witness_test/Worksheet/yotube_dl_1487433627306807297/index.html" TargetMode="External"/><Relationship Id="rId3276" Type="http://schemas.openxmlformats.org/officeDocument/2006/relationships/hyperlink" Target="https://twitter.com/prm_ua/status/1497384918053236740" TargetMode="External"/><Relationship Id="rId140" Type="http://schemas.openxmlformats.org/officeDocument/2006/relationships/hyperlink" Target="https://bellingcat-archive.nyc3.cdn.digitaloceanspaces.com/ukraine_witness_test/Worksheet/yotube_dl__GirkinGirkin_status_14874336273068072972022-02-25T10:28:08.067312.png" TargetMode="External"/><Relationship Id="rId3275" Type="http://schemas.openxmlformats.org/officeDocument/2006/relationships/hyperlink" Target="https://bellingcat-archive.nyc3.cdn.digitaloceanspaces.com/Ukraine_Witness_Datasheet/Worksheet/youtube_dl_1497384275561308168/index.html" TargetMode="External"/><Relationship Id="rId147" Type="http://schemas.openxmlformats.org/officeDocument/2006/relationships/hyperlink" Target="https://twitter.com/jp_clancy/status/1485984251845689350" TargetMode="External"/><Relationship Id="rId3278" Type="http://schemas.openxmlformats.org/officeDocument/2006/relationships/hyperlink" Target="https://bellingcat-archive.nyc3.cdn.digitaloceanspaces.com/Ukraine_Witness_Datasheet/Worksheet/youtube_dl__prm_ua_status_14973849180532367402022-02-26T07:20:36.594598.png" TargetMode="External"/><Relationship Id="rId146" Type="http://schemas.openxmlformats.org/officeDocument/2006/relationships/hyperlink" Target="https://twitter.com/jp_clancy/status/1485980462451466240" TargetMode="External"/><Relationship Id="rId3277" Type="http://schemas.openxmlformats.org/officeDocument/2006/relationships/hyperlink" Target="https://bellingcat-archive.nyc3.cdn.digitaloceanspaces.com/Ukraine_Witness_Datasheet/Worksheet/youtube_dl_1497384918053236740.mp4" TargetMode="External"/><Relationship Id="rId145" Type="http://schemas.openxmlformats.org/officeDocument/2006/relationships/hyperlink" Target="https://bellingcat-archive.nyc3.cdn.digitaloceanspaces.com/ukraine_witness_test/Worksheet/yotube_dl_1487451465526435844/index.html" TargetMode="External"/><Relationship Id="rId144" Type="http://schemas.openxmlformats.org/officeDocument/2006/relationships/hyperlink" Target="https://bellingcat-archive.nyc3.cdn.digitaloceanspaces.com/ukraine_witness_test/Worksheet/yotube_dl__GirkinGirkin_status_14874514655264358442022-02-25T10:28:21.364314.png" TargetMode="External"/><Relationship Id="rId3279" Type="http://schemas.openxmlformats.org/officeDocument/2006/relationships/hyperlink" Target="https://bellingcat-archive.nyc3.cdn.digitaloceanspaces.com/Ukraine_Witness_Datasheet/Worksheet/youtube_dl_1497384918053236740/index.html" TargetMode="External"/><Relationship Id="rId139" Type="http://schemas.openxmlformats.org/officeDocument/2006/relationships/hyperlink" Target="https://bellingcat-archive.nyc3.cdn.digitaloceanspaces.com/ukraine_witness_test/Worksheet/yotube_dl_1487433627306807297.mp4" TargetMode="External"/><Relationship Id="rId138" Type="http://schemas.openxmlformats.org/officeDocument/2006/relationships/hyperlink" Target="https://twitter.com/gfusfus/status/1487438107951644675" TargetMode="External"/><Relationship Id="rId137" Type="http://schemas.openxmlformats.org/officeDocument/2006/relationships/hyperlink" Target="https://twitter.com/GirkinGirkin/status/1487433627306807297" TargetMode="External"/><Relationship Id="rId4590" Type="http://schemas.openxmlformats.org/officeDocument/2006/relationships/hyperlink" Target="https://bellingcat-archive.nyc3.cdn.digitaloceanspaces.com/Ukraine_Witness_Datasheet/Worksheet/youtube_dl_1498721718386544647.mp4" TargetMode="External"/><Relationship Id="rId3261" Type="http://schemas.openxmlformats.org/officeDocument/2006/relationships/hyperlink" Target="https://twitter.com/olex_scherba/status/1497116815830380545" TargetMode="External"/><Relationship Id="rId4592" Type="http://schemas.openxmlformats.org/officeDocument/2006/relationships/hyperlink" Target="https://bellingcat-archive.nyc3.cdn.digitaloceanspaces.com/Ukraine_Witness_Datasheet/Worksheet/youtube_dl_1498721718386544647/index.html" TargetMode="External"/><Relationship Id="rId3260" Type="http://schemas.openxmlformats.org/officeDocument/2006/relationships/hyperlink" Target="https://bellingcat-archive.nyc3.cdn.digitaloceanspaces.com/Ukraine_Witness_Datasheet/Worksheet/youtube_dl_1497344674092179459/index.html" TargetMode="External"/><Relationship Id="rId4591" Type="http://schemas.openxmlformats.org/officeDocument/2006/relationships/hyperlink" Target="https://bellingcat-archive.nyc3.cdn.digitaloceanspaces.com/Ukraine_Witness_Datasheet/Worksheet/youtube_dl__UAWeapons_status_14987217183865446472022-03-02T09:10:36.696185.png" TargetMode="External"/><Relationship Id="rId132" Type="http://schemas.openxmlformats.org/officeDocument/2006/relationships/hyperlink" Target="https://twitter.com/GirkinGirkin/status/1487433437292208132" TargetMode="External"/><Relationship Id="rId3263" Type="http://schemas.openxmlformats.org/officeDocument/2006/relationships/hyperlink" Target="https://bellingcat-archive.nyc3.cdn.digitaloceanspaces.com/Ukraine_Witness_Datasheet/Worksheet/twitter__olex_scherba_status_14971168158303805452022-02-26T07:18:47.207644.png" TargetMode="External"/><Relationship Id="rId4594" Type="http://schemas.openxmlformats.org/officeDocument/2006/relationships/hyperlink" Target="https://twitter.com/Michael1Sheldon/status/1498446162684223501" TargetMode="External"/><Relationship Id="rId131" Type="http://schemas.openxmlformats.org/officeDocument/2006/relationships/hyperlink" Target="https://bellingcat-archive.nyc3.cdn.digitaloceanspaces.com/ukraine_witness_test/Worksheet/yotube_dl_1487074717555216389/index.html" TargetMode="External"/><Relationship Id="rId3262" Type="http://schemas.openxmlformats.org/officeDocument/2006/relationships/hyperlink" Target="https://bellingcat-archive.nyc3.cdn.digitaloceanspaces.com/Ukraine_Witness_Datasheet/Worksheet/twitter__olex_scherba_status_1497116815830380545.html" TargetMode="External"/><Relationship Id="rId4593" Type="http://schemas.openxmlformats.org/officeDocument/2006/relationships/hyperlink" Target="https://twitter.com/Michael1Sheldon/status/1498445663440457728" TargetMode="External"/><Relationship Id="rId130" Type="http://schemas.openxmlformats.org/officeDocument/2006/relationships/hyperlink" Target="https://bellingcat-archive.nyc3.cdn.digitaloceanspaces.com/ukraine_witness_test/Worksheet/yotube_dl__GirkinGirkin_status_14870747175552163892022-02-25T10:27:40.701022.png" TargetMode="External"/><Relationship Id="rId3265" Type="http://schemas.openxmlformats.org/officeDocument/2006/relationships/hyperlink" Target="https://bellingcat-archive.nyc3.cdn.digitaloceanspaces.com/Ukraine_Witness_Datasheet/Worksheet/youtube_dl_1497381890386497543.mp4" TargetMode="External"/><Relationship Id="rId4596" Type="http://schemas.openxmlformats.org/officeDocument/2006/relationships/hyperlink" Target="https://bellingcat-archive.nyc3.cdn.digitaloceanspaces.com/Ukraine_Witness_Datasheet/Worksheet/youtube_dl__Michael1Sheldon_status_14984456634404577282022-03-02T09:10:50.546380.png" TargetMode="External"/><Relationship Id="rId3264" Type="http://schemas.openxmlformats.org/officeDocument/2006/relationships/hyperlink" Target="https://twitter.com/IAPonomarenko/status/1497381890386497543" TargetMode="External"/><Relationship Id="rId4595" Type="http://schemas.openxmlformats.org/officeDocument/2006/relationships/hyperlink" Target="https://bellingcat-archive.nyc3.cdn.digitaloceanspaces.com/Ukraine_Witness_Datasheet/Worksheet/youtube_dl_1498445663440457728.mp4" TargetMode="External"/><Relationship Id="rId136" Type="http://schemas.openxmlformats.org/officeDocument/2006/relationships/hyperlink" Target="https://bellingcat-archive.nyc3.cdn.digitaloceanspaces.com/ukraine_witness_test/Worksheet/yotube_dl_1487433437292208132/index.html" TargetMode="External"/><Relationship Id="rId3267" Type="http://schemas.openxmlformats.org/officeDocument/2006/relationships/hyperlink" Target="https://bellingcat-archive.nyc3.cdn.digitaloceanspaces.com/Ukraine_Witness_Datasheet/Worksheet/youtube_dl_1497381890386497543/index.html" TargetMode="External"/><Relationship Id="rId4598" Type="http://schemas.openxmlformats.org/officeDocument/2006/relationships/hyperlink" Target="https://twitter.com/oryxspioenkop/status/1498697710429425672/photo/1" TargetMode="External"/><Relationship Id="rId135" Type="http://schemas.openxmlformats.org/officeDocument/2006/relationships/hyperlink" Target="https://bellingcat-archive.nyc3.cdn.digitaloceanspaces.com/ukraine_witness_test/Worksheet/yotube_dl__GirkinGirkin_status_14874334372922081322022-02-25T10:27:54.089090.png" TargetMode="External"/><Relationship Id="rId3266" Type="http://schemas.openxmlformats.org/officeDocument/2006/relationships/hyperlink" Target="https://bellingcat-archive.nyc3.cdn.digitaloceanspaces.com/Ukraine_Witness_Datasheet/Worksheet/youtube_dl__IAPonomarenko_status_14973818903864975432022-02-26T07:19:32.909677.png" TargetMode="External"/><Relationship Id="rId4597" Type="http://schemas.openxmlformats.org/officeDocument/2006/relationships/hyperlink" Target="https://bellingcat-archive.nyc3.cdn.digitaloceanspaces.com/Ukraine_Witness_Datasheet/Worksheet/youtube_dl_1498445663440457728/index.html" TargetMode="External"/><Relationship Id="rId134" Type="http://schemas.openxmlformats.org/officeDocument/2006/relationships/hyperlink" Target="https://bellingcat-archive.nyc3.cdn.digitaloceanspaces.com/ukraine_witness_test/Worksheet/yotube_dl_1487433437292208132.mp4" TargetMode="External"/><Relationship Id="rId3269" Type="http://schemas.openxmlformats.org/officeDocument/2006/relationships/hyperlink" Target="https://bellingcat-archive.nyc3.cdn.digitaloceanspaces.com/Ukraine_Witness_Datasheet/Worksheet/youtube_dl_1497382855248429065.mp4" TargetMode="External"/><Relationship Id="rId133" Type="http://schemas.openxmlformats.org/officeDocument/2006/relationships/hyperlink" Target="https://twitter.com/gfusfus/status/1487438107951644675" TargetMode="External"/><Relationship Id="rId3268" Type="http://schemas.openxmlformats.org/officeDocument/2006/relationships/hyperlink" Target="https://twitter.com/RALee85/status/1497382855248429065" TargetMode="External"/><Relationship Id="rId4599" Type="http://schemas.openxmlformats.org/officeDocument/2006/relationships/hyperlink" Target="https://twitter.com/oryxspioenkop" TargetMode="External"/><Relationship Id="rId172" Type="http://schemas.openxmlformats.org/officeDocument/2006/relationships/hyperlink" Target="https://bellingcat-archive.nyc3.cdn.digitaloceanspaces.com/ukraine_witness_test/Worksheet/yotube_dl__GirkinGirkin_status_14847916660242718742022-02-25T10:29:46.048205.png" TargetMode="External"/><Relationship Id="rId171" Type="http://schemas.openxmlformats.org/officeDocument/2006/relationships/hyperlink" Target="https://bellingcat-archive.nyc3.cdn.digitaloceanspaces.com/ukraine_witness_test/Worksheet/yotube_dl_1484791666024271874.mp4" TargetMode="External"/><Relationship Id="rId170" Type="http://schemas.openxmlformats.org/officeDocument/2006/relationships/hyperlink" Target="https://twitter.com/jp_clancy/status/1484798333399052290" TargetMode="External"/><Relationship Id="rId3290" Type="http://schemas.openxmlformats.org/officeDocument/2006/relationships/hyperlink" Target="https://bellingcat-archive.nyc3.cdn.digitaloceanspaces.com/Ukraine_Witness_Datasheet/Worksheet/youtube_dl_1497379389041958913/index.html" TargetMode="External"/><Relationship Id="rId3292" Type="http://schemas.openxmlformats.org/officeDocument/2006/relationships/hyperlink" Target="https://bellingcat-archive.nyc3.cdn.digitaloceanspaces.com/Ukraine_Witness_Datasheet/Worksheet/youtube_dl_1497510588498395137.mp4" TargetMode="External"/><Relationship Id="rId3291" Type="http://schemas.openxmlformats.org/officeDocument/2006/relationships/hyperlink" Target="https://twitter.com/MarQs__/status/1497510588498395137" TargetMode="External"/><Relationship Id="rId3294" Type="http://schemas.openxmlformats.org/officeDocument/2006/relationships/hyperlink" Target="https://bellingcat-archive.nyc3.cdn.digitaloceanspaces.com/Ukraine_Witness_Datasheet/Worksheet/youtube_dl_1497510588498395137/index.html" TargetMode="External"/><Relationship Id="rId3293" Type="http://schemas.openxmlformats.org/officeDocument/2006/relationships/hyperlink" Target="https://bellingcat-archive.nyc3.cdn.digitaloceanspaces.com/Ukraine_Witness_Datasheet/Worksheet/youtube_dl__MarQs___status_14975105884983951372022-02-26T09:57:37.954773.png" TargetMode="External"/><Relationship Id="rId165" Type="http://schemas.openxmlformats.org/officeDocument/2006/relationships/hyperlink" Target="https://twitter.com/danvan71/status/1485565993577496577" TargetMode="External"/><Relationship Id="rId3296" Type="http://schemas.openxmlformats.org/officeDocument/2006/relationships/hyperlink" Target="https://twitter.com/Michael1Sheldon/status/1497506836995612673?s=20&amp;t=LygYWDfjzSKMDUJ35qzwtA" TargetMode="External"/><Relationship Id="rId164" Type="http://schemas.openxmlformats.org/officeDocument/2006/relationships/hyperlink" Target="https://twitter.com/GirkinGirkin/status/1485475887801937920" TargetMode="External"/><Relationship Id="rId3295" Type="http://schemas.openxmlformats.org/officeDocument/2006/relationships/hyperlink" Target="https://twitter.com/RALee85/status/1497437744125128709?s=20&amp;t=LygYWDfjzSKMDUJ35qzwtA" TargetMode="External"/><Relationship Id="rId163" Type="http://schemas.openxmlformats.org/officeDocument/2006/relationships/hyperlink" Target="https://bellingcat-archive.nyc3.cdn.digitaloceanspaces.com/ukraine_witness_test/Worksheet/tiktok_7057057306021793029/index.html" TargetMode="External"/><Relationship Id="rId3298" Type="http://schemas.openxmlformats.org/officeDocument/2006/relationships/hyperlink" Target="https://bellingcat-archive.nyc3.cdn.digitaloceanspaces.com/Ukraine_Witness_Datasheet/Worksheet/youtube_dl__RALee85_status_14974377441251287092022-02-26T10:03:36.397076.png" TargetMode="External"/><Relationship Id="rId162" Type="http://schemas.openxmlformats.org/officeDocument/2006/relationships/hyperlink" Target="https://bellingcat-archive.nyc3.cdn.digitaloceanspaces.com/ukraine_witness_test/Worksheet/tiktok__@stas_283_video_70570573060217930292022-02-25T10:29:21.799303.png" TargetMode="External"/><Relationship Id="rId3297" Type="http://schemas.openxmlformats.org/officeDocument/2006/relationships/hyperlink" Target="https://bellingcat-archive.nyc3.cdn.digitaloceanspaces.com/Ukraine_Witness_Datasheet/Worksheet/youtube_dl_1497437744125128709.mp4" TargetMode="External"/><Relationship Id="rId169" Type="http://schemas.openxmlformats.org/officeDocument/2006/relationships/hyperlink" Target="https://twitter.com/GirkinGirkin/status/1484791666024271874" TargetMode="External"/><Relationship Id="rId168" Type="http://schemas.openxmlformats.org/officeDocument/2006/relationships/hyperlink" Target="https://bellingcat-archive.nyc3.cdn.digitaloceanspaces.com/ukraine_witness_test/Worksheet/yotube_dl_1485475887801937920/index.html" TargetMode="External"/><Relationship Id="rId3299" Type="http://schemas.openxmlformats.org/officeDocument/2006/relationships/hyperlink" Target="https://bellingcat-archive.nyc3.cdn.digitaloceanspaces.com/Ukraine_Witness_Datasheet/Worksheet/youtube_dl_1497437744125128709/index.html" TargetMode="External"/><Relationship Id="rId167" Type="http://schemas.openxmlformats.org/officeDocument/2006/relationships/hyperlink" Target="https://bellingcat-archive.nyc3.cdn.digitaloceanspaces.com/ukraine_witness_test/Worksheet/yotube_dl__GirkinGirkin_status_14854758878019379202022-02-25T10:29:32.723555.png" TargetMode="External"/><Relationship Id="rId166" Type="http://schemas.openxmlformats.org/officeDocument/2006/relationships/hyperlink" Target="https://bellingcat-archive.nyc3.cdn.digitaloceanspaces.com/ukraine_witness_test/Worksheet/yotube_dl_1485475887801937920.mp4" TargetMode="External"/><Relationship Id="rId161" Type="http://schemas.openxmlformats.org/officeDocument/2006/relationships/hyperlink" Target="https://bellingcat-archive.nyc3.cdn.digitaloceanspaces.com/ukraine_witness_test/Worksheet/tiktok_7057057306021793029.mp4" TargetMode="External"/><Relationship Id="rId160" Type="http://schemas.openxmlformats.org/officeDocument/2006/relationships/hyperlink" Target="https://twitter.com/jp_clancy/status/1485914479418392580" TargetMode="External"/><Relationship Id="rId159" Type="http://schemas.openxmlformats.org/officeDocument/2006/relationships/hyperlink" Target="https://www.tiktok.com/@stas_283/video/7057057306021793029?is_copy_url=1&amp;is_from_webapp=v1&amp;q=stas_283&amp;t=1643481691138" TargetMode="External"/><Relationship Id="rId3281" Type="http://schemas.openxmlformats.org/officeDocument/2006/relationships/hyperlink" Target="https://bellingcat-archive.nyc3.cdn.digitaloceanspaces.com/Ukraine_Witness_Datasheet/Worksheet/twitter__ELINTNews_status_1497458588213784576.html" TargetMode="External"/><Relationship Id="rId3280" Type="http://schemas.openxmlformats.org/officeDocument/2006/relationships/hyperlink" Target="https://twitter.com/ELINTNews/status/1497458588213784576" TargetMode="External"/><Relationship Id="rId3283" Type="http://schemas.openxmlformats.org/officeDocument/2006/relationships/hyperlink" Target="https://twitter.com/GirkinGirkin/status/1497427184729923584" TargetMode="External"/><Relationship Id="rId3282" Type="http://schemas.openxmlformats.org/officeDocument/2006/relationships/hyperlink" Target="https://bellingcat-archive.nyc3.cdn.digitaloceanspaces.com/Ukraine_Witness_Datasheet/Worksheet/twitter__ELINTNews_status_14974585882137845762022-02-26T07:46:29.456550.png" TargetMode="External"/><Relationship Id="rId154" Type="http://schemas.openxmlformats.org/officeDocument/2006/relationships/hyperlink" Target="https://bellingcat-archive.nyc3.cdn.digitaloceanspaces.com/ukraine_witness_test/Worksheet/yotube_dl__jp_clancy_status_14859571175552245802022-02-25T10:28:49.527118.png" TargetMode="External"/><Relationship Id="rId3285" Type="http://schemas.openxmlformats.org/officeDocument/2006/relationships/hyperlink" Target="https://bellingcat-archive.nyc3.cdn.digitaloceanspaces.com/Ukraine_Witness_Datasheet/Worksheet/youtube_dl__GirkinGirkin_status_14974271847299235842022-02-26T07:46:53.894346.png" TargetMode="External"/><Relationship Id="rId153" Type="http://schemas.openxmlformats.org/officeDocument/2006/relationships/hyperlink" Target="https://bellingcat-archive.nyc3.cdn.digitaloceanspaces.com/ukraine_witness_test/Worksheet/yotube_dl_1485957117555224580.mp4" TargetMode="External"/><Relationship Id="rId3284" Type="http://schemas.openxmlformats.org/officeDocument/2006/relationships/hyperlink" Target="https://bellingcat-archive.nyc3.cdn.digitaloceanspaces.com/Ukraine_Witness_Datasheet/Worksheet/youtube_dl_1497427184729923584.mp4" TargetMode="External"/><Relationship Id="rId152" Type="http://schemas.openxmlformats.org/officeDocument/2006/relationships/hyperlink" Target="https://twitter.com/jp_clancy/status/1485959178346766336" TargetMode="External"/><Relationship Id="rId3287" Type="http://schemas.openxmlformats.org/officeDocument/2006/relationships/hyperlink" Target="https://twitter.com/RALee85/status/1497379389041958913" TargetMode="External"/><Relationship Id="rId151" Type="http://schemas.openxmlformats.org/officeDocument/2006/relationships/hyperlink" Target="https://twitter.com/jp_clancy/status/1485957117555224580" TargetMode="External"/><Relationship Id="rId3286" Type="http://schemas.openxmlformats.org/officeDocument/2006/relationships/hyperlink" Target="https://bellingcat-archive.nyc3.cdn.digitaloceanspaces.com/Ukraine_Witness_Datasheet/Worksheet/youtube_dl_1497427184729923584/index.html" TargetMode="External"/><Relationship Id="rId158" Type="http://schemas.openxmlformats.org/officeDocument/2006/relationships/hyperlink" Target="https://bellingcat-archive.nyc3.cdn.digitaloceanspaces.com/ukraine_witness_test/Worksheet/tiktok__@frenk4940_video_70568813565417914892022-02-25T10:29:02.589416.png" TargetMode="External"/><Relationship Id="rId3289" Type="http://schemas.openxmlformats.org/officeDocument/2006/relationships/hyperlink" Target="https://bellingcat-archive.nyc3.cdn.digitaloceanspaces.com/Ukraine_Witness_Datasheet/Worksheet/youtube_dl__RALee85_status_14973793890419589132022-02-26T09:54:59.760344.png" TargetMode="External"/><Relationship Id="rId157" Type="http://schemas.openxmlformats.org/officeDocument/2006/relationships/hyperlink" Target="https://bellingcat-archive.nyc3.cdn.digitaloceanspaces.com/ukraine_witness_test/Worksheet/tiktok_7056881356541791489.mp4" TargetMode="External"/><Relationship Id="rId3288" Type="http://schemas.openxmlformats.org/officeDocument/2006/relationships/hyperlink" Target="https://bellingcat-archive.nyc3.cdn.digitaloceanspaces.com/Ukraine_Witness_Datasheet/Worksheet/youtube_dl_1497379389041958913.mp4" TargetMode="External"/><Relationship Id="rId156" Type="http://schemas.openxmlformats.org/officeDocument/2006/relationships/hyperlink" Target="https://www.tiktok.com/@frenk4940/video/7056881356541791489?is_copy_url=1&amp;is_from_webapp=v1&amp;q=frenk4940&amp;t=1643480551848" TargetMode="External"/><Relationship Id="rId155" Type="http://schemas.openxmlformats.org/officeDocument/2006/relationships/hyperlink" Target="https://bellingcat-archive.nyc3.cdn.digitaloceanspaces.com/ukraine_witness_test/Worksheet/yotube_dl_1485957117555224580/index.html" TargetMode="External"/><Relationship Id="rId8123" Type="http://schemas.openxmlformats.org/officeDocument/2006/relationships/hyperlink" Target="https://t.me/vorposte/14886" TargetMode="External"/><Relationship Id="rId8122" Type="http://schemas.openxmlformats.org/officeDocument/2006/relationships/hyperlink" Target="https://bellingcat-archive.nyc3.cdn.digitaloceanspaces.com/Ukraine_Witness_Datasheet/Worksheet/twitter__Mike_Eckel_status_15016188563595100312022-03-09T18:11:30.498044.png" TargetMode="External"/><Relationship Id="rId8121" Type="http://schemas.openxmlformats.org/officeDocument/2006/relationships/hyperlink" Target="https://bellingcat-archive.nyc3.cdn.digitaloceanspaces.com/Ukraine_Witness_Datasheet/Worksheet/twitter__Mike_Eckel_status_1501618856359510031.html" TargetMode="External"/><Relationship Id="rId8120" Type="http://schemas.openxmlformats.org/officeDocument/2006/relationships/hyperlink" Target="https://twitter.com/Mike_Eckel/status/1501618856359510031?s=20&amp;t=Oz1z1qQq9mQH7-5Hi9Y9Kg" TargetMode="External"/><Relationship Id="rId8127" Type="http://schemas.openxmlformats.org/officeDocument/2006/relationships/hyperlink" Target="https://bellingcat-archive.nyc3.cdn.digitaloceanspaces.com/Ukraine_Witness_Datasheet/Worksheet/telegram_8059088726/index.html" TargetMode="External"/><Relationship Id="rId8126" Type="http://schemas.openxmlformats.org/officeDocument/2006/relationships/hyperlink" Target="https://bellingcat-archive.nyc3.cdn.digitaloceanspaces.com/Ukraine_Witness_Datasheet/Worksheet/telegram__vorposte_148862022-03-09T18:11:41.046809.png" TargetMode="External"/><Relationship Id="rId8125" Type="http://schemas.openxmlformats.org/officeDocument/2006/relationships/hyperlink" Target="https://bellingcat-archive.nyc3.cdn.digitaloceanspaces.com/Ukraine_Witness_Datasheet/Worksheet/telegram_8059088726.mp4" TargetMode="External"/><Relationship Id="rId8124" Type="http://schemas.openxmlformats.org/officeDocument/2006/relationships/hyperlink" Target="https://twitter.com/GeoConfirmed/status/1499528243443113994" TargetMode="External"/><Relationship Id="rId8129" Type="http://schemas.openxmlformats.org/officeDocument/2006/relationships/hyperlink" Target="https://t.me/dvish_alive/9521" TargetMode="External"/><Relationship Id="rId8128" Type="http://schemas.openxmlformats.org/officeDocument/2006/relationships/hyperlink" Target="https://t.me/vorposte/14886" TargetMode="External"/><Relationship Id="rId8112" Type="http://schemas.openxmlformats.org/officeDocument/2006/relationships/hyperlink" Target="https://bellingcat-archive.nyc3.cdn.digitaloceanspaces.com/Ukraine_Witness_Datasheet/Worksheet/twitter__Mike_Eckel_status_15016185147964661772022-03-09T18:10:53.146386.png" TargetMode="External"/><Relationship Id="rId8111" Type="http://schemas.openxmlformats.org/officeDocument/2006/relationships/hyperlink" Target="https://bellingcat-archive.nyc3.cdn.digitaloceanspaces.com/Ukraine_Witness_Datasheet/Worksheet/twitter__Mike_Eckel_status_1501618514796466177.html" TargetMode="External"/><Relationship Id="rId8110" Type="http://schemas.openxmlformats.org/officeDocument/2006/relationships/hyperlink" Target="https://twitter.com/Mike_Eckel/status/1501618514796466177?s=20&amp;t=Oz1z1qQq9mQH7-5Hi9Y9Kg" TargetMode="External"/><Relationship Id="rId8116" Type="http://schemas.openxmlformats.org/officeDocument/2006/relationships/hyperlink" Target="https://bellingcat-archive.nyc3.cdn.digitaloceanspaces.com/Ukraine_Witness_Datasheet/Worksheet/twitter__michaelh992_status_14996978499987456022022-03-09T18:11:05.040354.png" TargetMode="External"/><Relationship Id="rId8115" Type="http://schemas.openxmlformats.org/officeDocument/2006/relationships/hyperlink" Target="https://bellingcat-archive.nyc3.cdn.digitaloceanspaces.com/Ukraine_Witness_Datasheet/Worksheet/twitter__michaelh992_status_1499697849998745602.html" TargetMode="External"/><Relationship Id="rId8114" Type="http://schemas.openxmlformats.org/officeDocument/2006/relationships/hyperlink" Target="https://twitter.com/GeoConfirmed/status/1499711276347445256" TargetMode="External"/><Relationship Id="rId8113" Type="http://schemas.openxmlformats.org/officeDocument/2006/relationships/hyperlink" Target="https://twitter.com/michaelh992/status/1499697849998745602" TargetMode="External"/><Relationship Id="rId8119" Type="http://schemas.openxmlformats.org/officeDocument/2006/relationships/hyperlink" Target="https://bellingcat-archive.nyc3.cdn.digitaloceanspaces.com/Ukraine_Witness_Datasheet/Worksheet/twitter__Mike_Eckel_status_15016185147964661772022-03-09T18:11:18.785759.png" TargetMode="External"/><Relationship Id="rId8118" Type="http://schemas.openxmlformats.org/officeDocument/2006/relationships/hyperlink" Target="https://bellingcat-archive.nyc3.cdn.digitaloceanspaces.com/Ukraine_Witness_Datasheet/Worksheet/twitter__Mike_Eckel_status_1501618514796466177.html" TargetMode="External"/><Relationship Id="rId8117" Type="http://schemas.openxmlformats.org/officeDocument/2006/relationships/hyperlink" Target="https://twitter.com/Mike_Eckel/status/1501618514796466177?s=20&amp;t=Oz1z1qQq9mQH7-5Hi9Y9Kg" TargetMode="External"/><Relationship Id="rId8141" Type="http://schemas.openxmlformats.org/officeDocument/2006/relationships/hyperlink" Target="https://bellingcat-archive.nyc3.cdn.digitaloceanspaces.com/Ukraine_Witness_Datasheet/Worksheet/youtube_dl_1501590915521122306/index.html" TargetMode="External"/><Relationship Id="rId8140" Type="http://schemas.openxmlformats.org/officeDocument/2006/relationships/hyperlink" Target="https://bellingcat-archive.nyc3.cdn.digitaloceanspaces.com/Ukraine_Witness_Datasheet/Worksheet/youtube_dl__leonidragozin_status_15015909155211223062022-03-09T18:30:12.706317.png" TargetMode="External"/><Relationship Id="rId8145" Type="http://schemas.openxmlformats.org/officeDocument/2006/relationships/hyperlink" Target="https://twitter.com/Maxar/status/1501630236357799945" TargetMode="External"/><Relationship Id="rId8144" Type="http://schemas.openxmlformats.org/officeDocument/2006/relationships/hyperlink" Target="https://bellingcat-archive.nyc3.cdn.digitaloceanspaces.com/Ukraine_Witness_Datasheet/Worksheet/twitter__GirkinGirkin_status_15015102925341368342022-03-09T18:35:13.687760.png" TargetMode="External"/><Relationship Id="rId8143" Type="http://schemas.openxmlformats.org/officeDocument/2006/relationships/hyperlink" Target="https://bellingcat-archive.nyc3.cdn.digitaloceanspaces.com/Ukraine_Witness_Datasheet/Worksheet/twitter__GirkinGirkin_status_1501510292534136834.html" TargetMode="External"/><Relationship Id="rId8142" Type="http://schemas.openxmlformats.org/officeDocument/2006/relationships/hyperlink" Target="https://twitter.com/GirkinGirkin/status/1501510292534136834" TargetMode="External"/><Relationship Id="rId8149" Type="http://schemas.openxmlformats.org/officeDocument/2006/relationships/hyperlink" Target="https://www.facebook.com/photo?fbid=286821770254527&amp;set=pcb.286822220254482" TargetMode="External"/><Relationship Id="rId8148" Type="http://schemas.openxmlformats.org/officeDocument/2006/relationships/hyperlink" Target="https://bellingcat-archive.nyc3.cdn.digitaloceanspaces.com/Ukraine_Witness_Datasheet/Worksheet/youtube_dl_1501630236357799945/index.html" TargetMode="External"/><Relationship Id="rId8147" Type="http://schemas.openxmlformats.org/officeDocument/2006/relationships/hyperlink" Target="https://bellingcat-archive.nyc3.cdn.digitaloceanspaces.com/Ukraine_Witness_Datasheet/Worksheet/youtube_dl__Maxar_status_15016302363577999452022-03-09T18:50:12.941967.png" TargetMode="External"/><Relationship Id="rId8146" Type="http://schemas.openxmlformats.org/officeDocument/2006/relationships/hyperlink" Target="https://bellingcat-archive.nyc3.cdn.digitaloceanspaces.com/Ukraine_Witness_Datasheet/Worksheet/youtube_dl_1501630236357799945.mp4" TargetMode="External"/><Relationship Id="rId8130" Type="http://schemas.openxmlformats.org/officeDocument/2006/relationships/hyperlink" Target="https://twitter.com/khalfaguliyev/status/1501297980061540353" TargetMode="External"/><Relationship Id="rId8134" Type="http://schemas.openxmlformats.org/officeDocument/2006/relationships/hyperlink" Target="https://t.me/dvish_alive/9521" TargetMode="External"/><Relationship Id="rId8133" Type="http://schemas.openxmlformats.org/officeDocument/2006/relationships/hyperlink" Target="https://bellingcat-archive.nyc3.cdn.digitaloceanspaces.com/Ukraine_Witness_Datasheet/Worksheet/telegram_1558392ce9/index.html" TargetMode="External"/><Relationship Id="rId8132" Type="http://schemas.openxmlformats.org/officeDocument/2006/relationships/hyperlink" Target="https://bellingcat-archive.nyc3.cdn.digitaloceanspaces.com/Ukraine_Witness_Datasheet/Worksheet/telegram__dvish_alive_95212022-03-09T18:12:18.314559.png" TargetMode="External"/><Relationship Id="rId8131" Type="http://schemas.openxmlformats.org/officeDocument/2006/relationships/hyperlink" Target="https://bellingcat-archive.nyc3.cdn.digitaloceanspaces.com/Ukraine_Witness_Datasheet/Worksheet/telegram_1558392ce9.mp4" TargetMode="External"/><Relationship Id="rId8138" Type="http://schemas.openxmlformats.org/officeDocument/2006/relationships/hyperlink" Target="https://twitter.com/leonidragozin/status/1501590915521122306" TargetMode="External"/><Relationship Id="rId8137" Type="http://schemas.openxmlformats.org/officeDocument/2006/relationships/hyperlink" Target="https://bellingcat-archive.nyc3.cdn.digitaloceanspaces.com/Ukraine_Witness_Datasheet/Worksheet/wayback__no_itsmyturn_status_15016173151919267842022-03-09T18:16:04.439976.png" TargetMode="External"/><Relationship Id="rId8136" Type="http://schemas.openxmlformats.org/officeDocument/2006/relationships/hyperlink" Target="https://web.archive.org/web/20220309181553/https://twitter.com/no_itsmyturn/status/1501617315191926784" TargetMode="External"/><Relationship Id="rId8135" Type="http://schemas.openxmlformats.org/officeDocument/2006/relationships/hyperlink" Target="https://twitter.com/no_itsmyturn/status/1501617315191926784" TargetMode="External"/><Relationship Id="rId8139" Type="http://schemas.openxmlformats.org/officeDocument/2006/relationships/hyperlink" Target="https://bellingcat-archive.nyc3.cdn.digitaloceanspaces.com/Ukraine_Witness_Datasheet/Worksheet/youtube_dl_1501590915521122306.mp4" TargetMode="External"/><Relationship Id="rId8101" Type="http://schemas.openxmlformats.org/officeDocument/2006/relationships/hyperlink" Target="https://bellingcat-archive.nyc3.cdn.digitaloceanspaces.com/Ukraine_Witness_Datasheet/Worksheet/youtube_dl_1499725490684416002.mp4" TargetMode="External"/><Relationship Id="rId8100" Type="http://schemas.openxmlformats.org/officeDocument/2006/relationships/hyperlink" Target="https://twitter.com/AosiGeo/status/1499733761231142914" TargetMode="External"/><Relationship Id="rId8105" Type="http://schemas.openxmlformats.org/officeDocument/2006/relationships/hyperlink" Target="https://bellingcat-archive.nyc3.cdn.digitaloceanspaces.com/Ukraine_Witness_Datasheet/Worksheet/twitter__Mike_Eckel_status_1501618185518338051.html" TargetMode="External"/><Relationship Id="rId8104" Type="http://schemas.openxmlformats.org/officeDocument/2006/relationships/hyperlink" Target="https://twitter.com/Mike_Eckel/status/1501618185518338051?s=20&amp;t=Oz1z1qQq9mQH7-5Hi9Y9Kg" TargetMode="External"/><Relationship Id="rId8103" Type="http://schemas.openxmlformats.org/officeDocument/2006/relationships/hyperlink" Target="https://bellingcat-archive.nyc3.cdn.digitaloceanspaces.com/Ukraine_Witness_Datasheet/Worksheet/youtube_dl_1499725490684416002/index.html" TargetMode="External"/><Relationship Id="rId8102" Type="http://schemas.openxmlformats.org/officeDocument/2006/relationships/hyperlink" Target="https://bellingcat-archive.nyc3.cdn.digitaloceanspaces.com/Ukraine_Witness_Datasheet/Worksheet/youtube_dl__OsintTv_status_14997254906844160022022-03-09T18:10:14.251455.png" TargetMode="External"/><Relationship Id="rId8109" Type="http://schemas.openxmlformats.org/officeDocument/2006/relationships/hyperlink" Target="https://bellingcat-archive.nyc3.cdn.digitaloceanspaces.com/Ukraine_Witness_Datasheet/Worksheet/twitter__Mike_Eckel_status_15016181855183380512022-03-09T18:10:41.069140.png" TargetMode="External"/><Relationship Id="rId8108" Type="http://schemas.openxmlformats.org/officeDocument/2006/relationships/hyperlink" Target="https://bellingcat-archive.nyc3.cdn.digitaloceanspaces.com/Ukraine_Witness_Datasheet/Worksheet/twitter__Mike_Eckel_status_1501618185518338051.html" TargetMode="External"/><Relationship Id="rId8107" Type="http://schemas.openxmlformats.org/officeDocument/2006/relationships/hyperlink" Target="https://twitter.com/Mike_Eckel/status/1501618185518338051?s=20&amp;t=Oz1z1qQq9mQH7-5Hi9Y9Kg" TargetMode="External"/><Relationship Id="rId8106" Type="http://schemas.openxmlformats.org/officeDocument/2006/relationships/hyperlink" Target="https://bellingcat-archive.nyc3.cdn.digitaloceanspaces.com/Ukraine_Witness_Datasheet/Worksheet/twitter__Mike_Eckel_status_15016181855183380512022-03-09T18:10:28.776584.png" TargetMode="External"/><Relationship Id="rId4602" Type="http://schemas.openxmlformats.org/officeDocument/2006/relationships/hyperlink" Target="https://twitter.com/RALee85/status/1498696083932954629" TargetMode="External"/><Relationship Id="rId5934" Type="http://schemas.openxmlformats.org/officeDocument/2006/relationships/hyperlink" Target="https://bellingcat-archive.nyc3.cdn.digitaloceanspaces.com/Ukraine_Witness_Datasheet/Worksheet/youtube_dl__EmmettLesterSan_status_14994440451641385012022-03-05T09:21:59.803144.png" TargetMode="External"/><Relationship Id="rId4601" Type="http://schemas.openxmlformats.org/officeDocument/2006/relationships/hyperlink" Target="https://bellingcat-archive.nyc3.cdn.digitaloceanspaces.com/Ukraine_Witness_Datasheet/Worksheet/twitter__oryxspioenkop_status_1498697710429425672_photo_12022-03-02T09:11:03.759241.png" TargetMode="External"/><Relationship Id="rId5935" Type="http://schemas.openxmlformats.org/officeDocument/2006/relationships/hyperlink" Target="https://bellingcat-archive.nyc3.cdn.digitaloceanspaces.com/Ukraine_Witness_Datasheet/Worksheet/youtube_dl_1499444045164138501/index.html" TargetMode="External"/><Relationship Id="rId4604" Type="http://schemas.openxmlformats.org/officeDocument/2006/relationships/hyperlink" Target="https://bellingcat-archive.nyc3.cdn.digitaloceanspaces.com/Ukraine_Witness_Datasheet/Worksheet/youtube_dl__RALee85_status_14986960839329546292022-03-02T09:11:14.215522.png" TargetMode="External"/><Relationship Id="rId5932" Type="http://schemas.openxmlformats.org/officeDocument/2006/relationships/hyperlink" Target="https://twitter.com/EmmettLesterSan/status/1499444045164138501?s=20&amp;t=tobBaKGYkLF2Br2cClyorw" TargetMode="External"/><Relationship Id="rId4603" Type="http://schemas.openxmlformats.org/officeDocument/2006/relationships/hyperlink" Target="https://bellingcat-archive.nyc3.cdn.digitaloceanspaces.com/Ukraine_Witness_Datasheet/Worksheet/youtube_dl_1498696083932954629.mp4" TargetMode="External"/><Relationship Id="rId5933" Type="http://schemas.openxmlformats.org/officeDocument/2006/relationships/hyperlink" Target="https://bellingcat-archive.nyc3.cdn.digitaloceanspaces.com/Ukraine_Witness_Datasheet/Worksheet/youtube_dl_1499444045164138501.mp4" TargetMode="External"/><Relationship Id="rId4606" Type="http://schemas.openxmlformats.org/officeDocument/2006/relationships/hyperlink" Target="https://t.me/livekharkov/27979" TargetMode="External"/><Relationship Id="rId5938" Type="http://schemas.openxmlformats.org/officeDocument/2006/relationships/hyperlink" Target="https://bellingcat-archive.nyc3.cdn.digitaloceanspaces.com/Ukraine_Witness_Datasheet/Worksheet/telegram__truexanewsua_289052022-03-05T09:22:12.267418.png" TargetMode="External"/><Relationship Id="rId4605" Type="http://schemas.openxmlformats.org/officeDocument/2006/relationships/hyperlink" Target="https://bellingcat-archive.nyc3.cdn.digitaloceanspaces.com/Ukraine_Witness_Datasheet/Worksheet/youtube_dl_1498696083932954629/index.html" TargetMode="External"/><Relationship Id="rId5939" Type="http://schemas.openxmlformats.org/officeDocument/2006/relationships/hyperlink" Target="https://t.me/suspilnenews/7092" TargetMode="External"/><Relationship Id="rId4608" Type="http://schemas.openxmlformats.org/officeDocument/2006/relationships/hyperlink" Target="https://bellingcat-archive.nyc3.cdn.digitaloceanspaces.com/Ukraine_Witness_Datasheet/Worksheet/telegram__livekharkov_279792022-03-02T09:11:25.367899.png" TargetMode="External"/><Relationship Id="rId5936" Type="http://schemas.openxmlformats.org/officeDocument/2006/relationships/hyperlink" Target="https://t.me/truexanewsua/28905" TargetMode="External"/><Relationship Id="rId4607" Type="http://schemas.openxmlformats.org/officeDocument/2006/relationships/hyperlink" Target="https://bellingcat-archive.nyc3.cdn.digitaloceanspaces.com/Ukraine_Witness_Datasheet/Worksheet/telegram_f31e789a94.mp4" TargetMode="External"/><Relationship Id="rId5937" Type="http://schemas.openxmlformats.org/officeDocument/2006/relationships/hyperlink" Target="https://bellingcat-archive.nyc3.cdn.digitaloceanspaces.com/Ukraine_Witness_Datasheet/Worksheet/telegram__truexanewsua_28905.html" TargetMode="External"/><Relationship Id="rId4609" Type="http://schemas.openxmlformats.org/officeDocument/2006/relationships/hyperlink" Target="https://bellingcat-archive.nyc3.cdn.digitaloceanspaces.com/Ukraine_Witness_Datasheet/Worksheet/telegram_f31e789a94/index.html" TargetMode="External"/><Relationship Id="rId5930" Type="http://schemas.openxmlformats.org/officeDocument/2006/relationships/hyperlink" Target="https://bellingcat-archive.nyc3.cdn.digitaloceanspaces.com/Ukraine_Witness_Datasheet/Worksheet/twitter__raging545_status_1499484741430611977.html" TargetMode="External"/><Relationship Id="rId5931" Type="http://schemas.openxmlformats.org/officeDocument/2006/relationships/hyperlink" Target="https://bellingcat-archive.nyc3.cdn.digitaloceanspaces.com/Ukraine_Witness_Datasheet/Worksheet/twitter__raging545_status_14994847414306119772022-03-05T09:21:48.879049.png" TargetMode="External"/><Relationship Id="rId4600" Type="http://schemas.openxmlformats.org/officeDocument/2006/relationships/hyperlink" Target="https://bellingcat-archive.nyc3.cdn.digitaloceanspaces.com/Ukraine_Witness_Datasheet/Worksheet/twitter__oryxspioenkop_status_1498697710429425672_photo_1.html" TargetMode="External"/><Relationship Id="rId5923" Type="http://schemas.openxmlformats.org/officeDocument/2006/relationships/hyperlink" Target="https://twitter.com/ua_industrial/status/1499439701152907265" TargetMode="External"/><Relationship Id="rId5924" Type="http://schemas.openxmlformats.org/officeDocument/2006/relationships/hyperlink" Target="https://bellingcat-archive.nyc3.cdn.digitaloceanspaces.com/Ukraine_Witness_Datasheet/Worksheet/twitter__ua_industrial_status_1499439701152907265.html" TargetMode="External"/><Relationship Id="rId5921" Type="http://schemas.openxmlformats.org/officeDocument/2006/relationships/hyperlink" Target="https://bellingcat-archive.nyc3.cdn.digitaloceanspaces.com/Ukraine_Witness_Datasheet/Worksheet/telegram_29f658ed51/index.html" TargetMode="External"/><Relationship Id="rId5922" Type="http://schemas.openxmlformats.org/officeDocument/2006/relationships/hyperlink" Target="https://t.me/faceofwar/16395" TargetMode="External"/><Relationship Id="rId5927" Type="http://schemas.openxmlformats.org/officeDocument/2006/relationships/hyperlink" Target="https://bellingcat-archive.nyc3.cdn.digitaloceanspaces.com/Ukraine_Witness_Datasheet/Worksheet/twitter__raging545_status_1499484741430611977.html" TargetMode="External"/><Relationship Id="rId5928" Type="http://schemas.openxmlformats.org/officeDocument/2006/relationships/hyperlink" Target="https://bellingcat-archive.nyc3.cdn.digitaloceanspaces.com/Ukraine_Witness_Datasheet/Worksheet/twitter__raging545_status_14994847414306119772022-03-05T09:21:37.687306.png" TargetMode="External"/><Relationship Id="rId5925" Type="http://schemas.openxmlformats.org/officeDocument/2006/relationships/hyperlink" Target="https://bellingcat-archive.nyc3.cdn.digitaloceanspaces.com/Ukraine_Witness_Datasheet/Worksheet/twitter__ua_industrial_status_14994397011529072652022-03-05T09:21:27.095562.png" TargetMode="External"/><Relationship Id="rId5926" Type="http://schemas.openxmlformats.org/officeDocument/2006/relationships/hyperlink" Target="https://twitter.com/raging545/status/1499484741430611977" TargetMode="External"/><Relationship Id="rId5929" Type="http://schemas.openxmlformats.org/officeDocument/2006/relationships/hyperlink" Target="https://twitter.com/raging545/status/1499484741430611977" TargetMode="External"/><Relationship Id="rId8196" Type="http://schemas.openxmlformats.org/officeDocument/2006/relationships/hyperlink" Target="https://bellingcat-archive.nyc3.cdn.digitaloceanspaces.com/Ukraine_Witness_Datasheet/Worksheet/twitter__no_itsmyturn_status_1501826196660793344.html" TargetMode="External"/><Relationship Id="rId8195" Type="http://schemas.openxmlformats.org/officeDocument/2006/relationships/hyperlink" Target="https://twitter.com/no_itsmyturn/status/1501826196660793344" TargetMode="External"/><Relationship Id="rId8194" Type="http://schemas.openxmlformats.org/officeDocument/2006/relationships/hyperlink" Target="https://bellingcat-archive.nyc3.cdn.digitaloceanspaces.com/Ukraine_Witness_Datasheet/Worksheet/twitter__no_itsmyturn_status_15018297935491072002022-03-10T11:20:13.349628.png" TargetMode="External"/><Relationship Id="rId8193" Type="http://schemas.openxmlformats.org/officeDocument/2006/relationships/hyperlink" Target="https://bellingcat-archive.nyc3.cdn.digitaloceanspaces.com/Ukraine_Witness_Datasheet/Worksheet/twitter__no_itsmyturn_status_1501829793549107200.html" TargetMode="External"/><Relationship Id="rId8199" Type="http://schemas.openxmlformats.org/officeDocument/2006/relationships/hyperlink" Target="https://bellingcat-archive.nyc3.cdn.digitaloceanspaces.com/Ukraine_Witness_Datasheet/Worksheet/twitter__no_itsmyturn_status_1501796950944923650.html" TargetMode="External"/><Relationship Id="rId8198" Type="http://schemas.openxmlformats.org/officeDocument/2006/relationships/hyperlink" Target="https://twitter.com/no_itsmyturn/status/1501796950944923650" TargetMode="External"/><Relationship Id="rId8197" Type="http://schemas.openxmlformats.org/officeDocument/2006/relationships/hyperlink" Target="https://bellingcat-archive.nyc3.cdn.digitaloceanspaces.com/Ukraine_Witness_Datasheet/Worksheet/twitter__no_itsmyturn_status_15018261966607933442022-03-10T11:40:15.565840.png" TargetMode="External"/><Relationship Id="rId5920" Type="http://schemas.openxmlformats.org/officeDocument/2006/relationships/hyperlink" Target="https://bellingcat-archive.nyc3.cdn.digitaloceanspaces.com/Ukraine_Witness_Datasheet/Worksheet/telegram__faceofwar_163952022-03-05T09:20:10.973592.png" TargetMode="External"/><Relationship Id="rId4624" Type="http://schemas.openxmlformats.org/officeDocument/2006/relationships/hyperlink" Target="https://bellingcat-archive.nyc3.cdn.digitaloceanspaces.com/Ukraine_Witness_Datasheet/Worksheet/twitter__Mike_Eckel_status_14983656271568650322022-03-02T09:12:26.721162.png" TargetMode="External"/><Relationship Id="rId5956" Type="http://schemas.openxmlformats.org/officeDocument/2006/relationships/hyperlink" Target="https://dn.depo.ua/rus/severodonetsk/u-siverskodonetsku-zaginuli-shche-semero-lyudey-misto-bez-gazu-pidirvano-mist-202203041431356" TargetMode="External"/><Relationship Id="rId4623" Type="http://schemas.openxmlformats.org/officeDocument/2006/relationships/hyperlink" Target="https://bellingcat-archive.nyc3.cdn.digitaloceanspaces.com/Ukraine_Witness_Datasheet/Worksheet/twitter__Mike_Eckel_status_1498365627156865032.html" TargetMode="External"/><Relationship Id="rId5957" Type="http://schemas.openxmlformats.org/officeDocument/2006/relationships/hyperlink" Target="https://web.archive.org/web/20220305092409/https://dn.depo.ua/rus/severodonetsk/u-siverskodonetsku-zaginuli-shche-semero-lyudey-misto-bez-gazu-pidirvano-mist-202203041431356" TargetMode="External"/><Relationship Id="rId4626" Type="http://schemas.openxmlformats.org/officeDocument/2006/relationships/hyperlink" Target="https://twitter.com/obretix/status/1498627872860389376" TargetMode="External"/><Relationship Id="rId5954" Type="http://schemas.openxmlformats.org/officeDocument/2006/relationships/hyperlink" Target="https://web.archive.org/web/20220305092329/https://www.facebook.com/login/?next=https%3A%2F%2Fwww.facebook.com%2Fpermalink.php%3Fstory_fbid%3D1360344624402586%26id%3D100012811830489" TargetMode="External"/><Relationship Id="rId4625" Type="http://schemas.openxmlformats.org/officeDocument/2006/relationships/hyperlink" Target="https://twitter.com/obretix/status/1498627872860389376" TargetMode="External"/><Relationship Id="rId5955" Type="http://schemas.openxmlformats.org/officeDocument/2006/relationships/hyperlink" Target="https://bellingcat-archive.nyc3.cdn.digitaloceanspaces.com/Ukraine_Witness_Datasheet/Worksheet/wayback__permalink.php2022-03-05T09:23:49.497482.png" TargetMode="External"/><Relationship Id="rId4628" Type="http://schemas.openxmlformats.org/officeDocument/2006/relationships/hyperlink" Target="https://bellingcat-archive.nyc3.cdn.digitaloceanspaces.com/Ukraine_Witness_Datasheet/Worksheet/twitter__obretix_status_14986278728603893762022-03-02T09:12:38.502462.png" TargetMode="External"/><Relationship Id="rId4627" Type="http://schemas.openxmlformats.org/officeDocument/2006/relationships/hyperlink" Target="https://bellingcat-archive.nyc3.cdn.digitaloceanspaces.com/Ukraine_Witness_Datasheet/Worksheet/twitter__obretix_status_1498627872860389376.html" TargetMode="External"/><Relationship Id="rId5958" Type="http://schemas.openxmlformats.org/officeDocument/2006/relationships/hyperlink" Target="https://bellingcat-archive.nyc3.cdn.digitaloceanspaces.com/Ukraine_Witness_Datasheet/Worksheet/wayback_odonetsk_u-siverskodonetsku-zaginuli-shche-semero-lyudey-misto-bez-gazu-pidirvano-mist-2022030414313562022-03-05T09:24:31.291297.png" TargetMode="External"/><Relationship Id="rId4629" Type="http://schemas.openxmlformats.org/officeDocument/2006/relationships/hyperlink" Target="https://twitter.com/GirkinGirkin/status/1498924222277632003?s=20&amp;t=S3kR0y6xH2HNT_CLwO3bvw" TargetMode="External"/><Relationship Id="rId5959" Type="http://schemas.openxmlformats.org/officeDocument/2006/relationships/hyperlink" Target="https://www.facebook.com/MNS.GOV.UA/posts/326078186226744" TargetMode="External"/><Relationship Id="rId4620" Type="http://schemas.openxmlformats.org/officeDocument/2006/relationships/hyperlink" Target="https://bellingcat-archive.nyc3.cdn.digitaloceanspaces.com/Ukraine_Witness_Datasheet/Worksheet/youtube_dl_1498365347795247107/index.html" TargetMode="External"/><Relationship Id="rId5952" Type="http://schemas.openxmlformats.org/officeDocument/2006/relationships/hyperlink" Target="https://bellingcat-archive.nyc3.cdn.digitaloceanspaces.com/Ukraine_Witness_Datasheet/Worksheet/twitter__SputnikATO_status_14997197586520883202022-03-05T09:23:02.238202.png" TargetMode="External"/><Relationship Id="rId5953" Type="http://schemas.openxmlformats.org/officeDocument/2006/relationships/hyperlink" Target="https://www.facebook.com/permalink.php?story_fbid=1360344624402586&amp;id=100012811830489" TargetMode="External"/><Relationship Id="rId4622" Type="http://schemas.openxmlformats.org/officeDocument/2006/relationships/hyperlink" Target="https://twitter.com/il_kanguru/status/1498521309671788547" TargetMode="External"/><Relationship Id="rId5950" Type="http://schemas.openxmlformats.org/officeDocument/2006/relationships/hyperlink" Target="https://twitter.com/SputnikATO/status/1499719758652088320" TargetMode="External"/><Relationship Id="rId4621" Type="http://schemas.openxmlformats.org/officeDocument/2006/relationships/hyperlink" Target="https://twitter.com/Mike_Eckel/status/1498365627156865032" TargetMode="External"/><Relationship Id="rId5951" Type="http://schemas.openxmlformats.org/officeDocument/2006/relationships/hyperlink" Target="https://bellingcat-archive.nyc3.cdn.digitaloceanspaces.com/Ukraine_Witness_Datasheet/Worksheet/twitter__SputnikATO_status_1499719758652088320.html" TargetMode="External"/><Relationship Id="rId4613" Type="http://schemas.openxmlformats.org/officeDocument/2006/relationships/hyperlink" Target="https://bellingcat-archive.nyc3.cdn.digitaloceanspaces.com/Ukraine_Witness_Datasheet/Worksheet/youtube_dl_1498311386069360640.mp4" TargetMode="External"/><Relationship Id="rId5945" Type="http://schemas.openxmlformats.org/officeDocument/2006/relationships/hyperlink" Target="https://bellingcat-archive.nyc3.cdn.digitaloceanspaces.com/Ukraine_Witness_Datasheet/Worksheet/twitter__EmineDzheppar_status_1499665706291544066.html" TargetMode="External"/><Relationship Id="rId4612" Type="http://schemas.openxmlformats.org/officeDocument/2006/relationships/hyperlink" Target="https://twitter.com/ghost_watcher1/status/1498375557234499588" TargetMode="External"/><Relationship Id="rId5946" Type="http://schemas.openxmlformats.org/officeDocument/2006/relationships/hyperlink" Target="https://bellingcat-archive.nyc3.cdn.digitaloceanspaces.com/Ukraine_Witness_Datasheet/Worksheet/twitter__EmineDzheppar_status_14996657062915440662022-03-05T09:22:42.676997.png" TargetMode="External"/><Relationship Id="rId4615" Type="http://schemas.openxmlformats.org/officeDocument/2006/relationships/hyperlink" Target="https://bellingcat-archive.nyc3.cdn.digitaloceanspaces.com/Ukraine_Witness_Datasheet/Worksheet/youtube_dl_1498311386069360640/index.html" TargetMode="External"/><Relationship Id="rId5943" Type="http://schemas.openxmlformats.org/officeDocument/2006/relationships/hyperlink" Target="https://t.me/suspilnenews/7092" TargetMode="External"/><Relationship Id="rId4614" Type="http://schemas.openxmlformats.org/officeDocument/2006/relationships/hyperlink" Target="https://bellingcat-archive.nyc3.cdn.digitaloceanspaces.com/Ukraine_Witness_Datasheet/Worksheet/youtube_dl__666_mancer_status_14983113860693606402022-03-02T09:11:49.182002.png" TargetMode="External"/><Relationship Id="rId5944" Type="http://schemas.openxmlformats.org/officeDocument/2006/relationships/hyperlink" Target="https://twitter.com/EmineDzheppar/status/1499665706291544066?s=20&amp;t=jGA8xiOIjP1NQENkftSPZQ" TargetMode="External"/><Relationship Id="rId4617" Type="http://schemas.openxmlformats.org/officeDocument/2006/relationships/hyperlink" Target="https://twitter.com/ghost_watcher1/status/1498380397742284809" TargetMode="External"/><Relationship Id="rId5949" Type="http://schemas.openxmlformats.org/officeDocument/2006/relationships/hyperlink" Target="https://bellingcat-archive.nyc3.cdn.digitaloceanspaces.com/Ukraine_Witness_Datasheet/Worksheet/telegram__suspilnenews_70092022-03-05T09:22:52.272404.png" TargetMode="External"/><Relationship Id="rId4616" Type="http://schemas.openxmlformats.org/officeDocument/2006/relationships/hyperlink" Target="https://twitter.com/666_mancer/status/1498365347795247107" TargetMode="External"/><Relationship Id="rId4619" Type="http://schemas.openxmlformats.org/officeDocument/2006/relationships/hyperlink" Target="https://bellingcat-archive.nyc3.cdn.digitaloceanspaces.com/Ukraine_Witness_Datasheet/Worksheet/youtube_dl__666_mancer_status_14983653477952471072022-03-02T09:12:10.847829.png" TargetMode="External"/><Relationship Id="rId5947" Type="http://schemas.openxmlformats.org/officeDocument/2006/relationships/hyperlink" Target="https://t.me/suspilnenews/7009" TargetMode="External"/><Relationship Id="rId4618" Type="http://schemas.openxmlformats.org/officeDocument/2006/relationships/hyperlink" Target="https://bellingcat-archive.nyc3.cdn.digitaloceanspaces.com/Ukraine_Witness_Datasheet/Worksheet/youtube_dl_1498365347795247107.mp4" TargetMode="External"/><Relationship Id="rId5948" Type="http://schemas.openxmlformats.org/officeDocument/2006/relationships/hyperlink" Target="https://bellingcat-archive.nyc3.cdn.digitaloceanspaces.com/Ukraine_Witness_Datasheet/Worksheet/telegram__suspilnenews_7009.html" TargetMode="External"/><Relationship Id="rId5941" Type="http://schemas.openxmlformats.org/officeDocument/2006/relationships/hyperlink" Target="https://bellingcat-archive.nyc3.cdn.digitaloceanspaces.com/Ukraine_Witness_Datasheet/Worksheet/telegram__suspilnenews_70922022-03-05T09:22:20.396680.png" TargetMode="External"/><Relationship Id="rId5942" Type="http://schemas.openxmlformats.org/officeDocument/2006/relationships/hyperlink" Target="https://bellingcat-archive.nyc3.cdn.digitaloceanspaces.com/Ukraine_Witness_Datasheet/Worksheet/telegram_5b709409f3/index.html" TargetMode="External"/><Relationship Id="rId4611" Type="http://schemas.openxmlformats.org/officeDocument/2006/relationships/hyperlink" Target="https://twitter.com/666_mancer/status/1498311386069360640" TargetMode="External"/><Relationship Id="rId4610" Type="http://schemas.openxmlformats.org/officeDocument/2006/relationships/hyperlink" Target="https://t.me/livekharkov/27979" TargetMode="External"/><Relationship Id="rId5940" Type="http://schemas.openxmlformats.org/officeDocument/2006/relationships/hyperlink" Target="https://bellingcat-archive.nyc3.cdn.digitaloceanspaces.com/Ukraine_Witness_Datasheet/Worksheet/telegram_5b709409f3.mp4" TargetMode="External"/><Relationship Id="rId8170" Type="http://schemas.openxmlformats.org/officeDocument/2006/relationships/hyperlink" Target="https://twitter.com/antiputler_news/status/1501832094225518593" TargetMode="External"/><Relationship Id="rId8163" Type="http://schemas.openxmlformats.org/officeDocument/2006/relationships/hyperlink" Target="https://bellingcat-archive.nyc3.cdn.digitaloceanspaces.com/Ukraine_Witness_Datasheet/Worksheet/twitter__Polk_Azov_status_1501826352076533761_photo_32022-03-10T08:25:14.893029.png" TargetMode="External"/><Relationship Id="rId8162" Type="http://schemas.openxmlformats.org/officeDocument/2006/relationships/hyperlink" Target="https://bellingcat-archive.nyc3.cdn.digitaloceanspaces.com/Ukraine_Witness_Datasheet/Worksheet/twitter__Polk_Azov_status_1501826352076533761_photo_3.html" TargetMode="External"/><Relationship Id="rId8161" Type="http://schemas.openxmlformats.org/officeDocument/2006/relationships/hyperlink" Target="https://twitter.com/Polk_Azov/status/1501826352076533761/photo/3" TargetMode="External"/><Relationship Id="rId8160" Type="http://schemas.openxmlformats.org/officeDocument/2006/relationships/hyperlink" Target="https://bellingcat-archive.nyc3.cdn.digitaloceanspaces.com/Ukraine_Witness_Datasheet/Worksheet/youtube_dl_1501161299937529860/index.html" TargetMode="External"/><Relationship Id="rId8167" Type="http://schemas.openxmlformats.org/officeDocument/2006/relationships/hyperlink" Target="https://twitter.com/no_itsmyturn/status/1501828667802107905" TargetMode="External"/><Relationship Id="rId8166" Type="http://schemas.openxmlformats.org/officeDocument/2006/relationships/hyperlink" Target="https://bellingcat-archive.nyc3.cdn.digitaloceanspaces.com/Ukraine_Witness_Datasheet/Worksheet/twitter__no_itsmyturn_status_15018293758257930242022-03-10T08:30:13.245398.png" TargetMode="External"/><Relationship Id="rId8165" Type="http://schemas.openxmlformats.org/officeDocument/2006/relationships/hyperlink" Target="https://bellingcat-archive.nyc3.cdn.digitaloceanspaces.com/Ukraine_Witness_Datasheet/Worksheet/twitter__no_itsmyturn_status_1501829375825793024.html" TargetMode="External"/><Relationship Id="rId8164" Type="http://schemas.openxmlformats.org/officeDocument/2006/relationships/hyperlink" Target="https://twitter.com/no_itsmyturn/status/1501829375825793024" TargetMode="External"/><Relationship Id="rId8169" Type="http://schemas.openxmlformats.org/officeDocument/2006/relationships/hyperlink" Target="https://bellingcat-archive.nyc3.cdn.digitaloceanspaces.com/Ukraine_Witness_Datasheet/Worksheet/twitter__no_itsmyturn_status_15018286678021079052022-03-10T08:45:14.418965.png" TargetMode="External"/><Relationship Id="rId8168" Type="http://schemas.openxmlformats.org/officeDocument/2006/relationships/hyperlink" Target="https://bellingcat-archive.nyc3.cdn.digitaloceanspaces.com/Ukraine_Witness_Datasheet/Worksheet/twitter__no_itsmyturn_status_1501828667802107905.html" TargetMode="External"/><Relationship Id="rId8152" Type="http://schemas.openxmlformats.org/officeDocument/2006/relationships/hyperlink" Target="https://bellingcat-archive.nyc3.cdn.digitaloceanspaces.com/Ukraine_Witness_Datasheet/Worksheet/wayback__photo2022-03-09T22:16:01.515404.png" TargetMode="External"/><Relationship Id="rId8151" Type="http://schemas.openxmlformats.org/officeDocument/2006/relationships/hyperlink" Target="https://web.archive.org/web/20220309221553/https://www.facebook.com/photo?fbid=286821770254527&amp;set=pcb.286822220254482" TargetMode="External"/><Relationship Id="rId8150" Type="http://schemas.openxmlformats.org/officeDocument/2006/relationships/hyperlink" Target="https://www.google.com/maps/place/Druzhkovka/@48.6270845,37.5460449,3a,75y,90t/data=!3m8!1e2!3m6!1sAF1QipNXnx2VDaTd7ONQHsCaijeCU-JA3tYFDA9qVkzO!2e10!3e12!6shttps:%2F%2Flh5.googleusercontent.com%2Fp%2FAF1QipNXnx2VDaTd7ONQHsCaijeCU-JA3tYFDA9qVkzO%3Dw203-h134-k-no!7i4944!8i3280!4m13!1m7!3m6!1s0x0:0x691aadf482ca0957!2zNDjCsDM3JzM4LjciTiAzN8KwMzInNDYuNSJF!3b1!8m2!3d48.627419!4d37.54625!3m4!1s0x40dfbe959256a16f:0x3f5a80f03e41dfb1!8m2!3d48.627126!4d37.5461266" TargetMode="External"/><Relationship Id="rId8156" Type="http://schemas.openxmlformats.org/officeDocument/2006/relationships/hyperlink" Target="https://bellingcat-archive.nyc3.cdn.digitaloceanspaces.com/Ukraine_Witness_Datasheet/Worksheet/wayback__photo2022-03-09T22:20:16.349204.png" TargetMode="External"/><Relationship Id="rId8155" Type="http://schemas.openxmlformats.org/officeDocument/2006/relationships/hyperlink" Target="https://web.archive.org/web/20220309221553/https://www.facebook.com/photo?fbid=286821770254527&amp;set=pcb.286822220254482" TargetMode="External"/><Relationship Id="rId8154" Type="http://schemas.openxmlformats.org/officeDocument/2006/relationships/hyperlink" Target="https://www.google.com/maps/place/Druzhkovka/@48.6270845,37.5460449,3a,75y,90t/data=!3m8!1e2!3m6!1sAF1QipNXnx2VDaTd7ONQHsCaijeCU-JA3tYFDA9qVkzO!2e10!3e12!6shttps:%2F%2Flh5.googleusercontent.com%2Fp%2FAF1QipNXnx2VDaTd7ONQHsCaijeCU-JA3tYFDA9qVkzO%3Dw203-h134-k-no!7i4944!8i3280!4m13!1m7!3m6!1s0x0:0x691aadf482ca0957!2zNDjCsDM3JzM4LjciTiAzN8KwMzInNDYuNSJF!3b1!8m2!3d48.627419!4d37.54625!3m4!1s0x40dfbe959256a16f:0x3f5a80f03e41dfb1!8m2!3d48.627126!4d37.5461266" TargetMode="External"/><Relationship Id="rId8153" Type="http://schemas.openxmlformats.org/officeDocument/2006/relationships/hyperlink" Target="https://www.facebook.com/photo/?fbid=286822010254503&amp;set=pcb.286822220254482" TargetMode="External"/><Relationship Id="rId8159" Type="http://schemas.openxmlformats.org/officeDocument/2006/relationships/hyperlink" Target="https://bellingcat-archive.nyc3.cdn.digitaloceanspaces.com/Ukraine_Witness_Datasheet/Worksheet/youtube_dl__200_zoka_status_15011612999375298602022-03-09T22:50:12.740253.png" TargetMode="External"/><Relationship Id="rId8158" Type="http://schemas.openxmlformats.org/officeDocument/2006/relationships/hyperlink" Target="https://bellingcat-archive.nyc3.cdn.digitaloceanspaces.com/Ukraine_Witness_Datasheet/Worksheet/youtube_dl_1501161299937529860.mp4" TargetMode="External"/><Relationship Id="rId8157" Type="http://schemas.openxmlformats.org/officeDocument/2006/relationships/hyperlink" Target="https://twitter.com/200_zoka/status/1501161299937529860" TargetMode="External"/><Relationship Id="rId5912" Type="http://schemas.openxmlformats.org/officeDocument/2006/relationships/hyperlink" Target="https://twitter.com/michaelh992/status/1499334866571300866?s=20&amp;t=8s47q6MCvigV0XNxlUvZxA" TargetMode="External"/><Relationship Id="rId5913" Type="http://schemas.openxmlformats.org/officeDocument/2006/relationships/hyperlink" Target="https://bellingcat-archive.nyc3.cdn.digitaloceanspaces.com/Ukraine_Witness_Datasheet/Worksheet/twitter__michaelh992_status_1499334866571300866.html" TargetMode="External"/><Relationship Id="rId5910" Type="http://schemas.openxmlformats.org/officeDocument/2006/relationships/hyperlink" Target="https://bellingcat-archive.nyc3.cdn.digitaloceanspaces.com/Ukraine_Witness_Datasheet/Worksheet/telegram_b171fdd7af/index.html" TargetMode="External"/><Relationship Id="rId5911" Type="http://schemas.openxmlformats.org/officeDocument/2006/relationships/hyperlink" Target="https://t.me/bbcrussian/23840" TargetMode="External"/><Relationship Id="rId5916" Type="http://schemas.openxmlformats.org/officeDocument/2006/relationships/hyperlink" Target="https://bellingcat-archive.nyc3.cdn.digitaloceanspaces.com/Ukraine_Witness_Datasheet/Worksheet/twitter__DNR_online__status_1497495576618934272.html" TargetMode="External"/><Relationship Id="rId5917" Type="http://schemas.openxmlformats.org/officeDocument/2006/relationships/hyperlink" Target="https://bellingcat-archive.nyc3.cdn.digitaloceanspaces.com/Ukraine_Witness_Datasheet/Worksheet/twitter__DNR_online__status_14974955766189342722022-03-05T09:16:28.541038.png" TargetMode="External"/><Relationship Id="rId5914" Type="http://schemas.openxmlformats.org/officeDocument/2006/relationships/hyperlink" Target="https://bellingcat-archive.nyc3.cdn.digitaloceanspaces.com/Ukraine_Witness_Datasheet/Worksheet/twitter__michaelh992_status_14993348665713008662022-03-05T09:16:16.977992.png" TargetMode="External"/><Relationship Id="rId5915" Type="http://schemas.openxmlformats.org/officeDocument/2006/relationships/hyperlink" Target="https://twitter.com/DNR_online_/status/1497495576618934272?s=20&amp;t=gn_00P9gSmU2JkmsNup8Cg" TargetMode="External"/><Relationship Id="rId5918" Type="http://schemas.openxmlformats.org/officeDocument/2006/relationships/hyperlink" Target="https://t.co/zsZpxL4yc1" TargetMode="External"/><Relationship Id="rId5919" Type="http://schemas.openxmlformats.org/officeDocument/2006/relationships/hyperlink" Target="https://bellingcat-archive.nyc3.cdn.digitaloceanspaces.com/Ukraine_Witness_Datasheet/Worksheet/telegram_29f658ed51.mp4" TargetMode="External"/><Relationship Id="rId8192" Type="http://schemas.openxmlformats.org/officeDocument/2006/relationships/hyperlink" Target="https://twitter.com/no_itsmyturn/status/1501829793549107200" TargetMode="External"/><Relationship Id="rId8191" Type="http://schemas.openxmlformats.org/officeDocument/2006/relationships/hyperlink" Target="https://bellingcat-archive.nyc3.cdn.digitaloceanspaces.com/Ukraine_Witness_Datasheet/Worksheet/twitter__no_itsmyturn_status_15018303826349015062022-03-10T11:10:14.272575.png" TargetMode="External"/><Relationship Id="rId8190" Type="http://schemas.openxmlformats.org/officeDocument/2006/relationships/hyperlink" Target="https://bellingcat-archive.nyc3.cdn.digitaloceanspaces.com/Ukraine_Witness_Datasheet/Worksheet/twitter__no_itsmyturn_status_1501830382634901506.html" TargetMode="External"/><Relationship Id="rId8185" Type="http://schemas.openxmlformats.org/officeDocument/2006/relationships/hyperlink" Target="https://twitter.com/revishvilig/status/1501086765020553219" TargetMode="External"/><Relationship Id="rId8184" Type="http://schemas.openxmlformats.org/officeDocument/2006/relationships/hyperlink" Target="https://bellingcat-archive.nyc3.cdn.digitaloceanspaces.com/Ukraine_Witness_Datasheet/Worksheet/twitter__ukraine_world_status_15014573770228572162022-03-10T11:05:12.577847.png" TargetMode="External"/><Relationship Id="rId8183" Type="http://schemas.openxmlformats.org/officeDocument/2006/relationships/hyperlink" Target="https://bellingcat-archive.nyc3.cdn.digitaloceanspaces.com/Ukraine_Witness_Datasheet/Worksheet/twitter__ukraine_world_status_1501457377022857216.html" TargetMode="External"/><Relationship Id="rId8182" Type="http://schemas.openxmlformats.org/officeDocument/2006/relationships/hyperlink" Target="https://twitter.com/ukraine_world/status/1501457377022857216" TargetMode="External"/><Relationship Id="rId8189" Type="http://schemas.openxmlformats.org/officeDocument/2006/relationships/hyperlink" Target="https://twitter.com/no_itsmyturn/status/1501830382634901506" TargetMode="External"/><Relationship Id="rId8188" Type="http://schemas.openxmlformats.org/officeDocument/2006/relationships/hyperlink" Target="https://bellingcat-archive.nyc3.cdn.digitaloceanspaces.com/Ukraine_Witness_Datasheet/Worksheet/youtube_dl_1501086765020553219/index.html" TargetMode="External"/><Relationship Id="rId8187" Type="http://schemas.openxmlformats.org/officeDocument/2006/relationships/hyperlink" Target="https://bellingcat-archive.nyc3.cdn.digitaloceanspaces.com/Ukraine_Witness_Datasheet/Worksheet/youtube_dl__revishvilig_status_15010867650205532192022-03-10T11:05:24.451076.png" TargetMode="External"/><Relationship Id="rId8186" Type="http://schemas.openxmlformats.org/officeDocument/2006/relationships/hyperlink" Target="https://bellingcat-archive.nyc3.cdn.digitaloceanspaces.com/Ukraine_Witness_Datasheet/Worksheet/youtube_dl_1501086765020553219.mp4" TargetMode="External"/><Relationship Id="rId5901" Type="http://schemas.openxmlformats.org/officeDocument/2006/relationships/hyperlink" Target="https://twitter.com/mariabarabash/status/1499372340412620801?s=20&amp;t=u-LTUYYFyPOmbH1B2qNY6w" TargetMode="External"/><Relationship Id="rId5902" Type="http://schemas.openxmlformats.org/officeDocument/2006/relationships/hyperlink" Target="https://bellingcat-archive.nyc3.cdn.digitaloceanspaces.com/Ukraine_Witness_Datasheet/Worksheet/twitter__mariabarabash_status_1499372340412620801.html" TargetMode="External"/><Relationship Id="rId5900" Type="http://schemas.openxmlformats.org/officeDocument/2006/relationships/hyperlink" Target="https://bellingcat-archive.nyc3.cdn.digitaloceanspaces.com/Ukraine_Witness_Datasheet/Worksheet/youtube_dl_1499336508364492801/index.html" TargetMode="External"/><Relationship Id="rId5905" Type="http://schemas.openxmlformats.org/officeDocument/2006/relationships/hyperlink" Target="https://bellingcat-archive.nyc3.cdn.digitaloceanspaces.com/Ukraine_Witness_Datasheet/Worksheet/twitter__ua_industrial_status_1499366332147638277.html" TargetMode="External"/><Relationship Id="rId5906" Type="http://schemas.openxmlformats.org/officeDocument/2006/relationships/hyperlink" Target="https://bellingcat-archive.nyc3.cdn.digitaloceanspaces.com/Ukraine_Witness_Datasheet/Worksheet/twitter__ua_industrial_status_14993663321476382772022-03-05T09:14:03.192701.png" TargetMode="External"/><Relationship Id="rId5903" Type="http://schemas.openxmlformats.org/officeDocument/2006/relationships/hyperlink" Target="https://bellingcat-archive.nyc3.cdn.digitaloceanspaces.com/Ukraine_Witness_Datasheet/Worksheet/twitter__mariabarabash_status_14993723404126208012022-03-05T09:13:51.558540.png" TargetMode="External"/><Relationship Id="rId5904" Type="http://schemas.openxmlformats.org/officeDocument/2006/relationships/hyperlink" Target="https://twitter.com/ua_industrial/status/1499366332147638277?s=20&amp;t=u-LTUYYFyPOmbH1B2qNY6w" TargetMode="External"/><Relationship Id="rId5909" Type="http://schemas.openxmlformats.org/officeDocument/2006/relationships/hyperlink" Target="https://bellingcat-archive.nyc3.cdn.digitaloceanspaces.com/Ukraine_Witness_Datasheet/Worksheet/telegram__bbcrussian_238402022-03-05T09:14:13.367843.png" TargetMode="External"/><Relationship Id="rId5907" Type="http://schemas.openxmlformats.org/officeDocument/2006/relationships/hyperlink" Target="https://t.me/bbcrussian/23840" TargetMode="External"/><Relationship Id="rId5908" Type="http://schemas.openxmlformats.org/officeDocument/2006/relationships/hyperlink" Target="https://bellingcat-archive.nyc3.cdn.digitaloceanspaces.com/Ukraine_Witness_Datasheet/Worksheet/telegram_b171fdd7af.mp4" TargetMode="External"/><Relationship Id="rId8181" Type="http://schemas.openxmlformats.org/officeDocument/2006/relationships/hyperlink" Target="https://bellingcat-archive.nyc3.cdn.digitaloceanspaces.com/Ukraine_Witness_Datasheet/Worksheet/twitter__EuromaidanPress_status_15017053144076943472022-03-10T11:00:40.255880.png" TargetMode="External"/><Relationship Id="rId8180" Type="http://schemas.openxmlformats.org/officeDocument/2006/relationships/hyperlink" Target="https://bellingcat-archive.nyc3.cdn.digitaloceanspaces.com/Ukraine_Witness_Datasheet/Worksheet/twitter__EuromaidanPress_status_1501705314407694347.html" TargetMode="External"/><Relationship Id="rId8174" Type="http://schemas.openxmlformats.org/officeDocument/2006/relationships/hyperlink" Target="https://bellingcat-archive.nyc3.cdn.digitaloceanspaces.com/Ukraine_Witness_Datasheet/Worksheet/youtube_dl_1501832094225518593/index.html" TargetMode="External"/><Relationship Id="rId8173" Type="http://schemas.openxmlformats.org/officeDocument/2006/relationships/hyperlink" Target="https://bellingcat-archive.nyc3.cdn.digitaloceanspaces.com/Ukraine_Witness_Datasheet/Worksheet/youtube_dl__antiputler_news_status_15018320942255185932022-03-10T09:10:12.926011.png" TargetMode="External"/><Relationship Id="rId8172" Type="http://schemas.openxmlformats.org/officeDocument/2006/relationships/hyperlink" Target="https://bellingcat-archive.nyc3.cdn.digitaloceanspaces.com/Ukraine_Witness_Datasheet/Worksheet/youtube_dl_1501832094225518593.mp4" TargetMode="External"/><Relationship Id="rId8171" Type="http://schemas.openxmlformats.org/officeDocument/2006/relationships/hyperlink" Target="https://www.google.com/maps/place/Dars/@49.8404475,36.68645,19z/data=!4m5!3m4!1s0x412715ca014471e7:0xdff67b0538aed5b0!8m2!3d49.8403885!4d36.6870365" TargetMode="External"/><Relationship Id="rId8178" Type="http://schemas.openxmlformats.org/officeDocument/2006/relationships/hyperlink" Target="https://bellingcat-archive.nyc3.cdn.digitaloceanspaces.com/Ukraine_Witness_Datasheet/Worksheet/youtube_dl_250734993932774/index.html" TargetMode="External"/><Relationship Id="rId8177" Type="http://schemas.openxmlformats.org/officeDocument/2006/relationships/hyperlink" Target="https://bellingcat-archive.nyc3.cdn.digitaloceanspaces.com/Ukraine_Witness_Datasheet/Worksheet/youtube_dl__UkrainianLandForces_videos_250734993932774_2022-03-10T11:00:21.132861.png" TargetMode="External"/><Relationship Id="rId8176" Type="http://schemas.openxmlformats.org/officeDocument/2006/relationships/hyperlink" Target="https://bellingcat-archive.nyc3.cdn.digitaloceanspaces.com/Ukraine_Witness_Datasheet/Worksheet/youtube_dl_250734993932774.mkv" TargetMode="External"/><Relationship Id="rId8175" Type="http://schemas.openxmlformats.org/officeDocument/2006/relationships/hyperlink" Target="https://www.facebook.com/UkrainianLandForces/videos/250734993932774/?__tn__=%2CO" TargetMode="External"/><Relationship Id="rId8179" Type="http://schemas.openxmlformats.org/officeDocument/2006/relationships/hyperlink" Target="https://twitter.com/EuromaidanPress/status/1501705314407694347" TargetMode="External"/><Relationship Id="rId2027" Type="http://schemas.openxmlformats.org/officeDocument/2006/relationships/hyperlink" Target="https://bellingcat-archive.nyc3.cdn.digitaloceanspaces.com/Ukraine_Witness_Datasheet/Worksheet/youtube_dl__GirkinGirkin_status_14954743935600599072022-02-25T13:37:53.992948.png" TargetMode="External"/><Relationship Id="rId3359" Type="http://schemas.openxmlformats.org/officeDocument/2006/relationships/hyperlink" Target="https://bellingcat-archive.nyc3.cdn.digitaloceanspaces.com/Ukraine_Witness_Datasheet/Worksheet/youtube_dl_1497587909393887236/index.html" TargetMode="External"/><Relationship Id="rId2028" Type="http://schemas.openxmlformats.org/officeDocument/2006/relationships/hyperlink" Target="https://bellingcat-archive.nyc3.cdn.digitaloceanspaces.com/Ukraine_Witness_Datasheet/Worksheet/youtube_dl_1495474393560059907/index.html" TargetMode="External"/><Relationship Id="rId3358" Type="http://schemas.openxmlformats.org/officeDocument/2006/relationships/hyperlink" Target="https://bellingcat-archive.nyc3.cdn.digitaloceanspaces.com/Ukraine_Witness_Datasheet/Worksheet/youtube_dl__olehbatkovych_status_14975879093938872362022-02-26T23:27:15.085117.png" TargetMode="External"/><Relationship Id="rId4689" Type="http://schemas.openxmlformats.org/officeDocument/2006/relationships/hyperlink" Target="https://bellingcat-archive.nyc3.cdn.digitaloceanspaces.com/Ukraine_Witness_Datasheet/Worksheet/youtube_dl_1498906571916591110.mp4" TargetMode="External"/><Relationship Id="rId2029" Type="http://schemas.openxmlformats.org/officeDocument/2006/relationships/hyperlink" Target="https://twitter.com/GirkinGirkin/status/1495413406622490629" TargetMode="External"/><Relationship Id="rId107" Type="http://schemas.openxmlformats.org/officeDocument/2006/relationships/hyperlink" Target="https://bellingcat-archive.nyc3.cdn.digitaloceanspaces.com/ukraine_witness_test/Worksheet/yotube_dl_1486629075863183366/index.html" TargetMode="External"/><Relationship Id="rId106" Type="http://schemas.openxmlformats.org/officeDocument/2006/relationships/hyperlink" Target="https://bellingcat-archive.nyc3.cdn.digitaloceanspaces.com/ukraine_witness_test/Worksheet/yotube_dl__CasusBellii_status_14866482570612981772022-02-25T10:25:14.819858.png" TargetMode="External"/><Relationship Id="rId105" Type="http://schemas.openxmlformats.org/officeDocument/2006/relationships/hyperlink" Target="https://bellingcat-archive.nyc3.cdn.digitaloceanspaces.com/ukraine_witness_test/Worksheet/yotube_dl_1486629075863183366.mp4" TargetMode="External"/><Relationship Id="rId104" Type="http://schemas.openxmlformats.org/officeDocument/2006/relationships/hyperlink" Target="https://twitter.com/CasusBellii/status/1486648257061298177" TargetMode="External"/><Relationship Id="rId109" Type="http://schemas.openxmlformats.org/officeDocument/2006/relationships/hyperlink" Target="https://bellingcat-archive.nyc3.cdn.digitaloceanspaces.com/ukraine_witness_test/Worksheet/tiktok_7055947746200636673.mp4" TargetMode="External"/><Relationship Id="rId4680" Type="http://schemas.openxmlformats.org/officeDocument/2006/relationships/hyperlink" Target="https://bellingcat-archive.nyc3.cdn.digitaloceanspaces.com/Ukraine_Witness_Datasheet/Worksheet/youtube_dl_1498904155406184454/index.html" TargetMode="External"/><Relationship Id="rId108" Type="http://schemas.openxmlformats.org/officeDocument/2006/relationships/hyperlink" Target="https://www.tiktok.com/@alexpaul_1990/video/7055947746200636673?is_copy_url=1&amp;is_from_webapp=v1" TargetMode="External"/><Relationship Id="rId3351" Type="http://schemas.openxmlformats.org/officeDocument/2006/relationships/hyperlink" Target="https://bellingcat-archive.nyc3.cdn.digitaloceanspaces.com/Ukraine_Witness_Datasheet/Worksheet/youtube_dl_1497594417456238592/index.html" TargetMode="External"/><Relationship Id="rId4682" Type="http://schemas.openxmlformats.org/officeDocument/2006/relationships/hyperlink" Target="https://bellingcat-archive.nyc3.cdn.digitaloceanspaces.com/Ukraine_Witness_Datasheet/Worksheet/youtube_dl_1498891738093658116.mp4" TargetMode="External"/><Relationship Id="rId2020" Type="http://schemas.openxmlformats.org/officeDocument/2006/relationships/hyperlink" Target="https://twitter.com/GirkinGirkin/status/1495607504390217736" TargetMode="External"/><Relationship Id="rId3350" Type="http://schemas.openxmlformats.org/officeDocument/2006/relationships/hyperlink" Target="https://bellingcat-archive.nyc3.cdn.digitaloceanspaces.com/Ukraine_Witness_Datasheet/Worksheet/youtube_dl__MarQs___status_14975944174562385922022-02-26T15:55:30.156691.png" TargetMode="External"/><Relationship Id="rId4681" Type="http://schemas.openxmlformats.org/officeDocument/2006/relationships/hyperlink" Target="https://twitter.com/nexta_tv/status/1498891738093658116" TargetMode="External"/><Relationship Id="rId2021" Type="http://schemas.openxmlformats.org/officeDocument/2006/relationships/hyperlink" Target="https://bellingcat-archive.nyc3.cdn.digitaloceanspaces.com/Ukraine_Witness_Datasheet/Worksheet/youtube_dl_1495622087339397120.mp4" TargetMode="External"/><Relationship Id="rId3353" Type="http://schemas.openxmlformats.org/officeDocument/2006/relationships/hyperlink" Target="https://bellingcat-archive.nyc3.cdn.digitaloceanspaces.com/Ukraine_Witness_Datasheet/Worksheet/twitter__il_kanguru_status_1497589392226983941.html" TargetMode="External"/><Relationship Id="rId4684" Type="http://schemas.openxmlformats.org/officeDocument/2006/relationships/hyperlink" Target="https://bellingcat-archive.nyc3.cdn.digitaloceanspaces.com/Ukraine_Witness_Datasheet/Worksheet/youtube_dl_1498891738093658116/index.html" TargetMode="External"/><Relationship Id="rId2022" Type="http://schemas.openxmlformats.org/officeDocument/2006/relationships/hyperlink" Target="https://bellingcat-archive.nyc3.cdn.digitaloceanspaces.com/Ukraine_Witness_Datasheet/Worksheet/youtube_dl__GirkinGirkin_status_14956220873393971202022-02-25T13:38:13.257687.png" TargetMode="External"/><Relationship Id="rId3352" Type="http://schemas.openxmlformats.org/officeDocument/2006/relationships/hyperlink" Target="https://twitter.com/il_kanguru/status/1497589392226983941" TargetMode="External"/><Relationship Id="rId4683" Type="http://schemas.openxmlformats.org/officeDocument/2006/relationships/hyperlink" Target="https://bellingcat-archive.nyc3.cdn.digitaloceanspaces.com/Ukraine_Witness_Datasheet/Worksheet/youtube_dl__nexta_tv_status_14988917380936581162022-03-02T09:16:44.990866.png" TargetMode="External"/><Relationship Id="rId103" Type="http://schemas.openxmlformats.org/officeDocument/2006/relationships/hyperlink" Target="https://bellingcat-archive.nyc3.cdn.digitaloceanspaces.com/ukraine_witness_test/Worksheet/tiktok_7057843530831498498/index.html" TargetMode="External"/><Relationship Id="rId2023" Type="http://schemas.openxmlformats.org/officeDocument/2006/relationships/hyperlink" Target="https://bellingcat-archive.nyc3.cdn.digitaloceanspaces.com/Ukraine_Witness_Datasheet/Worksheet/youtube_dl_1495622087339397120/index.html" TargetMode="External"/><Relationship Id="rId3355" Type="http://schemas.openxmlformats.org/officeDocument/2006/relationships/hyperlink" Target="https://twitter.com/olehbatkovych/status/1497587909393887236" TargetMode="External"/><Relationship Id="rId4686" Type="http://schemas.openxmlformats.org/officeDocument/2006/relationships/hyperlink" Target="https://bellingcat-archive.nyc3.cdn.digitaloceanspaces.com/Ukraine_Witness_Datasheet/Worksheet/twitter__BNONews_status_1498842035763228674.html" TargetMode="External"/><Relationship Id="rId102" Type="http://schemas.openxmlformats.org/officeDocument/2006/relationships/hyperlink" Target="https://bellingcat-archive.nyc3.cdn.digitaloceanspaces.com/ukraine_witness_test/Worksheet/tiktok__@jora2506_video_70578435308314984982022-02-25T10:25:02.910624.png" TargetMode="External"/><Relationship Id="rId2024" Type="http://schemas.openxmlformats.org/officeDocument/2006/relationships/hyperlink" Target="https://twitter.com/GirkinGirkin/status/1495474393560059907" TargetMode="External"/><Relationship Id="rId3354" Type="http://schemas.openxmlformats.org/officeDocument/2006/relationships/hyperlink" Target="https://bellingcat-archive.nyc3.cdn.digitaloceanspaces.com/Ukraine_Witness_Datasheet/Worksheet/twitter__il_kanguru_status_14975893922269839412022-02-26T16:09:26.801111.png" TargetMode="External"/><Relationship Id="rId4685" Type="http://schemas.openxmlformats.org/officeDocument/2006/relationships/hyperlink" Target="https://twitter.com/BNONews/status/1498842035763228674" TargetMode="External"/><Relationship Id="rId101" Type="http://schemas.openxmlformats.org/officeDocument/2006/relationships/hyperlink" Target="https://bellingcat-archive.nyc3.cdn.digitaloceanspaces.com/ukraine_witness_test/Worksheet/tiktok_7057843530831498498.mp4" TargetMode="External"/><Relationship Id="rId2025" Type="http://schemas.openxmlformats.org/officeDocument/2006/relationships/hyperlink" Target="https://twitter.com/ohsendit/status/1495477786047401988" TargetMode="External"/><Relationship Id="rId3357" Type="http://schemas.openxmlformats.org/officeDocument/2006/relationships/hyperlink" Target="https://bellingcat-archive.nyc3.cdn.digitaloceanspaces.com/Ukraine_Witness_Datasheet/Worksheet/youtube_dl_1497587909393887236.mp4" TargetMode="External"/><Relationship Id="rId4688" Type="http://schemas.openxmlformats.org/officeDocument/2006/relationships/hyperlink" Target="https://twitter.com/nexta_tv/status/1498906571916591110" TargetMode="External"/><Relationship Id="rId100" Type="http://schemas.openxmlformats.org/officeDocument/2006/relationships/hyperlink" Target="https://twitter.com/Michael1Sheldon/status/1487907513718788097" TargetMode="External"/><Relationship Id="rId2026" Type="http://schemas.openxmlformats.org/officeDocument/2006/relationships/hyperlink" Target="https://bellingcat-archive.nyc3.cdn.digitaloceanspaces.com/Ukraine_Witness_Datasheet/Worksheet/youtube_dl_1495474393560059907.mp4" TargetMode="External"/><Relationship Id="rId3356" Type="http://schemas.openxmlformats.org/officeDocument/2006/relationships/hyperlink" Target="https://twitter.com/gfusfus/status/1497600769754906628" TargetMode="External"/><Relationship Id="rId4687" Type="http://schemas.openxmlformats.org/officeDocument/2006/relationships/hyperlink" Target="https://bellingcat-archive.nyc3.cdn.digitaloceanspaces.com/Ukraine_Witness_Datasheet/Worksheet/twitter__BNONews_status_14988420357632286742022-03-02T09:16:58.724967.png" TargetMode="External"/><Relationship Id="rId2016" Type="http://schemas.openxmlformats.org/officeDocument/2006/relationships/hyperlink" Target="https://bellingcat-archive.nyc3.cdn.digitaloceanspaces.com/Ukraine_Witness_Datasheet/Worksheet/youtube_dl_1495357148984922118.mp4" TargetMode="External"/><Relationship Id="rId3348" Type="http://schemas.openxmlformats.org/officeDocument/2006/relationships/hyperlink" Target="https://twitter.com/MarQs__/status/1497594417456238592" TargetMode="External"/><Relationship Id="rId4679" Type="http://schemas.openxmlformats.org/officeDocument/2006/relationships/hyperlink" Target="https://bellingcat-archive.nyc3.cdn.digitaloceanspaces.com/Ukraine_Witness_Datasheet/Worksheet/youtube_dl__GirkinGirkin_status_14989041554061844542022-03-02T09:16:27.421298.png" TargetMode="External"/><Relationship Id="rId2017" Type="http://schemas.openxmlformats.org/officeDocument/2006/relationships/hyperlink" Target="https://bellingcat-archive.nyc3.cdn.digitaloceanspaces.com/Ukraine_Witness_Datasheet/Worksheet/youtube_dl__4emberlen_status_14953571489849221182022-02-25T13:38:31.502800.png" TargetMode="External"/><Relationship Id="rId3347" Type="http://schemas.openxmlformats.org/officeDocument/2006/relationships/hyperlink" Target="https://bellingcat-archive.nyc3.cdn.digitaloceanspaces.com/Ukraine_Witness_Datasheet/Worksheet/youtube_dl_1497381257092681729/index.html" TargetMode="External"/><Relationship Id="rId4678" Type="http://schemas.openxmlformats.org/officeDocument/2006/relationships/hyperlink" Target="https://bellingcat-archive.nyc3.cdn.digitaloceanspaces.com/Ukraine_Witness_Datasheet/Worksheet/youtube_dl_1498904155406184454.mp4" TargetMode="External"/><Relationship Id="rId2018" Type="http://schemas.openxmlformats.org/officeDocument/2006/relationships/hyperlink" Target="https://bellingcat-archive.nyc3.cdn.digitaloceanspaces.com/Ukraine_Witness_Datasheet/Worksheet/youtube_dl_1495357148984922118/index.html" TargetMode="External"/><Relationship Id="rId2019" Type="http://schemas.openxmlformats.org/officeDocument/2006/relationships/hyperlink" Target="https://twitter.com/GirkinGirkin/status/1495622087339397120" TargetMode="External"/><Relationship Id="rId3349" Type="http://schemas.openxmlformats.org/officeDocument/2006/relationships/hyperlink" Target="https://bellingcat-archive.nyc3.cdn.digitaloceanspaces.com/Ukraine_Witness_Datasheet/Worksheet/youtube_dl_1497594417456238592.mp4" TargetMode="External"/><Relationship Id="rId3340" Type="http://schemas.openxmlformats.org/officeDocument/2006/relationships/hyperlink" Target="https://bellingcat-archive.nyc3.cdn.digitaloceanspaces.com/Ukraine_Witness_Datasheet/Worksheet/youtube_dl_1497448045637783553.mp4" TargetMode="External"/><Relationship Id="rId4671" Type="http://schemas.openxmlformats.org/officeDocument/2006/relationships/hyperlink" Target="https://bellingcat-archive.nyc3.cdn.digitaloceanspaces.com/Ukraine_Witness_Datasheet/Worksheet/telegram_08bb90c2c3/index.html" TargetMode="External"/><Relationship Id="rId4670" Type="http://schemas.openxmlformats.org/officeDocument/2006/relationships/hyperlink" Target="https://bellingcat-archive.nyc3.cdn.digitaloceanspaces.com/Ukraine_Witness_Datasheet/Worksheet/telegram__HersonDN_26902022-03-02T09:53:08.757416.png" TargetMode="External"/><Relationship Id="rId2010" Type="http://schemas.openxmlformats.org/officeDocument/2006/relationships/hyperlink" Target="https://bellingcat-archive.nyc3.cdn.digitaloceanspaces.com/Ukraine_Witness_Datasheet/Worksheet/youtube_dl_1495548048679882759/index.html" TargetMode="External"/><Relationship Id="rId3342" Type="http://schemas.openxmlformats.org/officeDocument/2006/relationships/hyperlink" Target="https://bellingcat-archive.nyc3.cdn.digitaloceanspaces.com/Ukraine_Witness_Datasheet/Worksheet/youtube_dl_1497448045637783553/index.html" TargetMode="External"/><Relationship Id="rId4673" Type="http://schemas.openxmlformats.org/officeDocument/2006/relationships/hyperlink" Target="https://twitter.com/MarQs__/status/1498942056743555074" TargetMode="External"/><Relationship Id="rId2011" Type="http://schemas.openxmlformats.org/officeDocument/2006/relationships/hyperlink" Target="https://twitter.com/YWNReporter/status/1495470916679184388" TargetMode="External"/><Relationship Id="rId3341" Type="http://schemas.openxmlformats.org/officeDocument/2006/relationships/hyperlink" Target="https://bellingcat-archive.nyc3.cdn.digitaloceanspaces.com/Ukraine_Witness_Datasheet/Worksheet/youtube_dl__Michael1Sheldon_status_14974480456377835532022-02-26T15:37:56.123068.png" TargetMode="External"/><Relationship Id="rId4672" Type="http://schemas.openxmlformats.org/officeDocument/2006/relationships/hyperlink" Target="https://t.me/HersonDN/2690" TargetMode="External"/><Relationship Id="rId2012" Type="http://schemas.openxmlformats.org/officeDocument/2006/relationships/hyperlink" Target="https://bellingcat-archive.nyc3.cdn.digitaloceanspaces.com/Ukraine_Witness_Datasheet/Worksheet/youtube_dl_1495470916679184388.mp4" TargetMode="External"/><Relationship Id="rId3344" Type="http://schemas.openxmlformats.org/officeDocument/2006/relationships/hyperlink" Target="https://twitter.com/Michael1Sheldon/status/1497449148412481541" TargetMode="External"/><Relationship Id="rId4675" Type="http://schemas.openxmlformats.org/officeDocument/2006/relationships/hyperlink" Target="https://bellingcat-archive.nyc3.cdn.digitaloceanspaces.com/Ukraine_Witness_Datasheet/Worksheet/youtube_dl__MarQs___status_14989420567435550742022-03-02T09:16:11.465826.png" TargetMode="External"/><Relationship Id="rId2013" Type="http://schemas.openxmlformats.org/officeDocument/2006/relationships/hyperlink" Target="https://bellingcat-archive.nyc3.cdn.digitaloceanspaces.com/Ukraine_Witness_Datasheet/Worksheet/youtube_dl__YWNReporter_status_14954709166791843882022-02-25T13:38:50.622604.png" TargetMode="External"/><Relationship Id="rId3343" Type="http://schemas.openxmlformats.org/officeDocument/2006/relationships/hyperlink" Target="https://twitter.com/Michael1Sheldon/status/1497381257092681729" TargetMode="External"/><Relationship Id="rId4674" Type="http://schemas.openxmlformats.org/officeDocument/2006/relationships/hyperlink" Target="https://bellingcat-archive.nyc3.cdn.digitaloceanspaces.com/Ukraine_Witness_Datasheet/Worksheet/youtube_dl_1498942056743555074.mp4" TargetMode="External"/><Relationship Id="rId2014" Type="http://schemas.openxmlformats.org/officeDocument/2006/relationships/hyperlink" Target="https://bellingcat-archive.nyc3.cdn.digitaloceanspaces.com/Ukraine_Witness_Datasheet/Worksheet/youtube_dl_1495470916679184388/index.html" TargetMode="External"/><Relationship Id="rId3346" Type="http://schemas.openxmlformats.org/officeDocument/2006/relationships/hyperlink" Target="https://bellingcat-archive.nyc3.cdn.digitaloceanspaces.com/Ukraine_Witness_Datasheet/Worksheet/youtube_dl__Michael1Sheldon_status_14973812570926817292022-02-26T15:39:22.080651.png" TargetMode="External"/><Relationship Id="rId4677" Type="http://schemas.openxmlformats.org/officeDocument/2006/relationships/hyperlink" Target="https://twitter.com/GirkinGirkin/status/1498904155406184454" TargetMode="External"/><Relationship Id="rId2015" Type="http://schemas.openxmlformats.org/officeDocument/2006/relationships/hyperlink" Target="https://twitter.com/4emberlen/status/1495357148984922118" TargetMode="External"/><Relationship Id="rId3345" Type="http://schemas.openxmlformats.org/officeDocument/2006/relationships/hyperlink" Target="https://bellingcat-archive.nyc3.cdn.digitaloceanspaces.com/Ukraine_Witness_Datasheet/Worksheet/youtube_dl_1497381257092681729.mp4" TargetMode="External"/><Relationship Id="rId4676" Type="http://schemas.openxmlformats.org/officeDocument/2006/relationships/hyperlink" Target="https://bellingcat-archive.nyc3.cdn.digitaloceanspaces.com/Ukraine_Witness_Datasheet/Worksheet/youtube_dl_1498942056743555074/index.html" TargetMode="External"/><Relationship Id="rId2049" Type="http://schemas.openxmlformats.org/officeDocument/2006/relationships/hyperlink" Target="https://twitter.com/MilitaryEmpire/status/1495106478457462787" TargetMode="External"/><Relationship Id="rId129" Type="http://schemas.openxmlformats.org/officeDocument/2006/relationships/hyperlink" Target="https://bellingcat-archive.nyc3.cdn.digitaloceanspaces.com/ukraine_witness_test/Worksheet/yotube_dl_1487074717555216389.mp4" TargetMode="External"/><Relationship Id="rId128" Type="http://schemas.openxmlformats.org/officeDocument/2006/relationships/hyperlink" Target="https://twitter.com/GirkinGirkin/status/1487074717555216389" TargetMode="External"/><Relationship Id="rId127" Type="http://schemas.openxmlformats.org/officeDocument/2006/relationships/hyperlink" Target="https://bellingcat-archive.nyc3.cdn.digitaloceanspaces.com/ukraine_witness_test/Worksheet/yotube_dl_1487059379266465797/index.html" TargetMode="External"/><Relationship Id="rId126" Type="http://schemas.openxmlformats.org/officeDocument/2006/relationships/hyperlink" Target="https://bellingcat-archive.nyc3.cdn.digitaloceanspaces.com/ukraine_witness_test/Worksheet/yotube_dl__juzhanin_status_14870593792664657972022-02-25T10:27:26.850753.png" TargetMode="External"/><Relationship Id="rId3371" Type="http://schemas.openxmlformats.org/officeDocument/2006/relationships/hyperlink" Target="https://twitter.com/gfusfus/status/1497642852159041538" TargetMode="External"/><Relationship Id="rId2040" Type="http://schemas.openxmlformats.org/officeDocument/2006/relationships/hyperlink" Target="https://bellingcat-archive.nyc3.cdn.digitaloceanspaces.com/Ukraine_Witness_Datasheet/Worksheet/youtube_dl_1495118536548700162.mp4" TargetMode="External"/><Relationship Id="rId3370" Type="http://schemas.openxmlformats.org/officeDocument/2006/relationships/hyperlink" Target="https://twitter.com/YWNReporter/status/1497617235199893512" TargetMode="External"/><Relationship Id="rId121" Type="http://schemas.openxmlformats.org/officeDocument/2006/relationships/hyperlink" Target="https://bellingcat-archive.nyc3.cdn.digitaloceanspaces.com/ukraine_witness_test/Worksheet/yotube_dl_1487057498825764865.mp4" TargetMode="External"/><Relationship Id="rId2041" Type="http://schemas.openxmlformats.org/officeDocument/2006/relationships/hyperlink" Target="https://bellingcat-archive.nyc3.cdn.digitaloceanspaces.com/Ukraine_Witness_Datasheet/Worksheet/youtube_dl__GirkinGirkin_status_14951185365487001622022-02-25T13:36:46.595438.png" TargetMode="External"/><Relationship Id="rId3373" Type="http://schemas.openxmlformats.org/officeDocument/2006/relationships/hyperlink" Target="https://bellingcat-archive.nyc3.cdn.digitaloceanspaces.com/Ukraine_Witness_Datasheet/Worksheet/youtube_dl__YWNReporter_status_14976172351998935122022-02-26T23:28:44.024629.png" TargetMode="External"/><Relationship Id="rId120" Type="http://schemas.openxmlformats.org/officeDocument/2006/relationships/hyperlink" Target="https://twitter.com/juzhanin/status/1487057498825764865" TargetMode="External"/><Relationship Id="rId2042" Type="http://schemas.openxmlformats.org/officeDocument/2006/relationships/hyperlink" Target="https://bellingcat-archive.nyc3.cdn.digitaloceanspaces.com/Ukraine_Witness_Datasheet/Worksheet/youtube_dl_1495118536548700162/index.html" TargetMode="External"/><Relationship Id="rId3372" Type="http://schemas.openxmlformats.org/officeDocument/2006/relationships/hyperlink" Target="https://bellingcat-archive.nyc3.cdn.digitaloceanspaces.com/Ukraine_Witness_Datasheet/Worksheet/youtube_dl_1497617235199893512.mp4" TargetMode="External"/><Relationship Id="rId2043" Type="http://schemas.openxmlformats.org/officeDocument/2006/relationships/hyperlink" Target="https://twitter.com/GirkinGirkin/status/1495112678532128770" TargetMode="External"/><Relationship Id="rId3375" Type="http://schemas.openxmlformats.org/officeDocument/2006/relationships/hyperlink" Target="https://twitter.com/ELINTNews/status/1497637312229822466" TargetMode="External"/><Relationship Id="rId2044" Type="http://schemas.openxmlformats.org/officeDocument/2006/relationships/hyperlink" Target="https://twitter.com/MilitaryEmpire/status/1495136388332896256" TargetMode="External"/><Relationship Id="rId3374" Type="http://schemas.openxmlformats.org/officeDocument/2006/relationships/hyperlink" Target="https://bellingcat-archive.nyc3.cdn.digitaloceanspaces.com/Ukraine_Witness_Datasheet/Worksheet/youtube_dl_1497617235199893512/index.html" TargetMode="External"/><Relationship Id="rId125" Type="http://schemas.openxmlformats.org/officeDocument/2006/relationships/hyperlink" Target="https://bellingcat-archive.nyc3.cdn.digitaloceanspaces.com/ukraine_witness_test/Worksheet/yotube_dl_1487059379266465797.mp4" TargetMode="External"/><Relationship Id="rId2045" Type="http://schemas.openxmlformats.org/officeDocument/2006/relationships/hyperlink" Target="https://bellingcat-archive.nyc3.cdn.digitaloceanspaces.com/Ukraine_Witness_Datasheet/Worksheet/youtube_dl_1495112678532128770.mp4" TargetMode="External"/><Relationship Id="rId3377" Type="http://schemas.openxmlformats.org/officeDocument/2006/relationships/hyperlink" Target="https://bellingcat-archive.nyc3.cdn.digitaloceanspaces.com/Ukraine_Witness_Datasheet/Worksheet/youtube_dl_1497637312229822466.mp4" TargetMode="External"/><Relationship Id="rId124" Type="http://schemas.openxmlformats.org/officeDocument/2006/relationships/hyperlink" Target="https://twitter.com/juzhanin/status/1487059379266465797" TargetMode="External"/><Relationship Id="rId2046" Type="http://schemas.openxmlformats.org/officeDocument/2006/relationships/hyperlink" Target="https://bellingcat-archive.nyc3.cdn.digitaloceanspaces.com/Ukraine_Witness_Datasheet/Worksheet/youtube_dl__GirkinGirkin_status_14951126785321287702022-02-25T13:36:28.528790.png" TargetMode="External"/><Relationship Id="rId3376" Type="http://schemas.openxmlformats.org/officeDocument/2006/relationships/hyperlink" Target="https://twitter.com/EAguy12/status/1497639603708346379" TargetMode="External"/><Relationship Id="rId123" Type="http://schemas.openxmlformats.org/officeDocument/2006/relationships/hyperlink" Target="https://bellingcat-archive.nyc3.cdn.digitaloceanspaces.com/ukraine_witness_test/Worksheet/yotube_dl_1487057498825764865/index.html" TargetMode="External"/><Relationship Id="rId2047" Type="http://schemas.openxmlformats.org/officeDocument/2006/relationships/hyperlink" Target="https://bellingcat-archive.nyc3.cdn.digitaloceanspaces.com/Ukraine_Witness_Datasheet/Worksheet/youtube_dl_1495112678532128770/index.html" TargetMode="External"/><Relationship Id="rId3379" Type="http://schemas.openxmlformats.org/officeDocument/2006/relationships/hyperlink" Target="https://bellingcat-archive.nyc3.cdn.digitaloceanspaces.com/Ukraine_Witness_Datasheet/Worksheet/youtube_dl_1497637312229822466/index.html" TargetMode="External"/><Relationship Id="rId122" Type="http://schemas.openxmlformats.org/officeDocument/2006/relationships/hyperlink" Target="https://bellingcat-archive.nyc3.cdn.digitaloceanspaces.com/ukraine_witness_test/Worksheet/yotube_dl__juzhanin_status_14870574988257648652022-02-25T10:27:12.442709.png" TargetMode="External"/><Relationship Id="rId2048" Type="http://schemas.openxmlformats.org/officeDocument/2006/relationships/hyperlink" Target="https://twitter.com/GirkinGirkin/status/1495063279000948738" TargetMode="External"/><Relationship Id="rId3378" Type="http://schemas.openxmlformats.org/officeDocument/2006/relationships/hyperlink" Target="https://bellingcat-archive.nyc3.cdn.digitaloceanspaces.com/Ukraine_Witness_Datasheet/Worksheet/youtube_dl__ELINTNews_status_14976373122298224662022-02-26T23:29:00.122949.png" TargetMode="External"/><Relationship Id="rId2038" Type="http://schemas.openxmlformats.org/officeDocument/2006/relationships/hyperlink" Target="https://bellingcat-archive.nyc3.cdn.digitaloceanspaces.com/Ukraine_Witness_Datasheet/Worksheet/youtube_dl_1495296046712430594/index.html" TargetMode="External"/><Relationship Id="rId2039" Type="http://schemas.openxmlformats.org/officeDocument/2006/relationships/hyperlink" Target="https://twitter.com/GirkinGirkin/status/1495118536548700162" TargetMode="External"/><Relationship Id="rId3369" Type="http://schemas.openxmlformats.org/officeDocument/2006/relationships/hyperlink" Target="https://bellingcat-archive.nyc3.cdn.digitaloceanspaces.com/Ukraine_Witness_Datasheet/Worksheet/youtube_dl_1497584916443578373/index.html" TargetMode="External"/><Relationship Id="rId118" Type="http://schemas.openxmlformats.org/officeDocument/2006/relationships/hyperlink" Target="https://bellingcat-archive.nyc3.cdn.digitaloceanspaces.com/ukraine_witness_test/Worksheet/tiktok__@alexpaul_1990_video_70559457265635688972022-02-25T10:27:00.195068.png" TargetMode="External"/><Relationship Id="rId117" Type="http://schemas.openxmlformats.org/officeDocument/2006/relationships/hyperlink" Target="https://bellingcat-archive.nyc3.cdn.digitaloceanspaces.com/ukraine_witness_test/Worksheet/tiktok_7055945726563568897.mp4" TargetMode="External"/><Relationship Id="rId116" Type="http://schemas.openxmlformats.org/officeDocument/2006/relationships/hyperlink" Target="https://www.tiktok.com/@alexpaul_1990/video/7055945726563568897?is_copy_url=1&amp;is_from_webapp=v1" TargetMode="External"/><Relationship Id="rId115" Type="http://schemas.openxmlformats.org/officeDocument/2006/relationships/hyperlink" Target="https://bellingcat-archive.nyc3.cdn.digitaloceanspaces.com/ukraine_witness_test/Worksheet/tiktok_7055946974075440385/index.html" TargetMode="External"/><Relationship Id="rId3360" Type="http://schemas.openxmlformats.org/officeDocument/2006/relationships/hyperlink" Target="https://twitter.com/JulianRoepcke/status/1497552887144235008?s=20&amp;t=gBxLN0rSBB3zJFX9VD5CIg" TargetMode="External"/><Relationship Id="rId4691" Type="http://schemas.openxmlformats.org/officeDocument/2006/relationships/hyperlink" Target="https://bellingcat-archive.nyc3.cdn.digitaloceanspaces.com/Ukraine_Witness_Datasheet/Worksheet/youtube_dl_1498906571916591110/index.html" TargetMode="External"/><Relationship Id="rId119" Type="http://schemas.openxmlformats.org/officeDocument/2006/relationships/hyperlink" Target="https://bellingcat-archive.nyc3.cdn.digitaloceanspaces.com/ukraine_witness_test/Worksheet/tiktok_7055945726563568897/index.html" TargetMode="External"/><Relationship Id="rId4690" Type="http://schemas.openxmlformats.org/officeDocument/2006/relationships/hyperlink" Target="https://bellingcat-archive.nyc3.cdn.digitaloceanspaces.com/Ukraine_Witness_Datasheet/Worksheet/youtube_dl__nexta_tv_status_14989065719165911102022-03-02T09:53:52.853301.png" TargetMode="External"/><Relationship Id="rId110" Type="http://schemas.openxmlformats.org/officeDocument/2006/relationships/hyperlink" Target="https://bellingcat-archive.nyc3.cdn.digitaloceanspaces.com/ukraine_witness_test/Worksheet/tiktok__@alexpaul_1990_video_70559477462006366732022-02-25T10:26:03.804975.png" TargetMode="External"/><Relationship Id="rId2030" Type="http://schemas.openxmlformats.org/officeDocument/2006/relationships/hyperlink" Target="https://twitter.com/ruggerz/status/1495419236008742916" TargetMode="External"/><Relationship Id="rId3362" Type="http://schemas.openxmlformats.org/officeDocument/2006/relationships/hyperlink" Target="https://bellingcat-archive.nyc3.cdn.digitaloceanspaces.com/Ukraine_Witness_Datasheet/Worksheet/youtube_dl_1497552887144235008.mp4" TargetMode="External"/><Relationship Id="rId4693" Type="http://schemas.openxmlformats.org/officeDocument/2006/relationships/hyperlink" Target="https://bellingcat-archive.nyc3.cdn.digitaloceanspaces.com/Ukraine_Witness_Datasheet/Worksheet/youtube_dl_1498916706965721090.mp4" TargetMode="External"/><Relationship Id="rId2031" Type="http://schemas.openxmlformats.org/officeDocument/2006/relationships/hyperlink" Target="https://bellingcat-archive.nyc3.cdn.digitaloceanspaces.com/Ukraine_Witness_Datasheet/Worksheet/youtube_dl_1495413406622490629.mp4" TargetMode="External"/><Relationship Id="rId3361" Type="http://schemas.openxmlformats.org/officeDocument/2006/relationships/hyperlink" Target="https://twitter.com/IvanDeinekoUA/status/1497576057121083395?s=20&amp;t=gBxLN0rSBB3zJFX9VD5CIg" TargetMode="External"/><Relationship Id="rId4692" Type="http://schemas.openxmlformats.org/officeDocument/2006/relationships/hyperlink" Target="https://twitter.com/nexta_tv/status/1498916706965721090" TargetMode="External"/><Relationship Id="rId2032" Type="http://schemas.openxmlformats.org/officeDocument/2006/relationships/hyperlink" Target="https://bellingcat-archive.nyc3.cdn.digitaloceanspaces.com/Ukraine_Witness_Datasheet/Worksheet/youtube_dl__GirkinGirkin_status_14954134066224906292022-02-25T13:37:34.248304.png" TargetMode="External"/><Relationship Id="rId3364" Type="http://schemas.openxmlformats.org/officeDocument/2006/relationships/hyperlink" Target="https://bellingcat-archive.nyc3.cdn.digitaloceanspaces.com/Ukraine_Witness_Datasheet/Worksheet/youtube_dl_1497552887144235008/index.html" TargetMode="External"/><Relationship Id="rId4695" Type="http://schemas.openxmlformats.org/officeDocument/2006/relationships/hyperlink" Target="https://bellingcat-archive.nyc3.cdn.digitaloceanspaces.com/Ukraine_Witness_Datasheet/Worksheet/youtube_dl_1498916706965721090/index.html" TargetMode="External"/><Relationship Id="rId2033" Type="http://schemas.openxmlformats.org/officeDocument/2006/relationships/hyperlink" Target="https://bellingcat-archive.nyc3.cdn.digitaloceanspaces.com/Ukraine_Witness_Datasheet/Worksheet/youtube_dl_1495413406622490629/index.html" TargetMode="External"/><Relationship Id="rId3363" Type="http://schemas.openxmlformats.org/officeDocument/2006/relationships/hyperlink" Target="https://bellingcat-archive.nyc3.cdn.digitaloceanspaces.com/Ukraine_Witness_Datasheet/Worksheet/youtube_dl__JulianRoepcke_status_14975528871442350082022-02-26T23:27:46.044003.png" TargetMode="External"/><Relationship Id="rId4694" Type="http://schemas.openxmlformats.org/officeDocument/2006/relationships/hyperlink" Target="https://bellingcat-archive.nyc3.cdn.digitaloceanspaces.com/Ukraine_Witness_Datasheet/Worksheet/youtube_dl__nexta_tv_status_14989167069657210902022-03-02T09:54:09.801157.png" TargetMode="External"/><Relationship Id="rId114" Type="http://schemas.openxmlformats.org/officeDocument/2006/relationships/hyperlink" Target="https://bellingcat-archive.nyc3.cdn.digitaloceanspaces.com/ukraine_witness_test/Worksheet/tiktok__@alexpaul_1990_video_70559469740754403852022-02-25T10:26:43.574792.png" TargetMode="External"/><Relationship Id="rId2034" Type="http://schemas.openxmlformats.org/officeDocument/2006/relationships/hyperlink" Target="https://twitter.com/GirkinGirkin/status/1495296046712430594" TargetMode="External"/><Relationship Id="rId3366" Type="http://schemas.openxmlformats.org/officeDocument/2006/relationships/hyperlink" Target="https://twitter.com/sterion75/status/1497611067803017222" TargetMode="External"/><Relationship Id="rId4697" Type="http://schemas.openxmlformats.org/officeDocument/2006/relationships/hyperlink" Target="https://bellingcat-archive.nyc3.cdn.digitaloceanspaces.com/Ukraine_Witness_Datasheet/Worksheet/youtube_dl_1498919384101830661.mp4" TargetMode="External"/><Relationship Id="rId113" Type="http://schemas.openxmlformats.org/officeDocument/2006/relationships/hyperlink" Target="https://bellingcat-archive.nyc3.cdn.digitaloceanspaces.com/ukraine_witness_test/Worksheet/tiktok_7055946974075440385.mp4" TargetMode="External"/><Relationship Id="rId2035" Type="http://schemas.openxmlformats.org/officeDocument/2006/relationships/hyperlink" Target="https://twitter.com/MilitaryEmpire/status/1495345861022437379" TargetMode="External"/><Relationship Id="rId3365" Type="http://schemas.openxmlformats.org/officeDocument/2006/relationships/hyperlink" Target="https://twitter.com/berojag59060636/status/1497584916443578373?s=20&amp;t=c1jxoMqf-NADto0mWdnocg" TargetMode="External"/><Relationship Id="rId4696" Type="http://schemas.openxmlformats.org/officeDocument/2006/relationships/hyperlink" Target="https://twitter.com/nexta_tv/status/1498919384101830661" TargetMode="External"/><Relationship Id="rId112" Type="http://schemas.openxmlformats.org/officeDocument/2006/relationships/hyperlink" Target="https://www.tiktok.com/@alexpaul_1990/video/7055946974075440385?is_copy_url=1&amp;is_from_webapp=v1" TargetMode="External"/><Relationship Id="rId2036" Type="http://schemas.openxmlformats.org/officeDocument/2006/relationships/hyperlink" Target="https://bellingcat-archive.nyc3.cdn.digitaloceanspaces.com/Ukraine_Witness_Datasheet/Worksheet/youtube_dl_1495296046712430594.mp4" TargetMode="External"/><Relationship Id="rId3368" Type="http://schemas.openxmlformats.org/officeDocument/2006/relationships/hyperlink" Target="https://bellingcat-archive.nyc3.cdn.digitaloceanspaces.com/Ukraine_Witness_Datasheet/Worksheet/youtube_dl__berojag59060636_status_14975849164435783732022-02-26T23:28:24.041014.png" TargetMode="External"/><Relationship Id="rId4699" Type="http://schemas.openxmlformats.org/officeDocument/2006/relationships/hyperlink" Target="https://bellingcat-archive.nyc3.cdn.digitaloceanspaces.com/Ukraine_Witness_Datasheet/Worksheet/youtube_dl_1498919384101830661/index.html" TargetMode="External"/><Relationship Id="rId111" Type="http://schemas.openxmlformats.org/officeDocument/2006/relationships/hyperlink" Target="https://bellingcat-archive.nyc3.cdn.digitaloceanspaces.com/ukraine_witness_test/Worksheet/tiktok_7055947746200636673/index.html" TargetMode="External"/><Relationship Id="rId2037" Type="http://schemas.openxmlformats.org/officeDocument/2006/relationships/hyperlink" Target="https://bellingcat-archive.nyc3.cdn.digitaloceanspaces.com/Ukraine_Witness_Datasheet/Worksheet/youtube_dl__GirkinGirkin_status_14952960467124305942022-02-25T13:37:03.909279.png" TargetMode="External"/><Relationship Id="rId3367" Type="http://schemas.openxmlformats.org/officeDocument/2006/relationships/hyperlink" Target="https://bellingcat-archive.nyc3.cdn.digitaloceanspaces.com/Ukraine_Witness_Datasheet/Worksheet/youtube_dl_1497584916443578373.mp4" TargetMode="External"/><Relationship Id="rId4698" Type="http://schemas.openxmlformats.org/officeDocument/2006/relationships/hyperlink" Target="https://bellingcat-archive.nyc3.cdn.digitaloceanspaces.com/Ukraine_Witness_Datasheet/Worksheet/youtube_dl__nexta_tv_status_14989193841018306612022-03-02T09:54:25.378703.png" TargetMode="External"/><Relationship Id="rId3315" Type="http://schemas.openxmlformats.org/officeDocument/2006/relationships/hyperlink" Target="https://bellingcat-archive.nyc3.cdn.digitaloceanspaces.com/Ukraine_Witness_Datasheet/Worksheet/youtube_dl_1497502573510766595/index.html" TargetMode="External"/><Relationship Id="rId4646" Type="http://schemas.openxmlformats.org/officeDocument/2006/relationships/hyperlink" Target="https://twitter.com/DAlperovitch/status/1498917790845177859" TargetMode="External"/><Relationship Id="rId5978" Type="http://schemas.openxmlformats.org/officeDocument/2006/relationships/hyperlink" Target="https://bellingcat-archive.nyc3.cdn.digitaloceanspaces.com/Ukraine_Witness_Datasheet/Worksheet/youtube_dl_1499745823835529228/index.html" TargetMode="External"/><Relationship Id="rId3314" Type="http://schemas.openxmlformats.org/officeDocument/2006/relationships/hyperlink" Target="https://bellingcat-archive.nyc3.cdn.digitaloceanspaces.com/Ukraine_Witness_Datasheet/Worksheet/youtube_dl__MarQs___status_14975025735107665952022-02-26T10:13:08.059638.png" TargetMode="External"/><Relationship Id="rId4645" Type="http://schemas.openxmlformats.org/officeDocument/2006/relationships/hyperlink" Target="https://bellingcat-archive.nyc3.cdn.digitaloceanspaces.com/Ukraine_Witness_Datasheet/Worksheet/youtube_dl_1498911842286063616/index.html" TargetMode="External"/><Relationship Id="rId5979" Type="http://schemas.openxmlformats.org/officeDocument/2006/relationships/hyperlink" Target="https://twitter.com/nexta_tv/status/1499747981628739589?s=20&amp;t=lLpBlX0jsAeZxniKoQOxzQ" TargetMode="External"/><Relationship Id="rId3317" Type="http://schemas.openxmlformats.org/officeDocument/2006/relationships/hyperlink" Target="https://bellingcat-archive.nyc3.cdn.digitaloceanspaces.com/Ukraine_Witness_Datasheet/Worksheet/youtube_dl_1497523845288402949.mp4" TargetMode="External"/><Relationship Id="rId4648" Type="http://schemas.openxmlformats.org/officeDocument/2006/relationships/hyperlink" Target="https://bellingcat-archive.nyc3.cdn.digitaloceanspaces.com/Ukraine_Witness_Datasheet/Worksheet/youtube_dl__DAlperovitch_status_14989177908451778592022-03-02T09:14:18.679736.png" TargetMode="External"/><Relationship Id="rId5976" Type="http://schemas.openxmlformats.org/officeDocument/2006/relationships/hyperlink" Target="https://bellingcat-archive.nyc3.cdn.digitaloceanspaces.com/Ukraine_Witness_Datasheet/Worksheet/youtube_dl_1499745823835529228.mp4" TargetMode="External"/><Relationship Id="rId3316" Type="http://schemas.openxmlformats.org/officeDocument/2006/relationships/hyperlink" Target="https://twitter.com/MarQs__/status/1497523845288402949" TargetMode="External"/><Relationship Id="rId4647" Type="http://schemas.openxmlformats.org/officeDocument/2006/relationships/hyperlink" Target="https://bellingcat-archive.nyc3.cdn.digitaloceanspaces.com/Ukraine_Witness_Datasheet/Worksheet/youtube_dl_1498914132225048576.mp4" TargetMode="External"/><Relationship Id="rId5977" Type="http://schemas.openxmlformats.org/officeDocument/2006/relationships/hyperlink" Target="https://bellingcat-archive.nyc3.cdn.digitaloceanspaces.com/Ukraine_Witness_Datasheet/Worksheet/youtube_dl__Ukropo4kA_status_14997458238355292282022-03-05T09:26:34.058639.png" TargetMode="External"/><Relationship Id="rId3319" Type="http://schemas.openxmlformats.org/officeDocument/2006/relationships/hyperlink" Target="https://bellingcat-archive.nyc3.cdn.digitaloceanspaces.com/Ukraine_Witness_Datasheet/Worksheet/youtube_dl_1497523845288402949/index.html" TargetMode="External"/><Relationship Id="rId3318" Type="http://schemas.openxmlformats.org/officeDocument/2006/relationships/hyperlink" Target="https://bellingcat-archive.nyc3.cdn.digitaloceanspaces.com/Ukraine_Witness_Datasheet/Worksheet/youtube_dl__MarQs___status_14975238452884029492022-02-26T10:52:56.534993.png" TargetMode="External"/><Relationship Id="rId4649" Type="http://schemas.openxmlformats.org/officeDocument/2006/relationships/hyperlink" Target="https://bellingcat-archive.nyc3.cdn.digitaloceanspaces.com/Ukraine_Witness_Datasheet/Worksheet/youtube_dl_1498914132225048576/index.html" TargetMode="External"/><Relationship Id="rId5970" Type="http://schemas.openxmlformats.org/officeDocument/2006/relationships/hyperlink" Target="https://bellingcat-archive.nyc3.cdn.digitaloceanspaces.com/Ukraine_Witness_Datasheet/Worksheet/twitter__GirkinGirkin_status_1499655677203128321.html" TargetMode="External"/><Relationship Id="rId5971" Type="http://schemas.openxmlformats.org/officeDocument/2006/relationships/hyperlink" Target="https://bellingcat-archive.nyc3.cdn.digitaloceanspaces.com/Ukraine_Witness_Datasheet/Worksheet/twitter__GirkinGirkin_status_14996556772031283212022-03-05T09:26:11.972078.png" TargetMode="External"/><Relationship Id="rId4640" Type="http://schemas.openxmlformats.org/officeDocument/2006/relationships/hyperlink" Target="https://bellingcat-archive.nyc3.cdn.digitaloceanspaces.com/Ukraine_Witness_Datasheet/Worksheet/youtube_dl__RALee85_status_14988550125329899562022-03-02T09:13:41.169610.png" TargetMode="External"/><Relationship Id="rId3311" Type="http://schemas.openxmlformats.org/officeDocument/2006/relationships/hyperlink" Target="https://bellingcat-archive.nyc3.cdn.digitaloceanspaces.com/Ukraine_Witness_Datasheet/Worksheet/youtube_dl_1497503135098675201/index.html" TargetMode="External"/><Relationship Id="rId4642" Type="http://schemas.openxmlformats.org/officeDocument/2006/relationships/hyperlink" Target="https://twitter.com/ChristopherJM/status/1498911842286063616" TargetMode="External"/><Relationship Id="rId5974" Type="http://schemas.openxmlformats.org/officeDocument/2006/relationships/hyperlink" Target="https://bellingcat-archive.nyc3.cdn.digitaloceanspaces.com/Ukraine_Witness_Datasheet/Worksheet/twitter__MarQs___status_14996961960168202282022-03-05T09:26:23.167602.png" TargetMode="External"/><Relationship Id="rId3310" Type="http://schemas.openxmlformats.org/officeDocument/2006/relationships/hyperlink" Target="https://bellingcat-archive.nyc3.cdn.digitaloceanspaces.com/Ukraine_Witness_Datasheet/Worksheet/youtube_dl__RALee85_status_14975031350986752012022-02-26T10:11:37.351897.png" TargetMode="External"/><Relationship Id="rId4641" Type="http://schemas.openxmlformats.org/officeDocument/2006/relationships/hyperlink" Target="https://bellingcat-archive.nyc3.cdn.digitaloceanspaces.com/Ukraine_Witness_Datasheet/Worksheet/youtube_dl_1498855012532989956/index.html" TargetMode="External"/><Relationship Id="rId5975" Type="http://schemas.openxmlformats.org/officeDocument/2006/relationships/hyperlink" Target="https://twitter.com/Ukropo4kA/status/1499745823835529228?s=20&amp;t=BUXToL9J3qwEog5Vs_GCiw" TargetMode="External"/><Relationship Id="rId3313" Type="http://schemas.openxmlformats.org/officeDocument/2006/relationships/hyperlink" Target="https://bellingcat-archive.nyc3.cdn.digitaloceanspaces.com/Ukraine_Witness_Datasheet/Worksheet/youtube_dl_1497502573510766595.mp4" TargetMode="External"/><Relationship Id="rId4644" Type="http://schemas.openxmlformats.org/officeDocument/2006/relationships/hyperlink" Target="https://bellingcat-archive.nyc3.cdn.digitaloceanspaces.com/Ukraine_Witness_Datasheet/Worksheet/youtube_dl__ChristopherJM_status_14989118422860636162022-03-02T09:14:04.361753.png" TargetMode="External"/><Relationship Id="rId5972" Type="http://schemas.openxmlformats.org/officeDocument/2006/relationships/hyperlink" Target="https://twitter.com/MarQs__/status/1499696196016820228?s=20&amp;t=yQKJ65UQuiOZeeIkorHogw" TargetMode="External"/><Relationship Id="rId3312" Type="http://schemas.openxmlformats.org/officeDocument/2006/relationships/hyperlink" Target="https://twitter.com/MarQs__/status/1497502573510766595" TargetMode="External"/><Relationship Id="rId4643" Type="http://schemas.openxmlformats.org/officeDocument/2006/relationships/hyperlink" Target="https://bellingcat-archive.nyc3.cdn.digitaloceanspaces.com/Ukraine_Witness_Datasheet/Worksheet/youtube_dl_1498911842286063616.mp4" TargetMode="External"/><Relationship Id="rId5973" Type="http://schemas.openxmlformats.org/officeDocument/2006/relationships/hyperlink" Target="https://bellingcat-archive.nyc3.cdn.digitaloceanspaces.com/Ukraine_Witness_Datasheet/Worksheet/twitter__MarQs___status_1499696196016820228.html" TargetMode="External"/><Relationship Id="rId3304" Type="http://schemas.openxmlformats.org/officeDocument/2006/relationships/hyperlink" Target="https://twitter.com/MarQs__/status/1497504221742125056" TargetMode="External"/><Relationship Id="rId4635" Type="http://schemas.openxmlformats.org/officeDocument/2006/relationships/hyperlink" Target="https://bellingcat-archive.nyc3.cdn.digitaloceanspaces.com/Ukraine_Witness_Datasheet/Worksheet/youtube_dl_1498816059981238275.mp4" TargetMode="External"/><Relationship Id="rId5967" Type="http://schemas.openxmlformats.org/officeDocument/2006/relationships/hyperlink" Target="https://bellingcat-archive.nyc3.cdn.digitaloceanspaces.com/Ukraine_Witness_Datasheet/Worksheet/twitter__no_itsmyturn_status_1499655951116390404.html" TargetMode="External"/><Relationship Id="rId3303" Type="http://schemas.openxmlformats.org/officeDocument/2006/relationships/hyperlink" Target="https://bellingcat-archive.nyc3.cdn.digitaloceanspaces.com/Ukraine_Witness_Datasheet/Worksheet/youtube_dl_1497484254137225216/index.html" TargetMode="External"/><Relationship Id="rId4634" Type="http://schemas.openxmlformats.org/officeDocument/2006/relationships/hyperlink" Target="https://twitter.com/ignis_fatum/status/1498816059981238275?s=21" TargetMode="External"/><Relationship Id="rId5968" Type="http://schemas.openxmlformats.org/officeDocument/2006/relationships/hyperlink" Target="https://bellingcat-archive.nyc3.cdn.digitaloceanspaces.com/Ukraine_Witness_Datasheet/Worksheet/twitter__no_itsmyturn_status_14996559511163904042022-03-05T09:25:59.388811.png" TargetMode="External"/><Relationship Id="rId3306" Type="http://schemas.openxmlformats.org/officeDocument/2006/relationships/hyperlink" Target="https://bellingcat-archive.nyc3.cdn.digitaloceanspaces.com/Ukraine_Witness_Datasheet/Worksheet/youtube_dl__MarQs___status_14975042217421250562022-02-26T10:08:55.944143.png" TargetMode="External"/><Relationship Id="rId4637" Type="http://schemas.openxmlformats.org/officeDocument/2006/relationships/hyperlink" Target="https://bellingcat-archive.nyc3.cdn.digitaloceanspaces.com/Ukraine_Witness_Datasheet/Worksheet/youtube_dl_1498816059981238275/index.html" TargetMode="External"/><Relationship Id="rId5965" Type="http://schemas.openxmlformats.org/officeDocument/2006/relationships/hyperlink" Target="https://bellingcat-archive.nyc3.cdn.digitaloceanspaces.com/Ukraine_Witness_Datasheet/Worksheet/youtube_dl_1499655936918671360/index.html" TargetMode="External"/><Relationship Id="rId3305" Type="http://schemas.openxmlformats.org/officeDocument/2006/relationships/hyperlink" Target="https://bellingcat-archive.nyc3.cdn.digitaloceanspaces.com/Ukraine_Witness_Datasheet/Worksheet/youtube_dl_1497504221742125056.mp4" TargetMode="External"/><Relationship Id="rId4636" Type="http://schemas.openxmlformats.org/officeDocument/2006/relationships/hyperlink" Target="https://bellingcat-archive.nyc3.cdn.digitaloceanspaces.com/Ukraine_Witness_Datasheet/Worksheet/youtube_dl__ignis_fatum_status_14988160599812382752022-03-02T09:13:12.659807.png" TargetMode="External"/><Relationship Id="rId5966" Type="http://schemas.openxmlformats.org/officeDocument/2006/relationships/hyperlink" Target="https://twitter.com/no_itsmyturn/status/1499655951116390404?s=20&amp;t=PwHY_JPYEGn_wsdvdJg7Nw" TargetMode="External"/><Relationship Id="rId3308" Type="http://schemas.openxmlformats.org/officeDocument/2006/relationships/hyperlink" Target="https://twitter.com/RALee85/status/1497503135098675201" TargetMode="External"/><Relationship Id="rId4639" Type="http://schemas.openxmlformats.org/officeDocument/2006/relationships/hyperlink" Target="https://bellingcat-archive.nyc3.cdn.digitaloceanspaces.com/Ukraine_Witness_Datasheet/Worksheet/youtube_dl_1498855012532989956.mp4" TargetMode="External"/><Relationship Id="rId3307" Type="http://schemas.openxmlformats.org/officeDocument/2006/relationships/hyperlink" Target="https://bellingcat-archive.nyc3.cdn.digitaloceanspaces.com/Ukraine_Witness_Datasheet/Worksheet/youtube_dl_1497504221742125056/index.html" TargetMode="External"/><Relationship Id="rId4638" Type="http://schemas.openxmlformats.org/officeDocument/2006/relationships/hyperlink" Target="https://twitter.com/RALee85/status/1498855012532989956" TargetMode="External"/><Relationship Id="rId5969" Type="http://schemas.openxmlformats.org/officeDocument/2006/relationships/hyperlink" Target="https://twitter.com/GirkinGirkin/status/1499655677203128321?s=20&amp;t=2n52Zjxi_VKRUXIWNBmWPg" TargetMode="External"/><Relationship Id="rId3309" Type="http://schemas.openxmlformats.org/officeDocument/2006/relationships/hyperlink" Target="https://bellingcat-archive.nyc3.cdn.digitaloceanspaces.com/Ukraine_Witness_Datasheet/Worksheet/youtube_dl_1497503135098675201.mp4" TargetMode="External"/><Relationship Id="rId5960" Type="http://schemas.openxmlformats.org/officeDocument/2006/relationships/hyperlink" Target="https://web.archive.org/web/20220305092512/https://www.facebook.com/MNS.GOV.UA/posts/326078186226744" TargetMode="External"/><Relationship Id="rId3300" Type="http://schemas.openxmlformats.org/officeDocument/2006/relationships/hyperlink" Target="https://twitter.com/CITeam_en/status/1497484254137225216" TargetMode="External"/><Relationship Id="rId4631" Type="http://schemas.openxmlformats.org/officeDocument/2006/relationships/hyperlink" Target="https://bellingcat-archive.nyc3.cdn.digitaloceanspaces.com/Ukraine_Witness_Datasheet/Worksheet/youtube_dl_1498924222277632003.mp4" TargetMode="External"/><Relationship Id="rId5963" Type="http://schemas.openxmlformats.org/officeDocument/2006/relationships/hyperlink" Target="https://bellingcat-archive.nyc3.cdn.digitaloceanspaces.com/Ukraine_Witness_Datasheet/Worksheet/youtube_dl_1499655936918671360.mp4" TargetMode="External"/><Relationship Id="rId4630" Type="http://schemas.openxmlformats.org/officeDocument/2006/relationships/hyperlink" Target="https://twitter.com/COUPSURE/status/1498936998400348163?s=20&amp;t=S3kR0y6xH2HNT_CLwO3bvw" TargetMode="External"/><Relationship Id="rId5964" Type="http://schemas.openxmlformats.org/officeDocument/2006/relationships/hyperlink" Target="https://bellingcat-archive.nyc3.cdn.digitaloceanspaces.com/Ukraine_Witness_Datasheet/Worksheet/youtube_dl__no_itsmyturn_status_14996559369186713602022-03-05T09:25:38.932741.png" TargetMode="External"/><Relationship Id="rId3302" Type="http://schemas.openxmlformats.org/officeDocument/2006/relationships/hyperlink" Target="https://bellingcat-archive.nyc3.cdn.digitaloceanspaces.com/Ukraine_Witness_Datasheet/Worksheet/youtube_dl__CITeam_en_status_14974842541372252162022-02-26T10:06:13.386837.png" TargetMode="External"/><Relationship Id="rId4633" Type="http://schemas.openxmlformats.org/officeDocument/2006/relationships/hyperlink" Target="https://bellingcat-archive.nyc3.cdn.digitaloceanspaces.com/Ukraine_Witness_Datasheet/Worksheet/youtube_dl_1498924222277632003/index.html" TargetMode="External"/><Relationship Id="rId5961" Type="http://schemas.openxmlformats.org/officeDocument/2006/relationships/hyperlink" Target="https://bellingcat-archive.nyc3.cdn.digitaloceanspaces.com/Ukraine_Witness_Datasheet/Worksheet/wayback__MNS.GOV.UA_posts_3260781862267442022-03-05T09:25:19.623360.png" TargetMode="External"/><Relationship Id="rId3301" Type="http://schemas.openxmlformats.org/officeDocument/2006/relationships/hyperlink" Target="https://bellingcat-archive.nyc3.cdn.digitaloceanspaces.com/Ukraine_Witness_Datasheet/Worksheet/youtube_dl_1497484254137225216.mp4" TargetMode="External"/><Relationship Id="rId4632" Type="http://schemas.openxmlformats.org/officeDocument/2006/relationships/hyperlink" Target="https://bellingcat-archive.nyc3.cdn.digitaloceanspaces.com/Ukraine_Witness_Datasheet/Worksheet/youtube_dl__GirkinGirkin_status_14989242222776320032022-03-02T09:12:48.284828.png" TargetMode="External"/><Relationship Id="rId5962" Type="http://schemas.openxmlformats.org/officeDocument/2006/relationships/hyperlink" Target="https://twitter.com/no_itsmyturn/status/1499655936918671360?s=20&amp;t=jGA8xiOIjP1NQENkftSPZQ" TargetMode="External"/><Relationship Id="rId2005" Type="http://schemas.openxmlformats.org/officeDocument/2006/relationships/hyperlink" Target="https://bellingcat-archive.nyc3.cdn.digitaloceanspaces.com/Ukraine_Witness_Datasheet/Worksheet/youtube_dl_1495548898944897028/index.html" TargetMode="External"/><Relationship Id="rId3337" Type="http://schemas.openxmlformats.org/officeDocument/2006/relationships/hyperlink" Target="https://bellingcat-archive.nyc3.cdn.digitaloceanspaces.com/Ukraine_Witness_Datasheet/Worksheet/youtube_dl_1497437744125128709/index.html" TargetMode="External"/><Relationship Id="rId4668" Type="http://schemas.openxmlformats.org/officeDocument/2006/relationships/hyperlink" Target="https://youtu.be/Lp6Sb4thyoQ" TargetMode="External"/><Relationship Id="rId2006" Type="http://schemas.openxmlformats.org/officeDocument/2006/relationships/hyperlink" Target="https://twitter.com/Michael1Sheldon/status/1495548048679882759" TargetMode="External"/><Relationship Id="rId3336" Type="http://schemas.openxmlformats.org/officeDocument/2006/relationships/hyperlink" Target="https://bellingcat-archive.nyc3.cdn.digitaloceanspaces.com/Ukraine_Witness_Datasheet/Worksheet/youtube_dl__RALee85_status_14974377441251287092022-02-26T15:37:30.080084.png" TargetMode="External"/><Relationship Id="rId4667" Type="http://schemas.openxmlformats.org/officeDocument/2006/relationships/hyperlink" Target="https://bellingcat-archive.nyc3.cdn.digitaloceanspaces.com/Ukraine_Witness_Datasheet/Worksheet/twitter__AricToler_status_14988387244231720962022-03-02T09:16:00.321688.png" TargetMode="External"/><Relationship Id="rId2007" Type="http://schemas.openxmlformats.org/officeDocument/2006/relationships/hyperlink" Target="https://twitter.com/Michael1Sheldon/status/1495548452935278597" TargetMode="External"/><Relationship Id="rId3339" Type="http://schemas.openxmlformats.org/officeDocument/2006/relationships/hyperlink" Target="https://twitter.com/Michael1Sheldon/status/1497448736301142016" TargetMode="External"/><Relationship Id="rId5998" Type="http://schemas.openxmlformats.org/officeDocument/2006/relationships/hyperlink" Target="https://bellingcat-archive.nyc3.cdn.digitaloceanspaces.com/Ukraine_Witness_Datasheet/Worksheet/youtube_dl__TheDeadDistrict_status_14997301597122232332022-03-05T09:55:12.786076.png" TargetMode="External"/><Relationship Id="rId2008" Type="http://schemas.openxmlformats.org/officeDocument/2006/relationships/hyperlink" Target="https://bellingcat-archive.nyc3.cdn.digitaloceanspaces.com/Ukraine_Witness_Datasheet/Worksheet/youtube_dl_1495548048679882759.mp4" TargetMode="External"/><Relationship Id="rId3338" Type="http://schemas.openxmlformats.org/officeDocument/2006/relationships/hyperlink" Target="https://twitter.com/Michael1Sheldon/status/1497448045637783553" TargetMode="External"/><Relationship Id="rId4669" Type="http://schemas.openxmlformats.org/officeDocument/2006/relationships/hyperlink" Target="https://bellingcat-archive.nyc3.cdn.digitaloceanspaces.com/Ukraine_Witness_Datasheet/Worksheet/telegram_08bb90c2c3.mp4" TargetMode="External"/><Relationship Id="rId5999" Type="http://schemas.openxmlformats.org/officeDocument/2006/relationships/hyperlink" Target="https://bellingcat-archive.nyc3.cdn.digitaloceanspaces.com/Ukraine_Witness_Datasheet/Worksheet/youtube_dl_1499730159712223233/index.html" TargetMode="External"/><Relationship Id="rId2009" Type="http://schemas.openxmlformats.org/officeDocument/2006/relationships/hyperlink" Target="https://bellingcat-archive.nyc3.cdn.digitaloceanspaces.com/Ukraine_Witness_Datasheet/Worksheet/youtube_dl__Michael1Sheldon_status_14955480486798827592022-02-25T13:39:07.619800.png" TargetMode="External"/><Relationship Id="rId4660" Type="http://schemas.openxmlformats.org/officeDocument/2006/relationships/hyperlink" Target="https://twitter.com/no_itsmyturn/status/1498915212015153152" TargetMode="External"/><Relationship Id="rId5992" Type="http://schemas.openxmlformats.org/officeDocument/2006/relationships/hyperlink" Target="https://twitter.com/HillridgeOSINT/status/1499873786887344128" TargetMode="External"/><Relationship Id="rId5993" Type="http://schemas.openxmlformats.org/officeDocument/2006/relationships/hyperlink" Target="https://bellingcat-archive.nyc3.cdn.digitaloceanspaces.com/Ukraine_Witness_Datasheet/Worksheet/youtube_dl_1499873313694302211.mp4" TargetMode="External"/><Relationship Id="rId3331" Type="http://schemas.openxmlformats.org/officeDocument/2006/relationships/hyperlink" Target="https://bellingcat-archive.nyc3.cdn.digitaloceanspaces.com/Ukraine_Witness_Datasheet/Worksheet/twitter__JulianRoepcke_status_1497525066795421698.html" TargetMode="External"/><Relationship Id="rId4662" Type="http://schemas.openxmlformats.org/officeDocument/2006/relationships/hyperlink" Target="https://bellingcat-archive.nyc3.cdn.digitaloceanspaces.com/Ukraine_Witness_Datasheet/Worksheet/youtube_dl__no_itsmyturn_status_14989152120151531522022-03-02T09:15:45.888869.png" TargetMode="External"/><Relationship Id="rId5990" Type="http://schemas.openxmlformats.org/officeDocument/2006/relationships/hyperlink" Target="https://bellingcat-archive.nyc3.cdn.digitaloceanspaces.com/Ukraine_Witness_Datasheet/Worksheet/youtube_dl_1499983198868193281/index.html" TargetMode="External"/><Relationship Id="rId2000" Type="http://schemas.openxmlformats.org/officeDocument/2006/relationships/hyperlink" Target="https://bellingcat-archive.nyc3.cdn.digitaloceanspaces.com/Ukraine_Witness_Datasheet/Worksheet/youtube_dl_1495472823824957440/index.html" TargetMode="External"/><Relationship Id="rId3330" Type="http://schemas.openxmlformats.org/officeDocument/2006/relationships/hyperlink" Target="https://twitter.com/GirkinGirkin/status/1497583185776971779" TargetMode="External"/><Relationship Id="rId4661" Type="http://schemas.openxmlformats.org/officeDocument/2006/relationships/hyperlink" Target="https://bellingcat-archive.nyc3.cdn.digitaloceanspaces.com/Ukraine_Witness_Datasheet/Worksheet/youtube_dl_1498915212015153152.mp4" TargetMode="External"/><Relationship Id="rId5991" Type="http://schemas.openxmlformats.org/officeDocument/2006/relationships/hyperlink" Target="https://twitter.com/Caucasuswar/status/1499873313694302211" TargetMode="External"/><Relationship Id="rId2001" Type="http://schemas.openxmlformats.org/officeDocument/2006/relationships/hyperlink" Target="https://twitter.com/Michael1Sheldon/status/1495548898944897028" TargetMode="External"/><Relationship Id="rId3333" Type="http://schemas.openxmlformats.org/officeDocument/2006/relationships/hyperlink" Target="https://twitter.com/RALee85/status/1497437744125128709" TargetMode="External"/><Relationship Id="rId4664" Type="http://schemas.openxmlformats.org/officeDocument/2006/relationships/hyperlink" Target="https://twitter.com/AricToler/status/1498838724423172096" TargetMode="External"/><Relationship Id="rId5996" Type="http://schemas.openxmlformats.org/officeDocument/2006/relationships/hyperlink" Target="https://twitter.com/TheDeadDistrict/status/1499730159712223233" TargetMode="External"/><Relationship Id="rId2002" Type="http://schemas.openxmlformats.org/officeDocument/2006/relationships/hyperlink" Target="https://twitter.com/Michael1Sheldon/status/1495549246514339841" TargetMode="External"/><Relationship Id="rId3332" Type="http://schemas.openxmlformats.org/officeDocument/2006/relationships/hyperlink" Target="https://bellingcat-archive.nyc3.cdn.digitaloceanspaces.com/Ukraine_Witness_Datasheet/Worksheet/twitter__JulianRoepcke_status_14975250667954216982022-02-26T14:43:08.826372.png" TargetMode="External"/><Relationship Id="rId4663" Type="http://schemas.openxmlformats.org/officeDocument/2006/relationships/hyperlink" Target="https://bellingcat-archive.nyc3.cdn.digitaloceanspaces.com/Ukraine_Witness_Datasheet/Worksheet/youtube_dl_1498915212015153152/index.html" TargetMode="External"/><Relationship Id="rId5997" Type="http://schemas.openxmlformats.org/officeDocument/2006/relationships/hyperlink" Target="https://bellingcat-archive.nyc3.cdn.digitaloceanspaces.com/Ukraine_Witness_Datasheet/Worksheet/youtube_dl_1499730159712223233.mp4" TargetMode="External"/><Relationship Id="rId2003" Type="http://schemas.openxmlformats.org/officeDocument/2006/relationships/hyperlink" Target="https://bellingcat-archive.nyc3.cdn.digitaloceanspaces.com/Ukraine_Witness_Datasheet/Worksheet/youtube_dl_1495548898944897028.mp4" TargetMode="External"/><Relationship Id="rId3335" Type="http://schemas.openxmlformats.org/officeDocument/2006/relationships/hyperlink" Target="https://bellingcat-archive.nyc3.cdn.digitaloceanspaces.com/Ukraine_Witness_Datasheet/Worksheet/youtube_dl_1497437744125128709.mp4" TargetMode="External"/><Relationship Id="rId4666" Type="http://schemas.openxmlformats.org/officeDocument/2006/relationships/hyperlink" Target="https://bellingcat-archive.nyc3.cdn.digitaloceanspaces.com/Ukraine_Witness_Datasheet/Worksheet/twitter__AricToler_status_1498838724423172096.html" TargetMode="External"/><Relationship Id="rId5994" Type="http://schemas.openxmlformats.org/officeDocument/2006/relationships/hyperlink" Target="https://bellingcat-archive.nyc3.cdn.digitaloceanspaces.com/Ukraine_Witness_Datasheet/Worksheet/youtube_dl__Caucasuswar_status_14998733136943022112022-03-05T09:50:11.294381.png" TargetMode="External"/><Relationship Id="rId2004" Type="http://schemas.openxmlformats.org/officeDocument/2006/relationships/hyperlink" Target="https://bellingcat-archive.nyc3.cdn.digitaloceanspaces.com/Ukraine_Witness_Datasheet/Worksheet/youtube_dl__Michael1Sheldon_status_14955488989448970282022-02-25T13:39:30.229185.png" TargetMode="External"/><Relationship Id="rId3334" Type="http://schemas.openxmlformats.org/officeDocument/2006/relationships/hyperlink" Target="https://twitter.com/Michael1Sheldon/status/1497506836995612673" TargetMode="External"/><Relationship Id="rId4665" Type="http://schemas.openxmlformats.org/officeDocument/2006/relationships/hyperlink" Target="https://twitter.com/Axub4/status/1498843457217249280" TargetMode="External"/><Relationship Id="rId5995" Type="http://schemas.openxmlformats.org/officeDocument/2006/relationships/hyperlink" Target="https://bellingcat-archive.nyc3.cdn.digitaloceanspaces.com/Ukraine_Witness_Datasheet/Worksheet/youtube_dl_1499873313694302211/index.html" TargetMode="External"/><Relationship Id="rId3326" Type="http://schemas.openxmlformats.org/officeDocument/2006/relationships/hyperlink" Target="https://twitter.com/il_kanguru/status/1497273256876859398" TargetMode="External"/><Relationship Id="rId4657" Type="http://schemas.openxmlformats.org/officeDocument/2006/relationships/hyperlink" Target="https://twitter.com/IntelRogue/status/1498913583685840896" TargetMode="External"/><Relationship Id="rId5989" Type="http://schemas.openxmlformats.org/officeDocument/2006/relationships/hyperlink" Target="https://bellingcat-archive.nyc3.cdn.digitaloceanspaces.com/Ukraine_Witness_Datasheet/Worksheet/youtube_dl__GirkinGirkin_status_14999831988681932812022-03-05T09:45:14.235787.png" TargetMode="External"/><Relationship Id="rId3325" Type="http://schemas.openxmlformats.org/officeDocument/2006/relationships/hyperlink" Target="https://twitter.com/UAWeapons/status/1497233053608988679" TargetMode="External"/><Relationship Id="rId4656" Type="http://schemas.openxmlformats.org/officeDocument/2006/relationships/hyperlink" Target="https://bellingcat-archive.nyc3.cdn.digitaloceanspaces.com/Ukraine_Witness_Datasheet/Worksheet/youtube_dl_1498669909261398020/index.html" TargetMode="External"/><Relationship Id="rId3328" Type="http://schemas.openxmlformats.org/officeDocument/2006/relationships/hyperlink" Target="https://bellingcat-archive.nyc3.cdn.digitaloceanspaces.com/Ukraine_Witness_Datasheet/Worksheet/youtube_dl__UAWeapons_status_14972330536089886792022-02-26T11:00:58.508212.png" TargetMode="External"/><Relationship Id="rId4659" Type="http://schemas.openxmlformats.org/officeDocument/2006/relationships/hyperlink" Target="https://bellingcat-archive.nyc3.cdn.digitaloceanspaces.com/Ukraine_Witness_Datasheet/Worksheet/wayback__i_bookmarks2022-03-02T09:15:35.718865.png" TargetMode="External"/><Relationship Id="rId5987" Type="http://schemas.openxmlformats.org/officeDocument/2006/relationships/hyperlink" Target="https://twitter.com/ohsendit/status/1499993357090799621" TargetMode="External"/><Relationship Id="rId3327" Type="http://schemas.openxmlformats.org/officeDocument/2006/relationships/hyperlink" Target="https://bellingcat-archive.nyc3.cdn.digitaloceanspaces.com/Ukraine_Witness_Datasheet/Worksheet/youtube_dl_1497233053608988679.mp4" TargetMode="External"/><Relationship Id="rId4658" Type="http://schemas.openxmlformats.org/officeDocument/2006/relationships/hyperlink" Target="https://web.archive.org/web/20220302091531/https://twitter.com/login" TargetMode="External"/><Relationship Id="rId5988" Type="http://schemas.openxmlformats.org/officeDocument/2006/relationships/hyperlink" Target="https://bellingcat-archive.nyc3.cdn.digitaloceanspaces.com/Ukraine_Witness_Datasheet/Worksheet/youtube_dl_1499983198868193281.mp4" TargetMode="External"/><Relationship Id="rId3329" Type="http://schemas.openxmlformats.org/officeDocument/2006/relationships/hyperlink" Target="https://bellingcat-archive.nyc3.cdn.digitaloceanspaces.com/Ukraine_Witness_Datasheet/Worksheet/youtube_dl_1497233053608988679/index.html" TargetMode="External"/><Relationship Id="rId5981" Type="http://schemas.openxmlformats.org/officeDocument/2006/relationships/hyperlink" Target="https://bellingcat-archive.nyc3.cdn.digitaloceanspaces.com/Ukraine_Witness_Datasheet/Worksheet/youtube_dl__nexta_tv_status_14997479816287395892022-03-05T09:26:47.955848.png" TargetMode="External"/><Relationship Id="rId5982" Type="http://schemas.openxmlformats.org/officeDocument/2006/relationships/hyperlink" Target="https://bellingcat-archive.nyc3.cdn.digitaloceanspaces.com/Ukraine_Witness_Datasheet/Worksheet/youtube_dl_1499747981628739589/index.html" TargetMode="External"/><Relationship Id="rId3320" Type="http://schemas.openxmlformats.org/officeDocument/2006/relationships/hyperlink" Target="https://twitter.com/UAWeapons/status/1497232990728069134" TargetMode="External"/><Relationship Id="rId4651" Type="http://schemas.openxmlformats.org/officeDocument/2006/relationships/hyperlink" Target="https://bellingcat-archive.nyc3.cdn.digitaloceanspaces.com/Ukraine_Witness_Datasheet/Worksheet/twitter__IntelCrab_status_1498674395820216329_photo_1.html" TargetMode="External"/><Relationship Id="rId4650" Type="http://schemas.openxmlformats.org/officeDocument/2006/relationships/hyperlink" Target="https://twitter.com/IntelCrab/status/1498674395820216329/photo/1" TargetMode="External"/><Relationship Id="rId5980" Type="http://schemas.openxmlformats.org/officeDocument/2006/relationships/hyperlink" Target="https://bellingcat-archive.nyc3.cdn.digitaloceanspaces.com/Ukraine_Witness_Datasheet/Worksheet/youtube_dl_1499747981628739589.mp4" TargetMode="External"/><Relationship Id="rId3322" Type="http://schemas.openxmlformats.org/officeDocument/2006/relationships/hyperlink" Target="https://bellingcat-archive.nyc3.cdn.digitaloceanspaces.com/Ukraine_Witness_Datasheet/Worksheet/youtube_dl_1497232990728069134.mp4" TargetMode="External"/><Relationship Id="rId4653" Type="http://schemas.openxmlformats.org/officeDocument/2006/relationships/hyperlink" Target="https://twitter.com/michaeldweiss/status/1498669909261398020" TargetMode="External"/><Relationship Id="rId5985" Type="http://schemas.openxmlformats.org/officeDocument/2006/relationships/hyperlink" Target="https://bellingcat-archive.nyc3.cdn.digitaloceanspaces.com/Ukraine_Witness_Datasheet/Worksheet/twitter__police_kyiv_obl_status_15000291784434483242022-03-05T09:35:12.061955.png" TargetMode="External"/><Relationship Id="rId3321" Type="http://schemas.openxmlformats.org/officeDocument/2006/relationships/hyperlink" Target="https://twitter.com/il_kanguru/status/1497273256876859398" TargetMode="External"/><Relationship Id="rId4652" Type="http://schemas.openxmlformats.org/officeDocument/2006/relationships/hyperlink" Target="https://bellingcat-archive.nyc3.cdn.digitaloceanspaces.com/Ukraine_Witness_Datasheet/Worksheet/twitter__IntelCrab_status_1498674395820216329_photo_12022-03-02T09:14:32.107546.png" TargetMode="External"/><Relationship Id="rId5986" Type="http://schemas.openxmlformats.org/officeDocument/2006/relationships/hyperlink" Target="https://twitter.com/GirkinGirkin/status/1499983198868193281" TargetMode="External"/><Relationship Id="rId3324" Type="http://schemas.openxmlformats.org/officeDocument/2006/relationships/hyperlink" Target="https://bellingcat-archive.nyc3.cdn.digitaloceanspaces.com/Ukraine_Witness_Datasheet/Worksheet/youtube_dl_1497232990728069134/index.html" TargetMode="External"/><Relationship Id="rId4655" Type="http://schemas.openxmlformats.org/officeDocument/2006/relationships/hyperlink" Target="https://bellingcat-archive.nyc3.cdn.digitaloceanspaces.com/Ukraine_Witness_Datasheet/Worksheet/youtube_dl__michaeldweiss_status_14986699092613980202022-03-02T09:14:43.180698.png" TargetMode="External"/><Relationship Id="rId5983" Type="http://schemas.openxmlformats.org/officeDocument/2006/relationships/hyperlink" Target="https://twitter.com/police_kyiv_obl/status/1500029178443448324?s=20&amp;t=w5AvDOyFJZ_Dd-tDKq5xPA" TargetMode="External"/><Relationship Id="rId3323" Type="http://schemas.openxmlformats.org/officeDocument/2006/relationships/hyperlink" Target="https://bellingcat-archive.nyc3.cdn.digitaloceanspaces.com/Ukraine_Witness_Datasheet/Worksheet/youtube_dl__UAWeapons_status_14972329907280691342022-02-26T11:00:22.756238.png" TargetMode="External"/><Relationship Id="rId4654" Type="http://schemas.openxmlformats.org/officeDocument/2006/relationships/hyperlink" Target="https://bellingcat-archive.nyc3.cdn.digitaloceanspaces.com/Ukraine_Witness_Datasheet/Worksheet/youtube_dl_1498669909261398020.mp4" TargetMode="External"/><Relationship Id="rId5984" Type="http://schemas.openxmlformats.org/officeDocument/2006/relationships/hyperlink" Target="https://bellingcat-archive.nyc3.cdn.digitaloceanspaces.com/Ukraine_Witness_Datasheet/Worksheet/twitter__police_kyiv_obl_status_1500029178443448324.html" TargetMode="External"/><Relationship Id="rId2090" Type="http://schemas.openxmlformats.org/officeDocument/2006/relationships/hyperlink" Target="https://twitter.com/GirkinGirkin/status/1495860047691329537" TargetMode="External"/><Relationship Id="rId2091" Type="http://schemas.openxmlformats.org/officeDocument/2006/relationships/hyperlink" Target="https://twitter.com/gfusfus/status/1495886627885002758" TargetMode="External"/><Relationship Id="rId2092" Type="http://schemas.openxmlformats.org/officeDocument/2006/relationships/hyperlink" Target="https://bellingcat-archive.nyc3.cdn.digitaloceanspaces.com/Ukraine_Witness_Datasheet/Worksheet/youtube_dl_1495860047691329537.mp4" TargetMode="External"/><Relationship Id="rId2093" Type="http://schemas.openxmlformats.org/officeDocument/2006/relationships/hyperlink" Target="https://bellingcat-archive.nyc3.cdn.digitaloceanspaces.com/Ukraine_Witness_Datasheet/Worksheet/youtube_dl__GirkinGirkin_status_14958600476913295372022-02-25T13:33:21.257256.png" TargetMode="External"/><Relationship Id="rId2094" Type="http://schemas.openxmlformats.org/officeDocument/2006/relationships/hyperlink" Target="https://bellingcat-archive.nyc3.cdn.digitaloceanspaces.com/Ukraine_Witness_Datasheet/Worksheet/youtube_dl_1495860047691329537/index.html" TargetMode="External"/><Relationship Id="rId2095" Type="http://schemas.openxmlformats.org/officeDocument/2006/relationships/hyperlink" Target="https://twitter.com/GirkinGirkin/status/1495845829147561989" TargetMode="External"/><Relationship Id="rId2096" Type="http://schemas.openxmlformats.org/officeDocument/2006/relationships/hyperlink" Target="https://twitter.com/zcjbrooker/status/1495857397675483138" TargetMode="External"/><Relationship Id="rId2097" Type="http://schemas.openxmlformats.org/officeDocument/2006/relationships/hyperlink" Target="https://bellingcat-archive.nyc3.cdn.digitaloceanspaces.com/Ukraine_Witness_Datasheet/Worksheet/youtube_dl_1495845829147561989.mp4" TargetMode="External"/><Relationship Id="rId2098" Type="http://schemas.openxmlformats.org/officeDocument/2006/relationships/hyperlink" Target="https://bellingcat-archive.nyc3.cdn.digitaloceanspaces.com/Ukraine_Witness_Datasheet/Worksheet/youtube_dl__GirkinGirkin_status_14958458291475619892022-02-25T13:32:54.911586.png" TargetMode="External"/><Relationship Id="rId2099" Type="http://schemas.openxmlformats.org/officeDocument/2006/relationships/hyperlink" Target="https://bellingcat-archive.nyc3.cdn.digitaloceanspaces.com/Ukraine_Witness_Datasheet/Worksheet/youtube_dl_1495845829147561989/index.html" TargetMode="External"/><Relationship Id="rId3391" Type="http://schemas.openxmlformats.org/officeDocument/2006/relationships/hyperlink" Target="https://bellingcat-archive.nyc3.cdn.digitaloceanspaces.com/Ukraine_Witness_Datasheet/Worksheet/youtube_dl__MarQs___status_14975573693368770592022-02-26T23:30:17.423428.png" TargetMode="External"/><Relationship Id="rId2060" Type="http://schemas.openxmlformats.org/officeDocument/2006/relationships/hyperlink" Target="https://bellingcat-archive.nyc3.cdn.digitaloceanspaces.com/Ukraine_Witness_Datasheet/Worksheet/youtube_dl_1494985842535849984.mp4" TargetMode="External"/><Relationship Id="rId3390" Type="http://schemas.openxmlformats.org/officeDocument/2006/relationships/hyperlink" Target="https://bellingcat-archive.nyc3.cdn.digitaloceanspaces.com/Ukraine_Witness_Datasheet/Worksheet/youtube_dl_1497557369336877059.mp4" TargetMode="External"/><Relationship Id="rId2061" Type="http://schemas.openxmlformats.org/officeDocument/2006/relationships/hyperlink" Target="https://bellingcat-archive.nyc3.cdn.digitaloceanspaces.com/Ukraine_Witness_Datasheet/Worksheet/youtube_dl__GirkinGirkin_status_14949858425358499842022-02-25T13:35:36.162404.png" TargetMode="External"/><Relationship Id="rId3393" Type="http://schemas.openxmlformats.org/officeDocument/2006/relationships/hyperlink" Target="https://twitter.com/MarQs__/status/1497552237081489412" TargetMode="External"/><Relationship Id="rId2062" Type="http://schemas.openxmlformats.org/officeDocument/2006/relationships/hyperlink" Target="https://bellingcat-archive.nyc3.cdn.digitaloceanspaces.com/Ukraine_Witness_Datasheet/Worksheet/youtube_dl_1494985842535849984/index.html" TargetMode="External"/><Relationship Id="rId3392" Type="http://schemas.openxmlformats.org/officeDocument/2006/relationships/hyperlink" Target="https://bellingcat-archive.nyc3.cdn.digitaloceanspaces.com/Ukraine_Witness_Datasheet/Worksheet/youtube_dl_1497557369336877059/index.html" TargetMode="External"/><Relationship Id="rId2063" Type="http://schemas.openxmlformats.org/officeDocument/2006/relationships/hyperlink" Target="https://twitter.com/GirkinGirkin/status/1495471310159421443" TargetMode="External"/><Relationship Id="rId3395" Type="http://schemas.openxmlformats.org/officeDocument/2006/relationships/hyperlink" Target="https://bellingcat-archive.nyc3.cdn.digitaloceanspaces.com/Ukraine_Witness_Datasheet/Worksheet/youtube_dl__MarQs___status_14975522370814894122022-02-26T23:30:41.907918.png" TargetMode="External"/><Relationship Id="rId2064" Type="http://schemas.openxmlformats.org/officeDocument/2006/relationships/hyperlink" Target="https://twitter.com/ruggerz/status/1495513744473997312" TargetMode="External"/><Relationship Id="rId3394" Type="http://schemas.openxmlformats.org/officeDocument/2006/relationships/hyperlink" Target="https://bellingcat-archive.nyc3.cdn.digitaloceanspaces.com/Ukraine_Witness_Datasheet/Worksheet/youtube_dl_1497552237081489412.mp4" TargetMode="External"/><Relationship Id="rId2065" Type="http://schemas.openxmlformats.org/officeDocument/2006/relationships/hyperlink" Target="https://bellingcat-archive.nyc3.cdn.digitaloceanspaces.com/Ukraine_Witness_Datasheet/Worksheet/youtube_dl_1495471310159421443.mp4" TargetMode="External"/><Relationship Id="rId3397" Type="http://schemas.openxmlformats.org/officeDocument/2006/relationships/hyperlink" Target="https://twitter.com/K_Loukerenko/status/1497328742867349507" TargetMode="External"/><Relationship Id="rId2066" Type="http://schemas.openxmlformats.org/officeDocument/2006/relationships/hyperlink" Target="https://bellingcat-archive.nyc3.cdn.digitaloceanspaces.com/Ukraine_Witness_Datasheet/Worksheet/youtube_dl__GirkinGirkin_status_14954713101594214432022-02-25T13:35:18.776048.png" TargetMode="External"/><Relationship Id="rId3396" Type="http://schemas.openxmlformats.org/officeDocument/2006/relationships/hyperlink" Target="https://bellingcat-archive.nyc3.cdn.digitaloceanspaces.com/Ukraine_Witness_Datasheet/Worksheet/youtube_dl_1497552237081489412/index.html" TargetMode="External"/><Relationship Id="rId2067" Type="http://schemas.openxmlformats.org/officeDocument/2006/relationships/hyperlink" Target="https://bellingcat-archive.nyc3.cdn.digitaloceanspaces.com/Ukraine_Witness_Datasheet/Worksheet/youtube_dl_1495471310159421443/index.html" TargetMode="External"/><Relationship Id="rId3399" Type="http://schemas.openxmlformats.org/officeDocument/2006/relationships/hyperlink" Target="https://bellingcat-archive.nyc3.cdn.digitaloceanspaces.com/Ukraine_Witness_Datasheet/Worksheet/youtube_dl_1497622951667109900.mp4" TargetMode="External"/><Relationship Id="rId2068" Type="http://schemas.openxmlformats.org/officeDocument/2006/relationships/hyperlink" Target="https://twitter.com/MotolkoHelp/status/1495731393854427137" TargetMode="External"/><Relationship Id="rId3398" Type="http://schemas.openxmlformats.org/officeDocument/2006/relationships/hyperlink" Target="https://twitter.com/K_Loukerenko/status/1497328742867349507" TargetMode="External"/><Relationship Id="rId2069" Type="http://schemas.openxmlformats.org/officeDocument/2006/relationships/hyperlink" Target="https://bellingcat-archive.nyc3.cdn.digitaloceanspaces.com/Ukraine_Witness_Datasheet/Worksheet/youtube_dl_1495731393854427137.mp4" TargetMode="External"/><Relationship Id="rId3380" Type="http://schemas.openxmlformats.org/officeDocument/2006/relationships/hyperlink" Target="https://twitter.com/YWNReporter/status/1497638657829879810" TargetMode="External"/><Relationship Id="rId2050" Type="http://schemas.openxmlformats.org/officeDocument/2006/relationships/hyperlink" Target="https://bellingcat-archive.nyc3.cdn.digitaloceanspaces.com/Ukraine_Witness_Datasheet/Worksheet/youtube_dl_1495063279000948738.mp4" TargetMode="External"/><Relationship Id="rId3382" Type="http://schemas.openxmlformats.org/officeDocument/2006/relationships/hyperlink" Target="https://bellingcat-archive.nyc3.cdn.digitaloceanspaces.com/Ukraine_Witness_Datasheet/Worksheet/youtube_dl__YWNReporter_status_14976386578298798102022-02-26T23:29:19.002165.png" TargetMode="External"/><Relationship Id="rId2051" Type="http://schemas.openxmlformats.org/officeDocument/2006/relationships/hyperlink" Target="https://bellingcat-archive.nyc3.cdn.digitaloceanspaces.com/Ukraine_Witness_Datasheet/Worksheet/youtube_dl__GirkinGirkin_status_14950632790009487382022-02-25T13:36:11.592769.png" TargetMode="External"/><Relationship Id="rId3381" Type="http://schemas.openxmlformats.org/officeDocument/2006/relationships/hyperlink" Target="https://bellingcat-archive.nyc3.cdn.digitaloceanspaces.com/Ukraine_Witness_Datasheet/Worksheet/youtube_dl_1497638657829879810.mp4" TargetMode="External"/><Relationship Id="rId2052" Type="http://schemas.openxmlformats.org/officeDocument/2006/relationships/hyperlink" Target="https://bellingcat-archive.nyc3.cdn.digitaloceanspaces.com/Ukraine_Witness_Datasheet/Worksheet/youtube_dl_1495063279000948738/index.html" TargetMode="External"/><Relationship Id="rId3384" Type="http://schemas.openxmlformats.org/officeDocument/2006/relationships/hyperlink" Target="https://twitter.com/666_mancer/status/1497638132988223490" TargetMode="External"/><Relationship Id="rId2053" Type="http://schemas.openxmlformats.org/officeDocument/2006/relationships/hyperlink" Target="https://twitter.com/GirkinGirkin/status/1495020849748971520" TargetMode="External"/><Relationship Id="rId3383" Type="http://schemas.openxmlformats.org/officeDocument/2006/relationships/hyperlink" Target="https://bellingcat-archive.nyc3.cdn.digitaloceanspaces.com/Ukraine_Witness_Datasheet/Worksheet/youtube_dl_1497638657829879810/index.html" TargetMode="External"/><Relationship Id="rId2054" Type="http://schemas.openxmlformats.org/officeDocument/2006/relationships/hyperlink" Target="https://twitter.com/danvan71/status/1495027071076163585" TargetMode="External"/><Relationship Id="rId3386" Type="http://schemas.openxmlformats.org/officeDocument/2006/relationships/hyperlink" Target="https://bellingcat-archive.nyc3.cdn.digitaloceanspaces.com/Ukraine_Witness_Datasheet/Worksheet/youtube_dl_1497638132988223490.mp4" TargetMode="External"/><Relationship Id="rId2055" Type="http://schemas.openxmlformats.org/officeDocument/2006/relationships/hyperlink" Target="https://bellingcat-archive.nyc3.cdn.digitaloceanspaces.com/Ukraine_Witness_Datasheet/Worksheet/youtube_dl_1495020849748971520.mp4" TargetMode="External"/><Relationship Id="rId3385" Type="http://schemas.openxmlformats.org/officeDocument/2006/relationships/hyperlink" Target="https://twitter.com/5urpher/status/1497642085226323968" TargetMode="External"/><Relationship Id="rId2056" Type="http://schemas.openxmlformats.org/officeDocument/2006/relationships/hyperlink" Target="https://bellingcat-archive.nyc3.cdn.digitaloceanspaces.com/Ukraine_Witness_Datasheet/Worksheet/youtube_dl__GirkinGirkin_status_14950208497489715202022-02-25T13:35:52.170969.png" TargetMode="External"/><Relationship Id="rId3388" Type="http://schemas.openxmlformats.org/officeDocument/2006/relationships/hyperlink" Target="https://bellingcat-archive.nyc3.cdn.digitaloceanspaces.com/Ukraine_Witness_Datasheet/Worksheet/youtube_dl_1497638132988223490/index.html" TargetMode="External"/><Relationship Id="rId2057" Type="http://schemas.openxmlformats.org/officeDocument/2006/relationships/hyperlink" Target="https://bellingcat-archive.nyc3.cdn.digitaloceanspaces.com/Ukraine_Witness_Datasheet/Worksheet/youtube_dl_1495020849748971520/index.html" TargetMode="External"/><Relationship Id="rId3387" Type="http://schemas.openxmlformats.org/officeDocument/2006/relationships/hyperlink" Target="https://bellingcat-archive.nyc3.cdn.digitaloceanspaces.com/Ukraine_Witness_Datasheet/Worksheet/youtube_dl__666_mancer_status_14976381329882234902022-02-26T23:29:49.328797.png" TargetMode="External"/><Relationship Id="rId2058" Type="http://schemas.openxmlformats.org/officeDocument/2006/relationships/hyperlink" Target="https://twitter.com/GirkinGirkin/status/1494985842535849984" TargetMode="External"/><Relationship Id="rId2059" Type="http://schemas.openxmlformats.org/officeDocument/2006/relationships/hyperlink" Target="https://twitter.com/MilitaryEmpire/status/1495004137263620097" TargetMode="External"/><Relationship Id="rId3389" Type="http://schemas.openxmlformats.org/officeDocument/2006/relationships/hyperlink" Target="https://twitter.com/MarQs__/status/1497557369336877059" TargetMode="External"/><Relationship Id="rId2080" Type="http://schemas.openxmlformats.org/officeDocument/2006/relationships/hyperlink" Target="https://bellingcat-archive.nyc3.cdn.digitaloceanspaces.com/Ukraine_Witness_Datasheet/Worksheet/youtube_dl_1495235434875609088/index.html" TargetMode="External"/><Relationship Id="rId2081" Type="http://schemas.openxmlformats.org/officeDocument/2006/relationships/hyperlink" Target="https://twitter.com/YWNReporter/status/1495764242846392332" TargetMode="External"/><Relationship Id="rId2082" Type="http://schemas.openxmlformats.org/officeDocument/2006/relationships/hyperlink" Target="https://twitter.com/YWNReporter/status/1495765659468324865" TargetMode="External"/><Relationship Id="rId2083" Type="http://schemas.openxmlformats.org/officeDocument/2006/relationships/hyperlink" Target="https://bellingcat-archive.nyc3.cdn.digitaloceanspaces.com/Ukraine_Witness_Datasheet/Worksheet/youtube_dl_1495764242846392332.mp4" TargetMode="External"/><Relationship Id="rId2084" Type="http://schemas.openxmlformats.org/officeDocument/2006/relationships/hyperlink" Target="https://bellingcat-archive.nyc3.cdn.digitaloceanspaces.com/Ukraine_Witness_Datasheet/Worksheet/youtube_dl__YWNReporter_status_14957642428463923322022-02-25T13:33:55.816441.png" TargetMode="External"/><Relationship Id="rId2085" Type="http://schemas.openxmlformats.org/officeDocument/2006/relationships/hyperlink" Target="https://bellingcat-archive.nyc3.cdn.digitaloceanspaces.com/Ukraine_Witness_Datasheet/Worksheet/youtube_dl_1495764242846392332/index.html" TargetMode="External"/><Relationship Id="rId2086" Type="http://schemas.openxmlformats.org/officeDocument/2006/relationships/hyperlink" Target="https://twitter.com/4emberlen/status/1495715028900720649?s=21" TargetMode="External"/><Relationship Id="rId2087" Type="http://schemas.openxmlformats.org/officeDocument/2006/relationships/hyperlink" Target="https://bellingcat-archive.nyc3.cdn.digitaloceanspaces.com/Ukraine_Witness_Datasheet/Worksheet/youtube_dl_1495715028900720649.mp4" TargetMode="External"/><Relationship Id="rId2088" Type="http://schemas.openxmlformats.org/officeDocument/2006/relationships/hyperlink" Target="https://bellingcat-archive.nyc3.cdn.digitaloceanspaces.com/Ukraine_Witness_Datasheet/Worksheet/youtube_dl__4emberlen_status_14957150289007206492022-02-25T13:33:38.588264.png" TargetMode="External"/><Relationship Id="rId2089" Type="http://schemas.openxmlformats.org/officeDocument/2006/relationships/hyperlink" Target="https://bellingcat-archive.nyc3.cdn.digitaloceanspaces.com/Ukraine_Witness_Datasheet/Worksheet/youtube_dl_1495715028900720649/index.html" TargetMode="External"/><Relationship Id="rId2070" Type="http://schemas.openxmlformats.org/officeDocument/2006/relationships/hyperlink" Target="https://bellingcat-archive.nyc3.cdn.digitaloceanspaces.com/Ukraine_Witness_Datasheet/Worksheet/youtube_dl__MotolkoHelp_status_14957313938544271372022-02-25T13:34:58.871421.png" TargetMode="External"/><Relationship Id="rId2071" Type="http://schemas.openxmlformats.org/officeDocument/2006/relationships/hyperlink" Target="https://bellingcat-archive.nyc3.cdn.digitaloceanspaces.com/Ukraine_Witness_Datasheet/Worksheet/youtube_dl_1495731393854427137/index.html" TargetMode="External"/><Relationship Id="rId2072" Type="http://schemas.openxmlformats.org/officeDocument/2006/relationships/hyperlink" Target="https://twitter.com/no_itsmyturn/status/1495724090019229699" TargetMode="External"/><Relationship Id="rId2073" Type="http://schemas.openxmlformats.org/officeDocument/2006/relationships/hyperlink" Target="https://bellingcat-archive.nyc3.cdn.digitaloceanspaces.com/Ukraine_Witness_Datasheet/Worksheet/youtube_dl_1495724090019229699.mp4" TargetMode="External"/><Relationship Id="rId2074" Type="http://schemas.openxmlformats.org/officeDocument/2006/relationships/hyperlink" Target="https://bellingcat-archive.nyc3.cdn.digitaloceanspaces.com/Ukraine_Witness_Datasheet/Worksheet/youtube_dl__no_itsmyturn_status_14957240900192296992022-02-25T13:34:31.786582.png" TargetMode="External"/><Relationship Id="rId2075" Type="http://schemas.openxmlformats.org/officeDocument/2006/relationships/hyperlink" Target="https://bellingcat-archive.nyc3.cdn.digitaloceanspaces.com/Ukraine_Witness_Datasheet/Worksheet/youtube_dl_1495724090019229699/index.html" TargetMode="External"/><Relationship Id="rId2076" Type="http://schemas.openxmlformats.org/officeDocument/2006/relationships/hyperlink" Target="https://twitter.com/4emberlen/status/1495235434875609088" TargetMode="External"/><Relationship Id="rId2077" Type="http://schemas.openxmlformats.org/officeDocument/2006/relationships/hyperlink" Target="https://twitter.com/danvan71/status/1495726381417869313" TargetMode="External"/><Relationship Id="rId2078" Type="http://schemas.openxmlformats.org/officeDocument/2006/relationships/hyperlink" Target="https://bellingcat-archive.nyc3.cdn.digitaloceanspaces.com/Ukraine_Witness_Datasheet/Worksheet/youtube_dl_1495235434875609088.mp4" TargetMode="External"/><Relationship Id="rId2079" Type="http://schemas.openxmlformats.org/officeDocument/2006/relationships/hyperlink" Target="https://bellingcat-archive.nyc3.cdn.digitaloceanspaces.com/Ukraine_Witness_Datasheet/Worksheet/youtube_dl__4emberlen_status_14952354348756090882022-02-25T13:34:13.592310.png" TargetMode="External"/><Relationship Id="rId8240" Type="http://schemas.openxmlformats.org/officeDocument/2006/relationships/hyperlink" Target="https://twitter.com/GertVHoecke/status/1501661242045440010" TargetMode="External"/><Relationship Id="rId8244" Type="http://schemas.openxmlformats.org/officeDocument/2006/relationships/hyperlink" Target="https://twitter.com/EuropeOsint/status/1501646900168212492" TargetMode="External"/><Relationship Id="rId8243" Type="http://schemas.openxmlformats.org/officeDocument/2006/relationships/hyperlink" Target="https://bellingcat-archive.nyc3.cdn.digitaloceanspaces.com/Ukraine_Witness_Datasheet/Worksheet/youtube_dl_1501646900168212492/index.html" TargetMode="External"/><Relationship Id="rId8242" Type="http://schemas.openxmlformats.org/officeDocument/2006/relationships/hyperlink" Target="https://bellingcat-archive.nyc3.cdn.digitaloceanspaces.com/Ukraine_Witness_Datasheet/Worksheet/youtube_dl__EuropeOsint_status_15016469001682124922022-03-10T13:50:14.576911.png" TargetMode="External"/><Relationship Id="rId8241" Type="http://schemas.openxmlformats.org/officeDocument/2006/relationships/hyperlink" Target="https://bellingcat-archive.nyc3.cdn.digitaloceanspaces.com/Ukraine_Witness_Datasheet/Worksheet/youtube_dl_1501646900168212492.mp4" TargetMode="External"/><Relationship Id="rId8248" Type="http://schemas.openxmlformats.org/officeDocument/2006/relationships/hyperlink" Target="https://twitter.com/rescuero/status/1501915834310086661" TargetMode="External"/><Relationship Id="rId8247" Type="http://schemas.openxmlformats.org/officeDocument/2006/relationships/hyperlink" Target="https://bellingcat-archive.nyc3.cdn.digitaloceanspaces.com/Ukraine_Witness_Datasheet/Worksheet/youtube_dl_1501646900168212492/index.html" TargetMode="External"/><Relationship Id="rId8246" Type="http://schemas.openxmlformats.org/officeDocument/2006/relationships/hyperlink" Target="https://bellingcat-archive.nyc3.cdn.digitaloceanspaces.com/Ukraine_Witness_Datasheet/Worksheet/youtube_dl__EuropeOsint_status_15016469001682124922022-03-10T14:00:14.725392.png" TargetMode="External"/><Relationship Id="rId8245" Type="http://schemas.openxmlformats.org/officeDocument/2006/relationships/hyperlink" Target="https://bellingcat-archive.nyc3.cdn.digitaloceanspaces.com/Ukraine_Witness_Datasheet/Worksheet/youtube_dl_1501646900168212492.mp4" TargetMode="External"/><Relationship Id="rId8249" Type="http://schemas.openxmlformats.org/officeDocument/2006/relationships/hyperlink" Target="https://bellingcat-archive.nyc3.cdn.digitaloceanspaces.com/Ukraine_Witness_Datasheet/Worksheet/youtube_dl_1501915834310086661.mp4" TargetMode="External"/><Relationship Id="rId8233" Type="http://schemas.openxmlformats.org/officeDocument/2006/relationships/hyperlink" Target="https://bellingcat-archive.nyc3.cdn.digitaloceanspaces.com/Ukraine_Witness_Datasheet/Worksheet/telegram_b18aa9ed17/index.html" TargetMode="External"/><Relationship Id="rId8232" Type="http://schemas.openxmlformats.org/officeDocument/2006/relationships/hyperlink" Target="https://bellingcat-archive.nyc3.cdn.digitaloceanspaces.com/Ukraine_Witness_Datasheet/Worksheet/telegram__u_now_265602022-03-10T13:40:10.425143.png" TargetMode="External"/><Relationship Id="rId8231" Type="http://schemas.openxmlformats.org/officeDocument/2006/relationships/hyperlink" Target="https://bellingcat-archive.nyc3.cdn.digitaloceanspaces.com/Ukraine_Witness_Datasheet/Worksheet/telegram_b18aa9ed17.mp4" TargetMode="External"/><Relationship Id="rId8230" Type="http://schemas.openxmlformats.org/officeDocument/2006/relationships/hyperlink" Target="https://twitter.com/Arthur_Crpt/status/1501896022645215232" TargetMode="External"/><Relationship Id="rId8237" Type="http://schemas.openxmlformats.org/officeDocument/2006/relationships/hyperlink" Target="https://bellingcat-archive.nyc3.cdn.digitaloceanspaces.com/Ukraine_Witness_Datasheet/Worksheet/youtube_dl__michaelh992_status_15019085099732582452022-03-10T13:45:15.394046.png" TargetMode="External"/><Relationship Id="rId8236" Type="http://schemas.openxmlformats.org/officeDocument/2006/relationships/hyperlink" Target="https://bellingcat-archive.nyc3.cdn.digitaloceanspaces.com/Ukraine_Witness_Datasheet/Worksheet/youtube_dl_1501908509973258245.mp4" TargetMode="External"/><Relationship Id="rId8235" Type="http://schemas.openxmlformats.org/officeDocument/2006/relationships/hyperlink" Target="https://twitter.com/michaelh992/status/1501908509973258245" TargetMode="External"/><Relationship Id="rId8234" Type="http://schemas.openxmlformats.org/officeDocument/2006/relationships/hyperlink" Target="https://t.me/u_now/26560" TargetMode="External"/><Relationship Id="rId8239" Type="http://schemas.openxmlformats.org/officeDocument/2006/relationships/hyperlink" Target="https://twitter.com/EuropeOsint/status/1501646900168212492" TargetMode="External"/><Relationship Id="rId8238" Type="http://schemas.openxmlformats.org/officeDocument/2006/relationships/hyperlink" Target="https://bellingcat-archive.nyc3.cdn.digitaloceanspaces.com/Ukraine_Witness_Datasheet/Worksheet/youtube_dl_1501908509973258245/index.html" TargetMode="External"/><Relationship Id="rId8262" Type="http://schemas.openxmlformats.org/officeDocument/2006/relationships/hyperlink" Target="https://twitter.com/Sabados7/status/1501640701221691403" TargetMode="External"/><Relationship Id="rId8261" Type="http://schemas.openxmlformats.org/officeDocument/2006/relationships/hyperlink" Target="https://twitter.com/TpyxaNews/status/1501597965294702597" TargetMode="External"/><Relationship Id="rId8260" Type="http://schemas.openxmlformats.org/officeDocument/2006/relationships/hyperlink" Target="https://bellingcat-archive.nyc3.cdn.digitaloceanspaces.com/Ukraine_Witness_Datasheet/Worksheet/telegram__dvish_alive_94772022-03-10T14:15:59.236065.png" TargetMode="External"/><Relationship Id="rId8266" Type="http://schemas.openxmlformats.org/officeDocument/2006/relationships/hyperlink" Target="https://bellingcat-archive.nyc3.cdn.digitaloceanspaces.com/Ukraine_Witness_Datasheet/Worksheet/youtube_dl_1501621542391853059.mp4" TargetMode="External"/><Relationship Id="rId8265" Type="http://schemas.openxmlformats.org/officeDocument/2006/relationships/hyperlink" Target="https://twitter.com/RALee85/status/1501621542391853059" TargetMode="External"/><Relationship Id="rId8264" Type="http://schemas.openxmlformats.org/officeDocument/2006/relationships/hyperlink" Target="https://bellingcat-archive.nyc3.cdn.digitaloceanspaces.com/Ukraine_Witness_Datasheet/Worksheet/twitter__TpyxaNews_status_15015979652947025972022-03-10T14:25:13.582130.png" TargetMode="External"/><Relationship Id="rId8263" Type="http://schemas.openxmlformats.org/officeDocument/2006/relationships/hyperlink" Target="https://bellingcat-archive.nyc3.cdn.digitaloceanspaces.com/Ukraine_Witness_Datasheet/Worksheet/twitter__TpyxaNews_status_1501597965294702597.html" TargetMode="External"/><Relationship Id="rId8269" Type="http://schemas.openxmlformats.org/officeDocument/2006/relationships/hyperlink" Target="https://twitter.com/aldin_ww/status/1501617674211758084" TargetMode="External"/><Relationship Id="rId8268" Type="http://schemas.openxmlformats.org/officeDocument/2006/relationships/hyperlink" Target="https://bellingcat-archive.nyc3.cdn.digitaloceanspaces.com/Ukraine_Witness_Datasheet/Worksheet/youtube_dl_1501621542391853059/index.html" TargetMode="External"/><Relationship Id="rId8267" Type="http://schemas.openxmlformats.org/officeDocument/2006/relationships/hyperlink" Target="https://bellingcat-archive.nyc3.cdn.digitaloceanspaces.com/Ukraine_Witness_Datasheet/Worksheet/youtube_dl__RALee85_status_15016215423918530592022-03-10T14:30:14.495562.png" TargetMode="External"/><Relationship Id="rId8251" Type="http://schemas.openxmlformats.org/officeDocument/2006/relationships/hyperlink" Target="https://bellingcat-archive.nyc3.cdn.digitaloceanspaces.com/Ukraine_Witness_Datasheet/Worksheet/youtube_dl_1501915834310086661/index.html" TargetMode="External"/><Relationship Id="rId8250" Type="http://schemas.openxmlformats.org/officeDocument/2006/relationships/hyperlink" Target="https://bellingcat-archive.nyc3.cdn.digitaloceanspaces.com/Ukraine_Witness_Datasheet/Worksheet/youtube_dl__rescuero_status_15019158343100866612022-03-10T14:05:13.521825.png" TargetMode="External"/><Relationship Id="rId8255" Type="http://schemas.openxmlformats.org/officeDocument/2006/relationships/hyperlink" Target="https://bellingcat-archive.nyc3.cdn.digitaloceanspaces.com/Ukraine_Witness_Datasheet/Worksheet/telegram_3e323a289c/index.html" TargetMode="External"/><Relationship Id="rId8254" Type="http://schemas.openxmlformats.org/officeDocument/2006/relationships/hyperlink" Target="https://bellingcat-archive.nyc3.cdn.digitaloceanspaces.com/Ukraine_Witness_Datasheet/Worksheet/telegram__dvish_alive_96262022-03-10T14:15:10.665475.png" TargetMode="External"/><Relationship Id="rId8253" Type="http://schemas.openxmlformats.org/officeDocument/2006/relationships/hyperlink" Target="https://bellingcat-archive.nyc3.cdn.digitaloceanspaces.com/Ukraine_Witness_Datasheet/Worksheet/telegram_3e323a289c.mp4" TargetMode="External"/><Relationship Id="rId8252" Type="http://schemas.openxmlformats.org/officeDocument/2006/relationships/hyperlink" Target="https://t.me/dvish_alive/9626" TargetMode="External"/><Relationship Id="rId8259" Type="http://schemas.openxmlformats.org/officeDocument/2006/relationships/hyperlink" Target="https://bellingcat-archive.nyc3.cdn.digitaloceanspaces.com/Ukraine_Witness_Datasheet/Worksheet/telegram__dvish_alive_9477.html" TargetMode="External"/><Relationship Id="rId8258" Type="http://schemas.openxmlformats.org/officeDocument/2006/relationships/hyperlink" Target="https://twitter.com/Noobieshunta_/status/1501641028205481987" TargetMode="External"/><Relationship Id="rId8257" Type="http://schemas.openxmlformats.org/officeDocument/2006/relationships/hyperlink" Target="https://t.me/dvish_alive/9477" TargetMode="External"/><Relationship Id="rId8256" Type="http://schemas.openxmlformats.org/officeDocument/2006/relationships/hyperlink" Target="https://t.me/dvish_alive/9626" TargetMode="External"/><Relationship Id="rId8209" Type="http://schemas.openxmlformats.org/officeDocument/2006/relationships/hyperlink" Target="https://twitter.com/no_itsmyturn/status/1501878985449484288" TargetMode="External"/><Relationship Id="rId8200" Type="http://schemas.openxmlformats.org/officeDocument/2006/relationships/hyperlink" Target="https://bellingcat-archive.nyc3.cdn.digitaloceanspaces.com/Ukraine_Witness_Datasheet/Worksheet/twitter__no_itsmyturn_status_15017969509449236502022-03-10T12:00:14.455326.png" TargetMode="External"/><Relationship Id="rId8204" Type="http://schemas.openxmlformats.org/officeDocument/2006/relationships/hyperlink" Target="https://bellingcat-archive.nyc3.cdn.digitaloceanspaces.com/Ukraine_Witness_Datasheet/Worksheet/youtube_dl_1501793841925472257/index.html" TargetMode="External"/><Relationship Id="rId8203" Type="http://schemas.openxmlformats.org/officeDocument/2006/relationships/hyperlink" Target="https://bellingcat-archive.nyc3.cdn.digitaloceanspaces.com/Ukraine_Witness_Datasheet/Worksheet/youtube_dl__no_itsmyturn_status_15017938419254722572022-03-10T12:05:13.993413.png" TargetMode="External"/><Relationship Id="rId8202" Type="http://schemas.openxmlformats.org/officeDocument/2006/relationships/hyperlink" Target="https://bellingcat-archive.nyc3.cdn.digitaloceanspaces.com/Ukraine_Witness_Datasheet/Worksheet/youtube_dl_1501793841925472257.mp4" TargetMode="External"/><Relationship Id="rId8201" Type="http://schemas.openxmlformats.org/officeDocument/2006/relationships/hyperlink" Target="https://twitter.com/no_itsmyturn/status/1501793841925472257" TargetMode="External"/><Relationship Id="rId8208" Type="http://schemas.openxmlformats.org/officeDocument/2006/relationships/hyperlink" Target="https://bellingcat-archive.nyc3.cdn.digitaloceanspaces.com/Ukraine_Witness_Datasheet/Worksheet/youtube_dl_1501875154292465672/index.html" TargetMode="External"/><Relationship Id="rId8207" Type="http://schemas.openxmlformats.org/officeDocument/2006/relationships/hyperlink" Target="https://bellingcat-archive.nyc3.cdn.digitaloceanspaces.com/Ukraine_Witness_Datasheet/Worksheet/youtube_dl__TWMCLtd_status_15018751542924656722022-03-10T13:30:14.641038.png" TargetMode="External"/><Relationship Id="rId8206" Type="http://schemas.openxmlformats.org/officeDocument/2006/relationships/hyperlink" Target="https://bellingcat-archive.nyc3.cdn.digitaloceanspaces.com/Ukraine_Witness_Datasheet/Worksheet/youtube_dl_1501875154292465672.mp4" TargetMode="External"/><Relationship Id="rId8205" Type="http://schemas.openxmlformats.org/officeDocument/2006/relationships/hyperlink" Target="https://twitter.com/TWMCLtd/status/1501875154292465672" TargetMode="External"/><Relationship Id="rId8222" Type="http://schemas.openxmlformats.org/officeDocument/2006/relationships/hyperlink" Target="https://www.facebook.com/UkrainianLandForces/videos/250734993932774/?__tn__=%2CO" TargetMode="External"/><Relationship Id="rId8221" Type="http://schemas.openxmlformats.org/officeDocument/2006/relationships/hyperlink" Target="https://bellingcat-archive.nyc3.cdn.digitaloceanspaces.com/Ukraine_Witness_Datasheet/Worksheet/youtube_dl_1501820753905344514/index.html" TargetMode="External"/><Relationship Id="rId8220" Type="http://schemas.openxmlformats.org/officeDocument/2006/relationships/hyperlink" Target="https://bellingcat-archive.nyc3.cdn.digitaloceanspaces.com/Ukraine_Witness_Datasheet/Worksheet/youtube_dl__RALee85_status_15018207539053445142022-03-10T13:11:02.167474.png" TargetMode="External"/><Relationship Id="rId8226" Type="http://schemas.openxmlformats.org/officeDocument/2006/relationships/hyperlink" Target="https://twitter.com/EuromaidanPress/status/1501705314407694347" TargetMode="External"/><Relationship Id="rId8225" Type="http://schemas.openxmlformats.org/officeDocument/2006/relationships/hyperlink" Target="https://bellingcat-archive.nyc3.cdn.digitaloceanspaces.com/Ukraine_Witness_Datasheet/Worksheet/youtube_dl_250734993932774/index.html" TargetMode="External"/><Relationship Id="rId8224" Type="http://schemas.openxmlformats.org/officeDocument/2006/relationships/hyperlink" Target="https://bellingcat-archive.nyc3.cdn.digitaloceanspaces.com/Ukraine_Witness_Datasheet/Worksheet/youtube_dl__UkrainianLandForces_videos_250734993932774_2022-03-10T13:15:18.487655.png" TargetMode="External"/><Relationship Id="rId8223" Type="http://schemas.openxmlformats.org/officeDocument/2006/relationships/hyperlink" Target="https://bellingcat-archive.nyc3.cdn.digitaloceanspaces.com/Ukraine_Witness_Datasheet/Worksheet/youtube_dl_250734993932774.mkv" TargetMode="External"/><Relationship Id="rId8229" Type="http://schemas.openxmlformats.org/officeDocument/2006/relationships/hyperlink" Target="https://t.me/u_now/26560" TargetMode="External"/><Relationship Id="rId8228" Type="http://schemas.openxmlformats.org/officeDocument/2006/relationships/hyperlink" Target="https://bellingcat-archive.nyc3.cdn.digitaloceanspaces.com/Ukraine_Witness_Datasheet/Worksheet/twitter__EuromaidanPress_status_15017053144076943472022-03-10T13:25:14.722438.png" TargetMode="External"/><Relationship Id="rId8227" Type="http://schemas.openxmlformats.org/officeDocument/2006/relationships/hyperlink" Target="https://bellingcat-archive.nyc3.cdn.digitaloceanspaces.com/Ukraine_Witness_Datasheet/Worksheet/twitter__EuromaidanPress_status_1501705314407694347.html" TargetMode="External"/><Relationship Id="rId8211" Type="http://schemas.openxmlformats.org/officeDocument/2006/relationships/hyperlink" Target="https://bellingcat-archive.nyc3.cdn.digitaloceanspaces.com/Ukraine_Witness_Datasheet/Worksheet/youtube_dl__no_itsmyturn_status_15018789854494842882022-03-10T12:25:12.346018.png" TargetMode="External"/><Relationship Id="rId8210" Type="http://schemas.openxmlformats.org/officeDocument/2006/relationships/hyperlink" Target="https://bellingcat-archive.nyc3.cdn.digitaloceanspaces.com/Ukraine_Witness_Datasheet/Worksheet/youtube_dl_1501878985449484288.mp4" TargetMode="External"/><Relationship Id="rId8215" Type="http://schemas.openxmlformats.org/officeDocument/2006/relationships/hyperlink" Target="https://bellingcat-archive.nyc3.cdn.digitaloceanspaces.com/Ukraine_Witness_Datasheet/Worksheet/telegram__dvish_alive_96492022-03-10T13:10:10.592110.png" TargetMode="External"/><Relationship Id="rId8214" Type="http://schemas.openxmlformats.org/officeDocument/2006/relationships/hyperlink" Target="https://bellingcat-archive.nyc3.cdn.digitaloceanspaces.com/Ukraine_Witness_Datasheet/Worksheet/telegram_351ba4a76e.mp4" TargetMode="External"/><Relationship Id="rId8213" Type="http://schemas.openxmlformats.org/officeDocument/2006/relationships/hyperlink" Target="https://t.me/dvish_alive/9649" TargetMode="External"/><Relationship Id="rId8212" Type="http://schemas.openxmlformats.org/officeDocument/2006/relationships/hyperlink" Target="https://bellingcat-archive.nyc3.cdn.digitaloceanspaces.com/Ukraine_Witness_Datasheet/Worksheet/youtube_dl_1501878985449484288/index.html" TargetMode="External"/><Relationship Id="rId8219" Type="http://schemas.openxmlformats.org/officeDocument/2006/relationships/hyperlink" Target="https://bellingcat-archive.nyc3.cdn.digitaloceanspaces.com/Ukraine_Witness_Datasheet/Worksheet/youtube_dl_1501820753905344514.mp4" TargetMode="External"/><Relationship Id="rId8218" Type="http://schemas.openxmlformats.org/officeDocument/2006/relationships/hyperlink" Target="https://twitter.com/RALee85/status/1501820753905344514" TargetMode="External"/><Relationship Id="rId8217" Type="http://schemas.openxmlformats.org/officeDocument/2006/relationships/hyperlink" Target="https://t.me/dvish_alive/9649" TargetMode="External"/><Relationship Id="rId8216" Type="http://schemas.openxmlformats.org/officeDocument/2006/relationships/hyperlink" Target="https://bellingcat-archive.nyc3.cdn.digitaloceanspaces.com/Ukraine_Witness_Datasheet/Worksheet/telegram_351ba4a76e/index.html" TargetMode="External"/><Relationship Id="rId4723" Type="http://schemas.openxmlformats.org/officeDocument/2006/relationships/hyperlink" Target="https://twitter.com/MarQs__/status/1498964238941007874" TargetMode="External"/><Relationship Id="rId4722" Type="http://schemas.openxmlformats.org/officeDocument/2006/relationships/hyperlink" Target="https://bellingcat-archive.nyc3.cdn.digitaloceanspaces.com/Ukraine_Witness_Datasheet/Worksheet/twitter__MarQs___status_14989520595587973122022-03-02T09:56:53.047276.png" TargetMode="External"/><Relationship Id="rId4725" Type="http://schemas.openxmlformats.org/officeDocument/2006/relationships/hyperlink" Target="https://bellingcat-archive.nyc3.cdn.digitaloceanspaces.com/Ukraine_Witness_Datasheet/Worksheet/youtube_dl__MarQs___status_14989642389410078742022-03-02T11:40:33.245117.png" TargetMode="External"/><Relationship Id="rId4724" Type="http://schemas.openxmlformats.org/officeDocument/2006/relationships/hyperlink" Target="https://bellingcat-archive.nyc3.cdn.digitaloceanspaces.com/Ukraine_Witness_Datasheet/Worksheet/youtube_dl_1498964238941007874.mp4" TargetMode="External"/><Relationship Id="rId4727" Type="http://schemas.openxmlformats.org/officeDocument/2006/relationships/hyperlink" Target="https://www.youtube.com/watch?v=bnLHQ3VFzc4" TargetMode="External"/><Relationship Id="rId4726" Type="http://schemas.openxmlformats.org/officeDocument/2006/relationships/hyperlink" Target="https://bellingcat-archive.nyc3.cdn.digitaloceanspaces.com/Ukraine_Witness_Datasheet/Worksheet/youtube_dl_1498964238941007874/index.html" TargetMode="External"/><Relationship Id="rId4729" Type="http://schemas.openxmlformats.org/officeDocument/2006/relationships/hyperlink" Target="https://bellingcat-archive.nyc3.cdn.digitaloceanspaces.com/Ukraine_Witness_Datasheet/Worksheet/youtube_dl__watch2022-03-02T11:40:49.821787.png" TargetMode="External"/><Relationship Id="rId4728" Type="http://schemas.openxmlformats.org/officeDocument/2006/relationships/hyperlink" Target="https://bellingcat-archive.nyc3.cdn.digitaloceanspaces.com/Ukraine_Witness_Datasheet/Worksheet/youtube_dl_bnLHQ3VFzc4.webm" TargetMode="External"/><Relationship Id="rId4721" Type="http://schemas.openxmlformats.org/officeDocument/2006/relationships/hyperlink" Target="https://bellingcat-archive.nyc3.cdn.digitaloceanspaces.com/Ukraine_Witness_Datasheet/Worksheet/twitter__MarQs___status_1498952059558797312.html" TargetMode="External"/><Relationship Id="rId4720" Type="http://schemas.openxmlformats.org/officeDocument/2006/relationships/hyperlink" Target="https://twitter.com/MarQs__/status/1498952059558797312" TargetMode="External"/><Relationship Id="rId4712" Type="http://schemas.openxmlformats.org/officeDocument/2006/relationships/hyperlink" Target="https://twitter.com/MarQs__/status/1498921371015000066" TargetMode="External"/><Relationship Id="rId4711" Type="http://schemas.openxmlformats.org/officeDocument/2006/relationships/hyperlink" Target="https://bellingcat-archive.nyc3.cdn.digitaloceanspaces.com/Ukraine_Witness_Datasheet/Worksheet/youtube_dl_1498907159400271873/index.html" TargetMode="External"/><Relationship Id="rId4714" Type="http://schemas.openxmlformats.org/officeDocument/2006/relationships/hyperlink" Target="https://bellingcat-archive.nyc3.cdn.digitaloceanspaces.com/Ukraine_Witness_Datasheet/Worksheet/youtube_dl__MarQs___status_14989213710150000662022-03-02T09:55:55.512675.png" TargetMode="External"/><Relationship Id="rId4713" Type="http://schemas.openxmlformats.org/officeDocument/2006/relationships/hyperlink" Target="https://bellingcat-archive.nyc3.cdn.digitaloceanspaces.com/Ukraine_Witness_Datasheet/Worksheet/youtube_dl_1498921371015000066.mp4" TargetMode="External"/><Relationship Id="rId4716" Type="http://schemas.openxmlformats.org/officeDocument/2006/relationships/hyperlink" Target="https://www.facebook.com/kate.morozova.39/videos/1017002309169675" TargetMode="External"/><Relationship Id="rId4715" Type="http://schemas.openxmlformats.org/officeDocument/2006/relationships/hyperlink" Target="https://bellingcat-archive.nyc3.cdn.digitaloceanspaces.com/Ukraine_Witness_Datasheet/Worksheet/youtube_dl_1498921371015000066/index.html" TargetMode="External"/><Relationship Id="rId4718" Type="http://schemas.openxmlformats.org/officeDocument/2006/relationships/hyperlink" Target="https://bellingcat-archive.nyc3.cdn.digitaloceanspaces.com/Ukraine_Witness_Datasheet/Worksheet/youtube_dl__kate.morozova.39_videos_10170023091696752022-03-02T09:56:29.557305.png" TargetMode="External"/><Relationship Id="rId4717" Type="http://schemas.openxmlformats.org/officeDocument/2006/relationships/hyperlink" Target="https://bellingcat-archive.nyc3.cdn.digitaloceanspaces.com/Ukraine_Witness_Datasheet/Worksheet/youtube_dl_1017002309169675.mkv" TargetMode="External"/><Relationship Id="rId4719" Type="http://schemas.openxmlformats.org/officeDocument/2006/relationships/hyperlink" Target="https://bellingcat-archive.nyc3.cdn.digitaloceanspaces.com/Ukraine_Witness_Datasheet/Worksheet/youtube_dl_1017002309169675/index.html" TargetMode="External"/><Relationship Id="rId4710" Type="http://schemas.openxmlformats.org/officeDocument/2006/relationships/hyperlink" Target="https://bellingcat-archive.nyc3.cdn.digitaloceanspaces.com/Ukraine_Witness_Datasheet/Worksheet/youtube_dl__Den_2042_status_14989071594002718732022-03-02T09:55:41.155397.png" TargetMode="External"/><Relationship Id="rId3414" Type="http://schemas.openxmlformats.org/officeDocument/2006/relationships/hyperlink" Target="https://twitter.com/HannaLiubakova/status/1497682664404525056" TargetMode="External"/><Relationship Id="rId4745" Type="http://schemas.openxmlformats.org/officeDocument/2006/relationships/hyperlink" Target="https://bellingcat-archive.nyc3.cdn.digitaloceanspaces.com/Ukraine_Witness_Datasheet/Worksheet/youtube_dl__200_zoka_status_14989776142324408382022-03-02T11:42:08.210446.png" TargetMode="External"/><Relationship Id="rId3413" Type="http://schemas.openxmlformats.org/officeDocument/2006/relationships/hyperlink" Target="https://bellingcat-archive.nyc3.cdn.digitaloceanspaces.com/Ukraine_Witness_Datasheet/Worksheet/youtube_dl_1497560505690505219/index.html" TargetMode="External"/><Relationship Id="rId4744" Type="http://schemas.openxmlformats.org/officeDocument/2006/relationships/hyperlink" Target="https://bellingcat-archive.nyc3.cdn.digitaloceanspaces.com/Ukraine_Witness_Datasheet/Worksheet/youtube_dl_1498977614232440838.mp4" TargetMode="External"/><Relationship Id="rId3416" Type="http://schemas.openxmlformats.org/officeDocument/2006/relationships/hyperlink" Target="https://bellingcat-archive.nyc3.cdn.digitaloceanspaces.com/Ukraine_Witness_Datasheet/Worksheet/youtube_dl_1497682664404525056.mp4" TargetMode="External"/><Relationship Id="rId4747" Type="http://schemas.openxmlformats.org/officeDocument/2006/relationships/hyperlink" Target="https://twitter.com/aldin_ww/status/1498983452464590861?s=20&amp;t=pt1sYXmgTvl29htSMZkbcA" TargetMode="External"/><Relationship Id="rId3415" Type="http://schemas.openxmlformats.org/officeDocument/2006/relationships/hyperlink" Target="https://twitter.com/gfusfus/status/1497688862872809487" TargetMode="External"/><Relationship Id="rId4746" Type="http://schemas.openxmlformats.org/officeDocument/2006/relationships/hyperlink" Target="https://bellingcat-archive.nyc3.cdn.digitaloceanspaces.com/Ukraine_Witness_Datasheet/Worksheet/youtube_dl_1498977614232440838/index.html" TargetMode="External"/><Relationship Id="rId3418" Type="http://schemas.openxmlformats.org/officeDocument/2006/relationships/hyperlink" Target="https://bellingcat-archive.nyc3.cdn.digitaloceanspaces.com/Ukraine_Witness_Datasheet/Worksheet/youtube_dl_1497682664404525056/index.html" TargetMode="External"/><Relationship Id="rId4749" Type="http://schemas.openxmlformats.org/officeDocument/2006/relationships/hyperlink" Target="https://bellingcat-archive.nyc3.cdn.digitaloceanspaces.com/Ukraine_Witness_Datasheet/Worksheet/youtube_dl__aldin_ww_status_14989834524645908612022-03-02T12:17:43.169110.png" TargetMode="External"/><Relationship Id="rId3417" Type="http://schemas.openxmlformats.org/officeDocument/2006/relationships/hyperlink" Target="https://bellingcat-archive.nyc3.cdn.digitaloceanspaces.com/Ukraine_Witness_Datasheet/Worksheet/youtube_dl__HannaLiubakova_status_14976826644045250562022-02-26T23:32:58.438003.png" TargetMode="External"/><Relationship Id="rId4748" Type="http://schemas.openxmlformats.org/officeDocument/2006/relationships/hyperlink" Target="https://bellingcat-archive.nyc3.cdn.digitaloceanspaces.com/Ukraine_Witness_Datasheet/Worksheet/youtube_dl_1498983452464590861.mp4" TargetMode="External"/><Relationship Id="rId3419" Type="http://schemas.openxmlformats.org/officeDocument/2006/relationships/hyperlink" Target="https://twitter.com/GirkinGirkin/status/1497415617674104832" TargetMode="External"/><Relationship Id="rId3410" Type="http://schemas.openxmlformats.org/officeDocument/2006/relationships/hyperlink" Target="https://twitter.com/vodenergetik/status/1497560505690505219" TargetMode="External"/><Relationship Id="rId4741" Type="http://schemas.openxmlformats.org/officeDocument/2006/relationships/hyperlink" Target="https://bellingcat-archive.nyc3.cdn.digitaloceanspaces.com/Ukraine_Witness_Datasheet/Worksheet/wayback__files-pri_T0347HGT6KB-F035JRHKC57_20220301_204401.jpg2022-03-02T11:41:57.021689.png" TargetMode="External"/><Relationship Id="rId4740" Type="http://schemas.openxmlformats.org/officeDocument/2006/relationships/hyperlink" Target="https://web.archive.org/web/20220302114146/https://eyesonrussia.slack.com/?redir=%2Ffiles-pri%2FT0347HGT6KB-F035JRHKC57%2F20220301_204401.jpg" TargetMode="External"/><Relationship Id="rId3412" Type="http://schemas.openxmlformats.org/officeDocument/2006/relationships/hyperlink" Target="https://bellingcat-archive.nyc3.cdn.digitaloceanspaces.com/Ukraine_Witness_Datasheet/Worksheet/youtube_dl__vodenergetik_status_14975605056905052192022-02-26T23:32:40.302289.png" TargetMode="External"/><Relationship Id="rId4743" Type="http://schemas.openxmlformats.org/officeDocument/2006/relationships/hyperlink" Target="https://twitter.com/200_zoka/status/1498977614232440838" TargetMode="External"/><Relationship Id="rId3411" Type="http://schemas.openxmlformats.org/officeDocument/2006/relationships/hyperlink" Target="https://bellingcat-archive.nyc3.cdn.digitaloceanspaces.com/Ukraine_Witness_Datasheet/Worksheet/youtube_dl_1497560505690505219.mp4" TargetMode="External"/><Relationship Id="rId4742" Type="http://schemas.openxmlformats.org/officeDocument/2006/relationships/hyperlink" Target="https://youtube.com/shorts/ChqNbyjg1dw?feature=share" TargetMode="External"/><Relationship Id="rId3403" Type="http://schemas.openxmlformats.org/officeDocument/2006/relationships/hyperlink" Target="https://bellingcat-archive.nyc3.cdn.digitaloceanspaces.com/Ukraine_Witness_Datasheet/Worksheet/youtube_dl_1497088601896542210.mp4" TargetMode="External"/><Relationship Id="rId4734" Type="http://schemas.openxmlformats.org/officeDocument/2006/relationships/hyperlink" Target="https://bellingcat-archive.nyc3.cdn.digitaloceanspaces.com/Ukraine_Witness_Datasheet/Worksheet/youtube_dl_1498955188811583492/index.html" TargetMode="External"/><Relationship Id="rId3402" Type="http://schemas.openxmlformats.org/officeDocument/2006/relationships/hyperlink" Target="https://twitter.com/poppoppopkt/status/1497088601896542210" TargetMode="External"/><Relationship Id="rId4733" Type="http://schemas.openxmlformats.org/officeDocument/2006/relationships/hyperlink" Target="https://bellingcat-archive.nyc3.cdn.digitaloceanspaces.com/Ukraine_Witness_Datasheet/Worksheet/youtube_dl__Osinttechnical_status_14989551888115834922022-03-02T11:41:13.235895.png" TargetMode="External"/><Relationship Id="rId3405" Type="http://schemas.openxmlformats.org/officeDocument/2006/relationships/hyperlink" Target="https://bellingcat-archive.nyc3.cdn.digitaloceanspaces.com/Ukraine_Witness_Datasheet/Worksheet/youtube_dl_1497088601896542210/index.html" TargetMode="External"/><Relationship Id="rId4736" Type="http://schemas.openxmlformats.org/officeDocument/2006/relationships/hyperlink" Target="https://bellingcat-archive.nyc3.cdn.digitaloceanspaces.com/Ukraine_Witness_Datasheet/Worksheet/youtube_dl_1498945034669993987.mp4" TargetMode="External"/><Relationship Id="rId3404" Type="http://schemas.openxmlformats.org/officeDocument/2006/relationships/hyperlink" Target="https://bellingcat-archive.nyc3.cdn.digitaloceanspaces.com/Ukraine_Witness_Datasheet/Worksheet/youtube_dl__poppoppopkt_status_14970886018965422102022-02-26T23:31:39.461236.png" TargetMode="External"/><Relationship Id="rId4735" Type="http://schemas.openxmlformats.org/officeDocument/2006/relationships/hyperlink" Target="https://twitter.com/nexta_tv/status/1498945034669993987?s=21" TargetMode="External"/><Relationship Id="rId3407" Type="http://schemas.openxmlformats.org/officeDocument/2006/relationships/hyperlink" Target="https://bellingcat-archive.nyc3.cdn.digitaloceanspaces.com/Ukraine_Witness_Datasheet/Worksheet/youtube_dl_1497672421263958022.mp4" TargetMode="External"/><Relationship Id="rId4738" Type="http://schemas.openxmlformats.org/officeDocument/2006/relationships/hyperlink" Target="https://bellingcat-archive.nyc3.cdn.digitaloceanspaces.com/Ukraine_Witness_Datasheet/Worksheet/youtube_dl_1498945034669993987/index.html" TargetMode="External"/><Relationship Id="rId3406" Type="http://schemas.openxmlformats.org/officeDocument/2006/relationships/hyperlink" Target="https://twitter.com/Caucasuswar/status/1497672421263958022" TargetMode="External"/><Relationship Id="rId4737" Type="http://schemas.openxmlformats.org/officeDocument/2006/relationships/hyperlink" Target="https://bellingcat-archive.nyc3.cdn.digitaloceanspaces.com/Ukraine_Witness_Datasheet/Worksheet/youtube_dl__nexta_tv_status_14989450346699939872022-03-02T11:41:30.374634.png" TargetMode="External"/><Relationship Id="rId3409" Type="http://schemas.openxmlformats.org/officeDocument/2006/relationships/hyperlink" Target="https://bellingcat-archive.nyc3.cdn.digitaloceanspaces.com/Ukraine_Witness_Datasheet/Worksheet/youtube_dl_1497672421263958022/index.html" TargetMode="External"/><Relationship Id="rId3408" Type="http://schemas.openxmlformats.org/officeDocument/2006/relationships/hyperlink" Target="https://bellingcat-archive.nyc3.cdn.digitaloceanspaces.com/Ukraine_Witness_Datasheet/Worksheet/youtube_dl__Caucasuswar_status_14976724212639580222022-02-26T23:32:22.491576.png" TargetMode="External"/><Relationship Id="rId4739" Type="http://schemas.openxmlformats.org/officeDocument/2006/relationships/hyperlink" Target="https://files.slack.com/files-pri/T0347HGT6KB-F035JRHKC57/20220301_204401.jpg" TargetMode="External"/><Relationship Id="rId4730" Type="http://schemas.openxmlformats.org/officeDocument/2006/relationships/hyperlink" Target="https://bellingcat-archive.nyc3.cdn.digitaloceanspaces.com/Ukraine_Witness_Datasheet/Worksheet/youtube_dl_bnLHQ3VFzc4/index.html" TargetMode="External"/><Relationship Id="rId3401" Type="http://schemas.openxmlformats.org/officeDocument/2006/relationships/hyperlink" Target="https://bellingcat-archive.nyc3.cdn.digitaloceanspaces.com/Ukraine_Witness_Datasheet/Worksheet/youtube_dl_1497622951667109900/index.html" TargetMode="External"/><Relationship Id="rId4732" Type="http://schemas.openxmlformats.org/officeDocument/2006/relationships/hyperlink" Target="https://bellingcat-archive.nyc3.cdn.digitaloceanspaces.com/Ukraine_Witness_Datasheet/Worksheet/youtube_dl_1498955188811583492.mp4" TargetMode="External"/><Relationship Id="rId3400" Type="http://schemas.openxmlformats.org/officeDocument/2006/relationships/hyperlink" Target="https://bellingcat-archive.nyc3.cdn.digitaloceanspaces.com/Ukraine_Witness_Datasheet/Worksheet/youtube_dl__ty64tgg8jkya75_status_14976229516671099002022-02-26T23:31:20.363304.png" TargetMode="External"/><Relationship Id="rId4731" Type="http://schemas.openxmlformats.org/officeDocument/2006/relationships/hyperlink" Target="https://twitter.com/Osinttechnical/status/1498955188811583492" TargetMode="External"/><Relationship Id="rId8291" Type="http://schemas.openxmlformats.org/officeDocument/2006/relationships/hyperlink" Target="https://bellingcat-archive.nyc3.cdn.digitaloceanspaces.com/Ukraine_Witness_Datasheet/Worksheet/telegram_71ab9bcac7/index.html" TargetMode="External"/><Relationship Id="rId8290" Type="http://schemas.openxmlformats.org/officeDocument/2006/relationships/hyperlink" Target="https://bellingcat-archive.nyc3.cdn.digitaloceanspaces.com/Ukraine_Witness_Datasheet/Worksheet/telegram__truexanewsua_314622022-03-10T15:10:11.145543.png" TargetMode="External"/><Relationship Id="rId8284" Type="http://schemas.openxmlformats.org/officeDocument/2006/relationships/hyperlink" Target="https://t.me/truexanewsua/31476" TargetMode="External"/><Relationship Id="rId8283" Type="http://schemas.openxmlformats.org/officeDocument/2006/relationships/hyperlink" Target="https://t.me/truexanewsua/31621" TargetMode="External"/><Relationship Id="rId8282" Type="http://schemas.openxmlformats.org/officeDocument/2006/relationships/hyperlink" Target="https://bellingcat-archive.nyc3.cdn.digitaloceanspaces.com/Ukraine_Witness_Datasheet/Worksheet/telegram_1f8fc30456/index.html" TargetMode="External"/><Relationship Id="rId8281" Type="http://schemas.openxmlformats.org/officeDocument/2006/relationships/hyperlink" Target="https://bellingcat-archive.nyc3.cdn.digitaloceanspaces.com/Ukraine_Witness_Datasheet/Worksheet/telegram__truexanewsua_316212022-03-10T14:55:10.748222.png" TargetMode="External"/><Relationship Id="rId8288" Type="http://schemas.openxmlformats.org/officeDocument/2006/relationships/hyperlink" Target="https://www.google.com/maps/place/Nikolsky+Mall/@49.9915796,36.2344063,3a,75y/data=!3m8!1e2!3m6!1sAF1QipP3hXr6JhzO5pyKHtPuNtOAZX5ruoGyfgGGqw1j!2e10!3e12!6shttps:%2F%2Flh5.googleusercontent.com%2Fp%2FAF1QipP3hXr6JhzO5pyKHtPuNtOAZX5ruoGyfgGGqw1j%3Dw203-h152-k-no!7i4000!8i3000!4m7!3m6!1s0x4127a0f1b04aa383:0x95193f4aa08177cb!8m2!3d49.9915796!4d36.2344063!14m1!1BCgIgAQ" TargetMode="External"/><Relationship Id="rId8287" Type="http://schemas.openxmlformats.org/officeDocument/2006/relationships/hyperlink" Target="https://t.me/truexanewsua/31462" TargetMode="External"/><Relationship Id="rId8286" Type="http://schemas.openxmlformats.org/officeDocument/2006/relationships/hyperlink" Target="https://bellingcat-archive.nyc3.cdn.digitaloceanspaces.com/Ukraine_Witness_Datasheet/Worksheet/telegram__truexanewsua_314762022-03-10T15:05:10.781772.png" TargetMode="External"/><Relationship Id="rId8285" Type="http://schemas.openxmlformats.org/officeDocument/2006/relationships/hyperlink" Target="https://bellingcat-archive.nyc3.cdn.digitaloceanspaces.com/Ukraine_Witness_Datasheet/Worksheet/telegram__truexanewsua_31476.html" TargetMode="External"/><Relationship Id="rId8289" Type="http://schemas.openxmlformats.org/officeDocument/2006/relationships/hyperlink" Target="https://bellingcat-archive.nyc3.cdn.digitaloceanspaces.com/Ukraine_Witness_Datasheet/Worksheet/telegram_71ab9bcac7.mp4" TargetMode="External"/><Relationship Id="rId8280" Type="http://schemas.openxmlformats.org/officeDocument/2006/relationships/hyperlink" Target="https://bellingcat-archive.nyc3.cdn.digitaloceanspaces.com/Ukraine_Witness_Datasheet/Worksheet/telegram_1f8fc30456.mp4" TargetMode="External"/><Relationship Id="rId8273" Type="http://schemas.openxmlformats.org/officeDocument/2006/relationships/hyperlink" Target="https://bellingcat-archive.nyc3.cdn.digitaloceanspaces.com/Ukraine_Witness_Datasheet/Worksheet/youtube_dl_1501617674211758084/index.html" TargetMode="External"/><Relationship Id="rId8272" Type="http://schemas.openxmlformats.org/officeDocument/2006/relationships/hyperlink" Target="https://bellingcat-archive.nyc3.cdn.digitaloceanspaces.com/Ukraine_Witness_Datasheet/Worksheet/youtube_dl__aldin_ww_status_15016176742117580842022-03-10T14:35:14.032391.png" TargetMode="External"/><Relationship Id="rId8271" Type="http://schemas.openxmlformats.org/officeDocument/2006/relationships/hyperlink" Target="https://bellingcat-archive.nyc3.cdn.digitaloceanspaces.com/Ukraine_Witness_Datasheet/Worksheet/youtube_dl_1501617674211758084.mp4" TargetMode="External"/><Relationship Id="rId8270" Type="http://schemas.openxmlformats.org/officeDocument/2006/relationships/hyperlink" Target="https://twitter.com/zcjbrooker/status/1501622066260365314" TargetMode="External"/><Relationship Id="rId8277" Type="http://schemas.openxmlformats.org/officeDocument/2006/relationships/hyperlink" Target="https://bellingcat-archive.nyc3.cdn.digitaloceanspaces.com/Ukraine_Witness_Datasheet/Worksheet/telegram_309dc2677f/index.html" TargetMode="External"/><Relationship Id="rId8276" Type="http://schemas.openxmlformats.org/officeDocument/2006/relationships/hyperlink" Target="https://bellingcat-archive.nyc3.cdn.digitaloceanspaces.com/Ukraine_Witness_Datasheet/Worksheet/telegram__truexanewsua_315042022-03-10T14:40:10.683048.png" TargetMode="External"/><Relationship Id="rId8275" Type="http://schemas.openxmlformats.org/officeDocument/2006/relationships/hyperlink" Target="https://bellingcat-archive.nyc3.cdn.digitaloceanspaces.com/Ukraine_Witness_Datasheet/Worksheet/telegram_309dc2677f.mp4" TargetMode="External"/><Relationship Id="rId8274" Type="http://schemas.openxmlformats.org/officeDocument/2006/relationships/hyperlink" Target="https://t.me/truexanewsua/31504" TargetMode="External"/><Relationship Id="rId8279" Type="http://schemas.openxmlformats.org/officeDocument/2006/relationships/hyperlink" Target="https://t.me/truexanewsua/31621" TargetMode="External"/><Relationship Id="rId8278" Type="http://schemas.openxmlformats.org/officeDocument/2006/relationships/hyperlink" Target="https://t.me/truexanewsua/31504" TargetMode="External"/><Relationship Id="rId4701" Type="http://schemas.openxmlformats.org/officeDocument/2006/relationships/hyperlink" Target="https://bellingcat-archive.nyc3.cdn.digitaloceanspaces.com/Ukraine_Witness_Datasheet/Worksheet/youtube_dl_1498947163098865667.mp4" TargetMode="External"/><Relationship Id="rId4700" Type="http://schemas.openxmlformats.org/officeDocument/2006/relationships/hyperlink" Target="https://twitter.com/Militarylandnet/status/1498947163098865667" TargetMode="External"/><Relationship Id="rId4703" Type="http://schemas.openxmlformats.org/officeDocument/2006/relationships/hyperlink" Target="https://bellingcat-archive.nyc3.cdn.digitaloceanspaces.com/Ukraine_Witness_Datasheet/Worksheet/youtube_dl_1498947163098865667/index.html" TargetMode="External"/><Relationship Id="rId4702" Type="http://schemas.openxmlformats.org/officeDocument/2006/relationships/hyperlink" Target="https://bellingcat-archive.nyc3.cdn.digitaloceanspaces.com/Ukraine_Witness_Datasheet/Worksheet/youtube_dl__Militarylandnet_status_14989471630988656672022-03-02T09:54:39.476113.png" TargetMode="External"/><Relationship Id="rId4705" Type="http://schemas.openxmlformats.org/officeDocument/2006/relationships/hyperlink" Target="https://bellingcat-archive.nyc3.cdn.digitaloceanspaces.com/Ukraine_Witness_Datasheet/Worksheet/youtube_dl_1498925666758234114.mp4" TargetMode="External"/><Relationship Id="rId4704" Type="http://schemas.openxmlformats.org/officeDocument/2006/relationships/hyperlink" Target="https://twitter.com/MarQs__/status/1498925666758234114" TargetMode="External"/><Relationship Id="rId4707" Type="http://schemas.openxmlformats.org/officeDocument/2006/relationships/hyperlink" Target="https://bellingcat-archive.nyc3.cdn.digitaloceanspaces.com/Ukraine_Witness_Datasheet/Worksheet/youtube_dl_1498925666758234114/index.html" TargetMode="External"/><Relationship Id="rId4706" Type="http://schemas.openxmlformats.org/officeDocument/2006/relationships/hyperlink" Target="https://bellingcat-archive.nyc3.cdn.digitaloceanspaces.com/Ukraine_Witness_Datasheet/Worksheet/youtube_dl__MarQs___status_14989256667582341142022-03-02T09:55:09.065338.png" TargetMode="External"/><Relationship Id="rId4709" Type="http://schemas.openxmlformats.org/officeDocument/2006/relationships/hyperlink" Target="https://bellingcat-archive.nyc3.cdn.digitaloceanspaces.com/Ukraine_Witness_Datasheet/Worksheet/youtube_dl_1498907159400271873.mp4" TargetMode="External"/><Relationship Id="rId4708" Type="http://schemas.openxmlformats.org/officeDocument/2006/relationships/hyperlink" Target="https://twitter.com/Den_2042/status/1498907159400271873" TargetMode="External"/><Relationship Id="rId8295" Type="http://schemas.openxmlformats.org/officeDocument/2006/relationships/hyperlink" Target="https://bellingcat-archive.nyc3.cdn.digitaloceanspaces.com/Ukraine_Witness_Datasheet/Worksheet/telegram__truexanewsua_314532022-03-10T15:15:10.040630.png" TargetMode="External"/><Relationship Id="rId8294" Type="http://schemas.openxmlformats.org/officeDocument/2006/relationships/hyperlink" Target="https://bellingcat-archive.nyc3.cdn.digitaloceanspaces.com/Ukraine_Witness_Datasheet/Worksheet/telegram__truexanewsua_31453.html" TargetMode="External"/><Relationship Id="rId8293" Type="http://schemas.openxmlformats.org/officeDocument/2006/relationships/hyperlink" Target="https://t.me/truexanewsua/31453" TargetMode="External"/><Relationship Id="rId8292" Type="http://schemas.openxmlformats.org/officeDocument/2006/relationships/hyperlink" Target="https://t.me/truexanewsua/31462" TargetMode="External"/><Relationship Id="rId8299" Type="http://schemas.openxmlformats.org/officeDocument/2006/relationships/hyperlink" Target="https://bellingcat-archive.nyc3.cdn.digitaloceanspaces.com/Ukraine_Witness_Datasheet/Worksheet/telegram_49054ea64b/index.html" TargetMode="External"/><Relationship Id="rId8298" Type="http://schemas.openxmlformats.org/officeDocument/2006/relationships/hyperlink" Target="https://bellingcat-archive.nyc3.cdn.digitaloceanspaces.com/Ukraine_Witness_Datasheet/Worksheet/telegram__truexanewsua_312892022-03-10T15:25:10.431726.png" TargetMode="External"/><Relationship Id="rId8297" Type="http://schemas.openxmlformats.org/officeDocument/2006/relationships/hyperlink" Target="https://bellingcat-archive.nyc3.cdn.digitaloceanspaces.com/Ukraine_Witness_Datasheet/Worksheet/telegram_49054ea64b.mp4" TargetMode="External"/><Relationship Id="rId8296" Type="http://schemas.openxmlformats.org/officeDocument/2006/relationships/hyperlink" Target="https://t.me/truexanewsua/31289" TargetMode="External"/><Relationship Id="rId2148" Type="http://schemas.openxmlformats.org/officeDocument/2006/relationships/hyperlink" Target="https://bellingcat-archive.nyc3.cdn.digitaloceanspaces.com/Ukraine_Witness_Datasheet/Worksheet/youtube_dl__Michael1Sheldon_status_14960866157768048682022-02-25T13:29:51.240132.png" TargetMode="External"/><Relationship Id="rId2149" Type="http://schemas.openxmlformats.org/officeDocument/2006/relationships/hyperlink" Target="https://bellingcat-archive.nyc3.cdn.digitaloceanspaces.com/Ukraine_Witness_Datasheet/Worksheet/youtube_dl_1496086615776804868/index.html" TargetMode="External"/><Relationship Id="rId3479" Type="http://schemas.openxmlformats.org/officeDocument/2006/relationships/hyperlink" Target="https://bellingcat-archive.nyc3.cdn.digitaloceanspaces.com/Ukraine_Witness_Datasheet/Worksheet/youtube_dl__RALee85_status_14978217189073920012022-02-27T06:33:46.891854.png" TargetMode="External"/><Relationship Id="rId3470" Type="http://schemas.openxmlformats.org/officeDocument/2006/relationships/hyperlink" Target="https://bellingcat-archive.nyc3.cdn.digitaloceanspaces.com/Ukraine_Witness_Datasheet/Worksheet/youtube_dl__RALee85_status_14978093529793617982022-02-27T06:02:06.932315.png" TargetMode="External"/><Relationship Id="rId2140" Type="http://schemas.openxmlformats.org/officeDocument/2006/relationships/hyperlink" Target="https://twitter.com/GirkinGirkin/status/1495829232068538371" TargetMode="External"/><Relationship Id="rId3472" Type="http://schemas.openxmlformats.org/officeDocument/2006/relationships/hyperlink" Target="https://twitter.com/RALee85/status/1497815578282631170" TargetMode="External"/><Relationship Id="rId2141" Type="http://schemas.openxmlformats.org/officeDocument/2006/relationships/hyperlink" Target="https://twitter.com/hengenahm/status/1495846513578233856" TargetMode="External"/><Relationship Id="rId3471" Type="http://schemas.openxmlformats.org/officeDocument/2006/relationships/hyperlink" Target="https://bellingcat-archive.nyc3.cdn.digitaloceanspaces.com/Ukraine_Witness_Datasheet/Worksheet/youtube_dl_1497809352979361798/index.html" TargetMode="External"/><Relationship Id="rId2142" Type="http://schemas.openxmlformats.org/officeDocument/2006/relationships/hyperlink" Target="https://bellingcat-archive.nyc3.cdn.digitaloceanspaces.com/Ukraine_Witness_Datasheet/Worksheet/youtube_dl_1495829232068538371.mp4" TargetMode="External"/><Relationship Id="rId3474" Type="http://schemas.openxmlformats.org/officeDocument/2006/relationships/hyperlink" Target="https://bellingcat-archive.nyc3.cdn.digitaloceanspaces.com/Ukraine_Witness_Datasheet/Worksheet/youtube_dl__RALee85_status_14978155782826311702022-02-27T06:44:13.852149.png" TargetMode="External"/><Relationship Id="rId2143" Type="http://schemas.openxmlformats.org/officeDocument/2006/relationships/hyperlink" Target="https://bellingcat-archive.nyc3.cdn.digitaloceanspaces.com/Ukraine_Witness_Datasheet/Worksheet/youtube_dl__GirkinGirkin_status_14958292320685383712022-02-25T13:30:07.102182.png" TargetMode="External"/><Relationship Id="rId3473" Type="http://schemas.openxmlformats.org/officeDocument/2006/relationships/hyperlink" Target="https://bellingcat-archive.nyc3.cdn.digitaloceanspaces.com/Ukraine_Witness_Datasheet/Worksheet/youtube_dl_1497815578282631170.mp4" TargetMode="External"/><Relationship Id="rId2144" Type="http://schemas.openxmlformats.org/officeDocument/2006/relationships/hyperlink" Target="https://bellingcat-archive.nyc3.cdn.digitaloceanspaces.com/Ukraine_Witness_Datasheet/Worksheet/youtube_dl_1495829232068538371/index.html" TargetMode="External"/><Relationship Id="rId3476" Type="http://schemas.openxmlformats.org/officeDocument/2006/relationships/hyperlink" Target="https://twitter.com/RALee85/status/1497821718907392001" TargetMode="External"/><Relationship Id="rId2145" Type="http://schemas.openxmlformats.org/officeDocument/2006/relationships/hyperlink" Target="https://twitter.com/Michael1Sheldon/status/1496086615776804868" TargetMode="External"/><Relationship Id="rId3475" Type="http://schemas.openxmlformats.org/officeDocument/2006/relationships/hyperlink" Target="https://bellingcat-archive.nyc3.cdn.digitaloceanspaces.com/Ukraine_Witness_Datasheet/Worksheet/youtube_dl_1497815578282631170/index.html" TargetMode="External"/><Relationship Id="rId2146" Type="http://schemas.openxmlformats.org/officeDocument/2006/relationships/hyperlink" Target="https://twitter.com/Michael1Sheldon/status/1496087055083921414" TargetMode="External"/><Relationship Id="rId3478" Type="http://schemas.openxmlformats.org/officeDocument/2006/relationships/hyperlink" Target="https://bellingcat-archive.nyc3.cdn.digitaloceanspaces.com/Ukraine_Witness_Datasheet/Worksheet/youtube_dl_1497821718907392001.mp4" TargetMode="External"/><Relationship Id="rId2147" Type="http://schemas.openxmlformats.org/officeDocument/2006/relationships/hyperlink" Target="https://bellingcat-archive.nyc3.cdn.digitaloceanspaces.com/Ukraine_Witness_Datasheet/Worksheet/youtube_dl_1496086615776804868.mp4" TargetMode="External"/><Relationship Id="rId3477" Type="http://schemas.openxmlformats.org/officeDocument/2006/relationships/hyperlink" Target="https://twitter.com/CourtenaySargon/status/1497820654447603712" TargetMode="External"/><Relationship Id="rId2137" Type="http://schemas.openxmlformats.org/officeDocument/2006/relationships/hyperlink" Target="https://bellingcat-archive.nyc3.cdn.digitaloceanspaces.com/Ukraine_Witness_Datasheet/Worksheet/youtube_dl_1495944475264307204.mp4" TargetMode="External"/><Relationship Id="rId3469" Type="http://schemas.openxmlformats.org/officeDocument/2006/relationships/hyperlink" Target="https://bellingcat-archive.nyc3.cdn.digitaloceanspaces.com/Ukraine_Witness_Datasheet/Worksheet/youtube_dl_1497809352979361798.mp4" TargetMode="External"/><Relationship Id="rId2138" Type="http://schemas.openxmlformats.org/officeDocument/2006/relationships/hyperlink" Target="https://bellingcat-archive.nyc3.cdn.digitaloceanspaces.com/Ukraine_Witness_Datasheet/Worksheet/youtube_dl__YWNReporter_status_14959444752643072042022-02-25T13:30:23.614065.png" TargetMode="External"/><Relationship Id="rId3468" Type="http://schemas.openxmlformats.org/officeDocument/2006/relationships/hyperlink" Target="https://twitter.com/RALee85/status/1497809352979361798" TargetMode="External"/><Relationship Id="rId4799" Type="http://schemas.openxmlformats.org/officeDocument/2006/relationships/hyperlink" Target="https://bellingcat-archive.nyc3.cdn.digitaloceanspaces.com/Ukraine_Witness_Datasheet/Worksheet/youtube_dl_1498977317690957827.mp4" TargetMode="External"/><Relationship Id="rId2139" Type="http://schemas.openxmlformats.org/officeDocument/2006/relationships/hyperlink" Target="https://bellingcat-archive.nyc3.cdn.digitaloceanspaces.com/Ukraine_Witness_Datasheet/Worksheet/youtube_dl_1495944475264307204/index.html" TargetMode="External"/><Relationship Id="rId4790" Type="http://schemas.openxmlformats.org/officeDocument/2006/relationships/hyperlink" Target="https://twitter.com/nexta_tv/status/1498991877579841540" TargetMode="External"/><Relationship Id="rId3461" Type="http://schemas.openxmlformats.org/officeDocument/2006/relationships/hyperlink" Target="https://bellingcat-archive.nyc3.cdn.digitaloceanspaces.com/Ukraine_Witness_Datasheet/Worksheet/youtube_dl_1497773944723681280.mp4" TargetMode="External"/><Relationship Id="rId4792" Type="http://schemas.openxmlformats.org/officeDocument/2006/relationships/hyperlink" Target="https://bellingcat-archive.nyc3.cdn.digitaloceanspaces.com/Ukraine_Witness_Datasheet/Worksheet/youtube_dl_1498991877579841540.mp4" TargetMode="External"/><Relationship Id="rId2130" Type="http://schemas.openxmlformats.org/officeDocument/2006/relationships/hyperlink" Target="https://twitter.com/MotolkoHelp/status/1495776848260870149" TargetMode="External"/><Relationship Id="rId3460" Type="http://schemas.openxmlformats.org/officeDocument/2006/relationships/hyperlink" Target="https://twitter.com/CourtenaySargon/status/1497779671194288131" TargetMode="External"/><Relationship Id="rId4791" Type="http://schemas.openxmlformats.org/officeDocument/2006/relationships/hyperlink" Target="https://twitter.com/gfusfus/status/1498999543727284230" TargetMode="External"/><Relationship Id="rId2131" Type="http://schemas.openxmlformats.org/officeDocument/2006/relationships/hyperlink" Target="https://twitter.com/danvan71/status/1495827054532694018" TargetMode="External"/><Relationship Id="rId3463" Type="http://schemas.openxmlformats.org/officeDocument/2006/relationships/hyperlink" Target="https://bellingcat-archive.nyc3.cdn.digitaloceanspaces.com/Ukraine_Witness_Datasheet/Worksheet/youtube_dl_1497773944723681280/index.html" TargetMode="External"/><Relationship Id="rId4794" Type="http://schemas.openxmlformats.org/officeDocument/2006/relationships/hyperlink" Target="https://bellingcat-archive.nyc3.cdn.digitaloceanspaces.com/Ukraine_Witness_Datasheet/Worksheet/youtube_dl_1498991877579841540/index.html" TargetMode="External"/><Relationship Id="rId2132" Type="http://schemas.openxmlformats.org/officeDocument/2006/relationships/hyperlink" Target="https://bellingcat-archive.nyc3.cdn.digitaloceanspaces.com/Ukraine_Witness_Datasheet/Worksheet/youtube_dl_1495776848260870149.mp4" TargetMode="External"/><Relationship Id="rId3462" Type="http://schemas.openxmlformats.org/officeDocument/2006/relationships/hyperlink" Target="https://bellingcat-archive.nyc3.cdn.digitaloceanspaces.com/Ukraine_Witness_Datasheet/Worksheet/youtube_dl__RALee85_status_14977739447236812802022-02-27T03:43:49.622121.png" TargetMode="External"/><Relationship Id="rId4793" Type="http://schemas.openxmlformats.org/officeDocument/2006/relationships/hyperlink" Target="https://bellingcat-archive.nyc3.cdn.digitaloceanspaces.com/Ukraine_Witness_Datasheet/Worksheet/youtube_dl__nexta_tv_status_14989918775798415402022-03-02T12:25:31.521070.png" TargetMode="External"/><Relationship Id="rId2133" Type="http://schemas.openxmlformats.org/officeDocument/2006/relationships/hyperlink" Target="https://bellingcat-archive.nyc3.cdn.digitaloceanspaces.com/Ukraine_Witness_Datasheet/Worksheet/youtube_dl__MotolkoHelp_status_14957768482608701492022-02-25T13:30:40.955171.png" TargetMode="External"/><Relationship Id="rId3465" Type="http://schemas.openxmlformats.org/officeDocument/2006/relationships/hyperlink" Target="https://bellingcat-archive.nyc3.cdn.digitaloceanspaces.com/Ukraine_Witness_Datasheet/Worksheet/youtube_dl_1497776713589219328.mp4" TargetMode="External"/><Relationship Id="rId4796" Type="http://schemas.openxmlformats.org/officeDocument/2006/relationships/hyperlink" Target="https://bellingcat-archive.nyc3.cdn.digitaloceanspaces.com/Ukraine_Witness_Datasheet/Worksheet/telegram__Doninside_9860.html" TargetMode="External"/><Relationship Id="rId2134" Type="http://schemas.openxmlformats.org/officeDocument/2006/relationships/hyperlink" Target="https://bellingcat-archive.nyc3.cdn.digitaloceanspaces.com/Ukraine_Witness_Datasheet/Worksheet/youtube_dl_1495776848260870149/index.html" TargetMode="External"/><Relationship Id="rId3464" Type="http://schemas.openxmlformats.org/officeDocument/2006/relationships/hyperlink" Target="https://twitter.com/RALee85/status/1497776713589219328" TargetMode="External"/><Relationship Id="rId4795" Type="http://schemas.openxmlformats.org/officeDocument/2006/relationships/hyperlink" Target="https://t.me/Doninside/9860" TargetMode="External"/><Relationship Id="rId2135" Type="http://schemas.openxmlformats.org/officeDocument/2006/relationships/hyperlink" Target="https://twitter.com/YWNReporter/status/1495944475264307204" TargetMode="External"/><Relationship Id="rId3467" Type="http://schemas.openxmlformats.org/officeDocument/2006/relationships/hyperlink" Target="https://bellingcat-archive.nyc3.cdn.digitaloceanspaces.com/Ukraine_Witness_Datasheet/Worksheet/youtube_dl_1497776713589219328/index.html" TargetMode="External"/><Relationship Id="rId4798" Type="http://schemas.openxmlformats.org/officeDocument/2006/relationships/hyperlink" Target="https://twitter.com/rescuero/status/1498977317690957827" TargetMode="External"/><Relationship Id="rId2136" Type="http://schemas.openxmlformats.org/officeDocument/2006/relationships/hyperlink" Target="https://twitter.com/YWNReporter/status/1495957498330759169" TargetMode="External"/><Relationship Id="rId3466" Type="http://schemas.openxmlformats.org/officeDocument/2006/relationships/hyperlink" Target="https://bellingcat-archive.nyc3.cdn.digitaloceanspaces.com/Ukraine_Witness_Datasheet/Worksheet/youtube_dl__RALee85_status_14977767135892193282022-02-27T03:45:30.270048.png" TargetMode="External"/><Relationship Id="rId4797" Type="http://schemas.openxmlformats.org/officeDocument/2006/relationships/hyperlink" Target="https://bellingcat-archive.nyc3.cdn.digitaloceanspaces.com/Ukraine_Witness_Datasheet/Worksheet/telegram__Doninside_98602022-03-02T13:03:08.425691.png" TargetMode="External"/><Relationship Id="rId3490" Type="http://schemas.openxmlformats.org/officeDocument/2006/relationships/hyperlink" Target="https://twitter.com/no_itsmyturn/status/1497825692418990080" TargetMode="External"/><Relationship Id="rId2160" Type="http://schemas.openxmlformats.org/officeDocument/2006/relationships/hyperlink" Target="https://twitter.com/98Volodymyr/status/1495979198665695232" TargetMode="External"/><Relationship Id="rId3492" Type="http://schemas.openxmlformats.org/officeDocument/2006/relationships/hyperlink" Target="https://bellingcat-archive.nyc3.cdn.digitaloceanspaces.com/Ukraine_Witness_Datasheet/Worksheet/twitter__no_itsmyturn_status_14978256924189900802022-02-27T07:15:50.957095.png" TargetMode="External"/><Relationship Id="rId2161" Type="http://schemas.openxmlformats.org/officeDocument/2006/relationships/hyperlink" Target="https://twitter.com/gfusfus/status/1496121952179834884" TargetMode="External"/><Relationship Id="rId3491" Type="http://schemas.openxmlformats.org/officeDocument/2006/relationships/hyperlink" Target="https://bellingcat-archive.nyc3.cdn.digitaloceanspaces.com/Ukraine_Witness_Datasheet/Worksheet/twitter__no_itsmyturn_status_1497825692418990080.html" TargetMode="External"/><Relationship Id="rId2162" Type="http://schemas.openxmlformats.org/officeDocument/2006/relationships/hyperlink" Target="https://bellingcat-archive.nyc3.cdn.digitaloceanspaces.com/Ukraine_Witness_Datasheet/Worksheet/youtube_dl_1495979198665695232.mp4" TargetMode="External"/><Relationship Id="rId3494" Type="http://schemas.openxmlformats.org/officeDocument/2006/relationships/hyperlink" Target="https://twitter.com/Michael1Sheldon/status/1497833190739918849" TargetMode="External"/><Relationship Id="rId2163" Type="http://schemas.openxmlformats.org/officeDocument/2006/relationships/hyperlink" Target="https://bellingcat-archive.nyc3.cdn.digitaloceanspaces.com/Ukraine_Witness_Datasheet/Worksheet/youtube_dl__98Volodymyr_status_14959791986656952322022-02-25T13:28:43.639931.png" TargetMode="External"/><Relationship Id="rId3493" Type="http://schemas.openxmlformats.org/officeDocument/2006/relationships/hyperlink" Target="https://twitter.com/RALee85/status/1497830368803753984" TargetMode="External"/><Relationship Id="rId2164" Type="http://schemas.openxmlformats.org/officeDocument/2006/relationships/hyperlink" Target="https://bellingcat-archive.nyc3.cdn.digitaloceanspaces.com/Ukraine_Witness_Datasheet/Worksheet/youtube_dl_1495979198665695232/index.html" TargetMode="External"/><Relationship Id="rId3496" Type="http://schemas.openxmlformats.org/officeDocument/2006/relationships/hyperlink" Target="https://bellingcat-archive.nyc3.cdn.digitaloceanspaces.com/Ukraine_Witness_Datasheet/Worksheet/youtube_dl__RALee85_status_14978303688037539842022-02-27T07:38:39.327824.png" TargetMode="External"/><Relationship Id="rId2165" Type="http://schemas.openxmlformats.org/officeDocument/2006/relationships/hyperlink" Target="https://twitter.com/YWNReporter/status/1496126142272659457" TargetMode="External"/><Relationship Id="rId3495" Type="http://schemas.openxmlformats.org/officeDocument/2006/relationships/hyperlink" Target="https://bellingcat-archive.nyc3.cdn.digitaloceanspaces.com/Ukraine_Witness_Datasheet/Worksheet/youtube_dl_1497830368803753984.mp4" TargetMode="External"/><Relationship Id="rId2166" Type="http://schemas.openxmlformats.org/officeDocument/2006/relationships/hyperlink" Target="https://twitter.com/gfusfus/status/1496140033627201548" TargetMode="External"/><Relationship Id="rId3498" Type="http://schemas.openxmlformats.org/officeDocument/2006/relationships/hyperlink" Target="https://twitter.com/COUPSURE/status/1497851052112154627" TargetMode="External"/><Relationship Id="rId2167" Type="http://schemas.openxmlformats.org/officeDocument/2006/relationships/hyperlink" Target="https://bellingcat-archive.nyc3.cdn.digitaloceanspaces.com/Ukraine_Witness_Datasheet/Worksheet/youtube_dl_1496126142272659457.mp4" TargetMode="External"/><Relationship Id="rId3497" Type="http://schemas.openxmlformats.org/officeDocument/2006/relationships/hyperlink" Target="https://bellingcat-archive.nyc3.cdn.digitaloceanspaces.com/Ukraine_Witness_Datasheet/Worksheet/youtube_dl_1497830368803753984/index.html" TargetMode="External"/><Relationship Id="rId2168" Type="http://schemas.openxmlformats.org/officeDocument/2006/relationships/hyperlink" Target="https://bellingcat-archive.nyc3.cdn.digitaloceanspaces.com/Ukraine_Witness_Datasheet/Worksheet/youtube_dl__YWNReporter_status_14961261422726594572022-02-25T13:28:23.976075.png" TargetMode="External"/><Relationship Id="rId2169" Type="http://schemas.openxmlformats.org/officeDocument/2006/relationships/hyperlink" Target="https://bellingcat-archive.nyc3.cdn.digitaloceanspaces.com/Ukraine_Witness_Datasheet/Worksheet/youtube_dl_1496126142272659457/index.html" TargetMode="External"/><Relationship Id="rId3499" Type="http://schemas.openxmlformats.org/officeDocument/2006/relationships/hyperlink" Target="https://bellingcat-archive.nyc3.cdn.digitaloceanspaces.com/Ukraine_Witness_Datasheet/Worksheet/youtube_dl_1497851052112154627.mp4" TargetMode="External"/><Relationship Id="rId2159" Type="http://schemas.openxmlformats.org/officeDocument/2006/relationships/hyperlink" Target="https://bellingcat-archive.nyc3.cdn.digitaloceanspaces.com/Ukraine_Witness_Datasheet/Worksheet/youtube_dl_1496093439938764800/index.html" TargetMode="External"/><Relationship Id="rId3481" Type="http://schemas.openxmlformats.org/officeDocument/2006/relationships/hyperlink" Target="https://twitter.com/GirkinGirkin/status/1497817497499840513" TargetMode="External"/><Relationship Id="rId2150" Type="http://schemas.openxmlformats.org/officeDocument/2006/relationships/hyperlink" Target="https://twitter.com/MotolkoHelp/status/1495775151761338378" TargetMode="External"/><Relationship Id="rId3480" Type="http://schemas.openxmlformats.org/officeDocument/2006/relationships/hyperlink" Target="https://bellingcat-archive.nyc3.cdn.digitaloceanspaces.com/Ukraine_Witness_Datasheet/Worksheet/youtube_dl_1497821718907392001/index.html" TargetMode="External"/><Relationship Id="rId2151" Type="http://schemas.openxmlformats.org/officeDocument/2006/relationships/hyperlink" Target="https://twitter.com/ohsendit/status/1495800680392663051" TargetMode="External"/><Relationship Id="rId3483" Type="http://schemas.openxmlformats.org/officeDocument/2006/relationships/hyperlink" Target="https://bellingcat-archive.nyc3.cdn.digitaloceanspaces.com/Ukraine_Witness_Datasheet/Worksheet/youtube_dl_1497817497499840513.mp4" TargetMode="External"/><Relationship Id="rId2152" Type="http://schemas.openxmlformats.org/officeDocument/2006/relationships/hyperlink" Target="https://bellingcat-archive.nyc3.cdn.digitaloceanspaces.com/Ukraine_Witness_Datasheet/Worksheet/youtube_dl_1495775151761338378.mp4" TargetMode="External"/><Relationship Id="rId3482" Type="http://schemas.openxmlformats.org/officeDocument/2006/relationships/hyperlink" Target="https://twitter.com/ohsendit/status/1497823236041621509" TargetMode="External"/><Relationship Id="rId2153" Type="http://schemas.openxmlformats.org/officeDocument/2006/relationships/hyperlink" Target="https://bellingcat-archive.nyc3.cdn.digitaloceanspaces.com/Ukraine_Witness_Datasheet/Worksheet/youtube_dl__MotolkoHelp_status_14957751517613383782022-02-25T13:29:34.920173.png" TargetMode="External"/><Relationship Id="rId3485" Type="http://schemas.openxmlformats.org/officeDocument/2006/relationships/hyperlink" Target="https://bellingcat-archive.nyc3.cdn.digitaloceanspaces.com/Ukraine_Witness_Datasheet/Worksheet/youtube_dl_1497817497499840513/index.html" TargetMode="External"/><Relationship Id="rId2154" Type="http://schemas.openxmlformats.org/officeDocument/2006/relationships/hyperlink" Target="https://bellingcat-archive.nyc3.cdn.digitaloceanspaces.com/Ukraine_Witness_Datasheet/Worksheet/youtube_dl_1495775151761338378/index.html" TargetMode="External"/><Relationship Id="rId3484" Type="http://schemas.openxmlformats.org/officeDocument/2006/relationships/hyperlink" Target="https://bellingcat-archive.nyc3.cdn.digitaloceanspaces.com/Ukraine_Witness_Datasheet/Worksheet/youtube_dl__GirkinGirkin_status_14978174974998405132022-02-27T06:52:46.166625.png" TargetMode="External"/><Relationship Id="rId2155" Type="http://schemas.openxmlformats.org/officeDocument/2006/relationships/hyperlink" Target="https://twitter.com/4emberlen/status/1496093439938764800" TargetMode="External"/><Relationship Id="rId3487" Type="http://schemas.openxmlformats.org/officeDocument/2006/relationships/hyperlink" Target="https://twitter.com/khalfaguliyev/status/1497827301400236032" TargetMode="External"/><Relationship Id="rId2156" Type="http://schemas.openxmlformats.org/officeDocument/2006/relationships/hyperlink" Target="https://twitter.com/gfusfus/status/1496110661071425540" TargetMode="External"/><Relationship Id="rId3486" Type="http://schemas.openxmlformats.org/officeDocument/2006/relationships/hyperlink" Target="https://twitter.com/RALee85/status/1497825277141041157/photo/1" TargetMode="External"/><Relationship Id="rId2157" Type="http://schemas.openxmlformats.org/officeDocument/2006/relationships/hyperlink" Target="https://bellingcat-archive.nyc3.cdn.digitaloceanspaces.com/Ukraine_Witness_Datasheet/Worksheet/youtube_dl_1496093439938764800.mp4" TargetMode="External"/><Relationship Id="rId3489" Type="http://schemas.openxmlformats.org/officeDocument/2006/relationships/hyperlink" Target="https://bellingcat-archive.nyc3.cdn.digitaloceanspaces.com/Ukraine_Witness_Datasheet/Worksheet/twitter__RALee85_status_1497825277141041157_photo_12022-02-27T06:57:40.304058.png" TargetMode="External"/><Relationship Id="rId2158" Type="http://schemas.openxmlformats.org/officeDocument/2006/relationships/hyperlink" Target="https://bellingcat-archive.nyc3.cdn.digitaloceanspaces.com/Ukraine_Witness_Datasheet/Worksheet/youtube_dl__4emberlen_status_14960934399387648002022-02-25T13:29:14.025921.png" TargetMode="External"/><Relationship Id="rId3488" Type="http://schemas.openxmlformats.org/officeDocument/2006/relationships/hyperlink" Target="https://bellingcat-archive.nyc3.cdn.digitaloceanspaces.com/Ukraine_Witness_Datasheet/Worksheet/twitter__RALee85_status_1497825277141041157_photo_1.html" TargetMode="External"/><Relationship Id="rId2104" Type="http://schemas.openxmlformats.org/officeDocument/2006/relationships/hyperlink" Target="https://bellingcat-archive.nyc3.cdn.digitaloceanspaces.com/Ukraine_Witness_Datasheet/Worksheet/youtube_dl_1495816924801941517/index.html" TargetMode="External"/><Relationship Id="rId3436" Type="http://schemas.openxmlformats.org/officeDocument/2006/relationships/hyperlink" Target="https://bellingcat-archive.nyc3.cdn.digitaloceanspaces.com/Ukraine_Witness_Datasheet/Worksheet/youtube_dl_1497691846557982721/index.html" TargetMode="External"/><Relationship Id="rId4767" Type="http://schemas.openxmlformats.org/officeDocument/2006/relationships/hyperlink" Target="https://twitter.com/MarQs__/status/1498983588724883458" TargetMode="External"/><Relationship Id="rId2105" Type="http://schemas.openxmlformats.org/officeDocument/2006/relationships/hyperlink" Target="https://twitter.com/GirkinGirkin/status/1495815793904398337" TargetMode="External"/><Relationship Id="rId3435" Type="http://schemas.openxmlformats.org/officeDocument/2006/relationships/hyperlink" Target="https://bellingcat-archive.nyc3.cdn.digitaloceanspaces.com/Ukraine_Witness_Datasheet/Worksheet/youtube_dl__Den_2042_status_14976918465579827212022-02-27T01:22:48.925080.png" TargetMode="External"/><Relationship Id="rId4766" Type="http://schemas.openxmlformats.org/officeDocument/2006/relationships/hyperlink" Target="https://bellingcat-archive.nyc3.cdn.digitaloceanspaces.com/Ukraine_Witness_Datasheet/Worksheet/youtube_dl_1498771259512995841/index.html" TargetMode="External"/><Relationship Id="rId2106" Type="http://schemas.openxmlformats.org/officeDocument/2006/relationships/hyperlink" Target="https://twitter.com/ohsendit/status/1495828633759502336" TargetMode="External"/><Relationship Id="rId3438" Type="http://schemas.openxmlformats.org/officeDocument/2006/relationships/hyperlink" Target="https://bellingcat-archive.nyc3.cdn.digitaloceanspaces.com/Ukraine_Witness_Datasheet/Worksheet/youtube_dl_1497643100373766144.mp4" TargetMode="External"/><Relationship Id="rId4769" Type="http://schemas.openxmlformats.org/officeDocument/2006/relationships/hyperlink" Target="https://bellingcat-archive.nyc3.cdn.digitaloceanspaces.com/Ukraine_Witness_Datasheet/Worksheet/youtube_dl_1498983588724883458.mp4" TargetMode="External"/><Relationship Id="rId2107" Type="http://schemas.openxmlformats.org/officeDocument/2006/relationships/hyperlink" Target="https://bellingcat-archive.nyc3.cdn.digitaloceanspaces.com/Ukraine_Witness_Datasheet/Worksheet/youtube_dl_1495815793904398337.mp4" TargetMode="External"/><Relationship Id="rId3437" Type="http://schemas.openxmlformats.org/officeDocument/2006/relationships/hyperlink" Target="https://twitter.com/ebashneft/status/1497643100373766144" TargetMode="External"/><Relationship Id="rId4768" Type="http://schemas.openxmlformats.org/officeDocument/2006/relationships/hyperlink" Target="https://yandex.com/maps/20165/bikin/?l=mrc&amp;ll=134.258621%2C46.808293&amp;mode=search&amp;mrc%5Bid%5D=41507426&amp;sll=134.254594%2C46.808484&amp;text=46.808484%2C134.254594&amp;z=16.08" TargetMode="External"/><Relationship Id="rId2108" Type="http://schemas.openxmlformats.org/officeDocument/2006/relationships/hyperlink" Target="https://bellingcat-archive.nyc3.cdn.digitaloceanspaces.com/Ukraine_Witness_Datasheet/Worksheet/youtube_dl__GirkinGirkin_status_14958157939043983372022-02-25T13:32:19.547105.png" TargetMode="External"/><Relationship Id="rId2109" Type="http://schemas.openxmlformats.org/officeDocument/2006/relationships/hyperlink" Target="https://bellingcat-archive.nyc3.cdn.digitaloceanspaces.com/Ukraine_Witness_Datasheet/Worksheet/youtube_dl_1495815793904398337/index.html" TargetMode="External"/><Relationship Id="rId3439" Type="http://schemas.openxmlformats.org/officeDocument/2006/relationships/hyperlink" Target="https://bellingcat-archive.nyc3.cdn.digitaloceanspaces.com/Ukraine_Witness_Datasheet/Worksheet/youtube_dl__ebashneft_status_14976431003737661442022-02-27T01:23:09.065822.png" TargetMode="External"/><Relationship Id="rId3430" Type="http://schemas.openxmlformats.org/officeDocument/2006/relationships/hyperlink" Target="https://bellingcat-archive.nyc3.cdn.digitaloceanspaces.com/Ukraine_Witness_Datasheet/Worksheet/youtube_dl_1497498221966348288.mp4" TargetMode="External"/><Relationship Id="rId4761" Type="http://schemas.openxmlformats.org/officeDocument/2006/relationships/hyperlink" Target="https://bellingcat-archive.nyc3.cdn.digitaloceanspaces.com/Ukraine_Witness_Datasheet/Worksheet/twitter__KoliaDelesalle_status_1498956513821483012.html" TargetMode="External"/><Relationship Id="rId4760" Type="http://schemas.openxmlformats.org/officeDocument/2006/relationships/hyperlink" Target="https://twitter.com/KoliaDelesalle/status/1498956513821483012?s=20&amp;t=pt1sYXmgTvl29htSMZkbcA" TargetMode="External"/><Relationship Id="rId2100" Type="http://schemas.openxmlformats.org/officeDocument/2006/relationships/hyperlink" Target="https://twitter.com/GirkinGirkin/status/1495816924801941517" TargetMode="External"/><Relationship Id="rId3432" Type="http://schemas.openxmlformats.org/officeDocument/2006/relationships/hyperlink" Target="https://bellingcat-archive.nyc3.cdn.digitaloceanspaces.com/Ukraine_Witness_Datasheet/Worksheet/youtube_dl_1497498221966348288/index.html" TargetMode="External"/><Relationship Id="rId4763" Type="http://schemas.openxmlformats.org/officeDocument/2006/relationships/hyperlink" Target="https://twitter.com/IntelDoge/status/1498771259512995841" TargetMode="External"/><Relationship Id="rId2101" Type="http://schemas.openxmlformats.org/officeDocument/2006/relationships/hyperlink" Target="https://twitter.com/vpkivimaki/status/1495887143960518665" TargetMode="External"/><Relationship Id="rId3431" Type="http://schemas.openxmlformats.org/officeDocument/2006/relationships/hyperlink" Target="https://bellingcat-archive.nyc3.cdn.digitaloceanspaces.com/Ukraine_Witness_Datasheet/Worksheet/youtube_dl__yarotrof_status_14974982219663482882022-02-27T01:22:19.601155.png" TargetMode="External"/><Relationship Id="rId4762" Type="http://schemas.openxmlformats.org/officeDocument/2006/relationships/hyperlink" Target="https://bellingcat-archive.nyc3.cdn.digitaloceanspaces.com/Ukraine_Witness_Datasheet/Worksheet/twitter__KoliaDelesalle_status_14989565138214830122022-03-02T12:19:39.871430.png" TargetMode="External"/><Relationship Id="rId2102" Type="http://schemas.openxmlformats.org/officeDocument/2006/relationships/hyperlink" Target="https://bellingcat-archive.nyc3.cdn.digitaloceanspaces.com/Ukraine_Witness_Datasheet/Worksheet/youtube_dl_1495816924801941517.mp4" TargetMode="External"/><Relationship Id="rId3434" Type="http://schemas.openxmlformats.org/officeDocument/2006/relationships/hyperlink" Target="https://bellingcat-archive.nyc3.cdn.digitaloceanspaces.com/Ukraine_Witness_Datasheet/Worksheet/youtube_dl_1497691846557982721.mp4" TargetMode="External"/><Relationship Id="rId4765" Type="http://schemas.openxmlformats.org/officeDocument/2006/relationships/hyperlink" Target="https://bellingcat-archive.nyc3.cdn.digitaloceanspaces.com/Ukraine_Witness_Datasheet/Worksheet/youtube_dl__IntelDoge_status_14987712595129958412022-03-02T12:19:53.117174.png" TargetMode="External"/><Relationship Id="rId2103" Type="http://schemas.openxmlformats.org/officeDocument/2006/relationships/hyperlink" Target="https://bellingcat-archive.nyc3.cdn.digitaloceanspaces.com/Ukraine_Witness_Datasheet/Worksheet/youtube_dl__GirkinGirkin_status_14958169248019415172022-02-25T13:32:35.298253.png" TargetMode="External"/><Relationship Id="rId3433" Type="http://schemas.openxmlformats.org/officeDocument/2006/relationships/hyperlink" Target="https://twitter.com/Den_2042/status/1497691846557982721" TargetMode="External"/><Relationship Id="rId4764" Type="http://schemas.openxmlformats.org/officeDocument/2006/relationships/hyperlink" Target="https://bellingcat-archive.nyc3.cdn.digitaloceanspaces.com/Ukraine_Witness_Datasheet/Worksheet/youtube_dl_1498771259512995841.mp4" TargetMode="External"/><Relationship Id="rId3425" Type="http://schemas.openxmlformats.org/officeDocument/2006/relationships/hyperlink" Target="https://twitter.com/muyixiao/status/1497826701564432385" TargetMode="External"/><Relationship Id="rId4756" Type="http://schemas.openxmlformats.org/officeDocument/2006/relationships/hyperlink" Target="https://bellingcat-archive.nyc3.cdn.digitaloceanspaces.com/Ukraine_Witness_Datasheet/Worksheet/telegram_e3d2976835.mp4" TargetMode="External"/><Relationship Id="rId3424" Type="http://schemas.openxmlformats.org/officeDocument/2006/relationships/hyperlink" Target="https://twitter.com/ELINTNews/status/1497713932718546944?s=20&amp;t=cbiZoRg9smqoltIag-W-NQ" TargetMode="External"/><Relationship Id="rId4755" Type="http://schemas.openxmlformats.org/officeDocument/2006/relationships/hyperlink" Target="https://t.me/Tsaplienko/1539" TargetMode="External"/><Relationship Id="rId3427" Type="http://schemas.openxmlformats.org/officeDocument/2006/relationships/hyperlink" Target="https://bellingcat-archive.nyc3.cdn.digitaloceanspaces.com/Ukraine_Witness_Datasheet/Worksheet/youtube_dl__ELINTNews_status_14977139327185469442022-02-26T23:39:08.603824.png" TargetMode="External"/><Relationship Id="rId4758" Type="http://schemas.openxmlformats.org/officeDocument/2006/relationships/hyperlink" Target="https://bellingcat-archive.nyc3.cdn.digitaloceanspaces.com/Ukraine_Witness_Datasheet/Worksheet/telegram_e3d2976835/index.html" TargetMode="External"/><Relationship Id="rId3426" Type="http://schemas.openxmlformats.org/officeDocument/2006/relationships/hyperlink" Target="https://bellingcat-archive.nyc3.cdn.digitaloceanspaces.com/Ukraine_Witness_Datasheet/Worksheet/youtube_dl_1497713932718546944.mp4" TargetMode="External"/><Relationship Id="rId4757" Type="http://schemas.openxmlformats.org/officeDocument/2006/relationships/hyperlink" Target="https://bellingcat-archive.nyc3.cdn.digitaloceanspaces.com/Ukraine_Witness_Datasheet/Worksheet/telegram__Tsaplienko_15392022-03-02T12:18:11.421068.png" TargetMode="External"/><Relationship Id="rId3429" Type="http://schemas.openxmlformats.org/officeDocument/2006/relationships/hyperlink" Target="https://twitter.com/yarotrof/status/1497498221966348288?t=zq21041-d84P-kDnSthqng&amp;s=19" TargetMode="External"/><Relationship Id="rId3428" Type="http://schemas.openxmlformats.org/officeDocument/2006/relationships/hyperlink" Target="https://bellingcat-archive.nyc3.cdn.digitaloceanspaces.com/Ukraine_Witness_Datasheet/Worksheet/youtube_dl_1497713932718546944/index.html" TargetMode="External"/><Relationship Id="rId4759" Type="http://schemas.openxmlformats.org/officeDocument/2006/relationships/hyperlink" Target="https://t.me/Tsaplienko/1539" TargetMode="External"/><Relationship Id="rId4750" Type="http://schemas.openxmlformats.org/officeDocument/2006/relationships/hyperlink" Target="https://bellingcat-archive.nyc3.cdn.digitaloceanspaces.com/Ukraine_Witness_Datasheet/Worksheet/youtube_dl_1498983452464590861/index.html" TargetMode="External"/><Relationship Id="rId3421" Type="http://schemas.openxmlformats.org/officeDocument/2006/relationships/hyperlink" Target="https://bellingcat-archive.nyc3.cdn.digitaloceanspaces.com/Ukraine_Witness_Datasheet/Worksheet/youtube_dl_1497415617674104832.mp4" TargetMode="External"/><Relationship Id="rId4752" Type="http://schemas.openxmlformats.org/officeDocument/2006/relationships/hyperlink" Target="https://bellingcat-archive.nyc3.cdn.digitaloceanspaces.com/Ukraine_Witness_Datasheet/Worksheet/youtube_dl_1498896303107026945.mp4" TargetMode="External"/><Relationship Id="rId3420" Type="http://schemas.openxmlformats.org/officeDocument/2006/relationships/hyperlink" Target="https://twitter.com/GirkinGirkin/status/1497415617674104832" TargetMode="External"/><Relationship Id="rId4751" Type="http://schemas.openxmlformats.org/officeDocument/2006/relationships/hyperlink" Target="https://twitter.com/michaelh992/status/1498896303107026945" TargetMode="External"/><Relationship Id="rId3423" Type="http://schemas.openxmlformats.org/officeDocument/2006/relationships/hyperlink" Target="https://bellingcat-archive.nyc3.cdn.digitaloceanspaces.com/Ukraine_Witness_Datasheet/Worksheet/youtube_dl_1497415617674104832/index.html" TargetMode="External"/><Relationship Id="rId4754" Type="http://schemas.openxmlformats.org/officeDocument/2006/relationships/hyperlink" Target="https://bellingcat-archive.nyc3.cdn.digitaloceanspaces.com/Ukraine_Witness_Datasheet/Worksheet/youtube_dl_1498896303107026945/index.html" TargetMode="External"/><Relationship Id="rId3422" Type="http://schemas.openxmlformats.org/officeDocument/2006/relationships/hyperlink" Target="https://bellingcat-archive.nyc3.cdn.digitaloceanspaces.com/Ukraine_Witness_Datasheet/Worksheet/youtube_dl__GirkinGirkin_status_14974156176741048322022-02-26T23:33:17.007994.png" TargetMode="External"/><Relationship Id="rId4753" Type="http://schemas.openxmlformats.org/officeDocument/2006/relationships/hyperlink" Target="https://bellingcat-archive.nyc3.cdn.digitaloceanspaces.com/Ukraine_Witness_Datasheet/Worksheet/youtube_dl__michaelh992_status_14988963031070269452022-03-02T12:17:59.590400.png" TargetMode="External"/><Relationship Id="rId2126" Type="http://schemas.openxmlformats.org/officeDocument/2006/relationships/hyperlink" Target="https://twitter.com/JC_Monitoring/status/1495853203560312835" TargetMode="External"/><Relationship Id="rId3458" Type="http://schemas.openxmlformats.org/officeDocument/2006/relationships/hyperlink" Target="https://bellingcat-archive.nyc3.cdn.digitaloceanspaces.com/Ukraine_Witness_Datasheet/Worksheet/youtube_dl_1497624995610173444/index.html" TargetMode="External"/><Relationship Id="rId4789" Type="http://schemas.openxmlformats.org/officeDocument/2006/relationships/hyperlink" Target="https://bellingcat-archive.nyc3.cdn.digitaloceanspaces.com/Ukraine_Witness_Datasheet/Worksheet/telegram__milinfolive_776842022-03-02T12:25:11.973227.png" TargetMode="External"/><Relationship Id="rId2127" Type="http://schemas.openxmlformats.org/officeDocument/2006/relationships/hyperlink" Target="https://bellingcat-archive.nyc3.cdn.digitaloceanspaces.com/Ukraine_Witness_Datasheet/Worksheet/youtube_dl_1495852505921732616.mp4" TargetMode="External"/><Relationship Id="rId3457" Type="http://schemas.openxmlformats.org/officeDocument/2006/relationships/hyperlink" Target="https://bellingcat-archive.nyc3.cdn.digitaloceanspaces.com/Ukraine_Witness_Datasheet/Worksheet/youtube_dl__L_ThinkTank_status_14976249956101734442022-02-27T03:41:02.996098.png" TargetMode="External"/><Relationship Id="rId4788" Type="http://schemas.openxmlformats.org/officeDocument/2006/relationships/hyperlink" Target="https://bellingcat-archive.nyc3.cdn.digitaloceanspaces.com/Ukraine_Witness_Datasheet/Worksheet/telegram__milinfolive_77684.html" TargetMode="External"/><Relationship Id="rId2128" Type="http://schemas.openxmlformats.org/officeDocument/2006/relationships/hyperlink" Target="https://bellingcat-archive.nyc3.cdn.digitaloceanspaces.com/Ukraine_Witness_Datasheet/Worksheet/youtube_dl__JC_Monitoring_status_14958525059217326162022-02-25T13:30:59.155220.png" TargetMode="External"/><Relationship Id="rId2129" Type="http://schemas.openxmlformats.org/officeDocument/2006/relationships/hyperlink" Target="https://bellingcat-archive.nyc3.cdn.digitaloceanspaces.com/Ukraine_Witness_Datasheet/Worksheet/youtube_dl_1495852505921732616/index.html" TargetMode="External"/><Relationship Id="rId3459" Type="http://schemas.openxmlformats.org/officeDocument/2006/relationships/hyperlink" Target="https://twitter.com/RALee85/status/1497773944723681280" TargetMode="External"/><Relationship Id="rId3450" Type="http://schemas.openxmlformats.org/officeDocument/2006/relationships/hyperlink" Target="https://www.google.com/maps/@47.2547373,35.7007626,3a,75y,245.22h,91.49t/data=!3m8!1e1!3m6!1sAF1QipNd4cCZJnaDA1Ep4Onj4epXzy1q-kDepm_1JuE1!2e10!3e11!6shttps:%2F%2Flh5.googleusercontent.com%2Fp%2FAF1QipNd4cCZJnaDA1Ep4Onj4epXzy1q-kDepm_1JuE1%3Dw203-h100-k-no-pi-0-ya111.44105-ro-0-fo100!7i8192!8i4096" TargetMode="External"/><Relationship Id="rId4781" Type="http://schemas.openxmlformats.org/officeDocument/2006/relationships/hyperlink" Target="https://bellingcat-archive.nyc3.cdn.digitaloceanspaces.com/Ukraine_Witness_Datasheet/Worksheet/telegram__nexta_live_18900.html" TargetMode="External"/><Relationship Id="rId4780" Type="http://schemas.openxmlformats.org/officeDocument/2006/relationships/hyperlink" Target="https://t.me/nexta_live/18900" TargetMode="External"/><Relationship Id="rId2120" Type="http://schemas.openxmlformats.org/officeDocument/2006/relationships/hyperlink" Target="https://twitter.com/YWNReporter/status/1495858102964559873" TargetMode="External"/><Relationship Id="rId3452" Type="http://schemas.openxmlformats.org/officeDocument/2006/relationships/hyperlink" Target="https://bellingcat-archive.nyc3.cdn.digitaloceanspaces.com/Ukraine_Witness_Datasheet/Worksheet/youtube_dl__RALee85_status_14977669888814817322022-02-27T03:10:16.829136.png" TargetMode="External"/><Relationship Id="rId4783" Type="http://schemas.openxmlformats.org/officeDocument/2006/relationships/hyperlink" Target="https://twitter.com/nexta_tv/status/1498991877579841540" TargetMode="External"/><Relationship Id="rId2121" Type="http://schemas.openxmlformats.org/officeDocument/2006/relationships/hyperlink" Target="https://twitter.com/YWNReporter/status/1495858232304316424" TargetMode="External"/><Relationship Id="rId3451" Type="http://schemas.openxmlformats.org/officeDocument/2006/relationships/hyperlink" Target="https://bellingcat-archive.nyc3.cdn.digitaloceanspaces.com/Ukraine_Witness_Datasheet/Worksheet/youtube_dl_1497766988881481732.mp4" TargetMode="External"/><Relationship Id="rId4782" Type="http://schemas.openxmlformats.org/officeDocument/2006/relationships/hyperlink" Target="https://bellingcat-archive.nyc3.cdn.digitaloceanspaces.com/Ukraine_Witness_Datasheet/Worksheet/telegram__nexta_live_189002022-03-02T12:21:47.054422.png" TargetMode="External"/><Relationship Id="rId2122" Type="http://schemas.openxmlformats.org/officeDocument/2006/relationships/hyperlink" Target="https://bellingcat-archive.nyc3.cdn.digitaloceanspaces.com/Ukraine_Witness_Datasheet/Worksheet/youtube_dl_1495858102964559873.mp4" TargetMode="External"/><Relationship Id="rId3454" Type="http://schemas.openxmlformats.org/officeDocument/2006/relationships/hyperlink" Target="https://twitter.com/L_ThinkTank/status/1497624995610173444" TargetMode="External"/><Relationship Id="rId4785" Type="http://schemas.openxmlformats.org/officeDocument/2006/relationships/hyperlink" Target="https://bellingcat-archive.nyc3.cdn.digitaloceanspaces.com/Ukraine_Witness_Datasheet/Worksheet/youtube_dl__MarQs___status_14989931049548349492022-03-02T12:22:01.375391.png" TargetMode="External"/><Relationship Id="rId2123" Type="http://schemas.openxmlformats.org/officeDocument/2006/relationships/hyperlink" Target="https://bellingcat-archive.nyc3.cdn.digitaloceanspaces.com/Ukraine_Witness_Datasheet/Worksheet/youtube_dl__YWNReporter_status_14958581029645598732022-02-25T13:31:21.274380.png" TargetMode="External"/><Relationship Id="rId3453" Type="http://schemas.openxmlformats.org/officeDocument/2006/relationships/hyperlink" Target="https://bellingcat-archive.nyc3.cdn.digitaloceanspaces.com/Ukraine_Witness_Datasheet/Worksheet/youtube_dl_1497766988881481732/index.html" TargetMode="External"/><Relationship Id="rId4784" Type="http://schemas.openxmlformats.org/officeDocument/2006/relationships/hyperlink" Target="https://bellingcat-archive.nyc3.cdn.digitaloceanspaces.com/Ukraine_Witness_Datasheet/Worksheet/youtube_dl_1498993104954834949.mp4" TargetMode="External"/><Relationship Id="rId2124" Type="http://schemas.openxmlformats.org/officeDocument/2006/relationships/hyperlink" Target="https://bellingcat-archive.nyc3.cdn.digitaloceanspaces.com/Ukraine_Witness_Datasheet/Worksheet/youtube_dl_1495858102964559873/index.html" TargetMode="External"/><Relationship Id="rId3456" Type="http://schemas.openxmlformats.org/officeDocument/2006/relationships/hyperlink" Target="https://bellingcat-archive.nyc3.cdn.digitaloceanspaces.com/Ukraine_Witness_Datasheet/Worksheet/youtube_dl_1497624995610173444.mp4" TargetMode="External"/><Relationship Id="rId4787" Type="http://schemas.openxmlformats.org/officeDocument/2006/relationships/hyperlink" Target="https://t.me/milinfolive/77684" TargetMode="External"/><Relationship Id="rId2125" Type="http://schemas.openxmlformats.org/officeDocument/2006/relationships/hyperlink" Target="https://twitter.com/JC_Monitoring/status/1495852505921732616" TargetMode="External"/><Relationship Id="rId3455" Type="http://schemas.openxmlformats.org/officeDocument/2006/relationships/hyperlink" Target="https://twitter.com/L_ThinkTank/status/1497624995610173444" TargetMode="External"/><Relationship Id="rId4786" Type="http://schemas.openxmlformats.org/officeDocument/2006/relationships/hyperlink" Target="https://bellingcat-archive.nyc3.cdn.digitaloceanspaces.com/Ukraine_Witness_Datasheet/Worksheet/youtube_dl_1498993104954834949/index.html" TargetMode="External"/><Relationship Id="rId2115" Type="http://schemas.openxmlformats.org/officeDocument/2006/relationships/hyperlink" Target="https://twitter.com/MotolkoHelp/status/1495808675235364868" TargetMode="External"/><Relationship Id="rId3447" Type="http://schemas.openxmlformats.org/officeDocument/2006/relationships/hyperlink" Target="https://bellingcat-archive.nyc3.cdn.digitaloceanspaces.com/Ukraine_Witness_Datasheet/Worksheet/youtube_dl__yarotrof_status_14974982219663482882022-02-27T02:49:43.145794.png" TargetMode="External"/><Relationship Id="rId4778" Type="http://schemas.openxmlformats.org/officeDocument/2006/relationships/hyperlink" Target="https://bellingcat-archive.nyc3.cdn.digitaloceanspaces.com/Ukraine_Witness_Datasheet/Worksheet/telegram_ae3b0a7dbe/index.html" TargetMode="External"/><Relationship Id="rId2116" Type="http://schemas.openxmlformats.org/officeDocument/2006/relationships/hyperlink" Target="https://twitter.com/danvan71/status/1495814581997998080" TargetMode="External"/><Relationship Id="rId3446" Type="http://schemas.openxmlformats.org/officeDocument/2006/relationships/hyperlink" Target="https://bellingcat-archive.nyc3.cdn.digitaloceanspaces.com/Ukraine_Witness_Datasheet/Worksheet/youtube_dl_1497498221966348288.mp4" TargetMode="External"/><Relationship Id="rId4777" Type="http://schemas.openxmlformats.org/officeDocument/2006/relationships/hyperlink" Target="https://bellingcat-archive.nyc3.cdn.digitaloceanspaces.com/Ukraine_Witness_Datasheet/Worksheet/telegram__Pravda_Gerashchenko_12202022-03-02T12:20:15.701163.png" TargetMode="External"/><Relationship Id="rId2117" Type="http://schemas.openxmlformats.org/officeDocument/2006/relationships/hyperlink" Target="https://bellingcat-archive.nyc3.cdn.digitaloceanspaces.com/Ukraine_Witness_Datasheet/Worksheet/youtube_dl_1495808675235364868.mp4" TargetMode="External"/><Relationship Id="rId3449" Type="http://schemas.openxmlformats.org/officeDocument/2006/relationships/hyperlink" Target="https://twitter.com/RALee85/status/1497766988881481732" TargetMode="External"/><Relationship Id="rId2118" Type="http://schemas.openxmlformats.org/officeDocument/2006/relationships/hyperlink" Target="https://bellingcat-archive.nyc3.cdn.digitaloceanspaces.com/Ukraine_Witness_Datasheet/Worksheet/youtube_dl__MotolkoHelp_status_14958086752353648682022-02-25T13:31:41.680823.png" TargetMode="External"/><Relationship Id="rId3448" Type="http://schemas.openxmlformats.org/officeDocument/2006/relationships/hyperlink" Target="https://bellingcat-archive.nyc3.cdn.digitaloceanspaces.com/Ukraine_Witness_Datasheet/Worksheet/youtube_dl_1497498221966348288/index.html" TargetMode="External"/><Relationship Id="rId4779" Type="http://schemas.openxmlformats.org/officeDocument/2006/relationships/hyperlink" Target="https://t.me/Pravda_Gerashchenko/1220" TargetMode="External"/><Relationship Id="rId2119" Type="http://schemas.openxmlformats.org/officeDocument/2006/relationships/hyperlink" Target="https://bellingcat-archive.nyc3.cdn.digitaloceanspaces.com/Ukraine_Witness_Datasheet/Worksheet/youtube_dl_1495808675235364868/index.html" TargetMode="External"/><Relationship Id="rId4770" Type="http://schemas.openxmlformats.org/officeDocument/2006/relationships/hyperlink" Target="https://bellingcat-archive.nyc3.cdn.digitaloceanspaces.com/Ukraine_Witness_Datasheet/Worksheet/youtube_dl__MarQs___status_14989835887248834582022-03-02T13:02:56.783864.png" TargetMode="External"/><Relationship Id="rId3441" Type="http://schemas.openxmlformats.org/officeDocument/2006/relationships/hyperlink" Target="https://twitter.com/hwag_ucmc/status/1497728930425491459" TargetMode="External"/><Relationship Id="rId4772" Type="http://schemas.openxmlformats.org/officeDocument/2006/relationships/hyperlink" Target="https://t.me/pravdaGerashchenko_en/299" TargetMode="External"/><Relationship Id="rId2110" Type="http://schemas.openxmlformats.org/officeDocument/2006/relationships/hyperlink" Target="https://twitter.com/4emberlen/status/1495731452230656008" TargetMode="External"/><Relationship Id="rId3440" Type="http://schemas.openxmlformats.org/officeDocument/2006/relationships/hyperlink" Target="https://bellingcat-archive.nyc3.cdn.digitaloceanspaces.com/Ukraine_Witness_Datasheet/Worksheet/youtube_dl_1497643100373766144/index.html" TargetMode="External"/><Relationship Id="rId4771" Type="http://schemas.openxmlformats.org/officeDocument/2006/relationships/hyperlink" Target="https://bellingcat-archive.nyc3.cdn.digitaloceanspaces.com/Ukraine_Witness_Datasheet/Worksheet/youtube_dl_1498983588724883458/index.html" TargetMode="External"/><Relationship Id="rId2111" Type="http://schemas.openxmlformats.org/officeDocument/2006/relationships/hyperlink" Target="https://twitter.com/4emberlen/status/1495731554433347584" TargetMode="External"/><Relationship Id="rId3443" Type="http://schemas.openxmlformats.org/officeDocument/2006/relationships/hyperlink" Target="https://bellingcat-archive.nyc3.cdn.digitaloceanspaces.com/Ukraine_Witness_Datasheet/Worksheet/youtube_dl__hwag_ucmc_status_14977289304254914592022-02-27T01:23:24.699559.png" TargetMode="External"/><Relationship Id="rId4774" Type="http://schemas.openxmlformats.org/officeDocument/2006/relationships/hyperlink" Target="https://bellingcat-archive.nyc3.cdn.digitaloceanspaces.com/Ukraine_Witness_Datasheet/Worksheet/telegram__pravdaGerashchenko_en_2992022-03-02T12:20:07.310095.png" TargetMode="External"/><Relationship Id="rId2112" Type="http://schemas.openxmlformats.org/officeDocument/2006/relationships/hyperlink" Target="https://bellingcat-archive.nyc3.cdn.digitaloceanspaces.com/Ukraine_Witness_Datasheet/Worksheet/youtube_dl_1495731452230656008.mp4" TargetMode="External"/><Relationship Id="rId3442" Type="http://schemas.openxmlformats.org/officeDocument/2006/relationships/hyperlink" Target="https://bellingcat-archive.nyc3.cdn.digitaloceanspaces.com/Ukraine_Witness_Datasheet/Worksheet/youtube_dl_1497728930425491459.mp4" TargetMode="External"/><Relationship Id="rId4773" Type="http://schemas.openxmlformats.org/officeDocument/2006/relationships/hyperlink" Target="https://bellingcat-archive.nyc3.cdn.digitaloceanspaces.com/Ukraine_Witness_Datasheet/Worksheet/telegram__pravdaGerashchenko_en_299.html" TargetMode="External"/><Relationship Id="rId2113" Type="http://schemas.openxmlformats.org/officeDocument/2006/relationships/hyperlink" Target="https://bellingcat-archive.nyc3.cdn.digitaloceanspaces.com/Ukraine_Witness_Datasheet/Worksheet/youtube_dl__4emberlen_status_14957314522306560082022-02-25T13:32:02.724131.png" TargetMode="External"/><Relationship Id="rId3445" Type="http://schemas.openxmlformats.org/officeDocument/2006/relationships/hyperlink" Target="https://twitter.com/yarotrof/status/1497498221966348288" TargetMode="External"/><Relationship Id="rId4776" Type="http://schemas.openxmlformats.org/officeDocument/2006/relationships/hyperlink" Target="https://bellingcat-archive.nyc3.cdn.digitaloceanspaces.com/Ukraine_Witness_Datasheet/Worksheet/telegram_ae3b0a7dbe.mp4" TargetMode="External"/><Relationship Id="rId2114" Type="http://schemas.openxmlformats.org/officeDocument/2006/relationships/hyperlink" Target="https://bellingcat-archive.nyc3.cdn.digitaloceanspaces.com/Ukraine_Witness_Datasheet/Worksheet/youtube_dl_1495731452230656008/index.html" TargetMode="External"/><Relationship Id="rId3444" Type="http://schemas.openxmlformats.org/officeDocument/2006/relationships/hyperlink" Target="https://bellingcat-archive.nyc3.cdn.digitaloceanspaces.com/Ukraine_Witness_Datasheet/Worksheet/youtube_dl_1497728930425491459/index.html" TargetMode="External"/><Relationship Id="rId4775" Type="http://schemas.openxmlformats.org/officeDocument/2006/relationships/hyperlink" Target="https://t.me/Pravda_Gerashchenko/1220" TargetMode="External"/><Relationship Id="rId5251" Type="http://schemas.openxmlformats.org/officeDocument/2006/relationships/hyperlink" Target="https://bellingcat-archive.nyc3.cdn.digitaloceanspaces.com/Ukraine_Witness_Datasheet/Worksheet/youtube_dl__ctrscr_status_14979105424297943052022-03-03T14:16:53.041401.png" TargetMode="External"/><Relationship Id="rId6582" Type="http://schemas.openxmlformats.org/officeDocument/2006/relationships/hyperlink" Target="https://bellingcat-archive.nyc3.cdn.digitaloceanspaces.com/Ukraine_Witness_Datasheet/Worksheet/youtube_dl_1500727269458944001/index.html" TargetMode="External"/><Relationship Id="rId5252" Type="http://schemas.openxmlformats.org/officeDocument/2006/relationships/hyperlink" Target="https://bellingcat-archive.nyc3.cdn.digitaloceanspaces.com/Ukraine_Witness_Datasheet/Worksheet/youtube_dl_1497910542429794305/index.html" TargetMode="External"/><Relationship Id="rId6583" Type="http://schemas.openxmlformats.org/officeDocument/2006/relationships/hyperlink" Target="https://twitter.com/no_itsmyturn/status/1500718711539474433" TargetMode="External"/><Relationship Id="rId6580" Type="http://schemas.openxmlformats.org/officeDocument/2006/relationships/hyperlink" Target="https://bellingcat-archive.nyc3.cdn.digitaloceanspaces.com/Ukraine_Witness_Datasheet/Worksheet/youtube_dl_1500727269458944001.mp4" TargetMode="External"/><Relationship Id="rId5250" Type="http://schemas.openxmlformats.org/officeDocument/2006/relationships/hyperlink" Target="https://bellingcat-archive.nyc3.cdn.digitaloceanspaces.com/Ukraine_Witness_Datasheet/Worksheet/youtube_dl_1497910542429794305.mp4" TargetMode="External"/><Relationship Id="rId6581" Type="http://schemas.openxmlformats.org/officeDocument/2006/relationships/hyperlink" Target="https://bellingcat-archive.nyc3.cdn.digitaloceanspaces.com/Ukraine_Witness_Datasheet/Worksheet/youtube_dl__no_itsmyturn_status_15007272694589440012022-03-07T18:30:14.450295.png" TargetMode="External"/><Relationship Id="rId5255" Type="http://schemas.openxmlformats.org/officeDocument/2006/relationships/hyperlink" Target="https://bellingcat-archive.nyc3.cdn.digitaloceanspaces.com/Ukraine_Witness_Datasheet/Worksheet/telegram_929470ee1a/index.html" TargetMode="External"/><Relationship Id="rId6586" Type="http://schemas.openxmlformats.org/officeDocument/2006/relationships/hyperlink" Target="https://twitter.com/no_itsmyturn/status/1500717628016545793" TargetMode="External"/><Relationship Id="rId5256" Type="http://schemas.openxmlformats.org/officeDocument/2006/relationships/hyperlink" Target="https://t.me/dvish_alive/8578" TargetMode="External"/><Relationship Id="rId6587" Type="http://schemas.openxmlformats.org/officeDocument/2006/relationships/hyperlink" Target="https://bellingcat-archive.nyc3.cdn.digitaloceanspaces.com/Ukraine_Witness_Datasheet/Worksheet/youtube_dl_1500717628016545793.mp4" TargetMode="External"/><Relationship Id="rId5253" Type="http://schemas.openxmlformats.org/officeDocument/2006/relationships/hyperlink" Target="https://t.me/dvish_alive/8578" TargetMode="External"/><Relationship Id="rId6584" Type="http://schemas.openxmlformats.org/officeDocument/2006/relationships/hyperlink" Target="https://bellingcat-archive.nyc3.cdn.digitaloceanspaces.com/Ukraine_Witness_Datasheet/Worksheet/twitter__no_itsmyturn_status_1500718711539474433.html" TargetMode="External"/><Relationship Id="rId5254" Type="http://schemas.openxmlformats.org/officeDocument/2006/relationships/hyperlink" Target="https://bellingcat-archive.nyc3.cdn.digitaloceanspaces.com/Ukraine_Witness_Datasheet/Worksheet/telegram_929470ee1a.mp4" TargetMode="External"/><Relationship Id="rId6585" Type="http://schemas.openxmlformats.org/officeDocument/2006/relationships/hyperlink" Target="https://bellingcat-archive.nyc3.cdn.digitaloceanspaces.com/Ukraine_Witness_Datasheet/Worksheet/twitter__no_itsmyturn_status_15007187115394744332022-03-07T18:30:29.596765.png" TargetMode="External"/><Relationship Id="rId5259" Type="http://schemas.openxmlformats.org/officeDocument/2006/relationships/hyperlink" Target="https://bellingcat-archive.nyc3.cdn.digitaloceanspaces.com/Ukraine_Witness_Datasheet/Worksheet/twitter__loogunda_status_1499025191523037201.html" TargetMode="External"/><Relationship Id="rId5257" Type="http://schemas.openxmlformats.org/officeDocument/2006/relationships/hyperlink" Target="https://t.me/pavlokyrylenko_donoda/2471" TargetMode="External"/><Relationship Id="rId6588" Type="http://schemas.openxmlformats.org/officeDocument/2006/relationships/hyperlink" Target="https://bellingcat-archive.nyc3.cdn.digitaloceanspaces.com/Ukraine_Witness_Datasheet/Worksheet/youtube_dl__no_itsmyturn_status_15007176280165457932022-03-07T18:30:41.422501.png" TargetMode="External"/><Relationship Id="rId5258" Type="http://schemas.openxmlformats.org/officeDocument/2006/relationships/hyperlink" Target="https://twitter.com/loogunda/status/1499025191523037201?s=20&amp;t=eqvfYOpQrEv3V22KDYvwXg" TargetMode="External"/><Relationship Id="rId6589" Type="http://schemas.openxmlformats.org/officeDocument/2006/relationships/hyperlink" Target="https://bellingcat-archive.nyc3.cdn.digitaloceanspaces.com/Ukraine_Witness_Datasheet/Worksheet/youtube_dl_1500717628016545793/index.html" TargetMode="External"/><Relationship Id="rId5240" Type="http://schemas.openxmlformats.org/officeDocument/2006/relationships/hyperlink" Target="https://bellingcat-archive.nyc3.cdn.digitaloceanspaces.com/Ukraine_Witness_Datasheet/Worksheet/youtube_dl__GirkinGirkin_status_14968544889337159722022-03-03T14:16:16.128732.png" TargetMode="External"/><Relationship Id="rId6571" Type="http://schemas.openxmlformats.org/officeDocument/2006/relationships/hyperlink" Target="https://www.google.com/maps/@50.0358121,36.1732493,3a,60y,35.02h,78.78t/data=!3m6!1e1!3m4!1sVWWIJS_ngYfvXmNSdsJCEQ!2e0!7i13312!8i6656" TargetMode="External"/><Relationship Id="rId5241" Type="http://schemas.openxmlformats.org/officeDocument/2006/relationships/hyperlink" Target="https://bellingcat-archive.nyc3.cdn.digitaloceanspaces.com/Ukraine_Witness_Datasheet/Worksheet/youtube_dl_1496854488933715972/index.html" TargetMode="External"/><Relationship Id="rId6572" Type="http://schemas.openxmlformats.org/officeDocument/2006/relationships/hyperlink" Target="https://bellingcat-archive.nyc3.cdn.digitaloceanspaces.com/Ukraine_Witness_Datasheet/Worksheet/youtube_dl_1500743199853363202.mp4" TargetMode="External"/><Relationship Id="rId6570" Type="http://schemas.openxmlformats.org/officeDocument/2006/relationships/hyperlink" Target="https://twitter.com/no_itsmyturn/status/1500743199853363202" TargetMode="External"/><Relationship Id="rId5244" Type="http://schemas.openxmlformats.org/officeDocument/2006/relationships/hyperlink" Target="https://bellingcat-archive.nyc3.cdn.digitaloceanspaces.com/Ukraine_Witness_Datasheet/Worksheet/telegram__nm_dnr_63952022-03-03T14:16:28.148822.png" TargetMode="External"/><Relationship Id="rId6575" Type="http://schemas.openxmlformats.org/officeDocument/2006/relationships/hyperlink" Target="https://twitter.com/no_itsmyturn/status/1500731472189263879" TargetMode="External"/><Relationship Id="rId5245" Type="http://schemas.openxmlformats.org/officeDocument/2006/relationships/hyperlink" Target="https://twitter.com/GraniTweet/status/1497149587215298571" TargetMode="External"/><Relationship Id="rId6576" Type="http://schemas.openxmlformats.org/officeDocument/2006/relationships/hyperlink" Target="https://bellingcat-archive.nyc3.cdn.digitaloceanspaces.com/Ukraine_Witness_Datasheet/Worksheet/youtube_dl_1500731472189263879.mp4" TargetMode="External"/><Relationship Id="rId5242" Type="http://schemas.openxmlformats.org/officeDocument/2006/relationships/hyperlink" Target="https://t.me/nm_dnr/6395" TargetMode="External"/><Relationship Id="rId6573" Type="http://schemas.openxmlformats.org/officeDocument/2006/relationships/hyperlink" Target="https://bellingcat-archive.nyc3.cdn.digitaloceanspaces.com/Ukraine_Witness_Datasheet/Worksheet/youtube_dl__no_itsmyturn_status_15007431998533632022022-03-07T18:25:18.497598.png" TargetMode="External"/><Relationship Id="rId5243" Type="http://schemas.openxmlformats.org/officeDocument/2006/relationships/hyperlink" Target="https://bellingcat-archive.nyc3.cdn.digitaloceanspaces.com/Ukraine_Witness_Datasheet/Worksheet/telegram__nm_dnr_6395.html" TargetMode="External"/><Relationship Id="rId6574" Type="http://schemas.openxmlformats.org/officeDocument/2006/relationships/hyperlink" Target="https://bellingcat-archive.nyc3.cdn.digitaloceanspaces.com/Ukraine_Witness_Datasheet/Worksheet/youtube_dl_1500743199853363202/index.html" TargetMode="External"/><Relationship Id="rId5248" Type="http://schemas.openxmlformats.org/officeDocument/2006/relationships/hyperlink" Target="https://bellingcat-archive.nyc3.cdn.digitaloceanspaces.com/Ukraine_Witness_Datasheet/Worksheet/youtube_dl_1497149587215298571/index.html" TargetMode="External"/><Relationship Id="rId6579" Type="http://schemas.openxmlformats.org/officeDocument/2006/relationships/hyperlink" Target="https://twitter.com/no_itsmyturn/status/1500727269458944001" TargetMode="External"/><Relationship Id="rId5249" Type="http://schemas.openxmlformats.org/officeDocument/2006/relationships/hyperlink" Target="https://twitter.com/ctrscr/status/1497910542429794305" TargetMode="External"/><Relationship Id="rId5246" Type="http://schemas.openxmlformats.org/officeDocument/2006/relationships/hyperlink" Target="https://bellingcat-archive.nyc3.cdn.digitaloceanspaces.com/Ukraine_Witness_Datasheet/Worksheet/youtube_dl_1497149587215298571.mp4" TargetMode="External"/><Relationship Id="rId6577" Type="http://schemas.openxmlformats.org/officeDocument/2006/relationships/hyperlink" Target="https://bellingcat-archive.nyc3.cdn.digitaloceanspaces.com/Ukraine_Witness_Datasheet/Worksheet/youtube_dl__no_itsmyturn_status_15007314721892638792022-03-07T18:25:40.410366.png" TargetMode="External"/><Relationship Id="rId5247" Type="http://schemas.openxmlformats.org/officeDocument/2006/relationships/hyperlink" Target="https://bellingcat-archive.nyc3.cdn.digitaloceanspaces.com/Ukraine_Witness_Datasheet/Worksheet/youtube_dl__GraniTweet_status_14971495872152985712022-03-03T14:16:39.736225.png" TargetMode="External"/><Relationship Id="rId6578" Type="http://schemas.openxmlformats.org/officeDocument/2006/relationships/hyperlink" Target="https://bellingcat-archive.nyc3.cdn.digitaloceanspaces.com/Ukraine_Witness_Datasheet/Worksheet/youtube_dl_1500731472189263879/index.html" TargetMode="External"/><Relationship Id="rId5270" Type="http://schemas.openxmlformats.org/officeDocument/2006/relationships/hyperlink" Target="https://bellingcat-archive.nyc3.cdn.digitaloceanspaces.com/Ukraine_Witness_Datasheet/Worksheet/telegram_7bf08cb0ee/index.html" TargetMode="External"/><Relationship Id="rId5273" Type="http://schemas.openxmlformats.org/officeDocument/2006/relationships/hyperlink" Target="https://bellingcat-archive.nyc3.cdn.digitaloceanspaces.com/Ukraine_Witness_Datasheet/Worksheet/telegram_00988246b3.mp4" TargetMode="External"/><Relationship Id="rId5274" Type="http://schemas.openxmlformats.org/officeDocument/2006/relationships/hyperlink" Target="https://bellingcat-archive.nyc3.cdn.digitaloceanspaces.com/Ukraine_Witness_Datasheet/Worksheet/telegram__Pravda_Gerashchenko_16092022-03-03T14:19:53.151385.png" TargetMode="External"/><Relationship Id="rId5271" Type="http://schemas.openxmlformats.org/officeDocument/2006/relationships/hyperlink" Target="https://t.me/nexta_live/19314" TargetMode="External"/><Relationship Id="rId5272" Type="http://schemas.openxmlformats.org/officeDocument/2006/relationships/hyperlink" Target="https://t.me/Pravda_Gerashchenko/1609" TargetMode="External"/><Relationship Id="rId5277" Type="http://schemas.openxmlformats.org/officeDocument/2006/relationships/hyperlink" Target="https://t.me/hueviykharkov/47710" TargetMode="External"/><Relationship Id="rId5278" Type="http://schemas.openxmlformats.org/officeDocument/2006/relationships/hyperlink" Target="https://bellingcat-archive.nyc3.cdn.digitaloceanspaces.com/Ukraine_Witness_Datasheet/Worksheet/telegram__hueviykharkov_47710.html" TargetMode="External"/><Relationship Id="rId5275" Type="http://schemas.openxmlformats.org/officeDocument/2006/relationships/hyperlink" Target="https://bellingcat-archive.nyc3.cdn.digitaloceanspaces.com/Ukraine_Witness_Datasheet/Worksheet/telegram_00988246b3/index.html" TargetMode="External"/><Relationship Id="rId5276" Type="http://schemas.openxmlformats.org/officeDocument/2006/relationships/hyperlink" Target="https://t.me/Pravda_Gerashchenko/1609" TargetMode="External"/><Relationship Id="rId5279" Type="http://schemas.openxmlformats.org/officeDocument/2006/relationships/hyperlink" Target="https://bellingcat-archive.nyc3.cdn.digitaloceanspaces.com/Ukraine_Witness_Datasheet/Worksheet/telegram__hueviykharkov_477102022-03-03T14:21:47.044099.png" TargetMode="External"/><Relationship Id="rId6590" Type="http://schemas.openxmlformats.org/officeDocument/2006/relationships/hyperlink" Target="https://twitter.com/Shtirlitz53/status/1500831170749255681?s=20&amp;t=BS0H4CTrPUwQOiJtuU-O_g" TargetMode="External"/><Relationship Id="rId5262" Type="http://schemas.openxmlformats.org/officeDocument/2006/relationships/hyperlink" Target="https://bellingcat-archive.nyc3.cdn.digitaloceanspaces.com/Ukraine_Witness_Datasheet/Worksheet/telegram__nexta_live_19279.html" TargetMode="External"/><Relationship Id="rId6593" Type="http://schemas.openxmlformats.org/officeDocument/2006/relationships/hyperlink" Target="https://bellingcat-archive.nyc3.cdn.digitaloceanspaces.com/Ukraine_Witness_Datasheet/Worksheet/youtube_dl_1500831170749255681/index.html" TargetMode="External"/><Relationship Id="rId5263" Type="http://schemas.openxmlformats.org/officeDocument/2006/relationships/hyperlink" Target="https://bellingcat-archive.nyc3.cdn.digitaloceanspaces.com/Ukraine_Witness_Datasheet/Worksheet/telegram__nexta_live_192792022-03-03T14:18:08.565065.png" TargetMode="External"/><Relationship Id="rId6594" Type="http://schemas.openxmlformats.org/officeDocument/2006/relationships/hyperlink" Target="https://twitter.com/shtirlitz53/status/1500831170749255681?s=21" TargetMode="External"/><Relationship Id="rId5260" Type="http://schemas.openxmlformats.org/officeDocument/2006/relationships/hyperlink" Target="https://bellingcat-archive.nyc3.cdn.digitaloceanspaces.com/Ukraine_Witness_Datasheet/Worksheet/twitter__loogunda_status_14990251915230372012022-03-03T14:17:58.947809.png" TargetMode="External"/><Relationship Id="rId6591" Type="http://schemas.openxmlformats.org/officeDocument/2006/relationships/hyperlink" Target="https://bellingcat-archive.nyc3.cdn.digitaloceanspaces.com/Ukraine_Witness_Datasheet/Worksheet/youtube_dl_1500831170749255681.mp4" TargetMode="External"/><Relationship Id="rId5261" Type="http://schemas.openxmlformats.org/officeDocument/2006/relationships/hyperlink" Target="https://t.me/nexta_live/19279" TargetMode="External"/><Relationship Id="rId6592" Type="http://schemas.openxmlformats.org/officeDocument/2006/relationships/hyperlink" Target="https://bellingcat-archive.nyc3.cdn.digitaloceanspaces.com/Ukraine_Witness_Datasheet/Worksheet/youtube_dl__Shtirlitz53_status_15008311707492556812022-03-07T18:30:59.416340.png" TargetMode="External"/><Relationship Id="rId5266" Type="http://schemas.openxmlformats.org/officeDocument/2006/relationships/hyperlink" Target="https://bellingcat-archive.nyc3.cdn.digitaloceanspaces.com/Ukraine_Witness_Datasheet/Worksheet/telegram__nexta_live_193032022-03-03T14:18:16.797775.png" TargetMode="External"/><Relationship Id="rId6597" Type="http://schemas.openxmlformats.org/officeDocument/2006/relationships/hyperlink" Target="https://bellingcat-archive.nyc3.cdn.digitaloceanspaces.com/Ukraine_Witness_Datasheet/Worksheet/youtube_dl_1500831170749255681/index.html" TargetMode="External"/><Relationship Id="rId5267" Type="http://schemas.openxmlformats.org/officeDocument/2006/relationships/hyperlink" Target="https://t.me/nexta_live/19314" TargetMode="External"/><Relationship Id="rId6598" Type="http://schemas.openxmlformats.org/officeDocument/2006/relationships/hyperlink" Target="https://twitter.com/no_itsmyturn/status/1500713592064204800" TargetMode="External"/><Relationship Id="rId5264" Type="http://schemas.openxmlformats.org/officeDocument/2006/relationships/hyperlink" Target="https://t.me/nexta_live/19303" TargetMode="External"/><Relationship Id="rId6595" Type="http://schemas.openxmlformats.org/officeDocument/2006/relationships/hyperlink" Target="https://bellingcat-archive.nyc3.cdn.digitaloceanspaces.com/Ukraine_Witness_Datasheet/Worksheet/youtube_dl_1500831170749255681.mp4" TargetMode="External"/><Relationship Id="rId5265" Type="http://schemas.openxmlformats.org/officeDocument/2006/relationships/hyperlink" Target="https://bellingcat-archive.nyc3.cdn.digitaloceanspaces.com/Ukraine_Witness_Datasheet/Worksheet/telegram__nexta_live_19303.html" TargetMode="External"/><Relationship Id="rId6596" Type="http://schemas.openxmlformats.org/officeDocument/2006/relationships/hyperlink" Target="https://bellingcat-archive.nyc3.cdn.digitaloceanspaces.com/Ukraine_Witness_Datasheet/Worksheet/youtube_dl__shtirlitz53_status_15008311707492556812022-03-07T18:35:11.634111.png" TargetMode="External"/><Relationship Id="rId5268" Type="http://schemas.openxmlformats.org/officeDocument/2006/relationships/hyperlink" Target="https://bellingcat-archive.nyc3.cdn.digitaloceanspaces.com/Ukraine_Witness_Datasheet/Worksheet/telegram_7bf08cb0ee.mp4" TargetMode="External"/><Relationship Id="rId6599" Type="http://schemas.openxmlformats.org/officeDocument/2006/relationships/hyperlink" Target="https://bellingcat-archive.nyc3.cdn.digitaloceanspaces.com/Ukraine_Witness_Datasheet/Worksheet/youtube_dl_1500713592064204800.mp4" TargetMode="External"/><Relationship Id="rId5269" Type="http://schemas.openxmlformats.org/officeDocument/2006/relationships/hyperlink" Target="https://bellingcat-archive.nyc3.cdn.digitaloceanspaces.com/Ukraine_Witness_Datasheet/Worksheet/telegram__nexta_live_193142022-03-03T14:18:25.323551.png" TargetMode="External"/><Relationship Id="rId5219" Type="http://schemas.openxmlformats.org/officeDocument/2006/relationships/hyperlink" Target="https://bellingcat-archive.nyc3.cdn.digitaloceanspaces.com/Ukraine_Witness_Datasheet/Worksheet/twitter__ua_industrial_status_1498992797998854146.html" TargetMode="External"/><Relationship Id="rId5217" Type="http://schemas.openxmlformats.org/officeDocument/2006/relationships/hyperlink" Target="https://bellingcat-archive.nyc3.cdn.digitaloceanspaces.com/Ukraine_Witness_Datasheet/Worksheet/youtube_dl_1498662465919504393/index.html" TargetMode="External"/><Relationship Id="rId6548" Type="http://schemas.openxmlformats.org/officeDocument/2006/relationships/hyperlink" Target="https://bellingcat-archive.nyc3.cdn.digitaloceanspaces.com/Ukraine_Witness_Datasheet/Worksheet/youtube_dl__no_itsmyturn_status_15007464947810467842022-03-07T17:35:16.117998.png" TargetMode="External"/><Relationship Id="rId5218" Type="http://schemas.openxmlformats.org/officeDocument/2006/relationships/hyperlink" Target="https://twitter.com/ua_industrial/status/1498992797998854146?s=20&amp;t=mywWeVgKyNlqWBLmET-yRg" TargetMode="External"/><Relationship Id="rId6549" Type="http://schemas.openxmlformats.org/officeDocument/2006/relationships/hyperlink" Target="https://bellingcat-archive.nyc3.cdn.digitaloceanspaces.com/Ukraine_Witness_Datasheet/Worksheet/youtube_dl_1500746494781046784/index.html" TargetMode="External"/><Relationship Id="rId7879" Type="http://schemas.openxmlformats.org/officeDocument/2006/relationships/hyperlink" Target="https://twitter.com/GeoConfirmed/status/1500947928692711428" TargetMode="External"/><Relationship Id="rId392" Type="http://schemas.openxmlformats.org/officeDocument/2006/relationships/hyperlink" Target="https://bellingcat-archive.nyc3.cdn.digitaloceanspaces.com/Ukraine_Witness_Datasheet/Worksheet/youtube_dl__Michael1Sheldon_status_14906010264283136012022-02-25T13:04:06.236032.png" TargetMode="External"/><Relationship Id="rId391" Type="http://schemas.openxmlformats.org/officeDocument/2006/relationships/hyperlink" Target="https://bellingcat-archive.nyc3.cdn.digitaloceanspaces.com/Ukraine_Witness_Datasheet/Worksheet/youtube_dl_1490601026428313601.mp4" TargetMode="External"/><Relationship Id="rId390" Type="http://schemas.openxmlformats.org/officeDocument/2006/relationships/hyperlink" Target="https://twitter.com/Michael1Sheldon/status/1490601139821334529" TargetMode="External"/><Relationship Id="rId7870" Type="http://schemas.openxmlformats.org/officeDocument/2006/relationships/hyperlink" Target="https://bellingcat-archive.nyc3.cdn.digitaloceanspaces.com/Ukraine_Witness_Datasheet/Worksheet/youtube_dl_1501595926439542784.mp4" TargetMode="External"/><Relationship Id="rId385" Type="http://schemas.openxmlformats.org/officeDocument/2006/relationships/hyperlink" Target="https://twitter.com/Michael1Sheldon/status/1490600455994494980" TargetMode="External"/><Relationship Id="rId5211" Type="http://schemas.openxmlformats.org/officeDocument/2006/relationships/hyperlink" Target="https://bellingcat-archive.nyc3.cdn.digitaloceanspaces.com/Ukraine_Witness_Datasheet/Worksheet/youtube_dl_1498914132225048576.mp4" TargetMode="External"/><Relationship Id="rId6542" Type="http://schemas.openxmlformats.org/officeDocument/2006/relationships/hyperlink" Target="https://bellingcat-archive.nyc3.cdn.digitaloceanspaces.com/Ukraine_Witness_Datasheet/Worksheet/telegram_f5be81ada3.mp4" TargetMode="External"/><Relationship Id="rId7874" Type="http://schemas.openxmlformats.org/officeDocument/2006/relationships/hyperlink" Target="https://twitter.com/zwedowz/status/1501509110746992645" TargetMode="External"/><Relationship Id="rId384" Type="http://schemas.openxmlformats.org/officeDocument/2006/relationships/hyperlink" Target="https://twitter.com/Michael1Sheldon/status/1490600036878716929" TargetMode="External"/><Relationship Id="rId5212" Type="http://schemas.openxmlformats.org/officeDocument/2006/relationships/hyperlink" Target="https://bellingcat-archive.nyc3.cdn.digitaloceanspaces.com/Ukraine_Witness_Datasheet/Worksheet/youtube_dl__DAlperovitch_status_14989141322250485762022-03-03T14:09:48.822928.png" TargetMode="External"/><Relationship Id="rId6543" Type="http://schemas.openxmlformats.org/officeDocument/2006/relationships/hyperlink" Target="https://bellingcat-archive.nyc3.cdn.digitaloceanspaces.com/Ukraine_Witness_Datasheet/Worksheet/telegram__belamova_263412022-03-07T17:25:08.991032.png" TargetMode="External"/><Relationship Id="rId7873" Type="http://schemas.openxmlformats.org/officeDocument/2006/relationships/hyperlink" Target="https://twitter.com/no_itsmyturn/status/1501493322673790978" TargetMode="External"/><Relationship Id="rId383" Type="http://schemas.openxmlformats.org/officeDocument/2006/relationships/hyperlink" Target="https://bellingcat-archive.nyc3.cdn.digitaloceanspaces.com/Ukraine_Witness_Datasheet/Worksheet/youtube_dl_1490364203080863745/index.html" TargetMode="External"/><Relationship Id="rId6540" Type="http://schemas.openxmlformats.org/officeDocument/2006/relationships/hyperlink" Target="https://t.me/belamova/26341" TargetMode="External"/><Relationship Id="rId7872" Type="http://schemas.openxmlformats.org/officeDocument/2006/relationships/hyperlink" Target="https://bellingcat-archive.nyc3.cdn.digitaloceanspaces.com/Ukraine_Witness_Datasheet/Worksheet/youtube_dl_1501595926439542784/index.html" TargetMode="External"/><Relationship Id="rId382" Type="http://schemas.openxmlformats.org/officeDocument/2006/relationships/hyperlink" Target="https://bellingcat-archive.nyc3.cdn.digitaloceanspaces.com/Ukraine_Witness_Datasheet/Worksheet/youtube_dl__GirkinGirkin_status_14903642030808637452022-02-25T13:03:19.288662.png" TargetMode="External"/><Relationship Id="rId5210" Type="http://schemas.openxmlformats.org/officeDocument/2006/relationships/hyperlink" Target="https://twitter.com/DAlperovitch/status/1498914132225048576?s=20&amp;t=7MfqlqMPDmEAzllsrvkpOg" TargetMode="External"/><Relationship Id="rId6541" Type="http://schemas.openxmlformats.org/officeDocument/2006/relationships/hyperlink" Target="https://sentinelshare.page.link/CSwP" TargetMode="External"/><Relationship Id="rId7871" Type="http://schemas.openxmlformats.org/officeDocument/2006/relationships/hyperlink" Target="https://bellingcat-archive.nyc3.cdn.digitaloceanspaces.com/Ukraine_Witness_Datasheet/Worksheet/youtube_dl__aldin_ww_status_15015959264395427842022-03-09T16:45:15.528210.png" TargetMode="External"/><Relationship Id="rId389" Type="http://schemas.openxmlformats.org/officeDocument/2006/relationships/hyperlink" Target="https://twitter.com/Michael1Sheldon/status/1490601026428313601" TargetMode="External"/><Relationship Id="rId5215" Type="http://schemas.openxmlformats.org/officeDocument/2006/relationships/hyperlink" Target="https://bellingcat-archive.nyc3.cdn.digitaloceanspaces.com/Ukraine_Witness_Datasheet/Worksheet/youtube_dl_1498662465919504393.mp4" TargetMode="External"/><Relationship Id="rId6546" Type="http://schemas.openxmlformats.org/officeDocument/2006/relationships/hyperlink" Target="https://twitter.com/no_itsmyturn/status/1500746494781046784" TargetMode="External"/><Relationship Id="rId7878" Type="http://schemas.openxmlformats.org/officeDocument/2006/relationships/hyperlink" Target="https://t.me/insiderUKR/24550" TargetMode="External"/><Relationship Id="rId388" Type="http://schemas.openxmlformats.org/officeDocument/2006/relationships/hyperlink" Target="https://bellingcat-archive.nyc3.cdn.digitaloceanspaces.com/Ukraine_Witness_Datasheet/Worksheet/youtube_dl_1490600036878716929/index.html" TargetMode="External"/><Relationship Id="rId5216" Type="http://schemas.openxmlformats.org/officeDocument/2006/relationships/hyperlink" Target="https://bellingcat-archive.nyc3.cdn.digitaloceanspaces.com/Ukraine_Witness_Datasheet/Worksheet/youtube_dl__AS7404542949_status_14986624659195043932022-03-03T14:10:02.876679.png" TargetMode="External"/><Relationship Id="rId6547" Type="http://schemas.openxmlformats.org/officeDocument/2006/relationships/hyperlink" Target="https://bellingcat-archive.nyc3.cdn.digitaloceanspaces.com/Ukraine_Witness_Datasheet/Worksheet/youtube_dl_1500746494781046784.mp4" TargetMode="External"/><Relationship Id="rId7877" Type="http://schemas.openxmlformats.org/officeDocument/2006/relationships/hyperlink" Target="https://bellingcat-archive.nyc3.cdn.digitaloceanspaces.com/Ukraine_Witness_Datasheet/Worksheet/twitter__no_itsmyturn_status_15014933226737909782022-03-09T16:45:30.430365.png" TargetMode="External"/><Relationship Id="rId387" Type="http://schemas.openxmlformats.org/officeDocument/2006/relationships/hyperlink" Target="https://bellingcat-archive.nyc3.cdn.digitaloceanspaces.com/Ukraine_Witness_Datasheet/Worksheet/youtube_dl__Michael1Sheldon_status_14906000368787169292022-02-25T13:03:41.742455.png" TargetMode="External"/><Relationship Id="rId5213" Type="http://schemas.openxmlformats.org/officeDocument/2006/relationships/hyperlink" Target="https://bellingcat-archive.nyc3.cdn.digitaloceanspaces.com/Ukraine_Witness_Datasheet/Worksheet/youtube_dl_1498914132225048576/index.html" TargetMode="External"/><Relationship Id="rId6544" Type="http://schemas.openxmlformats.org/officeDocument/2006/relationships/hyperlink" Target="https://bellingcat-archive.nyc3.cdn.digitaloceanspaces.com/Ukraine_Witness_Datasheet/Worksheet/telegram_f5be81ada3/index.html" TargetMode="External"/><Relationship Id="rId7876" Type="http://schemas.openxmlformats.org/officeDocument/2006/relationships/hyperlink" Target="https://bellingcat-archive.nyc3.cdn.digitaloceanspaces.com/Ukraine_Witness_Datasheet/Worksheet/twitter__no_itsmyturn_status_1501493322673790978.html" TargetMode="External"/><Relationship Id="rId386" Type="http://schemas.openxmlformats.org/officeDocument/2006/relationships/hyperlink" Target="https://bellingcat-archive.nyc3.cdn.digitaloceanspaces.com/Ukraine_Witness_Datasheet/Worksheet/youtube_dl_1490600036878716929.mp4" TargetMode="External"/><Relationship Id="rId5214" Type="http://schemas.openxmlformats.org/officeDocument/2006/relationships/hyperlink" Target="https://twitter.com/AS7404542949/status/1498662465919504393?s=20&amp;t=7MfqlqMPDmEAzllsrvkpOg" TargetMode="External"/><Relationship Id="rId6545" Type="http://schemas.openxmlformats.org/officeDocument/2006/relationships/hyperlink" Target="https://t.me/belamova/26341" TargetMode="External"/><Relationship Id="rId7875" Type="http://schemas.openxmlformats.org/officeDocument/2006/relationships/hyperlink" Target="https://www.google.com/maps/@50.0346651,36.2292214,3a,75y,74.97h,83.29t/data=!3m6!1e1!3m4!1s88R8GNpk-Bml-90GK1H4tA!2e0!7i13312!8i6656" TargetMode="External"/><Relationship Id="rId5208" Type="http://schemas.openxmlformats.org/officeDocument/2006/relationships/hyperlink" Target="https://bellingcat-archive.nyc3.cdn.digitaloceanspaces.com/Ukraine_Witness_Datasheet/Worksheet/youtube_dl_1zq72lYRP-5eHZueeOL4XkRZXaJKECChI.unknown_video" TargetMode="External"/><Relationship Id="rId6539" Type="http://schemas.openxmlformats.org/officeDocument/2006/relationships/hyperlink" Target="https://bellingcat-archive.nyc3.cdn.digitaloceanspaces.com/Ukraine_Witness_Datasheet/Worksheet/youtube_dl_1500860562913251329/index.html" TargetMode="External"/><Relationship Id="rId5209" Type="http://schemas.openxmlformats.org/officeDocument/2006/relationships/hyperlink" Target="https://bellingcat-archive.nyc3.cdn.digitaloceanspaces.com/Ukraine_Witness_Datasheet/Worksheet/youtube_dl__drive_folders_1zq72lYRP-5eHZueeOL4XkRZXaJKECChI2022-03-03T14:09:39.122695.png" TargetMode="External"/><Relationship Id="rId5206" Type="http://schemas.openxmlformats.org/officeDocument/2006/relationships/hyperlink" Target="https://bellingcat-archive.nyc3.cdn.digitaloceanspaces.com/Ukraine_Witness_Datasheet/Worksheet/youtube_dl_1498906055534952449/index.html" TargetMode="External"/><Relationship Id="rId6537" Type="http://schemas.openxmlformats.org/officeDocument/2006/relationships/hyperlink" Target="https://bellingcat-archive.nyc3.cdn.digitaloceanspaces.com/Ukraine_Witness_Datasheet/Worksheet/youtube_dl_1500860562913251329.mp4" TargetMode="External"/><Relationship Id="rId7869" Type="http://schemas.openxmlformats.org/officeDocument/2006/relationships/hyperlink" Target="https://twitter.com/aldin_ww/status/1501595926439542784?s=20&amp;t=946cXkbcXSxbGbei_CfX8A" TargetMode="External"/><Relationship Id="rId5207" Type="http://schemas.openxmlformats.org/officeDocument/2006/relationships/hyperlink" Target="https://drive.google.com/drive/folders/1zq72lYRP-5eHZueeOL4XkRZXaJKECChI" TargetMode="External"/><Relationship Id="rId6538" Type="http://schemas.openxmlformats.org/officeDocument/2006/relationships/hyperlink" Target="https://bellingcat-archive.nyc3.cdn.digitaloceanspaces.com/Ukraine_Witness_Datasheet/Worksheet/youtube_dl__RALee85_status_15008605629132513292022-03-07T17:00:26.270503.png" TargetMode="External"/><Relationship Id="rId7868" Type="http://schemas.openxmlformats.org/officeDocument/2006/relationships/hyperlink" Target="https://bellingcat-archive.nyc3.cdn.digitaloceanspaces.com/Ukraine_Witness_Datasheet/Worksheet/twitter__EuromaidanPress_status_15009068577114726432022-03-09T16:41:52.036997.png" TargetMode="External"/><Relationship Id="rId381" Type="http://schemas.openxmlformats.org/officeDocument/2006/relationships/hyperlink" Target="https://bellingcat-archive.nyc3.cdn.digitaloceanspaces.com/Ukraine_Witness_Datasheet/Worksheet/youtube_dl_1490364203080863745.mp4" TargetMode="External"/><Relationship Id="rId380" Type="http://schemas.openxmlformats.org/officeDocument/2006/relationships/hyperlink" Target="https://twitter.com/JC_Monitoring/status/1490427411594461190" TargetMode="External"/><Relationship Id="rId379" Type="http://schemas.openxmlformats.org/officeDocument/2006/relationships/hyperlink" Target="https://twitter.com/GirkinGirkin/status/1490364203080863745" TargetMode="External"/><Relationship Id="rId374" Type="http://schemas.openxmlformats.org/officeDocument/2006/relationships/hyperlink" Target="https://twitter.com/GirkinGirkin/status/1490309374274904065" TargetMode="External"/><Relationship Id="rId5200" Type="http://schemas.openxmlformats.org/officeDocument/2006/relationships/hyperlink" Target="https://bellingcat-archive.nyc3.cdn.digitaloceanspaces.com/Ukraine_Witness_Datasheet/Worksheet/youtube_dl_1498896758641987584.mp4" TargetMode="External"/><Relationship Id="rId6531" Type="http://schemas.openxmlformats.org/officeDocument/2006/relationships/hyperlink" Target="https://bellingcat-archive.nyc3.cdn.digitaloceanspaces.com/Ukraine_Witness_Datasheet/Worksheet/telegram_199281cb93/index.html" TargetMode="External"/><Relationship Id="rId7863" Type="http://schemas.openxmlformats.org/officeDocument/2006/relationships/hyperlink" Target="https://bellingcat-archive.nyc3.cdn.digitaloceanspaces.com/Ukraine_Witness_Datasheet/Worksheet/twitter__EuromaidanPress_status_1500906857711472643.html" TargetMode="External"/><Relationship Id="rId373" Type="http://schemas.openxmlformats.org/officeDocument/2006/relationships/hyperlink" Target="https://bellingcat-archive.nyc3.cdn.digitaloceanspaces.com/Ukraine_Witness_Datasheet/Worksheet/youtube_dl_1490502986715516931/index.html" TargetMode="External"/><Relationship Id="rId5201" Type="http://schemas.openxmlformats.org/officeDocument/2006/relationships/hyperlink" Target="https://bellingcat-archive.nyc3.cdn.digitaloceanspaces.com/Ukraine_Witness_Datasheet/Worksheet/youtube_dl__bura_tinko_status_14988967586419875842022-03-03T14:09:05.656538.png" TargetMode="External"/><Relationship Id="rId6532" Type="http://schemas.openxmlformats.org/officeDocument/2006/relationships/hyperlink" Target="https://t.me/Pravda_Gerashchenko/2473" TargetMode="External"/><Relationship Id="rId7862" Type="http://schemas.openxmlformats.org/officeDocument/2006/relationships/hyperlink" Target="https://twitter.com/Noobieshunta_/status/1501156632402796551" TargetMode="External"/><Relationship Id="rId372" Type="http://schemas.openxmlformats.org/officeDocument/2006/relationships/hyperlink" Target="https://bellingcat-archive.nyc3.cdn.digitaloceanspaces.com/Ukraine_Witness_Datasheet/Worksheet/youtube_dl__Michael1Sheldon_status_14905029867155169312022-02-25T12:59:06.415683.png" TargetMode="External"/><Relationship Id="rId7861" Type="http://schemas.openxmlformats.org/officeDocument/2006/relationships/hyperlink" Target="https://twitter.com/EuromaidanPress/status/1500906857711472643" TargetMode="External"/><Relationship Id="rId371" Type="http://schemas.openxmlformats.org/officeDocument/2006/relationships/hyperlink" Target="https://bellingcat-archive.nyc3.cdn.digitaloceanspaces.com/Ukraine_Witness_Datasheet/Worksheet/youtube_dl_1490502986715516931.mp4" TargetMode="External"/><Relationship Id="rId6530" Type="http://schemas.openxmlformats.org/officeDocument/2006/relationships/hyperlink" Target="https://bellingcat-archive.nyc3.cdn.digitaloceanspaces.com/Ukraine_Witness_Datasheet/Worksheet/telegram__Pravda_Gerashchenko_24732022-03-07T17:15:10.316739.png" TargetMode="External"/><Relationship Id="rId7860" Type="http://schemas.openxmlformats.org/officeDocument/2006/relationships/hyperlink" Target="https://bellingcat-archive.nyc3.cdn.digitaloceanspaces.com/Ukraine_Witness_Datasheet/Worksheet/twitter__EuromaidanPress_status_15009068577114726432022-03-09T16:41:26.466545.png" TargetMode="External"/><Relationship Id="rId378" Type="http://schemas.openxmlformats.org/officeDocument/2006/relationships/hyperlink" Target="https://bellingcat-archive.nyc3.cdn.digitaloceanspaces.com/Ukraine_Witness_Datasheet/Worksheet/youtube_dl_1490309374274904065/index.html" TargetMode="External"/><Relationship Id="rId5204" Type="http://schemas.openxmlformats.org/officeDocument/2006/relationships/hyperlink" Target="https://bellingcat-archive.nyc3.cdn.digitaloceanspaces.com/Ukraine_Witness_Datasheet/Worksheet/youtube_dl_1498906055534952449.mp4" TargetMode="External"/><Relationship Id="rId6535" Type="http://schemas.openxmlformats.org/officeDocument/2006/relationships/hyperlink" Target="https://bellingcat-archive.nyc3.cdn.digitaloceanspaces.com/Ukraine_Witness_Datasheet/Worksheet/telegram__suspilnemykolaiv_47432022-03-07T18:15:10.837131.png" TargetMode="External"/><Relationship Id="rId7867" Type="http://schemas.openxmlformats.org/officeDocument/2006/relationships/hyperlink" Target="https://bellingcat-archive.nyc3.cdn.digitaloceanspaces.com/Ukraine_Witness_Datasheet/Worksheet/twitter__EuromaidanPress_status_1500906857711472643.html" TargetMode="External"/><Relationship Id="rId377" Type="http://schemas.openxmlformats.org/officeDocument/2006/relationships/hyperlink" Target="https://bellingcat-archive.nyc3.cdn.digitaloceanspaces.com/Ukraine_Witness_Datasheet/Worksheet/youtube_dl__GirkinGirkin_status_14903093742749040652022-02-25T14:35:49.247677.png" TargetMode="External"/><Relationship Id="rId5205" Type="http://schemas.openxmlformats.org/officeDocument/2006/relationships/hyperlink" Target="https://bellingcat-archive.nyc3.cdn.digitaloceanspaces.com/Ukraine_Witness_Datasheet/Worksheet/youtube_dl__OstapYarysh_status_14989060555349524492022-03-03T14:09:22.276122.png" TargetMode="External"/><Relationship Id="rId6536" Type="http://schemas.openxmlformats.org/officeDocument/2006/relationships/hyperlink" Target="https://twitter.com/RALee85/status/1500860562913251329" TargetMode="External"/><Relationship Id="rId7866" Type="http://schemas.openxmlformats.org/officeDocument/2006/relationships/hyperlink" Target="https://twitter.com/Noobieshunta_/status/1500959887626485762" TargetMode="External"/><Relationship Id="rId376" Type="http://schemas.openxmlformats.org/officeDocument/2006/relationships/hyperlink" Target="https://bellingcat-archive.nyc3.cdn.digitaloceanspaces.com/Ukraine_Witness_Datasheet/Worksheet/youtube_dl_1490309374274904065.mp4" TargetMode="External"/><Relationship Id="rId5202" Type="http://schemas.openxmlformats.org/officeDocument/2006/relationships/hyperlink" Target="https://bellingcat-archive.nyc3.cdn.digitaloceanspaces.com/Ukraine_Witness_Datasheet/Worksheet/youtube_dl_1498896758641987584/index.html" TargetMode="External"/><Relationship Id="rId6533" Type="http://schemas.openxmlformats.org/officeDocument/2006/relationships/hyperlink" Target="https://t.me/suspilnemykolaiv/4743" TargetMode="External"/><Relationship Id="rId7865" Type="http://schemas.openxmlformats.org/officeDocument/2006/relationships/hyperlink" Target="https://twitter.com/EuromaidanPress/status/1500906857711472643" TargetMode="External"/><Relationship Id="rId375" Type="http://schemas.openxmlformats.org/officeDocument/2006/relationships/hyperlink" Target="https://twitter.com/danvan71/status/1490330054546571265" TargetMode="External"/><Relationship Id="rId5203" Type="http://schemas.openxmlformats.org/officeDocument/2006/relationships/hyperlink" Target="https://twitter.com/OstapYarysh/status/1498906055534952449?s=20&amp;t=nh-3TluT3CgbI6JJUmXgbQ" TargetMode="External"/><Relationship Id="rId6534" Type="http://schemas.openxmlformats.org/officeDocument/2006/relationships/hyperlink" Target="https://bellingcat-archive.nyc3.cdn.digitaloceanspaces.com/Ukraine_Witness_Datasheet/Worksheet/telegram__suspilnemykolaiv_4743.html" TargetMode="External"/><Relationship Id="rId7864" Type="http://schemas.openxmlformats.org/officeDocument/2006/relationships/hyperlink" Target="https://bellingcat-archive.nyc3.cdn.digitaloceanspaces.com/Ukraine_Witness_Datasheet/Worksheet/twitter__EuromaidanPress_status_15009068577114726432022-03-09T16:41:38.470220.png" TargetMode="External"/><Relationship Id="rId5239" Type="http://schemas.openxmlformats.org/officeDocument/2006/relationships/hyperlink" Target="https://bellingcat-archive.nyc3.cdn.digitaloceanspaces.com/Ukraine_Witness_Datasheet/Worksheet/youtube_dl_1496854488933715972.mp4" TargetMode="External"/><Relationship Id="rId6560" Type="http://schemas.openxmlformats.org/officeDocument/2006/relationships/hyperlink" Target="https://bellingcat-archive.nyc3.cdn.digitaloceanspaces.com/Ukraine_Witness_Datasheet/Worksheet/youtube_dl_1500729936625254401/index.html" TargetMode="External"/><Relationship Id="rId7892" Type="http://schemas.openxmlformats.org/officeDocument/2006/relationships/hyperlink" Target="https://twitter.com/TreyYingst/status/1500842733048668172" TargetMode="External"/><Relationship Id="rId5230" Type="http://schemas.openxmlformats.org/officeDocument/2006/relationships/hyperlink" Target="https://bellingcat-archive.nyc3.cdn.digitaloceanspaces.com/Ukraine_Witness_Datasheet/Worksheet/twitter__Liveuamap_status_14989863557492326402022-03-03T14:15:41.466741.png" TargetMode="External"/><Relationship Id="rId6561" Type="http://schemas.openxmlformats.org/officeDocument/2006/relationships/hyperlink" Target="https://twitter.com/no_itsmyturn/status/1500729901737029633" TargetMode="External"/><Relationship Id="rId7891" Type="http://schemas.openxmlformats.org/officeDocument/2006/relationships/hyperlink" Target="https://bellingcat-archive.nyc3.cdn.digitaloceanspaces.com/Ukraine_Witness_Datasheet/Worksheet/youtube_dl_1501599776940384262/index.html" TargetMode="External"/><Relationship Id="rId7890" Type="http://schemas.openxmlformats.org/officeDocument/2006/relationships/hyperlink" Target="https://bellingcat-archive.nyc3.cdn.digitaloceanspaces.com/Ukraine_Witness_Datasheet/Worksheet/youtube_dl__aldin_ww_status_15015997769403842622022-03-09T16:50:24.257075.png" TargetMode="External"/><Relationship Id="rId5233" Type="http://schemas.openxmlformats.org/officeDocument/2006/relationships/hyperlink" Target="https://bellingcat-archive.nyc3.cdn.digitaloceanspaces.com/Ukraine_Witness_Datasheet/Worksheet/twitter__nexta_tv_status_1498994384880209925.html" TargetMode="External"/><Relationship Id="rId6564" Type="http://schemas.openxmlformats.org/officeDocument/2006/relationships/hyperlink" Target="https://bellingcat-archive.nyc3.cdn.digitaloceanspaces.com/Ukraine_Witness_Datasheet/Worksheet/youtube_dl_1500729901737029633/index.html" TargetMode="External"/><Relationship Id="rId7896" Type="http://schemas.openxmlformats.org/officeDocument/2006/relationships/hyperlink" Target="https://bellingcat-archive.nyc3.cdn.digitaloceanspaces.com/Ukraine_Witness_Datasheet/Worksheet/youtube_dl_1500842733048668172/index.html" TargetMode="External"/><Relationship Id="rId5234" Type="http://schemas.openxmlformats.org/officeDocument/2006/relationships/hyperlink" Target="https://bellingcat-archive.nyc3.cdn.digitaloceanspaces.com/Ukraine_Witness_Datasheet/Worksheet/twitter__nexta_tv_status_14989943848802099252022-03-03T14:15:53.251113.png" TargetMode="External"/><Relationship Id="rId6565" Type="http://schemas.openxmlformats.org/officeDocument/2006/relationships/hyperlink" Target="https://twitter.com/no_itsmyturn/status/1500802723024969730" TargetMode="External"/><Relationship Id="rId7895" Type="http://schemas.openxmlformats.org/officeDocument/2006/relationships/hyperlink" Target="https://bellingcat-archive.nyc3.cdn.digitaloceanspaces.com/Ukraine_Witness_Datasheet/Worksheet/youtube_dl__TreyYingst_status_15008427330486681722022-03-09T16:50:38.315494.png" TargetMode="External"/><Relationship Id="rId5231" Type="http://schemas.openxmlformats.org/officeDocument/2006/relationships/hyperlink" Target="https://twitter.com/nexta_tv/status/1498994384880209925?s=20&amp;t=PX8T6lrqKTaPzsuOSUoeYw" TargetMode="External"/><Relationship Id="rId6562" Type="http://schemas.openxmlformats.org/officeDocument/2006/relationships/hyperlink" Target="https://bellingcat-archive.nyc3.cdn.digitaloceanspaces.com/Ukraine_Witness_Datasheet/Worksheet/youtube_dl_1500729901737029633.mp4" TargetMode="External"/><Relationship Id="rId7894" Type="http://schemas.openxmlformats.org/officeDocument/2006/relationships/hyperlink" Target="https://bellingcat-archive.nyc3.cdn.digitaloceanspaces.com/Ukraine_Witness_Datasheet/Worksheet/youtube_dl_1500842733048668172.mp4" TargetMode="External"/><Relationship Id="rId5232" Type="http://schemas.openxmlformats.org/officeDocument/2006/relationships/hyperlink" Target="https://twitter.com/nexta_tv/status/1498994384880209925?s=20&amp;t=PX8T6lrqKTaPzsuOSUoeYw" TargetMode="External"/><Relationship Id="rId6563" Type="http://schemas.openxmlformats.org/officeDocument/2006/relationships/hyperlink" Target="https://bellingcat-archive.nyc3.cdn.digitaloceanspaces.com/Ukraine_Witness_Datasheet/Worksheet/youtube_dl__no_itsmyturn_status_15007299017370296332022-03-07T17:36:16.587417.png" TargetMode="External"/><Relationship Id="rId7893" Type="http://schemas.openxmlformats.org/officeDocument/2006/relationships/hyperlink" Target="https://twitter.com/zwedowz/status/1500859018612518916" TargetMode="External"/><Relationship Id="rId5237" Type="http://schemas.openxmlformats.org/officeDocument/2006/relationships/hyperlink" Target="https://bellingcat-archive.nyc3.cdn.digitaloceanspaces.com/Ukraine_Witness_Datasheet/Worksheet/twitter__GirkinGirkin_status_14989997828613775382022-03-03T14:16:05.135785.png" TargetMode="External"/><Relationship Id="rId6568" Type="http://schemas.openxmlformats.org/officeDocument/2006/relationships/hyperlink" Target="https://bellingcat-archive.nyc3.cdn.digitaloceanspaces.com/Ukraine_Witness_Datasheet/Worksheet/youtube_dl__no_itsmyturn_status_15008027230249697302022-03-07T17:40:14.060763.png" TargetMode="External"/><Relationship Id="rId5238" Type="http://schemas.openxmlformats.org/officeDocument/2006/relationships/hyperlink" Target="https://twitter.com/GirkinGirkin/status/1496854488933715972" TargetMode="External"/><Relationship Id="rId6569" Type="http://schemas.openxmlformats.org/officeDocument/2006/relationships/hyperlink" Target="https://bellingcat-archive.nyc3.cdn.digitaloceanspaces.com/Ukraine_Witness_Datasheet/Worksheet/youtube_dl_1500802723024969730/index.html" TargetMode="External"/><Relationship Id="rId7899" Type="http://schemas.openxmlformats.org/officeDocument/2006/relationships/hyperlink" Target="https://bellingcat-archive.nyc3.cdn.digitaloceanspaces.com/Ukraine_Witness_Datasheet/Worksheet/twitter__Den_2042_status_1500744519242985473.html" TargetMode="External"/><Relationship Id="rId5235" Type="http://schemas.openxmlformats.org/officeDocument/2006/relationships/hyperlink" Target="https://twitter.com/GirkinGirkin/status/1498999782861377538" TargetMode="External"/><Relationship Id="rId6566" Type="http://schemas.openxmlformats.org/officeDocument/2006/relationships/hyperlink" Target="https://www.google.com/maps/@50.0421524,36.3604927,3a,72.1y,229.12h,112.44t/data=!3m8!1e1!3m6!1sAF1QipN5PC1Eswb3SAHvdDbCp52xjU-9lKy-Nxyvk6CL!2e10!3e11!6shttps:%2F%2Flh5.googleusercontent.com%2Fp%2FAF1QipN5PC1Eswb3SAHvdDbCp52xjU-9lKy-Nxyvk6CL%3Dw203-h100-k-no-pi-0-ya352.98825-ro-0-fo100!7i8192!8i4096" TargetMode="External"/><Relationship Id="rId7898" Type="http://schemas.openxmlformats.org/officeDocument/2006/relationships/hyperlink" Target="https://twitter.com/GeoConfirmed/status/1500856205643759616" TargetMode="External"/><Relationship Id="rId5236" Type="http://schemas.openxmlformats.org/officeDocument/2006/relationships/hyperlink" Target="https://bellingcat-archive.nyc3.cdn.digitaloceanspaces.com/Ukraine_Witness_Datasheet/Worksheet/twitter__GirkinGirkin_status_1498999782861377538.html" TargetMode="External"/><Relationship Id="rId6567" Type="http://schemas.openxmlformats.org/officeDocument/2006/relationships/hyperlink" Target="https://bellingcat-archive.nyc3.cdn.digitaloceanspaces.com/Ukraine_Witness_Datasheet/Worksheet/youtube_dl_1500802723024969730.mp4" TargetMode="External"/><Relationship Id="rId7897" Type="http://schemas.openxmlformats.org/officeDocument/2006/relationships/hyperlink" Target="https://twitter.com/Den_2042/status/1500744519242985473" TargetMode="External"/><Relationship Id="rId5228" Type="http://schemas.openxmlformats.org/officeDocument/2006/relationships/hyperlink" Target="https://twitter.com/Liveuamap/status/1498986355749232640?s=20&amp;t=vfj9GwN5xa5SK6ZXZmP2_Q" TargetMode="External"/><Relationship Id="rId6559" Type="http://schemas.openxmlformats.org/officeDocument/2006/relationships/hyperlink" Target="https://bellingcat-archive.nyc3.cdn.digitaloceanspaces.com/Ukraine_Witness_Datasheet/Worksheet/youtube_dl__no_itsmyturn_status_15007299366252544012022-03-07T17:36:00.111316.png" TargetMode="External"/><Relationship Id="rId5229" Type="http://schemas.openxmlformats.org/officeDocument/2006/relationships/hyperlink" Target="https://bellingcat-archive.nyc3.cdn.digitaloceanspaces.com/Ukraine_Witness_Datasheet/Worksheet/twitter__Liveuamap_status_1498986355749232640.html" TargetMode="External"/><Relationship Id="rId7881" Type="http://schemas.openxmlformats.org/officeDocument/2006/relationships/hyperlink" Target="https://bellingcat-archive.nyc3.cdn.digitaloceanspaces.com/Ukraine_Witness_Datasheet/Worksheet/telegram__insiderUKR_245502022-03-09T16:45:42.822702.png" TargetMode="External"/><Relationship Id="rId6550" Type="http://schemas.openxmlformats.org/officeDocument/2006/relationships/hyperlink" Target="https://twitter.com/nexta_tv/status/1500818800186478595" TargetMode="External"/><Relationship Id="rId7880" Type="http://schemas.openxmlformats.org/officeDocument/2006/relationships/hyperlink" Target="https://bellingcat-archive.nyc3.cdn.digitaloceanspaces.com/Ukraine_Witness_Datasheet/Worksheet/telegram_46cdc9b284.mp4" TargetMode="External"/><Relationship Id="rId396" Type="http://schemas.openxmlformats.org/officeDocument/2006/relationships/hyperlink" Target="https://bellingcat-archive.nyc3.cdn.digitaloceanspaces.com/Ukraine_Witness_Datasheet/Worksheet/youtube_dl_1490608655816970241.mp4" TargetMode="External"/><Relationship Id="rId5222" Type="http://schemas.openxmlformats.org/officeDocument/2006/relationships/hyperlink" Target="https://bellingcat-archive.nyc3.cdn.digitaloceanspaces.com/Ukraine_Witness_Datasheet/Worksheet/youtube_dl_1498978704524992516.mp4" TargetMode="External"/><Relationship Id="rId6553" Type="http://schemas.openxmlformats.org/officeDocument/2006/relationships/hyperlink" Target="https://bellingcat-archive.nyc3.cdn.digitaloceanspaces.com/Ukraine_Witness_Datasheet/Worksheet/youtube_dl_1500818800186478595/index.html" TargetMode="External"/><Relationship Id="rId7885" Type="http://schemas.openxmlformats.org/officeDocument/2006/relationships/hyperlink" Target="https://twitter.com/Sabados7/status/1500863755248357379" TargetMode="External"/><Relationship Id="rId395" Type="http://schemas.openxmlformats.org/officeDocument/2006/relationships/hyperlink" Target="https://twitter.com/Michael1Sheldon/status/1490600455994494980" TargetMode="External"/><Relationship Id="rId5223" Type="http://schemas.openxmlformats.org/officeDocument/2006/relationships/hyperlink" Target="https://bellingcat-archive.nyc3.cdn.digitaloceanspaces.com/Ukraine_Witness_Datasheet/Worksheet/youtube_dl__Nat_anest_status_14989787045249925162022-03-03T14:15:13.404039.png" TargetMode="External"/><Relationship Id="rId6554" Type="http://schemas.openxmlformats.org/officeDocument/2006/relationships/hyperlink" Target="https://twitter.com/Liveuamap/status/1500804904021016584" TargetMode="External"/><Relationship Id="rId7884" Type="http://schemas.openxmlformats.org/officeDocument/2006/relationships/hyperlink" Target="https://twitter.com/TpyxaNews/status/1500847070479065098" TargetMode="External"/><Relationship Id="rId394" Type="http://schemas.openxmlformats.org/officeDocument/2006/relationships/hyperlink" Target="https://twitter.com/Michael1Sheldon/status/1490608655816970241" TargetMode="External"/><Relationship Id="rId5220" Type="http://schemas.openxmlformats.org/officeDocument/2006/relationships/hyperlink" Target="https://bellingcat-archive.nyc3.cdn.digitaloceanspaces.com/Ukraine_Witness_Datasheet/Worksheet/twitter__ua_industrial_status_14989927979988541462022-03-03T14:10:18.295782.png" TargetMode="External"/><Relationship Id="rId6551" Type="http://schemas.openxmlformats.org/officeDocument/2006/relationships/hyperlink" Target="https://bellingcat-archive.nyc3.cdn.digitaloceanspaces.com/Ukraine_Witness_Datasheet/Worksheet/youtube_dl_1500818800186478595.mp4" TargetMode="External"/><Relationship Id="rId7883" Type="http://schemas.openxmlformats.org/officeDocument/2006/relationships/hyperlink" Target="https://t.me/insiderUKR/24550" TargetMode="External"/><Relationship Id="rId393" Type="http://schemas.openxmlformats.org/officeDocument/2006/relationships/hyperlink" Target="https://bellingcat-archive.nyc3.cdn.digitaloceanspaces.com/Ukraine_Witness_Datasheet/Worksheet/youtube_dl_1490601026428313601/index.html" TargetMode="External"/><Relationship Id="rId5221" Type="http://schemas.openxmlformats.org/officeDocument/2006/relationships/hyperlink" Target="https://twitter.com/Nat_anest/status/1498978704524992516?s=20&amp;t=mywWeVgKyNlqWBLmET-yRg" TargetMode="External"/><Relationship Id="rId6552" Type="http://schemas.openxmlformats.org/officeDocument/2006/relationships/hyperlink" Target="https://bellingcat-archive.nyc3.cdn.digitaloceanspaces.com/Ukraine_Witness_Datasheet/Worksheet/youtube_dl__nexta_tv_status_15008188001864785952022-03-07T17:35:34.056962.png" TargetMode="External"/><Relationship Id="rId7882" Type="http://schemas.openxmlformats.org/officeDocument/2006/relationships/hyperlink" Target="https://bellingcat-archive.nyc3.cdn.digitaloceanspaces.com/Ukraine_Witness_Datasheet/Worksheet/telegram_46cdc9b284/index.html" TargetMode="External"/><Relationship Id="rId5226" Type="http://schemas.openxmlformats.org/officeDocument/2006/relationships/hyperlink" Target="https://bellingcat-archive.nyc3.cdn.digitaloceanspaces.com/Ukraine_Witness_Datasheet/Worksheet/twitter__michaelh992_status_1498998147636502532.html" TargetMode="External"/><Relationship Id="rId6557" Type="http://schemas.openxmlformats.org/officeDocument/2006/relationships/hyperlink" Target="https://twitter.com/no_itsmyturn/status/1500729936625254401" TargetMode="External"/><Relationship Id="rId7889" Type="http://schemas.openxmlformats.org/officeDocument/2006/relationships/hyperlink" Target="https://bellingcat-archive.nyc3.cdn.digitaloceanspaces.com/Ukraine_Witness_Datasheet/Worksheet/youtube_dl_1501599776940384262.mp4" TargetMode="External"/><Relationship Id="rId399" Type="http://schemas.openxmlformats.org/officeDocument/2006/relationships/hyperlink" Target="https://twitter.com/GirkinGirkin/status/1490766954503757826" TargetMode="External"/><Relationship Id="rId5227" Type="http://schemas.openxmlformats.org/officeDocument/2006/relationships/hyperlink" Target="https://bellingcat-archive.nyc3.cdn.digitaloceanspaces.com/Ukraine_Witness_Datasheet/Worksheet/twitter__michaelh992_status_14989981476365025322022-03-03T14:15:28.638956.png" TargetMode="External"/><Relationship Id="rId6558" Type="http://schemas.openxmlformats.org/officeDocument/2006/relationships/hyperlink" Target="https://bellingcat-archive.nyc3.cdn.digitaloceanspaces.com/Ukraine_Witness_Datasheet/Worksheet/youtube_dl_1500729936625254401.mp4" TargetMode="External"/><Relationship Id="rId7888" Type="http://schemas.openxmlformats.org/officeDocument/2006/relationships/hyperlink" Target="https://twitter.com/aldin_ww/status/1501599776940384262?s=20&amp;t=946cXkbcXSxbGbei_CfX8A" TargetMode="External"/><Relationship Id="rId398" Type="http://schemas.openxmlformats.org/officeDocument/2006/relationships/hyperlink" Target="https://bellingcat-archive.nyc3.cdn.digitaloceanspaces.com/Ukraine_Witness_Datasheet/Worksheet/youtube_dl_1490608655816970241/index.html" TargetMode="External"/><Relationship Id="rId5224" Type="http://schemas.openxmlformats.org/officeDocument/2006/relationships/hyperlink" Target="https://bellingcat-archive.nyc3.cdn.digitaloceanspaces.com/Ukraine_Witness_Datasheet/Worksheet/youtube_dl_1498978704524992516/index.html" TargetMode="External"/><Relationship Id="rId6555" Type="http://schemas.openxmlformats.org/officeDocument/2006/relationships/hyperlink" Target="https://bellingcat-archive.nyc3.cdn.digitaloceanspaces.com/Ukraine_Witness_Datasheet/Worksheet/twitter__Liveuamap_status_1500804904021016584.html" TargetMode="External"/><Relationship Id="rId7887" Type="http://schemas.openxmlformats.org/officeDocument/2006/relationships/hyperlink" Target="https://bellingcat-archive.nyc3.cdn.digitaloceanspaces.com/Ukraine_Witness_Datasheet/Worksheet/twitter__TpyxaNews_status_15008470704790650982022-03-09T16:50:12.915461.png" TargetMode="External"/><Relationship Id="rId397" Type="http://schemas.openxmlformats.org/officeDocument/2006/relationships/hyperlink" Target="https://bellingcat-archive.nyc3.cdn.digitaloceanspaces.com/Ukraine_Witness_Datasheet/Worksheet/youtube_dl__Michael1Sheldon_status_14906086558169702412022-02-25T13:04:25.045022.png" TargetMode="External"/><Relationship Id="rId5225" Type="http://schemas.openxmlformats.org/officeDocument/2006/relationships/hyperlink" Target="https://twitter.com/michaelh992/status/1498998147636502532?s=20&amp;t=vfj9GwN5xa5SK6ZXZmP2_Q" TargetMode="External"/><Relationship Id="rId6556" Type="http://schemas.openxmlformats.org/officeDocument/2006/relationships/hyperlink" Target="https://bellingcat-archive.nyc3.cdn.digitaloceanspaces.com/Ukraine_Witness_Datasheet/Worksheet/twitter__Liveuamap_status_15008049040210165842022-03-07T17:35:48.711792.png" TargetMode="External"/><Relationship Id="rId7886" Type="http://schemas.openxmlformats.org/officeDocument/2006/relationships/hyperlink" Target="https://bellingcat-archive.nyc3.cdn.digitaloceanspaces.com/Ukraine_Witness_Datasheet/Worksheet/twitter__TpyxaNews_status_1500847070479065098.html" TargetMode="External"/><Relationship Id="rId1730" Type="http://schemas.openxmlformats.org/officeDocument/2006/relationships/hyperlink" Target="https://twitter.com/Michael1Sheldon/status/1494791552811421698" TargetMode="External"/><Relationship Id="rId1731" Type="http://schemas.openxmlformats.org/officeDocument/2006/relationships/hyperlink" Target="https://bellingcat-archive.nyc3.cdn.digitaloceanspaces.com/Ukraine_Witness_Datasheet/Worksheet/youtube_dl_1494790890224762882.mp4" TargetMode="External"/><Relationship Id="rId1732" Type="http://schemas.openxmlformats.org/officeDocument/2006/relationships/hyperlink" Target="https://bellingcat-archive.nyc3.cdn.digitaloceanspaces.com/Ukraine_Witness_Datasheet/Worksheet/youtube_dl__Michael1Sheldon_status_14947908902247628822022-02-25T14:01:40.212924.png" TargetMode="External"/><Relationship Id="rId1733" Type="http://schemas.openxmlformats.org/officeDocument/2006/relationships/hyperlink" Target="https://bellingcat-archive.nyc3.cdn.digitaloceanspaces.com/Ukraine_Witness_Datasheet/Worksheet/youtube_dl_1494790890224762882/index.html" TargetMode="External"/><Relationship Id="rId1734" Type="http://schemas.openxmlformats.org/officeDocument/2006/relationships/hyperlink" Target="https://twitter.com/GirkinGirkin/status/1494748190930788359" TargetMode="External"/><Relationship Id="rId1735" Type="http://schemas.openxmlformats.org/officeDocument/2006/relationships/hyperlink" Target="https://twitter.com/JohnPlatner/status/1494750965425217539" TargetMode="External"/><Relationship Id="rId1736" Type="http://schemas.openxmlformats.org/officeDocument/2006/relationships/hyperlink" Target="https://bellingcat-archive.nyc3.cdn.digitaloceanspaces.com/Ukraine_Witness_Datasheet/Worksheet/youtube_dl_1494748190930788359.mp4" TargetMode="External"/><Relationship Id="rId1737" Type="http://schemas.openxmlformats.org/officeDocument/2006/relationships/hyperlink" Target="https://bellingcat-archive.nyc3.cdn.digitaloceanspaces.com/Ukraine_Witness_Datasheet/Worksheet/youtube_dl__GirkinGirkin_status_14947481909307883592022-02-25T14:01:16.543961.png" TargetMode="External"/><Relationship Id="rId1738" Type="http://schemas.openxmlformats.org/officeDocument/2006/relationships/hyperlink" Target="https://bellingcat-archive.nyc3.cdn.digitaloceanspaces.com/Ukraine_Witness_Datasheet/Worksheet/youtube_dl_1494748190930788359/index.html" TargetMode="External"/><Relationship Id="rId1739" Type="http://schemas.openxmlformats.org/officeDocument/2006/relationships/hyperlink" Target="https://twitter.com/GirkinGirkin/status/1494748327287660548" TargetMode="External"/><Relationship Id="rId1720" Type="http://schemas.openxmlformats.org/officeDocument/2006/relationships/hyperlink" Target="https://bellingcat-archive.nyc3.cdn.digitaloceanspaces.com/Ukraine_Witness_Datasheet/Worksheet/youtube_dl_1494808918735867914/index.html" TargetMode="External"/><Relationship Id="rId1721" Type="http://schemas.openxmlformats.org/officeDocument/2006/relationships/hyperlink" Target="https://twitter.com/Michael1Sheldon/status/1494813747612954625" TargetMode="External"/><Relationship Id="rId1722" Type="http://schemas.openxmlformats.org/officeDocument/2006/relationships/hyperlink" Target="https://bellingcat-archive.nyc3.cdn.digitaloceanspaces.com/Ukraine_Witness_Datasheet/Worksheet/twitter__Michael1Sheldon_status_1494813747612954625.html" TargetMode="External"/><Relationship Id="rId1723" Type="http://schemas.openxmlformats.org/officeDocument/2006/relationships/hyperlink" Target="https://bellingcat-archive.nyc3.cdn.digitaloceanspaces.com/Ukraine_Witness_Datasheet/Worksheet/twitter__Michael1Sheldon_status_14948137476129546252022-02-25T14:02:23.167872.png" TargetMode="External"/><Relationship Id="rId1724" Type="http://schemas.openxmlformats.org/officeDocument/2006/relationships/hyperlink" Target="https://twitter.com/JC_Monitoring/status/1494814832536793090" TargetMode="External"/><Relationship Id="rId1725" Type="http://schemas.openxmlformats.org/officeDocument/2006/relationships/hyperlink" Target="https://twitter.com/JC_Monitoring/status/1494816159916511236" TargetMode="External"/><Relationship Id="rId1726" Type="http://schemas.openxmlformats.org/officeDocument/2006/relationships/hyperlink" Target="https://bellingcat-archive.nyc3.cdn.digitaloceanspaces.com/Ukraine_Witness_Datasheet/Worksheet/youtube_dl_1494814832536793090.mp4" TargetMode="External"/><Relationship Id="rId1727" Type="http://schemas.openxmlformats.org/officeDocument/2006/relationships/hyperlink" Target="https://bellingcat-archive.nyc3.cdn.digitaloceanspaces.com/Ukraine_Witness_Datasheet/Worksheet/youtube_dl__JC_Monitoring_status_14948148325367930902022-02-25T14:02:02.819137.png" TargetMode="External"/><Relationship Id="rId1728" Type="http://schemas.openxmlformats.org/officeDocument/2006/relationships/hyperlink" Target="https://bellingcat-archive.nyc3.cdn.digitaloceanspaces.com/Ukraine_Witness_Datasheet/Worksheet/youtube_dl_1494814832536793090/index.html" TargetMode="External"/><Relationship Id="rId1729" Type="http://schemas.openxmlformats.org/officeDocument/2006/relationships/hyperlink" Target="https://twitter.com/Michael1Sheldon/status/1494790890224762882" TargetMode="External"/><Relationship Id="rId1752" Type="http://schemas.openxmlformats.org/officeDocument/2006/relationships/hyperlink" Target="https://bellingcat-archive.nyc3.cdn.digitaloceanspaces.com/Ukraine_Witness_Datasheet/Worksheet/youtube_dl__GirkinGirkin_status_14947348788936458282022-02-25T14:00:18.726934.png" TargetMode="External"/><Relationship Id="rId1753" Type="http://schemas.openxmlformats.org/officeDocument/2006/relationships/hyperlink" Target="https://bellingcat-archive.nyc3.cdn.digitaloceanspaces.com/Ukraine_Witness_Datasheet/Worksheet/youtube_dl_1494734878893645828/index.html" TargetMode="External"/><Relationship Id="rId1754" Type="http://schemas.openxmlformats.org/officeDocument/2006/relationships/hyperlink" Target="https://twitter.com/Idzanagi4/status/1494620881687040000" TargetMode="External"/><Relationship Id="rId1755" Type="http://schemas.openxmlformats.org/officeDocument/2006/relationships/hyperlink" Target="https://twitter.com/Danspiun/status/1494743219766272002" TargetMode="External"/><Relationship Id="rId1756" Type="http://schemas.openxmlformats.org/officeDocument/2006/relationships/hyperlink" Target="https://bellingcat-archive.nyc3.cdn.digitaloceanspaces.com/Ukraine_Witness_Datasheet/Worksheet/youtube_dl_1494620881687040000.mp4" TargetMode="External"/><Relationship Id="rId1757" Type="http://schemas.openxmlformats.org/officeDocument/2006/relationships/hyperlink" Target="https://bellingcat-archive.nyc3.cdn.digitaloceanspaces.com/Ukraine_Witness_Datasheet/Worksheet/youtube_dl__Idzanagi4_status_14946208816870400002022-02-25T13:59:51.116909.png" TargetMode="External"/><Relationship Id="rId1758" Type="http://schemas.openxmlformats.org/officeDocument/2006/relationships/hyperlink" Target="https://bellingcat-archive.nyc3.cdn.digitaloceanspaces.com/Ukraine_Witness_Datasheet/Worksheet/youtube_dl_1494620881687040000/index.html" TargetMode="External"/><Relationship Id="rId1759" Type="http://schemas.openxmlformats.org/officeDocument/2006/relationships/hyperlink" Target="https://twitter.com/Idzanagi4/status/1494018428679639042" TargetMode="External"/><Relationship Id="rId1750" Type="http://schemas.openxmlformats.org/officeDocument/2006/relationships/hyperlink" Target="https://twitter.com/Danspiun/status/1494789276147589126" TargetMode="External"/><Relationship Id="rId1751" Type="http://schemas.openxmlformats.org/officeDocument/2006/relationships/hyperlink" Target="https://bellingcat-archive.nyc3.cdn.digitaloceanspaces.com/Ukraine_Witness_Datasheet/Worksheet/youtube_dl_1494734878893645828.mp4" TargetMode="External"/><Relationship Id="rId1741" Type="http://schemas.openxmlformats.org/officeDocument/2006/relationships/hyperlink" Target="https://bellingcat-archive.nyc3.cdn.digitaloceanspaces.com/Ukraine_Witness_Datasheet/Worksheet/youtube_dl_1494748327287660548.mp4" TargetMode="External"/><Relationship Id="rId1742" Type="http://schemas.openxmlformats.org/officeDocument/2006/relationships/hyperlink" Target="https://bellingcat-archive.nyc3.cdn.digitaloceanspaces.com/Ukraine_Witness_Datasheet/Worksheet/youtube_dl__GirkinGirkin_status_14947483272876605482022-02-25T14:00:59.456328.png" TargetMode="External"/><Relationship Id="rId1743" Type="http://schemas.openxmlformats.org/officeDocument/2006/relationships/hyperlink" Target="https://bellingcat-archive.nyc3.cdn.digitaloceanspaces.com/Ukraine_Witness_Datasheet/Worksheet/youtube_dl_1494748327287660548/index.html" TargetMode="External"/><Relationship Id="rId1744" Type="http://schemas.openxmlformats.org/officeDocument/2006/relationships/hyperlink" Target="https://twitter.com/GirkinGirkin/status/1494731971917922311" TargetMode="External"/><Relationship Id="rId1745" Type="http://schemas.openxmlformats.org/officeDocument/2006/relationships/hyperlink" Target="https://twitter.com/Danspiun/status/1494785871983353857" TargetMode="External"/><Relationship Id="rId1746" Type="http://schemas.openxmlformats.org/officeDocument/2006/relationships/hyperlink" Target="https://bellingcat-archive.nyc3.cdn.digitaloceanspaces.com/Ukraine_Witness_Datasheet/Worksheet/youtube_dl_1494731971917922311.mp4" TargetMode="External"/><Relationship Id="rId1747" Type="http://schemas.openxmlformats.org/officeDocument/2006/relationships/hyperlink" Target="https://bellingcat-archive.nyc3.cdn.digitaloceanspaces.com/Ukraine_Witness_Datasheet/Worksheet/youtube_dl__GirkinGirkin_status_14947319719179223112022-02-25T14:00:41.249759.png" TargetMode="External"/><Relationship Id="rId1748" Type="http://schemas.openxmlformats.org/officeDocument/2006/relationships/hyperlink" Target="https://bellingcat-archive.nyc3.cdn.digitaloceanspaces.com/Ukraine_Witness_Datasheet/Worksheet/youtube_dl_1494731971917922311/index.html" TargetMode="External"/><Relationship Id="rId1749" Type="http://schemas.openxmlformats.org/officeDocument/2006/relationships/hyperlink" Target="https://twitter.com/GirkinGirkin/status/1494734878893645828" TargetMode="External"/><Relationship Id="rId1740" Type="http://schemas.openxmlformats.org/officeDocument/2006/relationships/hyperlink" Target="https://twitter.com/JohnPlatner/status/1494750965425217539" TargetMode="External"/><Relationship Id="rId5291" Type="http://schemas.openxmlformats.org/officeDocument/2006/relationships/hyperlink" Target="https://bellingcat-archive.nyc3.cdn.digitaloceanspaces.com/Ukraine_Witness_Datasheet/Worksheet/telegram__operativnoZSU_10317.html" TargetMode="External"/><Relationship Id="rId5292" Type="http://schemas.openxmlformats.org/officeDocument/2006/relationships/hyperlink" Target="https://bellingcat-archive.nyc3.cdn.digitaloceanspaces.com/Ukraine_Witness_Datasheet/Worksheet/telegram__operativnoZSU_103172022-03-03T14:23:45.098776.png" TargetMode="External"/><Relationship Id="rId5290" Type="http://schemas.openxmlformats.org/officeDocument/2006/relationships/hyperlink" Target="https://t.me/operativnoZSU/10317" TargetMode="External"/><Relationship Id="rId5295" Type="http://schemas.openxmlformats.org/officeDocument/2006/relationships/hyperlink" Target="https://bellingcat-archive.nyc3.cdn.digitaloceanspaces.com/Ukraine_Witness_Datasheet/Worksheet/youtube_dl__UkraineWhat_status_14990519393336443002022-03-03T14:23:58.798110.png" TargetMode="External"/><Relationship Id="rId5296" Type="http://schemas.openxmlformats.org/officeDocument/2006/relationships/hyperlink" Target="https://bellingcat-archive.nyc3.cdn.digitaloceanspaces.com/Ukraine_Witness_Datasheet/Worksheet/youtube_dl_1499051939333644300/index.html" TargetMode="External"/><Relationship Id="rId5293" Type="http://schemas.openxmlformats.org/officeDocument/2006/relationships/hyperlink" Target="https://twitter.com/UkraineWhat/status/1499051939333644300" TargetMode="External"/><Relationship Id="rId5294" Type="http://schemas.openxmlformats.org/officeDocument/2006/relationships/hyperlink" Target="https://bellingcat-archive.nyc3.cdn.digitaloceanspaces.com/Ukraine_Witness_Datasheet/Worksheet/youtube_dl_1499051939333644300.mp4" TargetMode="External"/><Relationship Id="rId5299" Type="http://schemas.openxmlformats.org/officeDocument/2006/relationships/hyperlink" Target="https://bellingcat-archive.nyc3.cdn.digitaloceanspaces.com/Ukraine_Witness_Datasheet/Worksheet/telegram__truexanewsua_279102022-03-03T14:24:12.667247.png" TargetMode="External"/><Relationship Id="rId5297" Type="http://schemas.openxmlformats.org/officeDocument/2006/relationships/hyperlink" Target="https://t.me/truexanewsua/27910" TargetMode="External"/><Relationship Id="rId5298" Type="http://schemas.openxmlformats.org/officeDocument/2006/relationships/hyperlink" Target="https://bellingcat-archive.nyc3.cdn.digitaloceanspaces.com/Ukraine_Witness_Datasheet/Worksheet/telegram__truexanewsua_27910.html" TargetMode="External"/><Relationship Id="rId5280" Type="http://schemas.openxmlformats.org/officeDocument/2006/relationships/hyperlink" Target="https://t.me/nexta_live/19327" TargetMode="External"/><Relationship Id="rId5281" Type="http://schemas.openxmlformats.org/officeDocument/2006/relationships/hyperlink" Target="https://bellingcat-archive.nyc3.cdn.digitaloceanspaces.com/Ukraine_Witness_Datasheet/Worksheet/telegram_2351919712.mp4" TargetMode="External"/><Relationship Id="rId5284" Type="http://schemas.openxmlformats.org/officeDocument/2006/relationships/hyperlink" Target="https://t.me/nexta_live/19327" TargetMode="External"/><Relationship Id="rId5285" Type="http://schemas.openxmlformats.org/officeDocument/2006/relationships/hyperlink" Target="https://t.me/truexanewsua/24341" TargetMode="External"/><Relationship Id="rId5282" Type="http://schemas.openxmlformats.org/officeDocument/2006/relationships/hyperlink" Target="https://bellingcat-archive.nyc3.cdn.digitaloceanspaces.com/Ukraine_Witness_Datasheet/Worksheet/telegram__nexta_live_193272022-03-03T14:21:54.968896.png" TargetMode="External"/><Relationship Id="rId5283" Type="http://schemas.openxmlformats.org/officeDocument/2006/relationships/hyperlink" Target="https://bellingcat-archive.nyc3.cdn.digitaloceanspaces.com/Ukraine_Witness_Datasheet/Worksheet/telegram_2351919712/index.html" TargetMode="External"/><Relationship Id="rId5288" Type="http://schemas.openxmlformats.org/officeDocument/2006/relationships/hyperlink" Target="https://bellingcat-archive.nyc3.cdn.digitaloceanspaces.com/Ukraine_Witness_Datasheet/Worksheet/telegram_d4ef02f786/index.html" TargetMode="External"/><Relationship Id="rId5289" Type="http://schemas.openxmlformats.org/officeDocument/2006/relationships/hyperlink" Target="https://t.me/truexanewsua/24341" TargetMode="External"/><Relationship Id="rId5286" Type="http://schemas.openxmlformats.org/officeDocument/2006/relationships/hyperlink" Target="https://bellingcat-archive.nyc3.cdn.digitaloceanspaces.com/Ukraine_Witness_Datasheet/Worksheet/telegram_d4ef02f786.mp4" TargetMode="External"/><Relationship Id="rId5287" Type="http://schemas.openxmlformats.org/officeDocument/2006/relationships/hyperlink" Target="https://bellingcat-archive.nyc3.cdn.digitaloceanspaces.com/Ukraine_Witness_Datasheet/Worksheet/telegram__truexanewsua_243412022-03-03T14:22:17.320324.png" TargetMode="External"/><Relationship Id="rId1710" Type="http://schemas.openxmlformats.org/officeDocument/2006/relationships/hyperlink" Target="https://bellingcat-archive.nyc3.cdn.digitaloceanspaces.com/Ukraine_Witness_Datasheet/Worksheet/youtube_dl_1494747979361792008/index.html" TargetMode="External"/><Relationship Id="rId1711" Type="http://schemas.openxmlformats.org/officeDocument/2006/relationships/hyperlink" Target="https://twitter.com/Michael1Sheldon/status/1494799856346488840" TargetMode="External"/><Relationship Id="rId1712" Type="http://schemas.openxmlformats.org/officeDocument/2006/relationships/hyperlink" Target="https://twitter.com/Michael1Sheldon/status/1494800002287292419" TargetMode="External"/><Relationship Id="rId1713" Type="http://schemas.openxmlformats.org/officeDocument/2006/relationships/hyperlink" Target="https://bellingcat-archive.nyc3.cdn.digitaloceanspaces.com/Ukraine_Witness_Datasheet/Worksheet/youtube_dl_1494799856346488840.mp4" TargetMode="External"/><Relationship Id="rId1714" Type="http://schemas.openxmlformats.org/officeDocument/2006/relationships/hyperlink" Target="https://bellingcat-archive.nyc3.cdn.digitaloceanspaces.com/Ukraine_Witness_Datasheet/Worksheet/youtube_dl__Michael1Sheldon_status_14947998563464888402022-02-25T14:03:01.220645.png" TargetMode="External"/><Relationship Id="rId1715" Type="http://schemas.openxmlformats.org/officeDocument/2006/relationships/hyperlink" Target="https://bellingcat-archive.nyc3.cdn.digitaloceanspaces.com/Ukraine_Witness_Datasheet/Worksheet/youtube_dl_1494799856346488840/index.html" TargetMode="External"/><Relationship Id="rId1716" Type="http://schemas.openxmlformats.org/officeDocument/2006/relationships/hyperlink" Target="https://twitter.com/JC_Monitoring/status/1494808918735867914" TargetMode="External"/><Relationship Id="rId1717" Type="http://schemas.openxmlformats.org/officeDocument/2006/relationships/hyperlink" Target="https://twitter.com/JC_Monitoring/status/1494809578890010631" TargetMode="External"/><Relationship Id="rId1718" Type="http://schemas.openxmlformats.org/officeDocument/2006/relationships/hyperlink" Target="https://bellingcat-archive.nyc3.cdn.digitaloceanspaces.com/Ukraine_Witness_Datasheet/Worksheet/youtube_dl_1494808918735867914.mp4" TargetMode="External"/><Relationship Id="rId1719" Type="http://schemas.openxmlformats.org/officeDocument/2006/relationships/hyperlink" Target="https://bellingcat-archive.nyc3.cdn.digitaloceanspaces.com/Ukraine_Witness_Datasheet/Worksheet/youtube_dl__JC_Monitoring_status_14948089187358679142022-02-25T14:02:38.323162.png" TargetMode="External"/><Relationship Id="rId1700" Type="http://schemas.openxmlformats.org/officeDocument/2006/relationships/hyperlink" Target="https://bellingcat-archive.nyc3.cdn.digitaloceanspaces.com/Ukraine_Witness_Datasheet/Worksheet/wayback__herooftheday10_status_14947205402584883292022-02-25T14:05:02.088742.png" TargetMode="External"/><Relationship Id="rId1701" Type="http://schemas.openxmlformats.org/officeDocument/2006/relationships/hyperlink" Target="https://twitter.com/GirkinGirkin/status/1494675977322041351" TargetMode="External"/><Relationship Id="rId1702" Type="http://schemas.openxmlformats.org/officeDocument/2006/relationships/hyperlink" Target="https://twitter.com/gfusfus/status/1494697400493035526" TargetMode="External"/><Relationship Id="rId1703" Type="http://schemas.openxmlformats.org/officeDocument/2006/relationships/hyperlink" Target="https://bellingcat-archive.nyc3.cdn.digitaloceanspaces.com/Ukraine_Witness_Datasheet/Worksheet/youtube_dl_1494675977322041351.mp4" TargetMode="External"/><Relationship Id="rId1704" Type="http://schemas.openxmlformats.org/officeDocument/2006/relationships/hyperlink" Target="https://bellingcat-archive.nyc3.cdn.digitaloceanspaces.com/Ukraine_Witness_Datasheet/Worksheet/youtube_dl__GirkinGirkin_status_14946759773220413512022-02-25T14:03:40.928699.png" TargetMode="External"/><Relationship Id="rId1705" Type="http://schemas.openxmlformats.org/officeDocument/2006/relationships/hyperlink" Target="https://bellingcat-archive.nyc3.cdn.digitaloceanspaces.com/Ukraine_Witness_Datasheet/Worksheet/youtube_dl_1494675977322041351/index.html" TargetMode="External"/><Relationship Id="rId1706" Type="http://schemas.openxmlformats.org/officeDocument/2006/relationships/hyperlink" Target="https://twitter.com/GirkinGirkin/status/1494747979361792008" TargetMode="External"/><Relationship Id="rId1707" Type="http://schemas.openxmlformats.org/officeDocument/2006/relationships/hyperlink" Target="https://twitter.com/jimmyarturopaiz/status/1494770812058062851" TargetMode="External"/><Relationship Id="rId1708" Type="http://schemas.openxmlformats.org/officeDocument/2006/relationships/hyperlink" Target="https://bellingcat-archive.nyc3.cdn.digitaloceanspaces.com/Ukraine_Witness_Datasheet/Worksheet/youtube_dl_1494747979361792008.mp4" TargetMode="External"/><Relationship Id="rId1709" Type="http://schemas.openxmlformats.org/officeDocument/2006/relationships/hyperlink" Target="https://bellingcat-archive.nyc3.cdn.digitaloceanspaces.com/Ukraine_Witness_Datasheet/Worksheet/youtube_dl__GirkinGirkin_status_14947479793617920082022-02-25T14:03:22.296312.png" TargetMode="External"/><Relationship Id="rId40" Type="http://schemas.openxmlformats.org/officeDocument/2006/relationships/hyperlink" Target="https://bellingcat-archive.nyc3.cdn.digitaloceanspaces.com/ukraine_witness_test/Worksheet/yotube_dl__MarQs___status_14852442577034608672022-02-25T10:20:15.609327.png" TargetMode="External"/><Relationship Id="rId42" Type="http://schemas.openxmlformats.org/officeDocument/2006/relationships/hyperlink" Target="https://twitter.com/GirkinGirkin/status/1484505789452754946" TargetMode="External"/><Relationship Id="rId41" Type="http://schemas.openxmlformats.org/officeDocument/2006/relationships/hyperlink" Target="https://bellingcat-archive.nyc3.cdn.digitaloceanspaces.com/ukraine_witness_test/Worksheet/yotube_dl_1485244257703460867/index.html" TargetMode="External"/><Relationship Id="rId44" Type="http://schemas.openxmlformats.org/officeDocument/2006/relationships/hyperlink" Target="https://bellingcat-archive.nyc3.cdn.digitaloceanspaces.com/ukraine_witness_test/Worksheet/yotube_dl_1484505789452754946.mp4" TargetMode="External"/><Relationship Id="rId43" Type="http://schemas.openxmlformats.org/officeDocument/2006/relationships/hyperlink" Target="https://twitter.com/war_matter/status/1484527116058521600" TargetMode="External"/><Relationship Id="rId46" Type="http://schemas.openxmlformats.org/officeDocument/2006/relationships/hyperlink" Target="https://bellingcat-archive.nyc3.cdn.digitaloceanspaces.com/ukraine_witness_test/Worksheet/yotube_dl_1484505789452754946/index.html" TargetMode="External"/><Relationship Id="rId45" Type="http://schemas.openxmlformats.org/officeDocument/2006/relationships/hyperlink" Target="https://bellingcat-archive.nyc3.cdn.digitaloceanspaces.com/ukraine_witness_test/Worksheet/yotube_dl__GirkinGirkin_status_14845057894527549462022-02-25T10:20:30.110952.png" TargetMode="External"/><Relationship Id="rId48" Type="http://schemas.openxmlformats.org/officeDocument/2006/relationships/hyperlink" Target="https://bellingcat-archive.nyc3.cdn.digitaloceanspaces.com/ukraine_witness_test/Worksheet/yotube_dl_1483070921304940547.mp4" TargetMode="External"/><Relationship Id="rId47" Type="http://schemas.openxmlformats.org/officeDocument/2006/relationships/hyperlink" Target="https://twitter.com/GirkinGirkin/status/1483070921304940547" TargetMode="External"/><Relationship Id="rId49" Type="http://schemas.openxmlformats.org/officeDocument/2006/relationships/hyperlink" Target="https://bellingcat-archive.nyc3.cdn.digitaloceanspaces.com/ukraine_witness_test/Worksheet/yotube_dl__GirkinGirkin_status_14830709213049405472022-02-25T10:20:43.272771.png" TargetMode="External"/><Relationship Id="rId31" Type="http://schemas.openxmlformats.org/officeDocument/2006/relationships/hyperlink" Target="https://bellingcat-archive.nyc3.cdn.digitaloceanspaces.com/ukraine_witness_test/Worksheet/yotube_dl__GirkinGirkin_status_14849490515902054492022-02-25T10:20:00.456739.png" TargetMode="External"/><Relationship Id="rId30" Type="http://schemas.openxmlformats.org/officeDocument/2006/relationships/hyperlink" Target="https://bellingcat-archive.nyc3.cdn.digitaloceanspaces.com/ukraine_witness_test/Worksheet/yotube_dl_1484949051590205449.mp4" TargetMode="External"/><Relationship Id="rId33" Type="http://schemas.openxmlformats.org/officeDocument/2006/relationships/hyperlink" Target="https://twitter.com/MotolkoHelp/status/1485579157060866049" TargetMode="External"/><Relationship Id="rId32" Type="http://schemas.openxmlformats.org/officeDocument/2006/relationships/hyperlink" Target="https://bellingcat-archive.nyc3.cdn.digitaloceanspaces.com/ukraine_witness_test/Worksheet/yotube_dl_1484949051590205449/index.html" TargetMode="External"/><Relationship Id="rId35" Type="http://schemas.openxmlformats.org/officeDocument/2006/relationships/hyperlink" Target="https://bellingcat-archive.nyc3.cdn.digitaloceanspaces.com/ukraine_witness_test3/Worksheet/twitter__MotolkoHelp_status_1485579157060866049.html" TargetMode="External"/><Relationship Id="rId34" Type="http://schemas.openxmlformats.org/officeDocument/2006/relationships/hyperlink" Target="https://twitter.com/MotolkoHelp/status/1485579157060866049/retweets/with_comments" TargetMode="External"/><Relationship Id="rId37" Type="http://schemas.openxmlformats.org/officeDocument/2006/relationships/hyperlink" Target="https://twitter.com/MarQs__/status/1485244257703460867" TargetMode="External"/><Relationship Id="rId36" Type="http://schemas.openxmlformats.org/officeDocument/2006/relationships/hyperlink" Target="https://bellingcat-archive.nyc3.cdn.digitaloceanspaces.com/ukraine_witness_test3/Worksheet/twitter__MotolkoHelp_status_14855791570608660492022-02-25T11:12:35.638071.png" TargetMode="External"/><Relationship Id="rId39" Type="http://schemas.openxmlformats.org/officeDocument/2006/relationships/hyperlink" Target="https://bellingcat-archive.nyc3.cdn.digitaloceanspaces.com/ukraine_witness_test/Worksheet/yotube_dl_1485244257703460867.mp4" TargetMode="External"/><Relationship Id="rId38" Type="http://schemas.openxmlformats.org/officeDocument/2006/relationships/hyperlink" Target="https://twitter.com/war_matter/status/1485246909413748738" TargetMode="External"/><Relationship Id="rId20" Type="http://schemas.openxmlformats.org/officeDocument/2006/relationships/hyperlink" Target="https://twitter.com/war_matter/status/1484717236443303937" TargetMode="External"/><Relationship Id="rId22" Type="http://schemas.openxmlformats.org/officeDocument/2006/relationships/hyperlink" Target="https://bellingcat-archive.nyc3.cdn.digitaloceanspaces.com/ukraine_witness_test/Worksheet/yotube_dl__GirkinGirkin_status_14846841814101319702022-02-25T10:19:32.772462.png" TargetMode="External"/><Relationship Id="rId21" Type="http://schemas.openxmlformats.org/officeDocument/2006/relationships/hyperlink" Target="https://bellingcat-archive.nyc3.cdn.digitaloceanspaces.com/ukraine_witness_test/Worksheet/yotube_dl_1484684181410131970.mp4" TargetMode="External"/><Relationship Id="rId24" Type="http://schemas.openxmlformats.org/officeDocument/2006/relationships/hyperlink" Target="https://twitter.com/MarQs__/status/1485235147997917187" TargetMode="External"/><Relationship Id="rId23" Type="http://schemas.openxmlformats.org/officeDocument/2006/relationships/hyperlink" Target="https://bellingcat-archive.nyc3.cdn.digitaloceanspaces.com/ukraine_witness_test/Worksheet/yotube_dl_1484684181410131970/index.html" TargetMode="External"/><Relationship Id="rId26" Type="http://schemas.openxmlformats.org/officeDocument/2006/relationships/hyperlink" Target="https://bellingcat-archive.nyc3.cdn.digitaloceanspaces.com/ukraine_witness_test/Worksheet/yotube_dl__MarQs___status_14852351479979171872022-02-25T10:19:46.812377.png" TargetMode="External"/><Relationship Id="rId25" Type="http://schemas.openxmlformats.org/officeDocument/2006/relationships/hyperlink" Target="https://bellingcat-archive.nyc3.cdn.digitaloceanspaces.com/ukraine_witness_test/Worksheet/yotube_dl_1485235147997917187.mp4" TargetMode="External"/><Relationship Id="rId28" Type="http://schemas.openxmlformats.org/officeDocument/2006/relationships/hyperlink" Target="https://twitter.com/GirkinGirkin/status/1484949051590205449" TargetMode="External"/><Relationship Id="rId27" Type="http://schemas.openxmlformats.org/officeDocument/2006/relationships/hyperlink" Target="https://bellingcat-archive.nyc3.cdn.digitaloceanspaces.com/ukraine_witness_test/Worksheet/yotube_dl_1485235147997917187/index.html" TargetMode="External"/><Relationship Id="rId29" Type="http://schemas.openxmlformats.org/officeDocument/2006/relationships/hyperlink" Target="https://www.google.com/maps/place/Zheleznodorozhnyy+vokzal/@54.798138,32.038185,3a,75y,90t/data=!3m8!1e2!3m6!1sAF1QipMuC-manusAgXJVyRTqC_4x_RuwM-8qZbxdXTY!2e10!3e12!6shttps:%2F%2Flh5.googleusercontent.com%2Fp%2FAF1QipMuC-manusAgXJVyRTqC_4x_RuwM-8qZbxdXTY%3Dw114-h86-k-no!7i4608!8i3456!4m13!1m7!3m6!1s0x0:0x67f4d5785236d6d6!2zNTTCsDQ3JzUwLjYiTiAzMsKwMDInMTAuOSJF!3b1!8m2!3d54.79738!4d32.03637!3m4!1s0x46cef81c4f39d587:0x63b1becfd2d3352c!8m2!3d54.798138!4d32.038185" TargetMode="External"/><Relationship Id="rId11" Type="http://schemas.openxmlformats.org/officeDocument/2006/relationships/hyperlink" Target="https://www.google.com/maps/place/Osipovichy+1/@53.2997984,28.6462825,3a,75y,90t/data=!3m8!1e2!3m6!1sAF1QipM4Wd7VUF7rFxnJc6Qy923Xox71kuy1yB6326hj!2e10!3e12!6shttps:%2F%2Flh5.googleusercontent.com%2Fp%2FAF1QipM4Wd7VUF7rFxnJc6Qy923Xox71kuy1yB6326hj%3Dw141-h86-k-no!7i5139!8i3130!4m13!1m7!3m6!1s0x0:0x50e62924144110f7!2zNTPCsDE4JzEyLjIiTiAyOMKwMzgnMTIuOCJF!3b1!8m2!3d53.303394!4d28.636886!3m4!1s0x46d756b54e753ea1:0xbf0874f48ba8f5d3!8m2!3d53.2997984!4d28.6462825" TargetMode="External"/><Relationship Id="rId10" Type="http://schemas.openxmlformats.org/officeDocument/2006/relationships/hyperlink" Target="https://twitter.com/MotolkoHelp/status/1484482329452204032" TargetMode="External"/><Relationship Id="rId13" Type="http://schemas.openxmlformats.org/officeDocument/2006/relationships/hyperlink" Target="https://bellingcat-archive.nyc3.cdn.digitaloceanspaces.com/ukraine_witness_test/Worksheet/yotube_dl__MotolkoHelp_status_14844823294522040322022-02-25T10:19:02.714125.png" TargetMode="External"/><Relationship Id="rId12" Type="http://schemas.openxmlformats.org/officeDocument/2006/relationships/hyperlink" Target="https://bellingcat-archive.nyc3.cdn.digitaloceanspaces.com/ukraine_witness_test/Worksheet/yotube_dl_1484482329452204032.mp4" TargetMode="External"/><Relationship Id="rId15" Type="http://schemas.openxmlformats.org/officeDocument/2006/relationships/hyperlink" Target="https://twitter.com/GirkinGirkin/status/1484580547892592647" TargetMode="External"/><Relationship Id="rId14" Type="http://schemas.openxmlformats.org/officeDocument/2006/relationships/hyperlink" Target="https://bellingcat-archive.nyc3.cdn.digitaloceanspaces.com/ukraine_witness_test/Worksheet/yotube_dl_1484482329452204032/index.html" TargetMode="External"/><Relationship Id="rId17" Type="http://schemas.openxmlformats.org/officeDocument/2006/relationships/hyperlink" Target="https://bellingcat-archive.nyc3.cdn.digitaloceanspaces.com/ukraine_witness_test/Worksheet/yotube_dl__GirkinGirkin_status_14845805478925926472022-02-25T10:19:19.260146.png" TargetMode="External"/><Relationship Id="rId16" Type="http://schemas.openxmlformats.org/officeDocument/2006/relationships/hyperlink" Target="https://bellingcat-archive.nyc3.cdn.digitaloceanspaces.com/ukraine_witness_test/Worksheet/yotube_dl_1484580547892592647.mp4" TargetMode="External"/><Relationship Id="rId19" Type="http://schemas.openxmlformats.org/officeDocument/2006/relationships/hyperlink" Target="https://twitter.com/GirkinGirkin/status/1484684181410131970" TargetMode="External"/><Relationship Id="rId18" Type="http://schemas.openxmlformats.org/officeDocument/2006/relationships/hyperlink" Target="https://bellingcat-archive.nyc3.cdn.digitaloceanspaces.com/ukraine_witness_test/Worksheet/yotube_dl_1484580547892592647/index.html" TargetMode="External"/><Relationship Id="rId84" Type="http://schemas.openxmlformats.org/officeDocument/2006/relationships/hyperlink" Target="https://bellingcat-archive.nyc3.cdn.digitaloceanspaces.com/ukraine_witness_test/Worksheet/yotube_dl_1485215101867200515.mp4" TargetMode="External"/><Relationship Id="rId1774" Type="http://schemas.openxmlformats.org/officeDocument/2006/relationships/hyperlink" Target="https://twitter.com/danvan71/status/1494849439940362246?s=20&amp;t=fNdQIqfJXju09bqbWecqpg" TargetMode="External"/><Relationship Id="rId83" Type="http://schemas.openxmlformats.org/officeDocument/2006/relationships/hyperlink" Target="https://twitter.com/GirkinGirkin/status/1485215101867200515" TargetMode="External"/><Relationship Id="rId1775" Type="http://schemas.openxmlformats.org/officeDocument/2006/relationships/hyperlink" Target="https://bellingcat-archive.nyc3.cdn.digitaloceanspaces.com/Ukraine_Witness_Datasheet/Worksheet/youtube_dl_1494830278136717313.mp4" TargetMode="External"/><Relationship Id="rId86" Type="http://schemas.openxmlformats.org/officeDocument/2006/relationships/hyperlink" Target="https://bellingcat-archive.nyc3.cdn.digitaloceanspaces.com/ukraine_witness_test/Worksheet/yotube_dl_1485215101867200515/index.html" TargetMode="External"/><Relationship Id="rId1776" Type="http://schemas.openxmlformats.org/officeDocument/2006/relationships/hyperlink" Target="https://bellingcat-archive.nyc3.cdn.digitaloceanspaces.com/Ukraine_Witness_Datasheet/Worksheet/youtube_dl__GirkinGirkin_status_14948302781367173132022-02-25T13:58:33.958674.png" TargetMode="External"/><Relationship Id="rId85" Type="http://schemas.openxmlformats.org/officeDocument/2006/relationships/hyperlink" Target="https://bellingcat-archive.nyc3.cdn.digitaloceanspaces.com/ukraine_witness_test/Worksheet/yotube_dl__GirkinGirkin_status_14852151018672005152022-02-25T10:23:43.852753.png" TargetMode="External"/><Relationship Id="rId1777" Type="http://schemas.openxmlformats.org/officeDocument/2006/relationships/hyperlink" Target="https://bellingcat-archive.nyc3.cdn.digitaloceanspaces.com/Ukraine_Witness_Datasheet/Worksheet/youtube_dl_1494830278136717313/index.html" TargetMode="External"/><Relationship Id="rId88" Type="http://schemas.openxmlformats.org/officeDocument/2006/relationships/hyperlink" Target="https://bellingcat-archive.nyc3.cdn.digitaloceanspaces.com/ukraine_witness_test/Worksheet/yotube_dl_1485310938903367693.mp4" TargetMode="External"/><Relationship Id="rId1778" Type="http://schemas.openxmlformats.org/officeDocument/2006/relationships/hyperlink" Target="https://twitter.com/GirkinGirkin/status/1494915178139373568" TargetMode="External"/><Relationship Id="rId87" Type="http://schemas.openxmlformats.org/officeDocument/2006/relationships/hyperlink" Target="https://twitter.com/GirkinGirkin/status/1485310938903367693" TargetMode="External"/><Relationship Id="rId1779" Type="http://schemas.openxmlformats.org/officeDocument/2006/relationships/hyperlink" Target="https://twitter.com/bobmoretti/status/1494925131239464964" TargetMode="External"/><Relationship Id="rId89" Type="http://schemas.openxmlformats.org/officeDocument/2006/relationships/hyperlink" Target="https://bellingcat-archive.nyc3.cdn.digitaloceanspaces.com/ukraine_witness_test/Worksheet/yotube_dl__GirkinGirkin_status_14853109389033676932022-02-25T10:24:01.054304.png" TargetMode="External"/><Relationship Id="rId80" Type="http://schemas.openxmlformats.org/officeDocument/2006/relationships/hyperlink" Target="https://bellingcat-archive.nyc3.cdn.digitaloceanspaces.com/ukraine_witness_test/Worksheet/tiktok_7056334111664819458.mp4" TargetMode="External"/><Relationship Id="rId82" Type="http://schemas.openxmlformats.org/officeDocument/2006/relationships/hyperlink" Target="https://bellingcat-archive.nyc3.cdn.digitaloceanspaces.com/ukraine_witness_test/Worksheet/tiktok_7056334111664819458/index.html" TargetMode="External"/><Relationship Id="rId81" Type="http://schemas.openxmlformats.org/officeDocument/2006/relationships/hyperlink" Target="https://bellingcat-archive.nyc3.cdn.digitaloceanspaces.com/ukraine_witness_test/Worksheet/tiktok__@alexpaul_1990_video_70563341116648194582022-02-25T10:23:28.384048.png" TargetMode="External"/><Relationship Id="rId1770" Type="http://schemas.openxmlformats.org/officeDocument/2006/relationships/hyperlink" Target="https://bellingcat-archive.nyc3.cdn.digitaloceanspaces.com/Ukraine_Witness_Datasheet/Worksheet/youtube_dl_1494885377890471941.mp4" TargetMode="External"/><Relationship Id="rId1771" Type="http://schemas.openxmlformats.org/officeDocument/2006/relationships/hyperlink" Target="https://bellingcat-archive.nyc3.cdn.digitaloceanspaces.com/Ukraine_Witness_Datasheet/Worksheet/youtube_dl__GirkinGirkin_status_14948853778904719412022-02-25T13:58:55.744366.png" TargetMode="External"/><Relationship Id="rId1772" Type="http://schemas.openxmlformats.org/officeDocument/2006/relationships/hyperlink" Target="https://bellingcat-archive.nyc3.cdn.digitaloceanspaces.com/Ukraine_Witness_Datasheet/Worksheet/youtube_dl_1494885377890471941/index.html" TargetMode="External"/><Relationship Id="rId1773" Type="http://schemas.openxmlformats.org/officeDocument/2006/relationships/hyperlink" Target="https://twitter.com/GirkinGirkin/status/1494830278136717313" TargetMode="External"/><Relationship Id="rId73" Type="http://schemas.openxmlformats.org/officeDocument/2006/relationships/hyperlink" Target="https://bellingcat-archive.nyc3.cdn.digitaloceanspaces.com/ukraine_witness_test/Worksheet/yotube_dl__GirkinGirkin_status_14842288898074091552022-02-25T10:22:32.452018.png" TargetMode="External"/><Relationship Id="rId1763" Type="http://schemas.openxmlformats.org/officeDocument/2006/relationships/hyperlink" Target="https://twitter.com/GirkinGirkin/status/1494821968067145734" TargetMode="External"/><Relationship Id="rId72" Type="http://schemas.openxmlformats.org/officeDocument/2006/relationships/hyperlink" Target="https://bellingcat-archive.nyc3.cdn.digitaloceanspaces.com/ukraine_witness_test/Worksheet/yotube_dl_1484228889807409155.mp4" TargetMode="External"/><Relationship Id="rId1764" Type="http://schemas.openxmlformats.org/officeDocument/2006/relationships/hyperlink" Target="https://twitter.com/ruggerz/status/1494834381273325576" TargetMode="External"/><Relationship Id="rId75" Type="http://schemas.openxmlformats.org/officeDocument/2006/relationships/hyperlink" Target="https://twitter.com/GirkinGirkin/status/1484837416959627267" TargetMode="External"/><Relationship Id="rId1765" Type="http://schemas.openxmlformats.org/officeDocument/2006/relationships/hyperlink" Target="https://bellingcat-archive.nyc3.cdn.digitaloceanspaces.com/Ukraine_Witness_Datasheet/Worksheet/youtube_dl_1494821968067145734.mp4" TargetMode="External"/><Relationship Id="rId74" Type="http://schemas.openxmlformats.org/officeDocument/2006/relationships/hyperlink" Target="https://bellingcat-archive.nyc3.cdn.digitaloceanspaces.com/ukraine_witness_test/Worksheet/yotube_dl_1484228889807409155/index.html" TargetMode="External"/><Relationship Id="rId1766" Type="http://schemas.openxmlformats.org/officeDocument/2006/relationships/hyperlink" Target="https://bellingcat-archive.nyc3.cdn.digitaloceanspaces.com/Ukraine_Witness_Datasheet/Worksheet/youtube_dl__GirkinGirkin_status_14948219680671457342022-02-25T13:59:14.395920.png" TargetMode="External"/><Relationship Id="rId77" Type="http://schemas.openxmlformats.org/officeDocument/2006/relationships/hyperlink" Target="https://bellingcat-archive.nyc3.cdn.digitaloceanspaces.com/ukraine_witness_test/Worksheet/yotube_dl__GirkinGirkin_status_14848374169596272672022-02-25T10:22:47.851262.png" TargetMode="External"/><Relationship Id="rId1767" Type="http://schemas.openxmlformats.org/officeDocument/2006/relationships/hyperlink" Target="https://bellingcat-archive.nyc3.cdn.digitaloceanspaces.com/Ukraine_Witness_Datasheet/Worksheet/youtube_dl_1494821968067145734/index.html" TargetMode="External"/><Relationship Id="rId76" Type="http://schemas.openxmlformats.org/officeDocument/2006/relationships/hyperlink" Target="https://bellingcat-archive.nyc3.cdn.digitaloceanspaces.com/ukraine_witness_test/Worksheet/yotube_dl_1484837416959627267.mp4" TargetMode="External"/><Relationship Id="rId1768" Type="http://schemas.openxmlformats.org/officeDocument/2006/relationships/hyperlink" Target="https://twitter.com/GirkinGirkin/status/1494885377890471941" TargetMode="External"/><Relationship Id="rId79" Type="http://schemas.openxmlformats.org/officeDocument/2006/relationships/hyperlink" Target="https://www.tiktok.com/@alexpaul_1990/video/7056334111664819458?is_copy_url=1&amp;is_from_webapp=v1" TargetMode="External"/><Relationship Id="rId1769" Type="http://schemas.openxmlformats.org/officeDocument/2006/relationships/hyperlink" Target="https://twitter.com/bobmoretti/status/1494889005984354309" TargetMode="External"/><Relationship Id="rId78" Type="http://schemas.openxmlformats.org/officeDocument/2006/relationships/hyperlink" Target="https://bellingcat-archive.nyc3.cdn.digitaloceanspaces.com/ukraine_witness_test/Worksheet/yotube_dl_1484837416959627267/index.html" TargetMode="External"/><Relationship Id="rId71" Type="http://schemas.openxmlformats.org/officeDocument/2006/relationships/hyperlink" Target="https://twitter.com/GirkinGirkin/status/1484228889807409155" TargetMode="External"/><Relationship Id="rId70" Type="http://schemas.openxmlformats.org/officeDocument/2006/relationships/hyperlink" Target="https://bellingcat-archive.nyc3.cdn.digitaloceanspaces.com/ukraine_witness_test/Worksheet/yotube_dl_1486154729520574467/index.html" TargetMode="External"/><Relationship Id="rId1760" Type="http://schemas.openxmlformats.org/officeDocument/2006/relationships/hyperlink" Target="https://bellingcat-archive.nyc3.cdn.digitaloceanspaces.com/Ukraine_Witness_Datasheet/Worksheet/youtube_dl_1494018428679639042.mp4" TargetMode="External"/><Relationship Id="rId1761" Type="http://schemas.openxmlformats.org/officeDocument/2006/relationships/hyperlink" Target="https://bellingcat-archive.nyc3.cdn.digitaloceanspaces.com/Ukraine_Witness_Datasheet/Worksheet/youtube_dl__Idzanagi4_status_14940184286796390422022-02-25T13:59:34.102465.png" TargetMode="External"/><Relationship Id="rId1762" Type="http://schemas.openxmlformats.org/officeDocument/2006/relationships/hyperlink" Target="https://bellingcat-archive.nyc3.cdn.digitaloceanspaces.com/Ukraine_Witness_Datasheet/Worksheet/youtube_dl_1494018428679639042/index.html" TargetMode="External"/><Relationship Id="rId62" Type="http://schemas.openxmlformats.org/officeDocument/2006/relationships/hyperlink" Target="https://bellingcat-archive.nyc3.cdn.digitaloceanspaces.com/ukraine_witness_test/Worksheet/yotube_dl_1486652617858158593/index.html" TargetMode="External"/><Relationship Id="rId1796" Type="http://schemas.openxmlformats.org/officeDocument/2006/relationships/hyperlink" Target="https://bellingcat-archive.nyc3.cdn.digitaloceanspaces.com/Ukraine_Witness_Datasheet/Worksheet/youtube_dl__Michael1Sheldon_status_14950616415784017952022-02-25T13:57:17.521166.png" TargetMode="External"/><Relationship Id="rId61" Type="http://schemas.openxmlformats.org/officeDocument/2006/relationships/hyperlink" Target="https://bellingcat-archive.nyc3.cdn.digitaloceanspaces.com/ukraine_witness_test/Worksheet/yotube_dl__MarQs___status_14866526178581585932022-02-25T10:21:39.918973.png" TargetMode="External"/><Relationship Id="rId1797" Type="http://schemas.openxmlformats.org/officeDocument/2006/relationships/hyperlink" Target="https://bellingcat-archive.nyc3.cdn.digitaloceanspaces.com/Ukraine_Witness_Datasheet/Worksheet/youtube_dl_1495061641578401795/index.html" TargetMode="External"/><Relationship Id="rId64" Type="http://schemas.openxmlformats.org/officeDocument/2006/relationships/hyperlink" Target="https://bellingcat-archive.nyc3.cdn.digitaloceanspaces.com/ukraine_witness_test/Worksheet/yotube_dl_1486659703891546115.mp4" TargetMode="External"/><Relationship Id="rId1798" Type="http://schemas.openxmlformats.org/officeDocument/2006/relationships/hyperlink" Target="https://twitter.com/Michael1Sheldon/status/1495062942903156744" TargetMode="External"/><Relationship Id="rId63" Type="http://schemas.openxmlformats.org/officeDocument/2006/relationships/hyperlink" Target="https://twitter.com/GirkinGirkin/status/1486659703891546115" TargetMode="External"/><Relationship Id="rId1799" Type="http://schemas.openxmlformats.org/officeDocument/2006/relationships/hyperlink" Target="https://twitter.com/Michael1Sheldon/status/1495063340250456070" TargetMode="External"/><Relationship Id="rId66" Type="http://schemas.openxmlformats.org/officeDocument/2006/relationships/hyperlink" Target="https://bellingcat-archive.nyc3.cdn.digitaloceanspaces.com/ukraine_witness_test/Worksheet/yotube_dl_1486659703891546115/index.html" TargetMode="External"/><Relationship Id="rId65" Type="http://schemas.openxmlformats.org/officeDocument/2006/relationships/hyperlink" Target="https://bellingcat-archive.nyc3.cdn.digitaloceanspaces.com/ukraine_witness_test/Worksheet/yotube_dl__GirkinGirkin_status_14866597038915461152022-02-25T10:22:03.718950.png" TargetMode="External"/><Relationship Id="rId68" Type="http://schemas.openxmlformats.org/officeDocument/2006/relationships/hyperlink" Target="https://bellingcat-archive.nyc3.cdn.digitaloceanspaces.com/ukraine_witness_test/Worksheet/yotube_dl_1486154729520574467.mp4" TargetMode="External"/><Relationship Id="rId67" Type="http://schemas.openxmlformats.org/officeDocument/2006/relationships/hyperlink" Target="https://twitter.com/GirkinGirkin/status/1486154729520574467" TargetMode="External"/><Relationship Id="rId60" Type="http://schemas.openxmlformats.org/officeDocument/2006/relationships/hyperlink" Target="https://bellingcat-archive.nyc3.cdn.digitaloceanspaces.com/ukraine_witness_test/Worksheet/yotube_dl_1486652617858158593.mp4" TargetMode="External"/><Relationship Id="rId69" Type="http://schemas.openxmlformats.org/officeDocument/2006/relationships/hyperlink" Target="https://bellingcat-archive.nyc3.cdn.digitaloceanspaces.com/ukraine_witness_test/Worksheet/yotube_dl__GirkinGirkin_status_14861547295205744672022-02-25T10:22:17.767001.png" TargetMode="External"/><Relationship Id="rId1790" Type="http://schemas.openxmlformats.org/officeDocument/2006/relationships/hyperlink" Target="https://bellingcat-archive.nyc3.cdn.digitaloceanspaces.com/Ukraine_Witness_Datasheet/Worksheet/youtube_dl_1495058835731582979.mp4" TargetMode="External"/><Relationship Id="rId1791" Type="http://schemas.openxmlformats.org/officeDocument/2006/relationships/hyperlink" Target="https://bellingcat-archive.nyc3.cdn.digitaloceanspaces.com/Ukraine_Witness_Datasheet/Worksheet/youtube_dl__Michael1Sheldon_status_14950588357315829792022-02-25T13:57:36.141695.png" TargetMode="External"/><Relationship Id="rId1792" Type="http://schemas.openxmlformats.org/officeDocument/2006/relationships/hyperlink" Target="https://bellingcat-archive.nyc3.cdn.digitaloceanspaces.com/Ukraine_Witness_Datasheet/Worksheet/youtube_dl_1495058835731582979/index.html" TargetMode="External"/><Relationship Id="rId1793" Type="http://schemas.openxmlformats.org/officeDocument/2006/relationships/hyperlink" Target="https://twitter.com/Michael1Sheldon/status/1495061641578401795" TargetMode="External"/><Relationship Id="rId1794" Type="http://schemas.openxmlformats.org/officeDocument/2006/relationships/hyperlink" Target="https://twitter.com/Michael1Sheldon/status/1495063340250456070" TargetMode="External"/><Relationship Id="rId1795" Type="http://schemas.openxmlformats.org/officeDocument/2006/relationships/hyperlink" Target="https://bellingcat-archive.nyc3.cdn.digitaloceanspaces.com/Ukraine_Witness_Datasheet/Worksheet/youtube_dl_1495061641578401795.mp4" TargetMode="External"/><Relationship Id="rId51" Type="http://schemas.openxmlformats.org/officeDocument/2006/relationships/hyperlink" Target="https://twitter.com/GirkinGirkin/status/1485930045860458496" TargetMode="External"/><Relationship Id="rId1785" Type="http://schemas.openxmlformats.org/officeDocument/2006/relationships/hyperlink" Target="https://bellingcat-archive.nyc3.cdn.digitaloceanspaces.com/Ukraine_Witness_Datasheet/Worksheet/youtube_dl_1495019081631772673.mp4" TargetMode="External"/><Relationship Id="rId50" Type="http://schemas.openxmlformats.org/officeDocument/2006/relationships/hyperlink" Target="https://bellingcat-archive.nyc3.cdn.digitaloceanspaces.com/ukraine_witness_test/Worksheet/yotube_dl_1483070921304940547/index.html" TargetMode="External"/><Relationship Id="rId1786" Type="http://schemas.openxmlformats.org/officeDocument/2006/relationships/hyperlink" Target="https://bellingcat-archive.nyc3.cdn.digitaloceanspaces.com/Ukraine_Witness_Datasheet/Worksheet/youtube_dl__GirkinGirkin_status_14950190816317726732022-02-25T13:57:56.088660.png" TargetMode="External"/><Relationship Id="rId53" Type="http://schemas.openxmlformats.org/officeDocument/2006/relationships/hyperlink" Target="https://bellingcat-archive.nyc3.cdn.digitaloceanspaces.com/ukraine_witness_test/Worksheet/yotube_dl__GirkinGirkin_status_14859300458604584962022-02-25T10:20:56.688465.png" TargetMode="External"/><Relationship Id="rId1787" Type="http://schemas.openxmlformats.org/officeDocument/2006/relationships/hyperlink" Target="https://bellingcat-archive.nyc3.cdn.digitaloceanspaces.com/Ukraine_Witness_Datasheet/Worksheet/youtube_dl_1495019081631772673/index.html" TargetMode="External"/><Relationship Id="rId52" Type="http://schemas.openxmlformats.org/officeDocument/2006/relationships/hyperlink" Target="https://bellingcat-archive.nyc3.cdn.digitaloceanspaces.com/ukraine_witness_test/Worksheet/yotube_dl_1485930045860458496.mp4" TargetMode="External"/><Relationship Id="rId1788" Type="http://schemas.openxmlformats.org/officeDocument/2006/relationships/hyperlink" Target="https://twitter.com/Michael1Sheldon/status/1495058835731582979" TargetMode="External"/><Relationship Id="rId55" Type="http://schemas.openxmlformats.org/officeDocument/2006/relationships/hyperlink" Target="https://twitter.com/GirkinGirkin/status/1481246660588093441" TargetMode="External"/><Relationship Id="rId1789" Type="http://schemas.openxmlformats.org/officeDocument/2006/relationships/hyperlink" Target="https://twitter.com/Michael1Sheldon/status/1495058510949888004" TargetMode="External"/><Relationship Id="rId54" Type="http://schemas.openxmlformats.org/officeDocument/2006/relationships/hyperlink" Target="https://bellingcat-archive.nyc3.cdn.digitaloceanspaces.com/ukraine_witness_test/Worksheet/yotube_dl_1485930045860458496/index.html" TargetMode="External"/><Relationship Id="rId57" Type="http://schemas.openxmlformats.org/officeDocument/2006/relationships/hyperlink" Target="https://bellingcat-archive.nyc3.cdn.digitaloceanspaces.com/ukraine_witness_test/Worksheet/yotube_dl__GirkinGirkin_status_14812466605880934412022-02-25T10:21:10.885436.png" TargetMode="External"/><Relationship Id="rId56" Type="http://schemas.openxmlformats.org/officeDocument/2006/relationships/hyperlink" Target="https://bellingcat-archive.nyc3.cdn.digitaloceanspaces.com/ukraine_witness_test/Worksheet/yotube_dl_1481246660588093441.mp4" TargetMode="External"/><Relationship Id="rId59" Type="http://schemas.openxmlformats.org/officeDocument/2006/relationships/hyperlink" Target="https://twitter.com/MarQs__/status/1486652617858158593" TargetMode="External"/><Relationship Id="rId58" Type="http://schemas.openxmlformats.org/officeDocument/2006/relationships/hyperlink" Target="https://bellingcat-archive.nyc3.cdn.digitaloceanspaces.com/ukraine_witness_test/Worksheet/yotube_dl_1481246660588093441/index.html" TargetMode="External"/><Relationship Id="rId1780" Type="http://schemas.openxmlformats.org/officeDocument/2006/relationships/hyperlink" Target="https://bellingcat-archive.nyc3.cdn.digitaloceanspaces.com/Ukraine_Witness_Datasheet/Worksheet/youtube_dl_1494915178139373568.mp4" TargetMode="External"/><Relationship Id="rId1781" Type="http://schemas.openxmlformats.org/officeDocument/2006/relationships/hyperlink" Target="https://bellingcat-archive.nyc3.cdn.digitaloceanspaces.com/Ukraine_Witness_Datasheet/Worksheet/youtube_dl__GirkinGirkin_status_14949151781393735682022-02-25T13:58:13.972705.png" TargetMode="External"/><Relationship Id="rId1782" Type="http://schemas.openxmlformats.org/officeDocument/2006/relationships/hyperlink" Target="https://bellingcat-archive.nyc3.cdn.digitaloceanspaces.com/Ukraine_Witness_Datasheet/Worksheet/youtube_dl_1494915178139373568/index.html" TargetMode="External"/><Relationship Id="rId1783" Type="http://schemas.openxmlformats.org/officeDocument/2006/relationships/hyperlink" Target="https://twitter.com/GirkinGirkin/status/1495019081631772673" TargetMode="External"/><Relationship Id="rId1784" Type="http://schemas.openxmlformats.org/officeDocument/2006/relationships/hyperlink" Target="https://twitter.com/danvan71/status/1495033884219744256" TargetMode="External"/><Relationship Id="rId6627" Type="http://schemas.openxmlformats.org/officeDocument/2006/relationships/hyperlink" Target="https://bellingcat-archive.nyc3.cdn.digitaloceanspaces.com/Ukraine_Witness_Datasheet/Worksheet/youtube_dl_1500873366307315721.mp4" TargetMode="External"/><Relationship Id="rId7959" Type="http://schemas.openxmlformats.org/officeDocument/2006/relationships/hyperlink" Target="https://t.me/truexanewsua/31143" TargetMode="External"/><Relationship Id="rId6628" Type="http://schemas.openxmlformats.org/officeDocument/2006/relationships/hyperlink" Target="https://bellingcat-archive.nyc3.cdn.digitaloceanspaces.com/Ukraine_Witness_Datasheet/Worksheet/youtube_dl__no_itsmyturn_status_15008733663073157212022-03-07T20:50:49.488911.png" TargetMode="External"/><Relationship Id="rId7958" Type="http://schemas.openxmlformats.org/officeDocument/2006/relationships/hyperlink" Target="https://bellingcat-archive.nyc3.cdn.digitaloceanspaces.com/Ukraine_Witness_Datasheet/Worksheet/youtube_dl_1501496022526271488/index.html" TargetMode="External"/><Relationship Id="rId6625" Type="http://schemas.openxmlformats.org/officeDocument/2006/relationships/hyperlink" Target="https://twitter.com/no_itsmyturn/status/1500873366307315721" TargetMode="External"/><Relationship Id="rId7957" Type="http://schemas.openxmlformats.org/officeDocument/2006/relationships/hyperlink" Target="https://bellingcat-archive.nyc3.cdn.digitaloceanspaces.com/Ukraine_Witness_Datasheet/Worksheet/youtube_dl__AlexandruC4_status_15014960225262714882022-03-09T17:12:11.556860.png" TargetMode="External"/><Relationship Id="rId6626" Type="http://schemas.openxmlformats.org/officeDocument/2006/relationships/hyperlink" Target="https://twitter.com/bradyafr/status/1500870975625256960" TargetMode="External"/><Relationship Id="rId7956" Type="http://schemas.openxmlformats.org/officeDocument/2006/relationships/hyperlink" Target="https://bellingcat-archive.nyc3.cdn.digitaloceanspaces.com/Ukraine_Witness_Datasheet/Worksheet/youtube_dl_1501496022526271488.mp4" TargetMode="External"/><Relationship Id="rId6629" Type="http://schemas.openxmlformats.org/officeDocument/2006/relationships/hyperlink" Target="https://bellingcat-archive.nyc3.cdn.digitaloceanspaces.com/Ukraine_Witness_Datasheet/Worksheet/youtube_dl_1500873366307315721/index.html" TargetMode="External"/><Relationship Id="rId349" Type="http://schemas.openxmlformats.org/officeDocument/2006/relationships/hyperlink" Target="https://bellingcat-archive.nyc3.cdn.digitaloceanspaces.com/ukraine_witness_test/Worksheet/yotube_dl_1489128841905852416/index.html" TargetMode="External"/><Relationship Id="rId348" Type="http://schemas.openxmlformats.org/officeDocument/2006/relationships/hyperlink" Target="https://bellingcat-archive.nyc3.cdn.digitaloceanspaces.com/ukraine_witness_test/Worksheet/yotube_dl__RALee85_status_14891288419058524162022-02-25T12:21:04.546301.png" TargetMode="External"/><Relationship Id="rId347" Type="http://schemas.openxmlformats.org/officeDocument/2006/relationships/hyperlink" Target="https://bellingcat-archive.nyc3.cdn.digitaloceanspaces.com/ukraine_witness_test/Worksheet/yotube_dl_1489128841905852416.mp4" TargetMode="External"/><Relationship Id="rId346" Type="http://schemas.openxmlformats.org/officeDocument/2006/relationships/hyperlink" Target="https://twitter.com/Michael1Sheldon/status/1489259813007593478" TargetMode="External"/><Relationship Id="rId341" Type="http://schemas.openxmlformats.org/officeDocument/2006/relationships/hyperlink" Target="https://twitter.com/jp_clancy/status/1489018901346275332" TargetMode="External"/><Relationship Id="rId7951" Type="http://schemas.openxmlformats.org/officeDocument/2006/relationships/hyperlink" Target="https://bellingcat-archive.nyc3.cdn.digitaloceanspaces.com/Ukraine_Witness_Datasheet/Worksheet/youtube_dl_1501448809003507712.mp4" TargetMode="External"/><Relationship Id="rId340" Type="http://schemas.openxmlformats.org/officeDocument/2006/relationships/hyperlink" Target="https://twitter.com/jp_clancy/status/1489018901346275332" TargetMode="External"/><Relationship Id="rId6620" Type="http://schemas.openxmlformats.org/officeDocument/2006/relationships/hyperlink" Target="https://bellingcat-archive.nyc3.cdn.digitaloceanspaces.com/Ukraine_Witness_Datasheet/Worksheet/youtube_dl_1500859879464087553/index.html" TargetMode="External"/><Relationship Id="rId7950" Type="http://schemas.openxmlformats.org/officeDocument/2006/relationships/hyperlink" Target="https://www.google.com/maps/@50.032755,36.349055,3a,75y,324.94h,94.58t/data=!3m8!1e1!3m6!1sAF1QipNsW2LeI82byJjP5NElVAYPWomJEvRHwYSKTWhd!2e10!3e11!6shttps:%2F%2Flh5.googleusercontent.com%2Fp%2FAF1QipNsW2LeI82byJjP5NElVAYPWomJEvRHwYSKTWhd%3Dw203-h100-k-no-pi-0-ya110.805504-ro-0-fo100!7i6656!8i3328" TargetMode="External"/><Relationship Id="rId345" Type="http://schemas.openxmlformats.org/officeDocument/2006/relationships/hyperlink" Target="https://twitter.com/RALee85/status/1489128841905852416" TargetMode="External"/><Relationship Id="rId6623" Type="http://schemas.openxmlformats.org/officeDocument/2006/relationships/hyperlink" Target="https://bellingcat-archive.nyc3.cdn.digitaloceanspaces.com/Ukraine_Witness_Datasheet/Worksheet/youtube_dl__no_itsmyturn_status_15008659735780843542022-03-07T20:50:32.056214.png" TargetMode="External"/><Relationship Id="rId7955" Type="http://schemas.openxmlformats.org/officeDocument/2006/relationships/hyperlink" Target="https://www.google.com/maps/@50.032755,36.349055,3a,75y,324.94h,94.58t/data=!3m8!1e1!3m6!1sAF1QipNsW2LeI82byJjP5NElVAYPWomJEvRHwYSKTWhd!2e10!3e11!6shttps:%2F%2Flh5.googleusercontent.com%2Fp%2FAF1QipNsW2LeI82byJjP5NElVAYPWomJEvRHwYSKTWhd%3Dw203-h100-k-no-pi-0-ya110.805504-ro-0-fo100!7i6656!8i3328" TargetMode="External"/><Relationship Id="rId344" Type="http://schemas.openxmlformats.org/officeDocument/2006/relationships/hyperlink" Target="https://bellingcat-archive.nyc3.cdn.digitaloceanspaces.com/ukraine_witness_test/Worksheet/yotube_dl_1489018901346275332/index.html" TargetMode="External"/><Relationship Id="rId6624" Type="http://schemas.openxmlformats.org/officeDocument/2006/relationships/hyperlink" Target="https://bellingcat-archive.nyc3.cdn.digitaloceanspaces.com/Ukraine_Witness_Datasheet/Worksheet/youtube_dl_1500865973578084354/index.html" TargetMode="External"/><Relationship Id="rId7954" Type="http://schemas.openxmlformats.org/officeDocument/2006/relationships/hyperlink" Target="https://twitter.com/AlexandruC4/status/1501496022526271488" TargetMode="External"/><Relationship Id="rId343" Type="http://schemas.openxmlformats.org/officeDocument/2006/relationships/hyperlink" Target="https://bellingcat-archive.nyc3.cdn.digitaloceanspaces.com/ukraine_witness_test/Worksheet/yotube_dl__jp_clancy_status_14890189013462753322022-02-25T12:20:44.522572.png" TargetMode="External"/><Relationship Id="rId6621" Type="http://schemas.openxmlformats.org/officeDocument/2006/relationships/hyperlink" Target="https://twitter.com/no_itsmyturn/status/1500865973578084354" TargetMode="External"/><Relationship Id="rId7953" Type="http://schemas.openxmlformats.org/officeDocument/2006/relationships/hyperlink" Target="https://bellingcat-archive.nyc3.cdn.digitaloceanspaces.com/Ukraine_Witness_Datasheet/Worksheet/youtube_dl_1501448809003507712/index.html" TargetMode="External"/><Relationship Id="rId342" Type="http://schemas.openxmlformats.org/officeDocument/2006/relationships/hyperlink" Target="https://bellingcat-archive.nyc3.cdn.digitaloceanspaces.com/ukraine_witness_test/Worksheet/yotube_dl_1489018901346275332.mp4" TargetMode="External"/><Relationship Id="rId6622" Type="http://schemas.openxmlformats.org/officeDocument/2006/relationships/hyperlink" Target="https://bellingcat-archive.nyc3.cdn.digitaloceanspaces.com/Ukraine_Witness_Datasheet/Worksheet/youtube_dl_1500865973578084354.mp4" TargetMode="External"/><Relationship Id="rId7952" Type="http://schemas.openxmlformats.org/officeDocument/2006/relationships/hyperlink" Target="https://bellingcat-archive.nyc3.cdn.digitaloceanspaces.com/Ukraine_Witness_Datasheet/Worksheet/youtube_dl___tredecim__status_15014488090035077122022-03-09T17:11:57.339530.png" TargetMode="External"/><Relationship Id="rId6616" Type="http://schemas.openxmlformats.org/officeDocument/2006/relationships/hyperlink" Target="https://bellingcat-archive.nyc3.cdn.digitaloceanspaces.com/Ukraine_Witness_Datasheet/Worksheet/youtube_dl_1500836900105564163/index.html" TargetMode="External"/><Relationship Id="rId7948" Type="http://schemas.openxmlformats.org/officeDocument/2006/relationships/hyperlink" Target="https://bellingcat-archive.nyc3.cdn.digitaloceanspaces.com/Ukraine_Witness_Datasheet/Worksheet/telegram__truexanewsua_311732022-03-09T17:11:42.708578.png" TargetMode="External"/><Relationship Id="rId6617" Type="http://schemas.openxmlformats.org/officeDocument/2006/relationships/hyperlink" Target="https://twitter.com/no_itsmyturn/status/1500859879464087553" TargetMode="External"/><Relationship Id="rId7947" Type="http://schemas.openxmlformats.org/officeDocument/2006/relationships/hyperlink" Target="https://bellingcat-archive.nyc3.cdn.digitaloceanspaces.com/Ukraine_Witness_Datasheet/Worksheet/telegram__truexanewsua_31173.html" TargetMode="External"/><Relationship Id="rId6614" Type="http://schemas.openxmlformats.org/officeDocument/2006/relationships/hyperlink" Target="https://bellingcat-archive.nyc3.cdn.digitaloceanspaces.com/Ukraine_Witness_Datasheet/Worksheet/youtube_dl_1500836900105564163.mp4" TargetMode="External"/><Relationship Id="rId7946" Type="http://schemas.openxmlformats.org/officeDocument/2006/relationships/hyperlink" Target="https://t.me/truexanewsua/31173" TargetMode="External"/><Relationship Id="rId6615" Type="http://schemas.openxmlformats.org/officeDocument/2006/relationships/hyperlink" Target="https://bellingcat-archive.nyc3.cdn.digitaloceanspaces.com/Ukraine_Witness_Datasheet/Worksheet/youtube_dl__no_itsmyturn_status_15008369001055641632022-03-07T20:45:16.412533.png" TargetMode="External"/><Relationship Id="rId7945" Type="http://schemas.openxmlformats.org/officeDocument/2006/relationships/hyperlink" Target="https://bellingcat-archive.nyc3.cdn.digitaloceanspaces.com/Ukraine_Witness_Datasheet/Worksheet/wayback__truexanewsua_311502022-03-09T17:11:33.366249.png" TargetMode="External"/><Relationship Id="rId6618" Type="http://schemas.openxmlformats.org/officeDocument/2006/relationships/hyperlink" Target="https://bellingcat-archive.nyc3.cdn.digitaloceanspaces.com/Ukraine_Witness_Datasheet/Worksheet/youtube_dl_1500859879464087553.mp4" TargetMode="External"/><Relationship Id="rId6619" Type="http://schemas.openxmlformats.org/officeDocument/2006/relationships/hyperlink" Target="https://bellingcat-archive.nyc3.cdn.digitaloceanspaces.com/Ukraine_Witness_Datasheet/Worksheet/youtube_dl__no_itsmyturn_status_15008598794640875532022-03-07T20:50:17.007305.png" TargetMode="External"/><Relationship Id="rId7949" Type="http://schemas.openxmlformats.org/officeDocument/2006/relationships/hyperlink" Target="https://twitter.com/_tredecim_/status/1501448809003507712?s=20&amp;t=n0e7DjsQ2_x1CaVdbyqnXw" TargetMode="External"/><Relationship Id="rId338" Type="http://schemas.openxmlformats.org/officeDocument/2006/relationships/hyperlink" Target="https://bellingcat-archive.nyc3.cdn.digitaloceanspaces.com/ukraine_witness_test/Worksheet/yotube_dl__GirkinGirkin_status_14887493599110799412022-02-25T12:20:23.119459.png" TargetMode="External"/><Relationship Id="rId337" Type="http://schemas.openxmlformats.org/officeDocument/2006/relationships/hyperlink" Target="https://bellingcat-archive.nyc3.cdn.digitaloceanspaces.com/ukraine_witness_test/Worksheet/yotube_dl_1488749359911079941.mp4" TargetMode="External"/><Relationship Id="rId336" Type="http://schemas.openxmlformats.org/officeDocument/2006/relationships/hyperlink" Target="https://twitter.com/kromark/status/1488863143732424707" TargetMode="External"/><Relationship Id="rId335" Type="http://schemas.openxmlformats.org/officeDocument/2006/relationships/hyperlink" Target="https://twitter.com/GirkinGirkin/status/1488749359911079941" TargetMode="External"/><Relationship Id="rId339" Type="http://schemas.openxmlformats.org/officeDocument/2006/relationships/hyperlink" Target="https://bellingcat-archive.nyc3.cdn.digitaloceanspaces.com/ukraine_witness_test/Worksheet/yotube_dl_1488749359911079941/index.html" TargetMode="External"/><Relationship Id="rId330" Type="http://schemas.openxmlformats.org/officeDocument/2006/relationships/hyperlink" Target="https://bellingcat-archive.nyc3.cdn.digitaloceanspaces.com/ukraine_witness_test/Worksheet/tiktok_7059050323675073797.mp4" TargetMode="External"/><Relationship Id="rId7940" Type="http://schemas.openxmlformats.org/officeDocument/2006/relationships/hyperlink" Target="https://t.me/truexanewsua/31192?single" TargetMode="External"/><Relationship Id="rId334" Type="http://schemas.openxmlformats.org/officeDocument/2006/relationships/hyperlink" Target="https://twitter.com/Michael1Sheldon/status/1488761521920520196" TargetMode="External"/><Relationship Id="rId6612" Type="http://schemas.openxmlformats.org/officeDocument/2006/relationships/hyperlink" Target="https://bellingcat-archive.nyc3.cdn.digitaloceanspaces.com/Ukraine_Witness_Datasheet/Worksheet/youtube_dl_1500816704959565824/index.html" TargetMode="External"/><Relationship Id="rId7944" Type="http://schemas.openxmlformats.org/officeDocument/2006/relationships/hyperlink" Target="https://web.archive.org/web/20220309170959/https://t.me/truexanewsua/31150?single" TargetMode="External"/><Relationship Id="rId333" Type="http://schemas.openxmlformats.org/officeDocument/2006/relationships/hyperlink" Target="https://www.tiktok.com/@kostyan_1986_/video/7059752758785658118?is_copy_url=1&amp;is_from_webapp=v1&amp;q=Kostyan_1986_&amp;t=1643805498136" TargetMode="External"/><Relationship Id="rId6613" Type="http://schemas.openxmlformats.org/officeDocument/2006/relationships/hyperlink" Target="https://twitter.com/no_itsmyturn/status/1500850402211909635" TargetMode="External"/><Relationship Id="rId7943" Type="http://schemas.openxmlformats.org/officeDocument/2006/relationships/hyperlink" Target="https://t.me/truexanewsua/31150?single" TargetMode="External"/><Relationship Id="rId332" Type="http://schemas.openxmlformats.org/officeDocument/2006/relationships/hyperlink" Target="https://bellingcat-archive.nyc3.cdn.digitaloceanspaces.com/ukraine_witness_test/Worksheet/tiktok_7059050323675073797/index.html" TargetMode="External"/><Relationship Id="rId6610" Type="http://schemas.openxmlformats.org/officeDocument/2006/relationships/hyperlink" Target="https://bellingcat-archive.nyc3.cdn.digitaloceanspaces.com/Ukraine_Witness_Datasheet/Worksheet/youtube_dl_1500816704959565824.mp4" TargetMode="External"/><Relationship Id="rId7942" Type="http://schemas.openxmlformats.org/officeDocument/2006/relationships/hyperlink" Target="https://bellingcat-archive.nyc3.cdn.digitaloceanspaces.com/Ukraine_Witness_Datasheet/Worksheet/wayback__truexanewsua_311922022-03-09T17:09:38.485078.png" TargetMode="External"/><Relationship Id="rId331" Type="http://schemas.openxmlformats.org/officeDocument/2006/relationships/hyperlink" Target="https://bellingcat-archive.nyc3.cdn.digitaloceanspaces.com/ukraine_witness_test/Worksheet/tiktok__@chisto_mama_video_70590503236750737972022-02-25T11:48:57.635508.png" TargetMode="External"/><Relationship Id="rId6611" Type="http://schemas.openxmlformats.org/officeDocument/2006/relationships/hyperlink" Target="https://bellingcat-archive.nyc3.cdn.digitaloceanspaces.com/Ukraine_Witness_Datasheet/Worksheet/youtube_dl__no_itsmyturn_status_15008167049595658242022-03-07T20:20:13.448983.png" TargetMode="External"/><Relationship Id="rId7941" Type="http://schemas.openxmlformats.org/officeDocument/2006/relationships/hyperlink" Target="https://web.archive.org/web/20220309170802/https://t.me/truexanewsua/31192?single" TargetMode="External"/><Relationship Id="rId5318" Type="http://schemas.openxmlformats.org/officeDocument/2006/relationships/hyperlink" Target="https://twitter.com/GirkinGirkin/status/1499356252396269573" TargetMode="External"/><Relationship Id="rId6649" Type="http://schemas.openxmlformats.org/officeDocument/2006/relationships/hyperlink" Target="https://twitter.com/kargolow/status/1500930390281920513" TargetMode="External"/><Relationship Id="rId5319" Type="http://schemas.openxmlformats.org/officeDocument/2006/relationships/hyperlink" Target="https://twitter.com/gfusfus/status/1499390620569382913" TargetMode="External"/><Relationship Id="rId5316" Type="http://schemas.openxmlformats.org/officeDocument/2006/relationships/hyperlink" Target="https://bellingcat-archive.nyc3.cdn.digitaloceanspaces.com/Ukraine_Witness_Datasheet/Worksheet/telegram_b3c7347aea/index.html" TargetMode="External"/><Relationship Id="rId6647" Type="http://schemas.openxmlformats.org/officeDocument/2006/relationships/hyperlink" Target="https://t.me/truexanewsua/25972" TargetMode="External"/><Relationship Id="rId7979" Type="http://schemas.openxmlformats.org/officeDocument/2006/relationships/hyperlink" Target="https://bellingcat-archive.nyc3.cdn.digitaloceanspaces.com/Ukraine_Witness_Datasheet/Worksheet/youtube_dl_1501606161472176135/index.html" TargetMode="External"/><Relationship Id="rId5317" Type="http://schemas.openxmlformats.org/officeDocument/2006/relationships/hyperlink" Target="https://t.me/voyna_novost/17753" TargetMode="External"/><Relationship Id="rId6648" Type="http://schemas.openxmlformats.org/officeDocument/2006/relationships/hyperlink" Target="https://twitter.com/KrukuOne/status/1500915853193269256" TargetMode="External"/><Relationship Id="rId7978" Type="http://schemas.openxmlformats.org/officeDocument/2006/relationships/hyperlink" Target="https://bellingcat-archive.nyc3.cdn.digitaloceanspaces.com/Ukraine_Witness_Datasheet/Worksheet/youtube_dl__ua_industrial_status_15016061614721761352022-03-09T17:40:13.140075.png" TargetMode="External"/><Relationship Id="rId370" Type="http://schemas.openxmlformats.org/officeDocument/2006/relationships/hyperlink" Target="https://twitter.com/Michael1Sheldon/status/1490504153101180928" TargetMode="External"/><Relationship Id="rId369" Type="http://schemas.openxmlformats.org/officeDocument/2006/relationships/hyperlink" Target="https://twitter.com/Michael1Sheldon/status/1490502986715516931" TargetMode="External"/><Relationship Id="rId368" Type="http://schemas.openxmlformats.org/officeDocument/2006/relationships/hyperlink" Target="https://bellingcat-archive.nyc3.cdn.digitaloceanspaces.com/Ukraine_Witness_Datasheet/Worksheet/youtube_dl_1490472689273823233/index.html" TargetMode="External"/><Relationship Id="rId363" Type="http://schemas.openxmlformats.org/officeDocument/2006/relationships/hyperlink" Target="https://bellingcat-archive.nyc3.cdn.digitaloceanspaces.com/ukraine_witness_test/Worksheet/yotube_dl_1489964591736102912/index.html" TargetMode="External"/><Relationship Id="rId5310" Type="http://schemas.openxmlformats.org/officeDocument/2006/relationships/hyperlink" Target="https://bellingcat-archive.nyc3.cdn.digitaloceanspaces.com/Ukraine_Witness_Datasheet/Worksheet/telegram__truexanewsua_279492022-03-03T14:24:49.263751.png" TargetMode="External"/><Relationship Id="rId6641" Type="http://schemas.openxmlformats.org/officeDocument/2006/relationships/hyperlink" Target="https://bellingcat-archive.nyc3.cdn.digitaloceanspaces.com/Ukraine_Witness_Datasheet/Worksheet/telegram__truexanewsua_24976.html" TargetMode="External"/><Relationship Id="rId7973" Type="http://schemas.openxmlformats.org/officeDocument/2006/relationships/hyperlink" Target="https://twitter.com/no_itsmyturn/status/1501543044180582403?s=20&amp;t=Oz1z1qQq9mQH7-5Hi9Y9Kg" TargetMode="External"/><Relationship Id="rId362" Type="http://schemas.openxmlformats.org/officeDocument/2006/relationships/hyperlink" Target="https://bellingcat-archive.nyc3.cdn.digitaloceanspaces.com/ukraine_witness_test/Worksheet/yotube_dl__GirkinGirkin_status_14899645917361029122022-02-25T12:21:58.632850.png" TargetMode="External"/><Relationship Id="rId5311" Type="http://schemas.openxmlformats.org/officeDocument/2006/relationships/hyperlink" Target="https://bellingcat-archive.nyc3.cdn.digitaloceanspaces.com/Ukraine_Witness_Datasheet/Worksheet/telegram_0bb9272665/index.html" TargetMode="External"/><Relationship Id="rId6642" Type="http://schemas.openxmlformats.org/officeDocument/2006/relationships/hyperlink" Target="https://bellingcat-archive.nyc3.cdn.digitaloceanspaces.com/Ukraine_Witness_Datasheet/Worksheet/telegram__truexanewsua_249762022-03-07T23:25:10.235858.png" TargetMode="External"/><Relationship Id="rId7972" Type="http://schemas.openxmlformats.org/officeDocument/2006/relationships/hyperlink" Target="https://bellingcat-archive.nyc3.cdn.digitaloceanspaces.com/Ukraine_Witness_Datasheet/Worksheet/youtube_dl_7071720567228910854/index.html" TargetMode="External"/><Relationship Id="rId361" Type="http://schemas.openxmlformats.org/officeDocument/2006/relationships/hyperlink" Target="https://bellingcat-archive.nyc3.cdn.digitaloceanspaces.com/ukraine_witness_test/Worksheet/yotube_dl_1489964591736102912.mp4" TargetMode="External"/><Relationship Id="rId7971" Type="http://schemas.openxmlformats.org/officeDocument/2006/relationships/hyperlink" Target="https://bellingcat-archive.nyc3.cdn.digitaloceanspaces.com/Ukraine_Witness_Datasheet/Worksheet/youtube_dl__@blacklist.niko_video_70717205672289108542022-03-09T17:24:34.426564.png" TargetMode="External"/><Relationship Id="rId360" Type="http://schemas.openxmlformats.org/officeDocument/2006/relationships/hyperlink" Target="https://twitter.com/danvan71/status/1489983609616355363" TargetMode="External"/><Relationship Id="rId6640" Type="http://schemas.openxmlformats.org/officeDocument/2006/relationships/hyperlink" Target="https://t.me/truexanewsua/24976" TargetMode="External"/><Relationship Id="rId7970" Type="http://schemas.openxmlformats.org/officeDocument/2006/relationships/hyperlink" Target="https://bellingcat-archive.nyc3.cdn.digitaloceanspaces.com/Ukraine_Witness_Datasheet/Worksheet/youtube_dl_7071720567228910854.mp4" TargetMode="External"/><Relationship Id="rId367" Type="http://schemas.openxmlformats.org/officeDocument/2006/relationships/hyperlink" Target="https://bellingcat-archive.nyc3.cdn.digitaloceanspaces.com/Ukraine_Witness_Datasheet/Worksheet/youtube_dl__4emberlen_status_14904726892738232332022-02-25T12:58:42.551777.png" TargetMode="External"/><Relationship Id="rId5314" Type="http://schemas.openxmlformats.org/officeDocument/2006/relationships/hyperlink" Target="https://bellingcat-archive.nyc3.cdn.digitaloceanspaces.com/Ukraine_Witness_Datasheet/Worksheet/telegram_b3c7347aea.mp4" TargetMode="External"/><Relationship Id="rId6645" Type="http://schemas.openxmlformats.org/officeDocument/2006/relationships/hyperlink" Target="https://bellingcat-archive.nyc3.cdn.digitaloceanspaces.com/Ukraine_Witness_Datasheet/Worksheet/telegram__truexanewsua_259722022-03-08T00:20:11.058914.png" TargetMode="External"/><Relationship Id="rId7977" Type="http://schemas.openxmlformats.org/officeDocument/2006/relationships/hyperlink" Target="https://bellingcat-archive.nyc3.cdn.digitaloceanspaces.com/Ukraine_Witness_Datasheet/Worksheet/youtube_dl_1501606161472176135.mp4" TargetMode="External"/><Relationship Id="rId366" Type="http://schemas.openxmlformats.org/officeDocument/2006/relationships/hyperlink" Target="https://bellingcat-archive.nyc3.cdn.digitaloceanspaces.com/Ukraine_Witness_Datasheet/Worksheet/youtube_dl_1490472689273823233.mp4" TargetMode="External"/><Relationship Id="rId5315" Type="http://schemas.openxmlformats.org/officeDocument/2006/relationships/hyperlink" Target="https://bellingcat-archive.nyc3.cdn.digitaloceanspaces.com/Ukraine_Witness_Datasheet/Worksheet/telegram__voyna_novost_177532022-03-03T14:26:01.263032.png" TargetMode="External"/><Relationship Id="rId6646" Type="http://schemas.openxmlformats.org/officeDocument/2006/relationships/hyperlink" Target="https://bellingcat-archive.nyc3.cdn.digitaloceanspaces.com/Ukraine_Witness_Datasheet/Worksheet/telegram_90d19ecb08/index.html" TargetMode="External"/><Relationship Id="rId7976" Type="http://schemas.openxmlformats.org/officeDocument/2006/relationships/hyperlink" Target="https://twitter.com/ua_industrial/status/1501606161472176135" TargetMode="External"/><Relationship Id="rId365" Type="http://schemas.openxmlformats.org/officeDocument/2006/relationships/hyperlink" Target="https://twitter.com/gfusfus/status/1490478848001064961" TargetMode="External"/><Relationship Id="rId5312" Type="http://schemas.openxmlformats.org/officeDocument/2006/relationships/hyperlink" Target="https://t.me/truexanewsua/27949" TargetMode="External"/><Relationship Id="rId6643" Type="http://schemas.openxmlformats.org/officeDocument/2006/relationships/hyperlink" Target="https://t.me/truexanewsua/25972" TargetMode="External"/><Relationship Id="rId7975" Type="http://schemas.openxmlformats.org/officeDocument/2006/relationships/hyperlink" Target="https://bellingcat-archive.nyc3.cdn.digitaloceanspaces.com/Ukraine_Witness_Datasheet/Worksheet/twitter__no_itsmyturn_status_15015430441805824032022-03-09T17:25:15.281060.png" TargetMode="External"/><Relationship Id="rId364" Type="http://schemas.openxmlformats.org/officeDocument/2006/relationships/hyperlink" Target="https://twitter.com/4emberlen/status/1490472689273823233" TargetMode="External"/><Relationship Id="rId5313" Type="http://schemas.openxmlformats.org/officeDocument/2006/relationships/hyperlink" Target="https://t.me/voyna_novost/17753" TargetMode="External"/><Relationship Id="rId6644" Type="http://schemas.openxmlformats.org/officeDocument/2006/relationships/hyperlink" Target="https://bellingcat-archive.nyc3.cdn.digitaloceanspaces.com/Ukraine_Witness_Datasheet/Worksheet/telegram_90d19ecb08.mp4" TargetMode="External"/><Relationship Id="rId7974" Type="http://schemas.openxmlformats.org/officeDocument/2006/relationships/hyperlink" Target="https://bellingcat-archive.nyc3.cdn.digitaloceanspaces.com/Ukraine_Witness_Datasheet/Worksheet/twitter__no_itsmyturn_status_1501543044180582403.html" TargetMode="External"/><Relationship Id="rId95" Type="http://schemas.openxmlformats.org/officeDocument/2006/relationships/hyperlink" Target="https://twitter.com/GirkinGirkin/status/1486709938810282000" TargetMode="External"/><Relationship Id="rId5307" Type="http://schemas.openxmlformats.org/officeDocument/2006/relationships/hyperlink" Target="https://bellingcat-archive.nyc3.cdn.digitaloceanspaces.com/Ukraine_Witness_Datasheet/Worksheet/youtube_dl_1498917615389057028/index.html" TargetMode="External"/><Relationship Id="rId6638" Type="http://schemas.openxmlformats.org/officeDocument/2006/relationships/hyperlink" Target="https://bellingcat-archive.nyc3.cdn.digitaloceanspaces.com/Ukraine_Witness_Datasheet/Worksheet/telegram__suspilnemykolaiv_4748.html" TargetMode="External"/><Relationship Id="rId94" Type="http://schemas.openxmlformats.org/officeDocument/2006/relationships/hyperlink" Target="https://bellingcat-archive.nyc3.cdn.digitaloceanspaces.com/ukraine_witness_test/Worksheet/yotube_dl_1484837601810993154/index.html" TargetMode="External"/><Relationship Id="rId5308" Type="http://schemas.openxmlformats.org/officeDocument/2006/relationships/hyperlink" Target="https://t.me/truexanewsua/27949" TargetMode="External"/><Relationship Id="rId6639" Type="http://schemas.openxmlformats.org/officeDocument/2006/relationships/hyperlink" Target="https://bellingcat-archive.nyc3.cdn.digitaloceanspaces.com/Ukraine_Witness_Datasheet/Worksheet/telegram__suspilnemykolaiv_47482022-03-07T23:15:10.244035.png" TargetMode="External"/><Relationship Id="rId7969" Type="http://schemas.openxmlformats.org/officeDocument/2006/relationships/hyperlink" Target="https://www.tiktok.com/@blacklist.niko/video/7071720567228910854?is_from_webapp=1&amp;sender_device=pc&amp;web_id7062675792325559813" TargetMode="External"/><Relationship Id="rId97" Type="http://schemas.openxmlformats.org/officeDocument/2006/relationships/hyperlink" Target="https://bellingcat-archive.nyc3.cdn.digitaloceanspaces.com/ukraine_witness_test/Worksheet/yotube_dl__GirkinGirkin_status_14867099388102820002022-02-25T10:24:28.913201.png" TargetMode="External"/><Relationship Id="rId5305" Type="http://schemas.openxmlformats.org/officeDocument/2006/relationships/hyperlink" Target="https://bellingcat-archive.nyc3.cdn.digitaloceanspaces.com/Ukraine_Witness_Datasheet/Worksheet/youtube_dl_1498917615389057028.mp4" TargetMode="External"/><Relationship Id="rId6636" Type="http://schemas.openxmlformats.org/officeDocument/2006/relationships/hyperlink" Target="https://bellingcat-archive.nyc3.cdn.digitaloceanspaces.com/Ukraine_Witness_Datasheet/Worksheet/youtube_dl_1500951765579087873/index.html" TargetMode="External"/><Relationship Id="rId7968" Type="http://schemas.openxmlformats.org/officeDocument/2006/relationships/hyperlink" Target="https://t.me/truexanewsua/31148" TargetMode="External"/><Relationship Id="rId96" Type="http://schemas.openxmlformats.org/officeDocument/2006/relationships/hyperlink" Target="https://bellingcat-archive.nyc3.cdn.digitaloceanspaces.com/ukraine_witness_test/Worksheet/yotube_dl_1486709938810282000.mp4" TargetMode="External"/><Relationship Id="rId5306" Type="http://schemas.openxmlformats.org/officeDocument/2006/relationships/hyperlink" Target="https://bellingcat-archive.nyc3.cdn.digitaloceanspaces.com/Ukraine_Witness_Datasheet/Worksheet/youtube_dl__UkraineWhat_status_14989176153890570282022-03-03T14:24:36.336974.png" TargetMode="External"/><Relationship Id="rId6637" Type="http://schemas.openxmlformats.org/officeDocument/2006/relationships/hyperlink" Target="https://t.me/suspilnemykolaiv/4748" TargetMode="External"/><Relationship Id="rId7967" Type="http://schemas.openxmlformats.org/officeDocument/2006/relationships/hyperlink" Target="https://bellingcat-archive.nyc3.cdn.digitaloceanspaces.com/Ukraine_Witness_Datasheet/Worksheet/telegram_89a3252c58/index.html" TargetMode="External"/><Relationship Id="rId99" Type="http://schemas.openxmlformats.org/officeDocument/2006/relationships/hyperlink" Target="https://www.tiktok.com/@jora2506/video/7057843530831498498?is_from_webapp=1&amp;sender_device=pc&amp;web_id7028892818824480262" TargetMode="External"/><Relationship Id="rId98" Type="http://schemas.openxmlformats.org/officeDocument/2006/relationships/hyperlink" Target="https://bellingcat-archive.nyc3.cdn.digitaloceanspaces.com/ukraine_witness_test/Worksheet/yotube_dl_1486709938810282000/index.html" TargetMode="External"/><Relationship Id="rId5309" Type="http://schemas.openxmlformats.org/officeDocument/2006/relationships/hyperlink" Target="https://bellingcat-archive.nyc3.cdn.digitaloceanspaces.com/Ukraine_Witness_Datasheet/Worksheet/telegram_0bb9272665.mp4" TargetMode="External"/><Relationship Id="rId91" Type="http://schemas.openxmlformats.org/officeDocument/2006/relationships/hyperlink" Target="https://twitter.com/GirkinGirkin/status/1484837601810993154" TargetMode="External"/><Relationship Id="rId90" Type="http://schemas.openxmlformats.org/officeDocument/2006/relationships/hyperlink" Target="https://bellingcat-archive.nyc3.cdn.digitaloceanspaces.com/ukraine_witness_test/Worksheet/yotube_dl_1485310938903367693/index.html" TargetMode="External"/><Relationship Id="rId93" Type="http://schemas.openxmlformats.org/officeDocument/2006/relationships/hyperlink" Target="https://bellingcat-archive.nyc3.cdn.digitaloceanspaces.com/ukraine_witness_test/Worksheet/yotube_dl__GirkinGirkin_status_14848376018109931542022-02-25T10:24:14.529996.png" TargetMode="External"/><Relationship Id="rId92" Type="http://schemas.openxmlformats.org/officeDocument/2006/relationships/hyperlink" Target="https://bellingcat-archive.nyc3.cdn.digitaloceanspaces.com/ukraine_witness_test/Worksheet/yotube_dl_1484837601810993154.mp4" TargetMode="External"/><Relationship Id="rId359" Type="http://schemas.openxmlformats.org/officeDocument/2006/relationships/hyperlink" Target="https://twitter.com/GirkinGirkin/status/1489964591736102912" TargetMode="External"/><Relationship Id="rId358" Type="http://schemas.openxmlformats.org/officeDocument/2006/relationships/hyperlink" Target="https://bellingcat-archive.nyc3.cdn.digitaloceanspaces.com/ukraine_witness_test/Worksheet/yotube_dl_1489829249167106049/index.html" TargetMode="External"/><Relationship Id="rId357" Type="http://schemas.openxmlformats.org/officeDocument/2006/relationships/hyperlink" Target="https://bellingcat-archive.nyc3.cdn.digitaloceanspaces.com/ukraine_witness_test/Worksheet/yotube_dl__GirkinGirkin_status_14898292491671060492022-02-25T12:21:41.719525.png" TargetMode="External"/><Relationship Id="rId352" Type="http://schemas.openxmlformats.org/officeDocument/2006/relationships/hyperlink" Target="https://bellingcat-archive.nyc3.cdn.digitaloceanspaces.com/ukraine_witness_test/Worksheet/yotube_dl_1489297244566302726.mp4" TargetMode="External"/><Relationship Id="rId6630" Type="http://schemas.openxmlformats.org/officeDocument/2006/relationships/hyperlink" Target="https://twitter.com/no_itsmyturn/status/1500754522595119104/photo/3" TargetMode="External"/><Relationship Id="rId7962" Type="http://schemas.openxmlformats.org/officeDocument/2006/relationships/hyperlink" Target="https://bellingcat-archive.nyc3.cdn.digitaloceanspaces.com/Ukraine_Witness_Datasheet/Worksheet/telegram__truexanewsua_311432022-03-09T17:12:23.956683.png" TargetMode="External"/><Relationship Id="rId351" Type="http://schemas.openxmlformats.org/officeDocument/2006/relationships/hyperlink" Target="https://twitter.com/gfusfus/status/1489312777156149252" TargetMode="External"/><Relationship Id="rId5300" Type="http://schemas.openxmlformats.org/officeDocument/2006/relationships/hyperlink" Target="https://twitter.com/EmineDzheppar/status/1498932785100333064" TargetMode="External"/><Relationship Id="rId6631" Type="http://schemas.openxmlformats.org/officeDocument/2006/relationships/hyperlink" Target="https://bellingcat-archive.nyc3.cdn.digitaloceanspaces.com/Ukraine_Witness_Datasheet/Worksheet/twitter__no_itsmyturn_status_1500754522595119104_photo_3.html" TargetMode="External"/><Relationship Id="rId7961" Type="http://schemas.openxmlformats.org/officeDocument/2006/relationships/hyperlink" Target="https://bellingcat-archive.nyc3.cdn.digitaloceanspaces.com/Ukraine_Witness_Datasheet/Worksheet/telegram__truexanewsua_31143.html" TargetMode="External"/><Relationship Id="rId350" Type="http://schemas.openxmlformats.org/officeDocument/2006/relationships/hyperlink" Target="https://twitter.com/GirkinGirkin/status/1489297244566302726" TargetMode="External"/><Relationship Id="rId7960" Type="http://schemas.openxmlformats.org/officeDocument/2006/relationships/hyperlink" Target="https://www.google.com/maps/@50.032755,36.349055,3a,75y,324.94h,94.58t/data=!3m8!1e1!3m6!1sAF1QipNsW2LeI82byJjP5NElVAYPWomJEvRHwYSKTWhd!2e10!3e11!6shttps:%2F%2Flh5.googleusercontent.com%2Fp%2FAF1QipNsW2LeI82byJjP5NElVAYPWomJEvRHwYSKTWhd%3Dw203-h100-k-no-pi-0-ya110.805504-ro-0-fo100!7i6656!8i3328" TargetMode="External"/><Relationship Id="rId356" Type="http://schemas.openxmlformats.org/officeDocument/2006/relationships/hyperlink" Target="https://bellingcat-archive.nyc3.cdn.digitaloceanspaces.com/ukraine_witness_test/Worksheet/yotube_dl_1489829249167106049.mp4" TargetMode="External"/><Relationship Id="rId5303" Type="http://schemas.openxmlformats.org/officeDocument/2006/relationships/hyperlink" Target="https://bellingcat-archive.nyc3.cdn.digitaloceanspaces.com/Ukraine_Witness_Datasheet/Worksheet/youtube_dl_1498932785100333064/index.html" TargetMode="External"/><Relationship Id="rId6634" Type="http://schemas.openxmlformats.org/officeDocument/2006/relationships/hyperlink" Target="https://bellingcat-archive.nyc3.cdn.digitaloceanspaces.com/Ukraine_Witness_Datasheet/Worksheet/youtube_dl_1500951765579087873.mp4" TargetMode="External"/><Relationship Id="rId7966" Type="http://schemas.openxmlformats.org/officeDocument/2006/relationships/hyperlink" Target="https://bellingcat-archive.nyc3.cdn.digitaloceanspaces.com/Ukraine_Witness_Datasheet/Worksheet/telegram__truexanewsua_311482022-03-09T17:12:32.576939.png" TargetMode="External"/><Relationship Id="rId355" Type="http://schemas.openxmlformats.org/officeDocument/2006/relationships/hyperlink" Target="https://twitter.com/GirkinGirkin/status/1489829249167106049" TargetMode="External"/><Relationship Id="rId5304" Type="http://schemas.openxmlformats.org/officeDocument/2006/relationships/hyperlink" Target="https://twitter.com/UkraineWhat/status/1498917615389057028" TargetMode="External"/><Relationship Id="rId6635" Type="http://schemas.openxmlformats.org/officeDocument/2006/relationships/hyperlink" Target="https://bellingcat-archive.nyc3.cdn.digitaloceanspaces.com/Ukraine_Witness_Datasheet/Worksheet/youtube_dl__no_itsmyturn_status_15009517655790878732022-03-07T22:55:13.055129.png" TargetMode="External"/><Relationship Id="rId7965" Type="http://schemas.openxmlformats.org/officeDocument/2006/relationships/hyperlink" Target="https://bellingcat-archive.nyc3.cdn.digitaloceanspaces.com/Ukraine_Witness_Datasheet/Worksheet/telegram_89a3252c58.mp4" TargetMode="External"/><Relationship Id="rId354" Type="http://schemas.openxmlformats.org/officeDocument/2006/relationships/hyperlink" Target="https://bellingcat-archive.nyc3.cdn.digitaloceanspaces.com/ukraine_witness_test/Worksheet/yotube_dl_1489297244566302726/index.html" TargetMode="External"/><Relationship Id="rId5301" Type="http://schemas.openxmlformats.org/officeDocument/2006/relationships/hyperlink" Target="https://bellingcat-archive.nyc3.cdn.digitaloceanspaces.com/Ukraine_Witness_Datasheet/Worksheet/youtube_dl_1498932785100333064.mp4" TargetMode="External"/><Relationship Id="rId6632" Type="http://schemas.openxmlformats.org/officeDocument/2006/relationships/hyperlink" Target="https://bellingcat-archive.nyc3.cdn.digitaloceanspaces.com/Ukraine_Witness_Datasheet/Worksheet/twitter__no_itsmyturn_status_1500754522595119104_photo_32022-03-07T22:00:14.841488.png" TargetMode="External"/><Relationship Id="rId7964" Type="http://schemas.openxmlformats.org/officeDocument/2006/relationships/hyperlink" Target="https://www.google.com/maps/@50.032755,36.349055,3a,75y,324.94h,94.58t/data=!3m8!1e1!3m6!1sAF1QipNsW2LeI82byJjP5NElVAYPWomJEvRHwYSKTWhd!2e10!3e11!6shttps:%2F%2Flh5.googleusercontent.com%2Fp%2FAF1QipNsW2LeI82byJjP5NElVAYPWomJEvRHwYSKTWhd%3Dw203-h100-k-no-pi-0-ya110.805504-ro-0-fo100!7i6656!8i3328" TargetMode="External"/><Relationship Id="rId353" Type="http://schemas.openxmlformats.org/officeDocument/2006/relationships/hyperlink" Target="https://bellingcat-archive.nyc3.cdn.digitaloceanspaces.com/ukraine_witness_test/Worksheet/yotube_dl__GirkinGirkin_status_14892972445663027262022-02-25T12:21:25.931661.png" TargetMode="External"/><Relationship Id="rId5302" Type="http://schemas.openxmlformats.org/officeDocument/2006/relationships/hyperlink" Target="https://bellingcat-archive.nyc3.cdn.digitaloceanspaces.com/Ukraine_Witness_Datasheet/Worksheet/youtube_dl__EmineDzheppar_status_14989327851003330642022-03-03T14:24:22.507762.png" TargetMode="External"/><Relationship Id="rId6633" Type="http://schemas.openxmlformats.org/officeDocument/2006/relationships/hyperlink" Target="https://twitter.com/no_itsmyturn/status/1500951765579087873" TargetMode="External"/><Relationship Id="rId7963" Type="http://schemas.openxmlformats.org/officeDocument/2006/relationships/hyperlink" Target="https://t.me/truexanewsua/31148" TargetMode="External"/><Relationship Id="rId7915" Type="http://schemas.openxmlformats.org/officeDocument/2006/relationships/hyperlink" Target="https://www.amnesty.org/en/latest/news/2022/03/ukraine-russian-dumb-bomb-air-strike-kills-civilians-in-chernihiv-new-investigation-and-testimony/" TargetMode="External"/><Relationship Id="rId7914" Type="http://schemas.openxmlformats.org/officeDocument/2006/relationships/hyperlink" Target="https://bellingcat-archive.nyc3.cdn.digitaloceanspaces.com/Ukraine_Witness_Datasheet/Worksheet/youtube_dl_1500810192086306816/index.html" TargetMode="External"/><Relationship Id="rId7913" Type="http://schemas.openxmlformats.org/officeDocument/2006/relationships/hyperlink" Target="https://bellingcat-archive.nyc3.cdn.digitaloceanspaces.com/Ukraine_Witness_Datasheet/Worksheet/youtube_dl__TpyxaNews_status_15008101920863068162022-03-09T17:00:32.546065.png" TargetMode="External"/><Relationship Id="rId7912" Type="http://schemas.openxmlformats.org/officeDocument/2006/relationships/hyperlink" Target="https://bellingcat-archive.nyc3.cdn.digitaloceanspaces.com/Ukraine_Witness_Datasheet/Worksheet/youtube_dl_1500810192086306816.mp4" TargetMode="External"/><Relationship Id="rId7919" Type="http://schemas.openxmlformats.org/officeDocument/2006/relationships/hyperlink" Target="https://bellingcat-archive.nyc3.cdn.digitaloceanspaces.com/Ukraine_Witness_Datasheet/Worksheet/telegram__truexanewsua_31239.html" TargetMode="External"/><Relationship Id="rId7918" Type="http://schemas.openxmlformats.org/officeDocument/2006/relationships/hyperlink" Target="https://t.me/truexanewsua/31239" TargetMode="External"/><Relationship Id="rId7917" Type="http://schemas.openxmlformats.org/officeDocument/2006/relationships/hyperlink" Target="https://bellingcat-archive.nyc3.cdn.digitaloceanspaces.com/Ukraine_Witness_Datasheet/Worksheet/wayback__03_ukraine-russian-dumb-bomb-air-strike-kills-civilians-in-chernihiv-new-investigation-and-testimony_2022-03-09T17:05:22.637536.png" TargetMode="External"/><Relationship Id="rId7916" Type="http://schemas.openxmlformats.org/officeDocument/2006/relationships/hyperlink" Target="https://web.archive.org/web/20220309170515/https://www.amnesty.org/en/latest/news/2022/03/ukraine-russian-dumb-bomb-air-strike-kills-civilians-in-chernihiv-new-investigation-and-testimony/" TargetMode="External"/><Relationship Id="rId305" Type="http://schemas.openxmlformats.org/officeDocument/2006/relationships/hyperlink" Target="https://twitter.com/GirkinGirkin/status/1488420641661501445" TargetMode="External"/><Relationship Id="rId304" Type="http://schemas.openxmlformats.org/officeDocument/2006/relationships/hyperlink" Target="https://bellingcat-archive.nyc3.cdn.digitaloceanspaces.com/ukraine_witness_test/Worksheet/yotube_dl_1488579685411921921/index.html" TargetMode="External"/><Relationship Id="rId303" Type="http://schemas.openxmlformats.org/officeDocument/2006/relationships/hyperlink" Target="https://bellingcat-archive.nyc3.cdn.digitaloceanspaces.com/ukraine_witness_test/Worksheet/yotube_dl__GirkinGirkin_status_14885796854119219212022-02-25T11:46:35.574775.png" TargetMode="External"/><Relationship Id="rId302" Type="http://schemas.openxmlformats.org/officeDocument/2006/relationships/hyperlink" Target="https://bellingcat-archive.nyc3.cdn.digitaloceanspaces.com/ukraine_witness_test/Worksheet/yotube_dl_1488579685411921921.mp4" TargetMode="External"/><Relationship Id="rId309" Type="http://schemas.openxmlformats.org/officeDocument/2006/relationships/hyperlink" Target="https://bellingcat-archive.nyc3.cdn.digitaloceanspaces.com/ukraine_witness_test/Worksheet/yotube_dl_1488420641661501445/index.html" TargetMode="External"/><Relationship Id="rId308" Type="http://schemas.openxmlformats.org/officeDocument/2006/relationships/hyperlink" Target="https://bellingcat-archive.nyc3.cdn.digitaloceanspaces.com/ukraine_witness_test/Worksheet/yotube_dl__GirkinGirkin_status_14884206416615014452022-02-25T11:47:01.079879.png" TargetMode="External"/><Relationship Id="rId307" Type="http://schemas.openxmlformats.org/officeDocument/2006/relationships/hyperlink" Target="https://bellingcat-archive.nyc3.cdn.digitaloceanspaces.com/ukraine_witness_test/Worksheet/yotube_dl_1488420641661501445.mp4" TargetMode="External"/><Relationship Id="rId306" Type="http://schemas.openxmlformats.org/officeDocument/2006/relationships/hyperlink" Target="https://twitter.com/MilitaryEmpire/status/1488444483784126466" TargetMode="External"/><Relationship Id="rId301" Type="http://schemas.openxmlformats.org/officeDocument/2006/relationships/hyperlink" Target="https://twitter.com/gfusfus/status/1488588585678868485" TargetMode="External"/><Relationship Id="rId7911" Type="http://schemas.openxmlformats.org/officeDocument/2006/relationships/hyperlink" Target="https://twitter.com/Sabados7/status/1500811147846500353" TargetMode="External"/><Relationship Id="rId300" Type="http://schemas.openxmlformats.org/officeDocument/2006/relationships/hyperlink" Target="https://twitter.com/GirkinGirkin/status/1488579685411921921" TargetMode="External"/><Relationship Id="rId7910" Type="http://schemas.openxmlformats.org/officeDocument/2006/relationships/hyperlink" Target="https://twitter.com/TpyxaNews/status/1500810192086306816" TargetMode="External"/><Relationship Id="rId7904" Type="http://schemas.openxmlformats.org/officeDocument/2006/relationships/hyperlink" Target="https://bellingcat-archive.nyc3.cdn.digitaloceanspaces.com/Ukraine_Witness_Datasheet/Worksheet/youtube_dl__GirkinGirkin_status_15007973498781900842022-03-09T16:51:04.941488.png" TargetMode="External"/><Relationship Id="rId7903" Type="http://schemas.openxmlformats.org/officeDocument/2006/relationships/hyperlink" Target="https://bellingcat-archive.nyc3.cdn.digitaloceanspaces.com/Ukraine_Witness_Datasheet/Worksheet/youtube_dl_1500797349878190084.mp4" TargetMode="External"/><Relationship Id="rId7902" Type="http://schemas.openxmlformats.org/officeDocument/2006/relationships/hyperlink" Target="https://twitter.com/GeoConfirmed/status/1500823652044099584" TargetMode="External"/><Relationship Id="rId7901" Type="http://schemas.openxmlformats.org/officeDocument/2006/relationships/hyperlink" Target="https://twitter.com/GirkinGirkin/status/1500797349878190084" TargetMode="External"/><Relationship Id="rId7908" Type="http://schemas.openxmlformats.org/officeDocument/2006/relationships/hyperlink" Target="https://bellingcat-archive.nyc3.cdn.digitaloceanspaces.com/Ukraine_Witness_Datasheet/Worksheet/youtube_dl__666_mancer_status_15015458444572835852022-03-09T17:00:14.636496.png" TargetMode="External"/><Relationship Id="rId7907" Type="http://schemas.openxmlformats.org/officeDocument/2006/relationships/hyperlink" Target="https://bellingcat-archive.nyc3.cdn.digitaloceanspaces.com/Ukraine_Witness_Datasheet/Worksheet/youtube_dl_1501545844457283585.mp4" TargetMode="External"/><Relationship Id="rId7906" Type="http://schemas.openxmlformats.org/officeDocument/2006/relationships/hyperlink" Target="https://twitter.com/666_mancer/status/1501545844457283585?s=20&amp;t=946cXkbcXSxbGbei_CfX8A" TargetMode="External"/><Relationship Id="rId7905" Type="http://schemas.openxmlformats.org/officeDocument/2006/relationships/hyperlink" Target="https://bellingcat-archive.nyc3.cdn.digitaloceanspaces.com/Ukraine_Witness_Datasheet/Worksheet/youtube_dl_1500797349878190084/index.html" TargetMode="External"/><Relationship Id="rId7909" Type="http://schemas.openxmlformats.org/officeDocument/2006/relationships/hyperlink" Target="https://bellingcat-archive.nyc3.cdn.digitaloceanspaces.com/Ukraine_Witness_Datasheet/Worksheet/youtube_dl_1501545844457283585/index.html" TargetMode="External"/><Relationship Id="rId7900" Type="http://schemas.openxmlformats.org/officeDocument/2006/relationships/hyperlink" Target="https://bellingcat-archive.nyc3.cdn.digitaloceanspaces.com/Ukraine_Witness_Datasheet/Worksheet/twitter__Den_2042_status_15007445192429854732022-03-09T16:50:52.469437.png" TargetMode="External"/><Relationship Id="rId6605" Type="http://schemas.openxmlformats.org/officeDocument/2006/relationships/hyperlink" Target="https://twitter.com/no_itsmyturn/status/1500743554448113664" TargetMode="External"/><Relationship Id="rId7937" Type="http://schemas.openxmlformats.org/officeDocument/2006/relationships/hyperlink" Target="https://www.facebook.com/photo/?fbid=286603603609677&amp;set=pcb.286603826942988" TargetMode="External"/><Relationship Id="rId6606" Type="http://schemas.openxmlformats.org/officeDocument/2006/relationships/hyperlink" Target="https://bellingcat-archive.nyc3.cdn.digitaloceanspaces.com/Ukraine_Witness_Datasheet/Worksheet/youtube_dl_1500743554448113664.mp4" TargetMode="External"/><Relationship Id="rId7936" Type="http://schemas.openxmlformats.org/officeDocument/2006/relationships/hyperlink" Target="https://bellingcat-archive.nyc3.cdn.digitaloceanspaces.com/Ukraine_Witness_Datasheet/Worksheet/twitter__MVS_UA_status_15015544988163317782022-03-09T17:06:37.095796.png" TargetMode="External"/><Relationship Id="rId6603" Type="http://schemas.openxmlformats.org/officeDocument/2006/relationships/hyperlink" Target="https://bellingcat-archive.nyc3.cdn.digitaloceanspaces.com/Ukraine_Witness_Datasheet/Worksheet/twitter__no_itsmyturn_status_1500712914491219968.html" TargetMode="External"/><Relationship Id="rId7935" Type="http://schemas.openxmlformats.org/officeDocument/2006/relationships/hyperlink" Target="https://bellingcat-archive.nyc3.cdn.digitaloceanspaces.com/Ukraine_Witness_Datasheet/Worksheet/twitter__MVS_UA_status_1501554498816331778.html" TargetMode="External"/><Relationship Id="rId6604" Type="http://schemas.openxmlformats.org/officeDocument/2006/relationships/hyperlink" Target="https://bellingcat-archive.nyc3.cdn.digitaloceanspaces.com/Ukraine_Witness_Datasheet/Worksheet/twitter__no_itsmyturn_status_15007129144912199682022-03-07T18:31:29.182675.png" TargetMode="External"/><Relationship Id="rId7934" Type="http://schemas.openxmlformats.org/officeDocument/2006/relationships/hyperlink" Target="https://twitter.com/MVS_UA/status/1501554498816331778?s=20&amp;t=n0e7DjsQ2_x1CaVdbyqnXw" TargetMode="External"/><Relationship Id="rId6609" Type="http://schemas.openxmlformats.org/officeDocument/2006/relationships/hyperlink" Target="https://twitter.com/no_itsmyturn/status/1500816704959565824" TargetMode="External"/><Relationship Id="rId6607" Type="http://schemas.openxmlformats.org/officeDocument/2006/relationships/hyperlink" Target="https://bellingcat-archive.nyc3.cdn.digitaloceanspaces.com/Ukraine_Witness_Datasheet/Worksheet/youtube_dl__no_itsmyturn_status_15007435544481136642022-03-07T20:15:13.832990.png" TargetMode="External"/><Relationship Id="rId7939" Type="http://schemas.openxmlformats.org/officeDocument/2006/relationships/hyperlink" Target="https://bellingcat-archive.nyc3.cdn.digitaloceanspaces.com/Ukraine_Witness_Datasheet/Worksheet/wayback__photo_2022-03-09T17:07:35.241342.png" TargetMode="External"/><Relationship Id="rId6608" Type="http://schemas.openxmlformats.org/officeDocument/2006/relationships/hyperlink" Target="https://bellingcat-archive.nyc3.cdn.digitaloceanspaces.com/Ukraine_Witness_Datasheet/Worksheet/youtube_dl_1500743554448113664/index.html" TargetMode="External"/><Relationship Id="rId7938" Type="http://schemas.openxmlformats.org/officeDocument/2006/relationships/hyperlink" Target="https://web.archive.org/web/20220309170726/https://www.facebook.com/photo/?fbid=286603603609677&amp;set=pcb.286603826942988" TargetMode="External"/><Relationship Id="rId327" Type="http://schemas.openxmlformats.org/officeDocument/2006/relationships/hyperlink" Target="https://bellingcat-archive.nyc3.cdn.digitaloceanspaces.com/ukraine_witness_test/Worksheet/yotube_dl_1488496031901917184/index.html" TargetMode="External"/><Relationship Id="rId326" Type="http://schemas.openxmlformats.org/officeDocument/2006/relationships/hyperlink" Target="https://bellingcat-archive.nyc3.cdn.digitaloceanspaces.com/ukraine_witness_test/Worksheet/yotube_dl__4emberlen_status_14884960319019171842022-02-25T11:48:09.420327.png" TargetMode="External"/><Relationship Id="rId325" Type="http://schemas.openxmlformats.org/officeDocument/2006/relationships/hyperlink" Target="https://bellingcat-archive.nyc3.cdn.digitaloceanspaces.com/ukraine_witness_test/Worksheet/yotube_dl_1488496031901917184.mp4" TargetMode="External"/><Relationship Id="rId324" Type="http://schemas.openxmlformats.org/officeDocument/2006/relationships/hyperlink" Target="https://twitter.com/4emberlen/status/1488496031901917184" TargetMode="External"/><Relationship Id="rId329" Type="http://schemas.openxmlformats.org/officeDocument/2006/relationships/hyperlink" Target="https://twitter.com/Michael1Sheldon/status/1488032412907065346" TargetMode="External"/><Relationship Id="rId328" Type="http://schemas.openxmlformats.org/officeDocument/2006/relationships/hyperlink" Target="https://www.tiktok.com/@chisto_mama/video/7059050323675073797?is_copy_url=1&amp;is_from_webapp=v1&amp;q=chisto_mama&amp;t=1643805113462" TargetMode="External"/><Relationship Id="rId323" Type="http://schemas.openxmlformats.org/officeDocument/2006/relationships/hyperlink" Target="https://bellingcat-archive.nyc3.cdn.digitaloceanspaces.com/ukraine_witness_test/Worksheet/yotube_dl_1488497810324475909/index.html" TargetMode="External"/><Relationship Id="rId6601" Type="http://schemas.openxmlformats.org/officeDocument/2006/relationships/hyperlink" Target="https://bellingcat-archive.nyc3.cdn.digitaloceanspaces.com/Ukraine_Witness_Datasheet/Worksheet/youtube_dl_1500713592064204800/index.html" TargetMode="External"/><Relationship Id="rId7933" Type="http://schemas.openxmlformats.org/officeDocument/2006/relationships/hyperlink" Target="https://t.me/truexanewsua/31218" TargetMode="External"/><Relationship Id="rId322" Type="http://schemas.openxmlformats.org/officeDocument/2006/relationships/hyperlink" Target="https://bellingcat-archive.nyc3.cdn.digitaloceanspaces.com/ukraine_witness_test/Worksheet/yotube_dl__4emberlen_status_14884978103244759092022-02-25T11:47:52.922975.png" TargetMode="External"/><Relationship Id="rId6602" Type="http://schemas.openxmlformats.org/officeDocument/2006/relationships/hyperlink" Target="https://twitter.com/no_itsmyturn/status/1500712914491219968" TargetMode="External"/><Relationship Id="rId7932" Type="http://schemas.openxmlformats.org/officeDocument/2006/relationships/hyperlink" Target="https://bellingcat-archive.nyc3.cdn.digitaloceanspaces.com/Ukraine_Witness_Datasheet/Worksheet/telegram_15e2790352/index.html" TargetMode="External"/><Relationship Id="rId321" Type="http://schemas.openxmlformats.org/officeDocument/2006/relationships/hyperlink" Target="https://bellingcat-archive.nyc3.cdn.digitaloceanspaces.com/ukraine_witness_test/Worksheet/yotube_dl_1488497810324475909.mp4" TargetMode="External"/><Relationship Id="rId7931" Type="http://schemas.openxmlformats.org/officeDocument/2006/relationships/hyperlink" Target="https://bellingcat-archive.nyc3.cdn.digitaloceanspaces.com/Ukraine_Witness_Datasheet/Worksheet/telegram__truexanewsua_312182022-03-09T17:06:08.883674.png" TargetMode="External"/><Relationship Id="rId320" Type="http://schemas.openxmlformats.org/officeDocument/2006/relationships/hyperlink" Target="https://twitter.com/4emberlen/status/1488497810324475909" TargetMode="External"/><Relationship Id="rId6600" Type="http://schemas.openxmlformats.org/officeDocument/2006/relationships/hyperlink" Target="https://bellingcat-archive.nyc3.cdn.digitaloceanspaces.com/Ukraine_Witness_Datasheet/Worksheet/youtube_dl__no_itsmyturn_status_15007135920642048002022-03-07T18:31:13.602953.png" TargetMode="External"/><Relationship Id="rId7930" Type="http://schemas.openxmlformats.org/officeDocument/2006/relationships/hyperlink" Target="https://bellingcat-archive.nyc3.cdn.digitaloceanspaces.com/Ukraine_Witness_Datasheet/Worksheet/telegram_15e2790352.mp4" TargetMode="External"/><Relationship Id="rId7926" Type="http://schemas.openxmlformats.org/officeDocument/2006/relationships/hyperlink" Target="https://bellingcat-archive.nyc3.cdn.digitaloceanspaces.com/Ukraine_Witness_Datasheet/Worksheet/youtube_dl_1501443803722440711.mp4" TargetMode="External"/><Relationship Id="rId7925" Type="http://schemas.openxmlformats.org/officeDocument/2006/relationships/hyperlink" Target="https://twitter.com/GirkinGirkin/status/1501443803722440711?s=20&amp;t=xv9Fevg8aRkgHjrhdtPlqw" TargetMode="External"/><Relationship Id="rId7924" Type="http://schemas.openxmlformats.org/officeDocument/2006/relationships/hyperlink" Target="https://bellingcat-archive.nyc3.cdn.digitaloceanspaces.com/Ukraine_Witness_Datasheet/Worksheet/youtube_dl_1501443803722440711/index.html" TargetMode="External"/><Relationship Id="rId7923" Type="http://schemas.openxmlformats.org/officeDocument/2006/relationships/hyperlink" Target="https://bellingcat-archive.nyc3.cdn.digitaloceanspaces.com/Ukraine_Witness_Datasheet/Worksheet/youtube_dl__GirkinGirkin_status_15014438037224407112022-03-09T17:05:42.004371.png" TargetMode="External"/><Relationship Id="rId7929" Type="http://schemas.openxmlformats.org/officeDocument/2006/relationships/hyperlink" Target="https://t.me/truexanewsua/31218" TargetMode="External"/><Relationship Id="rId7928" Type="http://schemas.openxmlformats.org/officeDocument/2006/relationships/hyperlink" Target="https://bellingcat-archive.nyc3.cdn.digitaloceanspaces.com/Ukraine_Witness_Datasheet/Worksheet/youtube_dl_1501443803722440711/index.html" TargetMode="External"/><Relationship Id="rId7927" Type="http://schemas.openxmlformats.org/officeDocument/2006/relationships/hyperlink" Target="https://bellingcat-archive.nyc3.cdn.digitaloceanspaces.com/Ukraine_Witness_Datasheet/Worksheet/youtube_dl__GirkinGirkin_status_15014438037224407112022-03-09T17:05:55.474578.png" TargetMode="External"/><Relationship Id="rId316" Type="http://schemas.openxmlformats.org/officeDocument/2006/relationships/hyperlink" Target="https://twitter.com/Michael1Sheldon/status/1488302565607489541" TargetMode="External"/><Relationship Id="rId315" Type="http://schemas.openxmlformats.org/officeDocument/2006/relationships/hyperlink" Target="https://twitter.com/GirkinGirkin/status/1488224940293771271" TargetMode="External"/><Relationship Id="rId314" Type="http://schemas.openxmlformats.org/officeDocument/2006/relationships/hyperlink" Target="https://bellingcat-archive.nyc3.cdn.digitaloceanspaces.com/ukraine_witness_test/Worksheet/yotube_dl_1486763036857835528/index.html" TargetMode="External"/><Relationship Id="rId313" Type="http://schemas.openxmlformats.org/officeDocument/2006/relationships/hyperlink" Target="https://bellingcat-archive.nyc3.cdn.digitaloceanspaces.com/ukraine_witness_test/Worksheet/yotube_dl__GirkinGirkin_status_14867630368578355282022-02-25T11:47:21.455578.png" TargetMode="External"/><Relationship Id="rId319" Type="http://schemas.openxmlformats.org/officeDocument/2006/relationships/hyperlink" Target="https://bellingcat-archive.nyc3.cdn.digitaloceanspaces.com/ukraine_witness_test/Worksheet/yotube_dl_1488224940293771271/index.html" TargetMode="External"/><Relationship Id="rId318" Type="http://schemas.openxmlformats.org/officeDocument/2006/relationships/hyperlink" Target="https://bellingcat-archive.nyc3.cdn.digitaloceanspaces.com/ukraine_witness_test/Worksheet/yotube_dl__GirkinGirkin_status_14882249402937712712022-02-25T11:47:36.974824.png" TargetMode="External"/><Relationship Id="rId317" Type="http://schemas.openxmlformats.org/officeDocument/2006/relationships/hyperlink" Target="https://bellingcat-archive.nyc3.cdn.digitaloceanspaces.com/ukraine_witness_test/Worksheet/yotube_dl_1488224940293771271.mp4" TargetMode="External"/><Relationship Id="rId312" Type="http://schemas.openxmlformats.org/officeDocument/2006/relationships/hyperlink" Target="https://bellingcat-archive.nyc3.cdn.digitaloceanspaces.com/ukraine_witness_test/Worksheet/yotube_dl_1486763036857835528.mp4" TargetMode="External"/><Relationship Id="rId7922" Type="http://schemas.openxmlformats.org/officeDocument/2006/relationships/hyperlink" Target="https://bellingcat-archive.nyc3.cdn.digitaloceanspaces.com/Ukraine_Witness_Datasheet/Worksheet/youtube_dl_1501443803722440711.mp4" TargetMode="External"/><Relationship Id="rId311" Type="http://schemas.openxmlformats.org/officeDocument/2006/relationships/hyperlink" Target="https://twitter.com/Michael1Sheldon/status/1488620062751825922" TargetMode="External"/><Relationship Id="rId7921" Type="http://schemas.openxmlformats.org/officeDocument/2006/relationships/hyperlink" Target="https://twitter.com/GirkinGirkin/status/1501443803722440711?s=20&amp;t=xv9Fevg8aRkgHjrhdtPlqw" TargetMode="External"/><Relationship Id="rId310" Type="http://schemas.openxmlformats.org/officeDocument/2006/relationships/hyperlink" Target="https://twitter.com/GirkinGirkin/status/1486763036857835528" TargetMode="External"/><Relationship Id="rId7920" Type="http://schemas.openxmlformats.org/officeDocument/2006/relationships/hyperlink" Target="https://bellingcat-archive.nyc3.cdn.digitaloceanspaces.com/Ukraine_Witness_Datasheet/Worksheet/telegram__truexanewsua_312392022-03-09T17:05:31.797970.png" TargetMode="External"/><Relationship Id="rId4040" Type="http://schemas.openxmlformats.org/officeDocument/2006/relationships/hyperlink" Target="https://twitter.com/karinanguyen_/status/1498248288205737990?s=20&amp;t=zKf3Nb7bCgUn-dgAFPWdRg" TargetMode="External"/><Relationship Id="rId5372" Type="http://schemas.openxmlformats.org/officeDocument/2006/relationships/hyperlink" Target="https://bellingcat-archive.nyc3.cdn.digitaloceanspaces.com/Ukraine_Witness_Datasheet/Worksheet/youtube_dl_1499431262276227080/index.html" TargetMode="External"/><Relationship Id="rId5373" Type="http://schemas.openxmlformats.org/officeDocument/2006/relationships/hyperlink" Target="https://t.me/istorijaoruzija/38808" TargetMode="External"/><Relationship Id="rId4042" Type="http://schemas.openxmlformats.org/officeDocument/2006/relationships/hyperlink" Target="https://bellingcat-archive.nyc3.cdn.digitaloceanspaces.com/Ukraine_Witness_Datasheet/Worksheet/twitter__karinanguyen__status_14982482882057379902022-02-28T12:48:56.136415.png" TargetMode="External"/><Relationship Id="rId5370" Type="http://schemas.openxmlformats.org/officeDocument/2006/relationships/hyperlink" Target="https://bellingcat-archive.nyc3.cdn.digitaloceanspaces.com/Ukraine_Witness_Datasheet/Worksheet/youtube_dl_1499431262276227080.mp4" TargetMode="External"/><Relationship Id="rId4041" Type="http://schemas.openxmlformats.org/officeDocument/2006/relationships/hyperlink" Target="https://bellingcat-archive.nyc3.cdn.digitaloceanspaces.com/Ukraine_Witness_Datasheet/Worksheet/twitter__karinanguyen__status_1498248288205737990.html" TargetMode="External"/><Relationship Id="rId5371" Type="http://schemas.openxmlformats.org/officeDocument/2006/relationships/hyperlink" Target="https://bellingcat-archive.nyc3.cdn.digitaloceanspaces.com/Ukraine_Witness_Datasheet/Worksheet/youtube_dl__aldin_ww_status_14994312622762270802022-03-03T17:15:12.497815.png" TargetMode="External"/><Relationship Id="rId4044" Type="http://schemas.openxmlformats.org/officeDocument/2006/relationships/hyperlink" Target="https://web.archive.org/web/20220228124932/https://www.facebook.com/login/?next=https%3A%2F%2Fwww.facebook.com%2Fodalug%2Fposts%2F324827019689036" TargetMode="External"/><Relationship Id="rId5376" Type="http://schemas.openxmlformats.org/officeDocument/2006/relationships/hyperlink" Target="https://t.me/warjournaltg/12044" TargetMode="External"/><Relationship Id="rId4043" Type="http://schemas.openxmlformats.org/officeDocument/2006/relationships/hyperlink" Target="https://www.facebook.com/odalug/posts/324827019689036" TargetMode="External"/><Relationship Id="rId5377" Type="http://schemas.openxmlformats.org/officeDocument/2006/relationships/hyperlink" Target="https://bellingcat-archive.nyc3.cdn.digitaloceanspaces.com/Ukraine_Witness_Datasheet/Worksheet/telegram__warjournaltg_12044.html" TargetMode="External"/><Relationship Id="rId4046" Type="http://schemas.openxmlformats.org/officeDocument/2006/relationships/hyperlink" Target="https://twitter.com/GirkinGirkin/status/1498277121243947019" TargetMode="External"/><Relationship Id="rId5374" Type="http://schemas.openxmlformats.org/officeDocument/2006/relationships/hyperlink" Target="https://bellingcat-archive.nyc3.cdn.digitaloceanspaces.com/Ukraine_Witness_Datasheet/Worksheet/telegram__istorijaoruzija_38808.html" TargetMode="External"/><Relationship Id="rId4045" Type="http://schemas.openxmlformats.org/officeDocument/2006/relationships/hyperlink" Target="https://bellingcat-archive.nyc3.cdn.digitaloceanspaces.com/Ukraine_Witness_Datasheet/Worksheet/wayback__odalug_posts_3248270196890362022-02-28T12:49:38.851195.png" TargetMode="External"/><Relationship Id="rId5375" Type="http://schemas.openxmlformats.org/officeDocument/2006/relationships/hyperlink" Target="https://bellingcat-archive.nyc3.cdn.digitaloceanspaces.com/Ukraine_Witness_Datasheet/Worksheet/telegram__istorijaoruzija_388082022-03-03T17:05:29.739610.png" TargetMode="External"/><Relationship Id="rId4048" Type="http://schemas.openxmlformats.org/officeDocument/2006/relationships/hyperlink" Target="https://bellingcat-archive.nyc3.cdn.digitaloceanspaces.com/Ukraine_Witness_Datasheet/Worksheet/twitter__GirkinGirkin_status_14982771212439470192022-02-28T12:49:52.118389.png" TargetMode="External"/><Relationship Id="rId4047" Type="http://schemas.openxmlformats.org/officeDocument/2006/relationships/hyperlink" Target="https://bellingcat-archive.nyc3.cdn.digitaloceanspaces.com/Ukraine_Witness_Datasheet/Worksheet/twitter__GirkinGirkin_status_1498277121243947019.html" TargetMode="External"/><Relationship Id="rId5378" Type="http://schemas.openxmlformats.org/officeDocument/2006/relationships/hyperlink" Target="https://bellingcat-archive.nyc3.cdn.digitaloceanspaces.com/Ukraine_Witness_Datasheet/Worksheet/telegram__warjournaltg_120442022-03-03T17:20:10.248029.png" TargetMode="External"/><Relationship Id="rId4049" Type="http://schemas.openxmlformats.org/officeDocument/2006/relationships/hyperlink" Target="https://twitter.com/EuroMaydan/status/1498263148427624448" TargetMode="External"/><Relationship Id="rId5379" Type="http://schemas.openxmlformats.org/officeDocument/2006/relationships/hyperlink" Target="https://twitter.com/KyivIndependent/status/1499431817996345356?s=20&amp;t=jabnJrzEaEMDBGl-ZnD3Ug" TargetMode="External"/><Relationship Id="rId5361" Type="http://schemas.openxmlformats.org/officeDocument/2006/relationships/hyperlink" Target="https://bellingcat-archive.nyc3.cdn.digitaloceanspaces.com/Ukraine_Witness_Datasheet/Worksheet/youtube_dl_1499420543723921409.mp4" TargetMode="External"/><Relationship Id="rId6692" Type="http://schemas.openxmlformats.org/officeDocument/2006/relationships/hyperlink" Target="https://bellingcat-archive.nyc3.cdn.digitaloceanspaces.com/Ukraine_Witness_Datasheet/Worksheet/twitter__2022Kharkiv_status_1498031385591881733.html" TargetMode="External"/><Relationship Id="rId5362" Type="http://schemas.openxmlformats.org/officeDocument/2006/relationships/hyperlink" Target="https://bellingcat-archive.nyc3.cdn.digitaloceanspaces.com/Ukraine_Witness_Datasheet/Worksheet/youtube_dl__MarQs___status_14994205437239214092022-03-03T16:55:48.529219.png" TargetMode="External"/><Relationship Id="rId6693" Type="http://schemas.openxmlformats.org/officeDocument/2006/relationships/hyperlink" Target="https://bellingcat-archive.nyc3.cdn.digitaloceanspaces.com/Ukraine_Witness_Datasheet/Worksheet/twitter__2022Kharkiv_status_14980313855918817332022-03-08T08:38:22.535111.png" TargetMode="External"/><Relationship Id="rId4031" Type="http://schemas.openxmlformats.org/officeDocument/2006/relationships/hyperlink" Target="https://bellingcat-archive.nyc3.cdn.digitaloceanspaces.com/Ukraine_Witness_Datasheet/Worksheet/youtube_dl__zcjbrooker_status_14982729499080007692022-02-28T12:47:59.882288.png" TargetMode="External"/><Relationship Id="rId6690" Type="http://schemas.openxmlformats.org/officeDocument/2006/relationships/hyperlink" Target="https://bellingcat-archive.nyc3.cdn.digitaloceanspaces.com/Ukraine_Witness_Datasheet/Worksheet/youtube_dl_1497422148419432448/index.html" TargetMode="External"/><Relationship Id="rId4030" Type="http://schemas.openxmlformats.org/officeDocument/2006/relationships/hyperlink" Target="https://bellingcat-archive.nyc3.cdn.digitaloceanspaces.com/Ukraine_Witness_Datasheet/Worksheet/youtube_dl_1498272949908000769.mp4" TargetMode="External"/><Relationship Id="rId5360" Type="http://schemas.openxmlformats.org/officeDocument/2006/relationships/hyperlink" Target="https://twitter.com/MarQs__/status/1499420543723921409" TargetMode="External"/><Relationship Id="rId6691" Type="http://schemas.openxmlformats.org/officeDocument/2006/relationships/hyperlink" Target="https://twitter.com/2022Kharkiv/status/1498031385591881733?s=20&amp;t=aAsF3wLtOmuVJWrXQTxwHA" TargetMode="External"/><Relationship Id="rId297" Type="http://schemas.openxmlformats.org/officeDocument/2006/relationships/hyperlink" Target="https://bellingcat-archive.nyc3.cdn.digitaloceanspaces.com/ukraine_witness_test/Worksheet/yotube_dl_1488544876908187650.mp4" TargetMode="External"/><Relationship Id="rId4033" Type="http://schemas.openxmlformats.org/officeDocument/2006/relationships/hyperlink" Target="https://twitter.com/RALee85/status/1498273469640888321" TargetMode="External"/><Relationship Id="rId5365" Type="http://schemas.openxmlformats.org/officeDocument/2006/relationships/hyperlink" Target="https://twitter.com/gfusfus/status/1499412968282460160" TargetMode="External"/><Relationship Id="rId6696" Type="http://schemas.openxmlformats.org/officeDocument/2006/relationships/hyperlink" Target="https://bellingcat-archive.nyc3.cdn.digitaloceanspaces.com/Ukraine_Witness_Datasheet/Worksheet/telegram__truexanewsua_234722022-03-08T08:38:32.358119.png" TargetMode="External"/><Relationship Id="rId296" Type="http://schemas.openxmlformats.org/officeDocument/2006/relationships/hyperlink" Target="https://twitter.com/RedIntelPanda/status/1488569554028707847" TargetMode="External"/><Relationship Id="rId4032" Type="http://schemas.openxmlformats.org/officeDocument/2006/relationships/hyperlink" Target="https://bellingcat-archive.nyc3.cdn.digitaloceanspaces.com/Ukraine_Witness_Datasheet/Worksheet/youtube_dl_1498272949908000769/index.html" TargetMode="External"/><Relationship Id="rId5366" Type="http://schemas.openxmlformats.org/officeDocument/2006/relationships/hyperlink" Target="https://bellingcat-archive.nyc3.cdn.digitaloceanspaces.com/Ukraine_Witness_Datasheet/Worksheet/youtube_dl_1499399672284151808.mp4" TargetMode="External"/><Relationship Id="rId6697" Type="http://schemas.openxmlformats.org/officeDocument/2006/relationships/hyperlink" Target="https://t.me/c/1347456995/38713" TargetMode="External"/><Relationship Id="rId295" Type="http://schemas.openxmlformats.org/officeDocument/2006/relationships/hyperlink" Target="https://twitter.com/GirkinGirkin/status/1488544876908187650" TargetMode="External"/><Relationship Id="rId4035" Type="http://schemas.openxmlformats.org/officeDocument/2006/relationships/hyperlink" Target="https://bellingcat-archive.nyc3.cdn.digitaloceanspaces.com/Ukraine_Witness_Datasheet/Worksheet/youtube_dl__RALee85_status_14982734696408883212022-02-28T12:48:17.467941.png" TargetMode="External"/><Relationship Id="rId5363" Type="http://schemas.openxmlformats.org/officeDocument/2006/relationships/hyperlink" Target="https://bellingcat-archive.nyc3.cdn.digitaloceanspaces.com/Ukraine_Witness_Datasheet/Worksheet/youtube_dl_1499420543723921409/index.html" TargetMode="External"/><Relationship Id="rId6694" Type="http://schemas.openxmlformats.org/officeDocument/2006/relationships/hyperlink" Target="https://t.me/truexanewsua/23472" TargetMode="External"/><Relationship Id="rId294" Type="http://schemas.openxmlformats.org/officeDocument/2006/relationships/hyperlink" Target="https://bellingcat-archive.nyc3.cdn.digitaloceanspaces.com/ukraine_witness_test/Worksheet/yotube_dl_1487445178487119874/index.html" TargetMode="External"/><Relationship Id="rId4034" Type="http://schemas.openxmlformats.org/officeDocument/2006/relationships/hyperlink" Target="https://bellingcat-archive.nyc3.cdn.digitaloceanspaces.com/Ukraine_Witness_Datasheet/Worksheet/youtube_dl_1498273469640888321.mp4" TargetMode="External"/><Relationship Id="rId5364" Type="http://schemas.openxmlformats.org/officeDocument/2006/relationships/hyperlink" Target="https://twitter.com/MotolkoHelp/status/1499399672284151808" TargetMode="External"/><Relationship Id="rId6695" Type="http://schemas.openxmlformats.org/officeDocument/2006/relationships/hyperlink" Target="https://bellingcat-archive.nyc3.cdn.digitaloceanspaces.com/Ukraine_Witness_Datasheet/Worksheet/telegram__truexanewsua_23472.html" TargetMode="External"/><Relationship Id="rId4037" Type="http://schemas.openxmlformats.org/officeDocument/2006/relationships/hyperlink" Target="https://twitter.com/RALee85/status/1498244855759355905?s=20&amp;t=zKf3Nb7bCgUn-dgAFPWdRg" TargetMode="External"/><Relationship Id="rId5369" Type="http://schemas.openxmlformats.org/officeDocument/2006/relationships/hyperlink" Target="https://twitter.com/aldin_ww/status/1499431262276227080" TargetMode="External"/><Relationship Id="rId4036" Type="http://schemas.openxmlformats.org/officeDocument/2006/relationships/hyperlink" Target="https://bellingcat-archive.nyc3.cdn.digitaloceanspaces.com/Ukraine_Witness_Datasheet/Worksheet/youtube_dl_1498273469640888321/index.html" TargetMode="External"/><Relationship Id="rId299" Type="http://schemas.openxmlformats.org/officeDocument/2006/relationships/hyperlink" Target="https://bellingcat-archive.nyc3.cdn.digitaloceanspaces.com/ukraine_witness_test/Worksheet/yotube_dl_1488544876908187650/index.html" TargetMode="External"/><Relationship Id="rId4039" Type="http://schemas.openxmlformats.org/officeDocument/2006/relationships/hyperlink" Target="https://bellingcat-archive.nyc3.cdn.digitaloceanspaces.com/Ukraine_Witness_Datasheet/Worksheet/twitter__RALee85_status_14982448557593559052022-02-28T12:48:40.841984.png" TargetMode="External"/><Relationship Id="rId5367" Type="http://schemas.openxmlformats.org/officeDocument/2006/relationships/hyperlink" Target="https://bellingcat-archive.nyc3.cdn.digitaloceanspaces.com/Ukraine_Witness_Datasheet/Worksheet/youtube_dl__MotolkoHelp_status_14993996722841518082022-03-03T17:05:13.127065.png" TargetMode="External"/><Relationship Id="rId6698" Type="http://schemas.openxmlformats.org/officeDocument/2006/relationships/hyperlink" Target="https://twitter.com/666_mancer/status/1497263766165200901?s=20&amp;t=t9pbZJOmojsHcNJj5XbVhA" TargetMode="External"/><Relationship Id="rId298" Type="http://schemas.openxmlformats.org/officeDocument/2006/relationships/hyperlink" Target="https://bellingcat-archive.nyc3.cdn.digitaloceanspaces.com/ukraine_witness_test/Worksheet/yotube_dl__GirkinGirkin_status_14885448769081876502022-02-25T11:46:12.759094.png" TargetMode="External"/><Relationship Id="rId4038" Type="http://schemas.openxmlformats.org/officeDocument/2006/relationships/hyperlink" Target="https://bellingcat-archive.nyc3.cdn.digitaloceanspaces.com/Ukraine_Witness_Datasheet/Worksheet/twitter__RALee85_status_1498244855759355905.html" TargetMode="External"/><Relationship Id="rId5368" Type="http://schemas.openxmlformats.org/officeDocument/2006/relationships/hyperlink" Target="https://bellingcat-archive.nyc3.cdn.digitaloceanspaces.com/Ukraine_Witness_Datasheet/Worksheet/youtube_dl_1499399672284151808/index.html" TargetMode="External"/><Relationship Id="rId6699" Type="http://schemas.openxmlformats.org/officeDocument/2006/relationships/hyperlink" Target="https://bellingcat-archive.nyc3.cdn.digitaloceanspaces.com/Ukraine_Witness_Datasheet/Worksheet/twitter__666_mancer_status_1497263766165200901.html" TargetMode="External"/><Relationship Id="rId5390" Type="http://schemas.openxmlformats.org/officeDocument/2006/relationships/hyperlink" Target="https://bellingcat-archive.nyc3.cdn.digitaloceanspaces.com/Ukraine_Witness_Datasheet/Worksheet/youtube_dl_1499437391328821251/index.html" TargetMode="External"/><Relationship Id="rId5391" Type="http://schemas.openxmlformats.org/officeDocument/2006/relationships/hyperlink" Target="https://t.me/milinfolive/77807" TargetMode="External"/><Relationship Id="rId4060" Type="http://schemas.openxmlformats.org/officeDocument/2006/relationships/hyperlink" Target="https://bellingcat-archive.nyc3.cdn.digitaloceanspaces.com/Ukraine_Witness_Datasheet/Worksheet/youtube_dl__ukrainenewstop_status_14982056271260590112022-02-28T13:24:08.409310.png" TargetMode="External"/><Relationship Id="rId4062" Type="http://schemas.openxmlformats.org/officeDocument/2006/relationships/hyperlink" Target="https://twitter.com/NewUkraineNews/status/1498123725807529991" TargetMode="External"/><Relationship Id="rId5394" Type="http://schemas.openxmlformats.org/officeDocument/2006/relationships/hyperlink" Target="https://twitter.com/Mariia_Zolkina/status/1499424930978582533?s=20&amp;t=DJGMyt8LnnGli6J_kYxJyA" TargetMode="External"/><Relationship Id="rId4061" Type="http://schemas.openxmlformats.org/officeDocument/2006/relationships/hyperlink" Target="https://bellingcat-archive.nyc3.cdn.digitaloceanspaces.com/Ukraine_Witness_Datasheet/Worksheet/youtube_dl_1498205627126059011/index.html" TargetMode="External"/><Relationship Id="rId5395" Type="http://schemas.openxmlformats.org/officeDocument/2006/relationships/hyperlink" Target="https://bellingcat-archive.nyc3.cdn.digitaloceanspaces.com/Ukraine_Witness_Datasheet/Worksheet/youtube_dl_1499424930978582533.mp4" TargetMode="External"/><Relationship Id="rId4064" Type="http://schemas.openxmlformats.org/officeDocument/2006/relationships/hyperlink" Target="https://bellingcat-archive.nyc3.cdn.digitaloceanspaces.com/Ukraine_Witness_Datasheet/Worksheet/youtube_dl__NewUkraineNews_status_14981237258075299912022-02-28T13:24:30.880749.png" TargetMode="External"/><Relationship Id="rId5392" Type="http://schemas.openxmlformats.org/officeDocument/2006/relationships/hyperlink" Target="https://bellingcat-archive.nyc3.cdn.digitaloceanspaces.com/Ukraine_Witness_Datasheet/Worksheet/telegram__milinfolive_77807.html" TargetMode="External"/><Relationship Id="rId4063" Type="http://schemas.openxmlformats.org/officeDocument/2006/relationships/hyperlink" Target="https://bellingcat-archive.nyc3.cdn.digitaloceanspaces.com/Ukraine_Witness_Datasheet/Worksheet/youtube_dl_1498123725807529991.mp4" TargetMode="External"/><Relationship Id="rId5393" Type="http://schemas.openxmlformats.org/officeDocument/2006/relationships/hyperlink" Target="https://bellingcat-archive.nyc3.cdn.digitaloceanspaces.com/Ukraine_Witness_Datasheet/Worksheet/telegram__milinfolive_778072022-03-03T18:30:10.258891.png" TargetMode="External"/><Relationship Id="rId4066" Type="http://schemas.openxmlformats.org/officeDocument/2006/relationships/hyperlink" Target="https://t.me/uniannet/33371" TargetMode="External"/><Relationship Id="rId5398" Type="http://schemas.openxmlformats.org/officeDocument/2006/relationships/hyperlink" Target="https://twitter.com/MarQs__/status/1499418106002825224?s=20&amp;t=Qx1VkfCrUDAj1m9gpQYmzg" TargetMode="External"/><Relationship Id="rId4065" Type="http://schemas.openxmlformats.org/officeDocument/2006/relationships/hyperlink" Target="https://bellingcat-archive.nyc3.cdn.digitaloceanspaces.com/Ukraine_Witness_Datasheet/Worksheet/youtube_dl_1498123725807529991/index.html" TargetMode="External"/><Relationship Id="rId5399" Type="http://schemas.openxmlformats.org/officeDocument/2006/relationships/hyperlink" Target="https://bellingcat-archive.nyc3.cdn.digitaloceanspaces.com/Ukraine_Witness_Datasheet/Worksheet/youtube_dl_1499418106002825224.mp4" TargetMode="External"/><Relationship Id="rId4068" Type="http://schemas.openxmlformats.org/officeDocument/2006/relationships/hyperlink" Target="https://bellingcat-archive.nyc3.cdn.digitaloceanspaces.com/Ukraine_Witness_Datasheet/Worksheet/telegram__uniannet_333712022-02-28T13:24:46.164801.png" TargetMode="External"/><Relationship Id="rId5396" Type="http://schemas.openxmlformats.org/officeDocument/2006/relationships/hyperlink" Target="https://bellingcat-archive.nyc3.cdn.digitaloceanspaces.com/Ukraine_Witness_Datasheet/Worksheet/youtube_dl__Mariia_Zolkina_status_14994249309785825332022-03-03T18:55:12.775087.png" TargetMode="External"/><Relationship Id="rId4067" Type="http://schemas.openxmlformats.org/officeDocument/2006/relationships/hyperlink" Target="https://bellingcat-archive.nyc3.cdn.digitaloceanspaces.com/Ukraine_Witness_Datasheet/Worksheet/telegram_ab41e66661.mp4" TargetMode="External"/><Relationship Id="rId5397" Type="http://schemas.openxmlformats.org/officeDocument/2006/relationships/hyperlink" Target="https://bellingcat-archive.nyc3.cdn.digitaloceanspaces.com/Ukraine_Witness_Datasheet/Worksheet/youtube_dl_1499424930978582533/index.html" TargetMode="External"/><Relationship Id="rId4069" Type="http://schemas.openxmlformats.org/officeDocument/2006/relationships/hyperlink" Target="https://bellingcat-archive.nyc3.cdn.digitaloceanspaces.com/Ukraine_Witness_Datasheet/Worksheet/telegram_ab41e66661/index.html" TargetMode="External"/><Relationship Id="rId5380" Type="http://schemas.openxmlformats.org/officeDocument/2006/relationships/hyperlink" Target="https://bellingcat-archive.nyc3.cdn.digitaloceanspaces.com/Ukraine_Witness_Datasheet/Worksheet/youtube_dl_1499431817996345356.mp4" TargetMode="External"/><Relationship Id="rId4051" Type="http://schemas.openxmlformats.org/officeDocument/2006/relationships/hyperlink" Target="https://bellingcat-archive.nyc3.cdn.digitaloceanspaces.com/Ukraine_Witness_Datasheet/Worksheet/youtube_dl__EuroMaydan_status_14982631484276244482022-02-28T12:50:10.002539.png" TargetMode="External"/><Relationship Id="rId5383" Type="http://schemas.openxmlformats.org/officeDocument/2006/relationships/hyperlink" Target="https://twitter.com/michaelh992/status/1499418195488346116?s=20&amp;t=brM54OiXfXHPB52TQYLEuqv0MrztCKOAa2RDc2kY-vo" TargetMode="External"/><Relationship Id="rId4050" Type="http://schemas.openxmlformats.org/officeDocument/2006/relationships/hyperlink" Target="https://bellingcat-archive.nyc3.cdn.digitaloceanspaces.com/Ukraine_Witness_Datasheet/Worksheet/youtube_dl_1498263148427624448.mp4" TargetMode="External"/><Relationship Id="rId5384" Type="http://schemas.openxmlformats.org/officeDocument/2006/relationships/hyperlink" Target="https://bellingcat-archive.nyc3.cdn.digitaloceanspaces.com/Ukraine_Witness_Datasheet/Worksheet/youtube_dl_1499418195488346116.mp4" TargetMode="External"/><Relationship Id="rId4053" Type="http://schemas.openxmlformats.org/officeDocument/2006/relationships/hyperlink" Target="https://t.me/truexanewsua/26076" TargetMode="External"/><Relationship Id="rId5381" Type="http://schemas.openxmlformats.org/officeDocument/2006/relationships/hyperlink" Target="https://bellingcat-archive.nyc3.cdn.digitaloceanspaces.com/Ukraine_Witness_Datasheet/Worksheet/youtube_dl__KyivIndependent_status_14994318179963453562022-03-03T17:40:12.409410.png" TargetMode="External"/><Relationship Id="rId4052" Type="http://schemas.openxmlformats.org/officeDocument/2006/relationships/hyperlink" Target="https://bellingcat-archive.nyc3.cdn.digitaloceanspaces.com/Ukraine_Witness_Datasheet/Worksheet/youtube_dl_1498263148427624448/index.html" TargetMode="External"/><Relationship Id="rId5382" Type="http://schemas.openxmlformats.org/officeDocument/2006/relationships/hyperlink" Target="https://bellingcat-archive.nyc3.cdn.digitaloceanspaces.com/Ukraine_Witness_Datasheet/Worksheet/youtube_dl_1499431817996345356/index.html" TargetMode="External"/><Relationship Id="rId4055" Type="http://schemas.openxmlformats.org/officeDocument/2006/relationships/hyperlink" Target="https://bellingcat-archive.nyc3.cdn.digitaloceanspaces.com/Ukraine_Witness_Datasheet/Worksheet/telegram__truexanewsua_260762022-02-28T13:23:23.521138.png" TargetMode="External"/><Relationship Id="rId5387" Type="http://schemas.openxmlformats.org/officeDocument/2006/relationships/hyperlink" Target="https://twitter.com/olehbatkovych/status/1499437391328821251?s=20&amp;t=brM54OiXfXHPB52TQYLEuqv0MrztCKOAa2RDc2kY-vo" TargetMode="External"/><Relationship Id="rId4054" Type="http://schemas.openxmlformats.org/officeDocument/2006/relationships/hyperlink" Target="https://bellingcat-archive.nyc3.cdn.digitaloceanspaces.com/Ukraine_Witness_Datasheet/Worksheet/telegram_24d1b92bf4.mp4" TargetMode="External"/><Relationship Id="rId5388" Type="http://schemas.openxmlformats.org/officeDocument/2006/relationships/hyperlink" Target="https://bellingcat-archive.nyc3.cdn.digitaloceanspaces.com/Ukraine_Witness_Datasheet/Worksheet/youtube_dl_1499437391328821251.mp4" TargetMode="External"/><Relationship Id="rId4057" Type="http://schemas.openxmlformats.org/officeDocument/2006/relationships/hyperlink" Target="https://t.me/truexanewsua/26076" TargetMode="External"/><Relationship Id="rId5385" Type="http://schemas.openxmlformats.org/officeDocument/2006/relationships/hyperlink" Target="https://bellingcat-archive.nyc3.cdn.digitaloceanspaces.com/Ukraine_Witness_Datasheet/Worksheet/youtube_dl__michaelh992_status_14994181954883461162022-03-03T17:55:13.633923.png" TargetMode="External"/><Relationship Id="rId4056" Type="http://schemas.openxmlformats.org/officeDocument/2006/relationships/hyperlink" Target="https://bellingcat-archive.nyc3.cdn.digitaloceanspaces.com/Ukraine_Witness_Datasheet/Worksheet/telegram_24d1b92bf4/index.html" TargetMode="External"/><Relationship Id="rId5386" Type="http://schemas.openxmlformats.org/officeDocument/2006/relationships/hyperlink" Target="https://bellingcat-archive.nyc3.cdn.digitaloceanspaces.com/Ukraine_Witness_Datasheet/Worksheet/youtube_dl_1499418195488346116/index.html" TargetMode="External"/><Relationship Id="rId4059" Type="http://schemas.openxmlformats.org/officeDocument/2006/relationships/hyperlink" Target="https://bellingcat-archive.nyc3.cdn.digitaloceanspaces.com/Ukraine_Witness_Datasheet/Worksheet/youtube_dl_1498205627126059011.mp4" TargetMode="External"/><Relationship Id="rId4058" Type="http://schemas.openxmlformats.org/officeDocument/2006/relationships/hyperlink" Target="https://twitter.com/ukrainenewstop/status/1498205627126059011" TargetMode="External"/><Relationship Id="rId5389" Type="http://schemas.openxmlformats.org/officeDocument/2006/relationships/hyperlink" Target="https://bellingcat-archive.nyc3.cdn.digitaloceanspaces.com/Ukraine_Witness_Datasheet/Worksheet/youtube_dl__olehbatkovych_status_14994373913288212512022-03-03T17:55:27.289374.png" TargetMode="External"/><Relationship Id="rId4008" Type="http://schemas.openxmlformats.org/officeDocument/2006/relationships/hyperlink" Target="https://bellingcat-archive.nyc3.cdn.digitaloceanspaces.com/Ukraine_Witness_Datasheet/Worksheet/telegram_8677afb7d2/index.html" TargetMode="External"/><Relationship Id="rId4007" Type="http://schemas.openxmlformats.org/officeDocument/2006/relationships/hyperlink" Target="https://bellingcat-archive.nyc3.cdn.digitaloceanspaces.com/Ukraine_Witness_Datasheet/Worksheet/telegram__voynareal_109032022-03-02T13:01:58.299157.png" TargetMode="External"/><Relationship Id="rId5338" Type="http://schemas.openxmlformats.org/officeDocument/2006/relationships/hyperlink" Target="https://twitter.com/nexta_tv/status/1499405555206705153" TargetMode="External"/><Relationship Id="rId6669" Type="http://schemas.openxmlformats.org/officeDocument/2006/relationships/hyperlink" Target="https://twitter.com/CzechPremysl/status/1500766687959859200?s=20&amp;t=rAb46k466SPww9wO5YkHtQ" TargetMode="External"/><Relationship Id="rId4009" Type="http://schemas.openxmlformats.org/officeDocument/2006/relationships/hyperlink" Target="https://t.me/voynareal/10903" TargetMode="External"/><Relationship Id="rId5339" Type="http://schemas.openxmlformats.org/officeDocument/2006/relationships/hyperlink" Target="https://bellingcat-archive.nyc3.cdn.digitaloceanspaces.com/Ukraine_Witness_Datasheet/Worksheet/youtube_dl_1499405555206705153.mp4" TargetMode="External"/><Relationship Id="rId271" Type="http://schemas.openxmlformats.org/officeDocument/2006/relationships/hyperlink" Target="https://bellingcat-archive.nyc3.cdn.digitaloceanspaces.com/ukraine_witness_test/Worksheet/yotube_dl_1488115563754885122/index.html" TargetMode="External"/><Relationship Id="rId270" Type="http://schemas.openxmlformats.org/officeDocument/2006/relationships/hyperlink" Target="https://bellingcat-archive.nyc3.cdn.digitaloceanspaces.com/ukraine_witness_test/Worksheet/yotube_dl__GirkinGirkin_status_14881155637548851222022-02-25T11:44:12.000206.png" TargetMode="External"/><Relationship Id="rId269" Type="http://schemas.openxmlformats.org/officeDocument/2006/relationships/hyperlink" Target="https://bellingcat-archive.nyc3.cdn.digitaloceanspaces.com/ukraine_witness_test/Worksheet/yotube_dl_1488115563754885122.mp4" TargetMode="External"/><Relationship Id="rId7991" Type="http://schemas.openxmlformats.org/officeDocument/2006/relationships/hyperlink" Target="https://twitter.com/NotWoofers/status/1501610507672899585?s=20&amp;t=946cXkbcXSxbGbei_CfX8A" TargetMode="External"/><Relationship Id="rId6660" Type="http://schemas.openxmlformats.org/officeDocument/2006/relationships/hyperlink" Target="https://bellingcat-archive.nyc3.cdn.digitaloceanspaces.com/Ukraine_Witness_Datasheet/Worksheet/youtube_dl__tv_Ca0Sf71jQ9E_2022-03-08T03:00:16.155177.png" TargetMode="External"/><Relationship Id="rId7990" Type="http://schemas.openxmlformats.org/officeDocument/2006/relationships/hyperlink" Target="https://bellingcat-archive.nyc3.cdn.digitaloceanspaces.com/Ukraine_Witness_Datasheet/Worksheet/youtube_dl_1500797138632073219/index.html" TargetMode="External"/><Relationship Id="rId264" Type="http://schemas.openxmlformats.org/officeDocument/2006/relationships/hyperlink" Target="https://twitter.com/GirkinGirkin/status/1488104475051147265" TargetMode="External"/><Relationship Id="rId4000" Type="http://schemas.openxmlformats.org/officeDocument/2006/relationships/hyperlink" Target="https://bellingcat-archive.nyc3.cdn.digitaloceanspaces.com/Ukraine_Witness_Datasheet/Worksheet/telegram__suspilnekharkiv_82092022-02-28T12:06:34.006156.png" TargetMode="External"/><Relationship Id="rId5332" Type="http://schemas.openxmlformats.org/officeDocument/2006/relationships/hyperlink" Target="https://bellingcat-archive.nyc3.cdn.digitaloceanspaces.com/Ukraine_Witness_Datasheet/Worksheet/twitter__UAWeapons_status_1499413121634549765_photo_1.html" TargetMode="External"/><Relationship Id="rId6663" Type="http://schemas.openxmlformats.org/officeDocument/2006/relationships/hyperlink" Target="https://bellingcat-archive.nyc3.cdn.digitaloceanspaces.com/Ukraine_Witness_Datasheet/Worksheet/twitter__no_itsmyturn_status_1500379324511313924_photo_1.html" TargetMode="External"/><Relationship Id="rId7995" Type="http://schemas.openxmlformats.org/officeDocument/2006/relationships/hyperlink" Target="https://twitter.com/TpyxaNews/status/1500707092709183489" TargetMode="External"/><Relationship Id="rId263" Type="http://schemas.openxmlformats.org/officeDocument/2006/relationships/hyperlink" Target="https://bellingcat-archive.nyc3.cdn.digitaloceanspaces.com/ukraine_witness_test/Worksheet/yotube_dl_1487855713212850185/index.html" TargetMode="External"/><Relationship Id="rId5333" Type="http://schemas.openxmlformats.org/officeDocument/2006/relationships/hyperlink" Target="https://bellingcat-archive.nyc3.cdn.digitaloceanspaces.com/Ukraine_Witness_Datasheet/Worksheet/twitter__UAWeapons_status_1499413121634549765_photo_12022-03-03T16:00:12.271508.png" TargetMode="External"/><Relationship Id="rId6664" Type="http://schemas.openxmlformats.org/officeDocument/2006/relationships/hyperlink" Target="https://bellingcat-archive.nyc3.cdn.digitaloceanspaces.com/Ukraine_Witness_Datasheet/Worksheet/twitter__no_itsmyturn_status_1500379324511313924_photo_12022-03-08T06:35:12.820593.png" TargetMode="External"/><Relationship Id="rId7994" Type="http://schemas.openxmlformats.org/officeDocument/2006/relationships/hyperlink" Target="https://bellingcat-archive.nyc3.cdn.digitaloceanspaces.com/Ukraine_Witness_Datasheet/Worksheet/youtube_dl_1501610507672899585/index.html" TargetMode="External"/><Relationship Id="rId262" Type="http://schemas.openxmlformats.org/officeDocument/2006/relationships/hyperlink" Target="https://bellingcat-archive.nyc3.cdn.digitaloceanspaces.com/ukraine_witness_test/Worksheet/yotube_dl__GirkinGirkin_status_14878557132128501852022-02-25T11:42:30.797066.png" TargetMode="External"/><Relationship Id="rId4002" Type="http://schemas.openxmlformats.org/officeDocument/2006/relationships/hyperlink" Target="https://bellingcat-archive.nyc3.cdn.digitaloceanspaces.com/Ukraine_Witness_Datasheet/Worksheet/twitter__zcjbrooker_status_1498265069766983684.html" TargetMode="External"/><Relationship Id="rId5330" Type="http://schemas.openxmlformats.org/officeDocument/2006/relationships/hyperlink" Target="https://bellingcat-archive.nyc3.cdn.digitaloceanspaces.com/Ukraine_Witness_Datasheet/Worksheet/youtube_dl_1499390793001226243/index.html" TargetMode="External"/><Relationship Id="rId6661" Type="http://schemas.openxmlformats.org/officeDocument/2006/relationships/hyperlink" Target="https://bellingcat-archive.nyc3.cdn.digitaloceanspaces.com/Ukraine_Witness_Datasheet/Worksheet/youtube_dl_Ca0Sf71jQ9E/index.html" TargetMode="External"/><Relationship Id="rId7993" Type="http://schemas.openxmlformats.org/officeDocument/2006/relationships/hyperlink" Target="https://bellingcat-archive.nyc3.cdn.digitaloceanspaces.com/Ukraine_Witness_Datasheet/Worksheet/youtube_dl__NotWoofers_status_15016105076728995852022-03-09T17:45:27.272008.png" TargetMode="External"/><Relationship Id="rId261" Type="http://schemas.openxmlformats.org/officeDocument/2006/relationships/hyperlink" Target="https://bellingcat-archive.nyc3.cdn.digitaloceanspaces.com/ukraine_witness_test/Worksheet/yotube_dl_1487855713212850185.mp4" TargetMode="External"/><Relationship Id="rId4001" Type="http://schemas.openxmlformats.org/officeDocument/2006/relationships/hyperlink" Target="https://twitter.com/zcjbrooker/status/1498265069766983684" TargetMode="External"/><Relationship Id="rId5331" Type="http://schemas.openxmlformats.org/officeDocument/2006/relationships/hyperlink" Target="https://twitter.com/UAWeapons/status/1499413121634549765/photo/1" TargetMode="External"/><Relationship Id="rId6662" Type="http://schemas.openxmlformats.org/officeDocument/2006/relationships/hyperlink" Target="https://twitter.com/no_itsmyturn/status/1500379324511313924/photo/1" TargetMode="External"/><Relationship Id="rId7992" Type="http://schemas.openxmlformats.org/officeDocument/2006/relationships/hyperlink" Target="https://bellingcat-archive.nyc3.cdn.digitaloceanspaces.com/Ukraine_Witness_Datasheet/Worksheet/youtube_dl_1501610507672899585.mp4" TargetMode="External"/><Relationship Id="rId268" Type="http://schemas.openxmlformats.org/officeDocument/2006/relationships/hyperlink" Target="https://twitter.com/GirkinGirkin/status/1488115563754885122" TargetMode="External"/><Relationship Id="rId4004" Type="http://schemas.openxmlformats.org/officeDocument/2006/relationships/hyperlink" Target="https://twitter.com/RALee85/status/1498264476231114763" TargetMode="External"/><Relationship Id="rId5336" Type="http://schemas.openxmlformats.org/officeDocument/2006/relationships/hyperlink" Target="https://bellingcat-archive.nyc3.cdn.digitaloceanspaces.com/Ukraine_Witness_Datasheet/Worksheet/youtube_dl__L_ThinkTank_status_14994174372042670102022-03-03T16:20:12.930052.png" TargetMode="External"/><Relationship Id="rId6667" Type="http://schemas.openxmlformats.org/officeDocument/2006/relationships/hyperlink" Target="https://bellingcat-archive.nyc3.cdn.digitaloceanspaces.com/Ukraine_Witness_Datasheet/Worksheet/youtube_dl__no_itsmyturn_status_15003744958776442882022-03-08T06:35:23.857010.png" TargetMode="External"/><Relationship Id="rId7999" Type="http://schemas.openxmlformats.org/officeDocument/2006/relationships/hyperlink" Target="https://bellingcat-archive.nyc3.cdn.digitaloceanspaces.com/Ukraine_Witness_Datasheet/Worksheet/youtube_dl_1500707092709183489/index.html" TargetMode="External"/><Relationship Id="rId267" Type="http://schemas.openxmlformats.org/officeDocument/2006/relationships/hyperlink" Target="https://bellingcat-archive.nyc3.cdn.digitaloceanspaces.com/ukraine_witness_test/Worksheet/yotube_dl_1488104475051147265/index.html" TargetMode="External"/><Relationship Id="rId4003" Type="http://schemas.openxmlformats.org/officeDocument/2006/relationships/hyperlink" Target="https://bellingcat-archive.nyc3.cdn.digitaloceanspaces.com/Ukraine_Witness_Datasheet/Worksheet/twitter__zcjbrooker_status_14982650697669836842022-02-28T12:06:46.685213.png" TargetMode="External"/><Relationship Id="rId5337" Type="http://schemas.openxmlformats.org/officeDocument/2006/relationships/hyperlink" Target="https://bellingcat-archive.nyc3.cdn.digitaloceanspaces.com/Ukraine_Witness_Datasheet/Worksheet/youtube_dl_1499417437204267010/index.html" TargetMode="External"/><Relationship Id="rId6668" Type="http://schemas.openxmlformats.org/officeDocument/2006/relationships/hyperlink" Target="https://bellingcat-archive.nyc3.cdn.digitaloceanspaces.com/Ukraine_Witness_Datasheet/Worksheet/youtube_dl_1500374495877644288/index.html" TargetMode="External"/><Relationship Id="rId7998" Type="http://schemas.openxmlformats.org/officeDocument/2006/relationships/hyperlink" Target="https://bellingcat-archive.nyc3.cdn.digitaloceanspaces.com/Ukraine_Witness_Datasheet/Worksheet/youtube_dl__TpyxaNews_status_15007070927091834892022-03-09T17:45:40.806202.png" TargetMode="External"/><Relationship Id="rId266" Type="http://schemas.openxmlformats.org/officeDocument/2006/relationships/hyperlink" Target="https://bellingcat-archive.nyc3.cdn.digitaloceanspaces.com/ukraine_witness_test/Worksheet/yotube_dl__GirkinGirkin_status_14881044750511472652022-02-25T11:43:51.067191.png" TargetMode="External"/><Relationship Id="rId4006" Type="http://schemas.openxmlformats.org/officeDocument/2006/relationships/hyperlink" Target="https://bellingcat-archive.nyc3.cdn.digitaloceanspaces.com/Ukraine_Witness_Datasheet/Worksheet/telegram_8677afb7d2.mp4" TargetMode="External"/><Relationship Id="rId5334" Type="http://schemas.openxmlformats.org/officeDocument/2006/relationships/hyperlink" Target="https://twitter.com/CasusBellii/status/1499413841729531904" TargetMode="External"/><Relationship Id="rId6665" Type="http://schemas.openxmlformats.org/officeDocument/2006/relationships/hyperlink" Target="https://twitter.com/no_itsmyturn/status/1500374495877644288" TargetMode="External"/><Relationship Id="rId7997" Type="http://schemas.openxmlformats.org/officeDocument/2006/relationships/hyperlink" Target="https://bellingcat-archive.nyc3.cdn.digitaloceanspaces.com/Ukraine_Witness_Datasheet/Worksheet/youtube_dl_1500707092709183489.mp4" TargetMode="External"/><Relationship Id="rId265" Type="http://schemas.openxmlformats.org/officeDocument/2006/relationships/hyperlink" Target="https://bellingcat-archive.nyc3.cdn.digitaloceanspaces.com/ukraine_witness_test/Worksheet/yotube_dl_1488104475051147265.mp4" TargetMode="External"/><Relationship Id="rId4005" Type="http://schemas.openxmlformats.org/officeDocument/2006/relationships/hyperlink" Target="https://t.me/voynareal/10903" TargetMode="External"/><Relationship Id="rId5335" Type="http://schemas.openxmlformats.org/officeDocument/2006/relationships/hyperlink" Target="https://bellingcat-archive.nyc3.cdn.digitaloceanspaces.com/Ukraine_Witness_Datasheet/Worksheet/youtube_dl_1499417437204267010.mp4" TargetMode="External"/><Relationship Id="rId6666" Type="http://schemas.openxmlformats.org/officeDocument/2006/relationships/hyperlink" Target="https://bellingcat-archive.nyc3.cdn.digitaloceanspaces.com/Ukraine_Witness_Datasheet/Worksheet/youtube_dl_1500374495877644288.mp4" TargetMode="External"/><Relationship Id="rId7996" Type="http://schemas.openxmlformats.org/officeDocument/2006/relationships/hyperlink" Target="https://twitter.com/Sabados7/status/1500749001662025728" TargetMode="External"/><Relationship Id="rId5329" Type="http://schemas.openxmlformats.org/officeDocument/2006/relationships/hyperlink" Target="https://bellingcat-archive.nyc3.cdn.digitaloceanspaces.com/Ukraine_Witness_Datasheet/Worksheet/youtube_dl__SputnikATO_status_14993907930012262432022-03-03T15:50:11.527138.png" TargetMode="External"/><Relationship Id="rId5327" Type="http://schemas.openxmlformats.org/officeDocument/2006/relationships/hyperlink" Target="https://twitter.com/SputnikATO/status/1499390793001226243" TargetMode="External"/><Relationship Id="rId6658" Type="http://schemas.openxmlformats.org/officeDocument/2006/relationships/hyperlink" Target="https://twitter.com/john_marquee/status/1501026931663269890" TargetMode="External"/><Relationship Id="rId5328" Type="http://schemas.openxmlformats.org/officeDocument/2006/relationships/hyperlink" Target="https://bellingcat-archive.nyc3.cdn.digitaloceanspaces.com/Ukraine_Witness_Datasheet/Worksheet/youtube_dl_1499390793001226243.mp4" TargetMode="External"/><Relationship Id="rId6659" Type="http://schemas.openxmlformats.org/officeDocument/2006/relationships/hyperlink" Target="https://bellingcat-archive.nyc3.cdn.digitaloceanspaces.com/Ukraine_Witness_Datasheet/Worksheet/youtube_dl_Ca0Sf71jQ9E.mp4" TargetMode="External"/><Relationship Id="rId7989" Type="http://schemas.openxmlformats.org/officeDocument/2006/relationships/hyperlink" Target="https://bellingcat-archive.nyc3.cdn.digitaloceanspaces.com/Ukraine_Witness_Datasheet/Worksheet/youtube_dl__TpyxaNews_status_15007971386320732192022-03-09T17:45:13.542115.png" TargetMode="External"/><Relationship Id="rId260" Type="http://schemas.openxmlformats.org/officeDocument/2006/relationships/hyperlink" Target="https://twitter.com/GirkinGirkin/status/1487855713212850185" TargetMode="External"/><Relationship Id="rId259" Type="http://schemas.openxmlformats.org/officeDocument/2006/relationships/hyperlink" Target="https://bellingcat-archive.nyc3.cdn.digitaloceanspaces.com/ukraine_witness_test/Worksheet/yotube_dl_1488028300941434881/index.html" TargetMode="External"/><Relationship Id="rId258" Type="http://schemas.openxmlformats.org/officeDocument/2006/relationships/hyperlink" Target="https://bellingcat-archive.nyc3.cdn.digitaloceanspaces.com/ukraine_witness_test/Worksheet/yotube_dl__GirkinGirkin_status_14880283009414348812022-02-25T11:42:13.513211.png" TargetMode="External"/><Relationship Id="rId7980" Type="http://schemas.openxmlformats.org/officeDocument/2006/relationships/hyperlink" Target="https://twitter.com/no_itsmyturn/status/1501596148049616906?s=20&amp;t=Oz1z1qQq9mQH7-5Hi9Y9Kg" TargetMode="External"/><Relationship Id="rId253" Type="http://schemas.openxmlformats.org/officeDocument/2006/relationships/hyperlink" Target="https://bellingcat-archive.nyc3.cdn.digitaloceanspaces.com/ukraine_witness_test/Worksheet/yotube_dl__4emberlen_status_14877781331683041292022-02-25T11:41:41.530521.png" TargetMode="External"/><Relationship Id="rId5321" Type="http://schemas.openxmlformats.org/officeDocument/2006/relationships/hyperlink" Target="https://bellingcat-archive.nyc3.cdn.digitaloceanspaces.com/Ukraine_Witness_Datasheet/Worksheet/youtube_dl__GirkinGirkin_status_14993562523962695732022-03-03T14:30:13.795608.png" TargetMode="External"/><Relationship Id="rId6652" Type="http://schemas.openxmlformats.org/officeDocument/2006/relationships/hyperlink" Target="https://twitter.com/UAWeapons/status/1500868256051216387" TargetMode="External"/><Relationship Id="rId7984" Type="http://schemas.openxmlformats.org/officeDocument/2006/relationships/hyperlink" Target="https://bellingcat-archive.nyc3.cdn.digitaloceanspaces.com/Ukraine_Witness_Datasheet/Worksheet/youtube_dl_1501596148049616906/index.html" TargetMode="External"/><Relationship Id="rId252" Type="http://schemas.openxmlformats.org/officeDocument/2006/relationships/hyperlink" Target="https://bellingcat-archive.nyc3.cdn.digitaloceanspaces.com/ukraine_witness_test/Worksheet/yotube_dl_1487778133168304129.mp4" TargetMode="External"/><Relationship Id="rId5322" Type="http://schemas.openxmlformats.org/officeDocument/2006/relationships/hyperlink" Target="https://bellingcat-archive.nyc3.cdn.digitaloceanspaces.com/Ukraine_Witness_Datasheet/Worksheet/youtube_dl_1499356252396269573/index.html" TargetMode="External"/><Relationship Id="rId6653" Type="http://schemas.openxmlformats.org/officeDocument/2006/relationships/hyperlink" Target="https://twitter.com/Danspiun/status/1500884052651487238" TargetMode="External"/><Relationship Id="rId7983" Type="http://schemas.openxmlformats.org/officeDocument/2006/relationships/hyperlink" Target="https://bellingcat-archive.nyc3.cdn.digitaloceanspaces.com/Ukraine_Witness_Datasheet/Worksheet/youtube_dl__no_itsmyturn_status_15015961480496169062022-03-09T17:40:25.803636.png" TargetMode="External"/><Relationship Id="rId251" Type="http://schemas.openxmlformats.org/officeDocument/2006/relationships/hyperlink" Target="https://twitter.com/gfusfus/status/1487785816059531265" TargetMode="External"/><Relationship Id="rId6650" Type="http://schemas.openxmlformats.org/officeDocument/2006/relationships/hyperlink" Target="https://bellingcat-archive.nyc3.cdn.digitaloceanspaces.com/Ukraine_Witness_Datasheet/Worksheet/twitter__KrukuOne_status_1500915853193269256.html" TargetMode="External"/><Relationship Id="rId7982" Type="http://schemas.openxmlformats.org/officeDocument/2006/relationships/hyperlink" Target="https://bellingcat-archive.nyc3.cdn.digitaloceanspaces.com/Ukraine_Witness_Datasheet/Worksheet/youtube_dl_1501596148049616906.mp4" TargetMode="External"/><Relationship Id="rId250" Type="http://schemas.openxmlformats.org/officeDocument/2006/relationships/hyperlink" Target="https://twitter.com/4emberlen/status/1487778133168304129" TargetMode="External"/><Relationship Id="rId5320" Type="http://schemas.openxmlformats.org/officeDocument/2006/relationships/hyperlink" Target="https://bellingcat-archive.nyc3.cdn.digitaloceanspaces.com/Ukraine_Witness_Datasheet/Worksheet/youtube_dl_1499356252396269573.mp4" TargetMode="External"/><Relationship Id="rId6651" Type="http://schemas.openxmlformats.org/officeDocument/2006/relationships/hyperlink" Target="https://bellingcat-archive.nyc3.cdn.digitaloceanspaces.com/Ukraine_Witness_Datasheet/Worksheet/twitter__KrukuOne_status_15009158531932692562022-03-08T00:45:14.204386.png" TargetMode="External"/><Relationship Id="rId7981" Type="http://schemas.openxmlformats.org/officeDocument/2006/relationships/hyperlink" Target="https://www.google.com/maps/@49.950082,36.1554778,3a,75y,7.42h,77.34t/data=!3m6!1e1!3m4!1skEzlsEbtR_5ldpvbzIQ9eg!2e0!7i13312!8i6656" TargetMode="External"/><Relationship Id="rId257" Type="http://schemas.openxmlformats.org/officeDocument/2006/relationships/hyperlink" Target="https://bellingcat-archive.nyc3.cdn.digitaloceanspaces.com/ukraine_witness_test/Worksheet/yotube_dl_1488028300941434881.mp4" TargetMode="External"/><Relationship Id="rId5325" Type="http://schemas.openxmlformats.org/officeDocument/2006/relationships/hyperlink" Target="https://bellingcat-archive.nyc3.cdn.digitaloceanspaces.com/Ukraine_Witness_Datasheet/Worksheet/youtube_dl__RALee85_status_14994005526643712092022-03-03T15:15:12.002202.png" TargetMode="External"/><Relationship Id="rId6656" Type="http://schemas.openxmlformats.org/officeDocument/2006/relationships/hyperlink" Target="https://bellingcat-archive.nyc3.cdn.digitaloceanspaces.com/Ukraine_Witness_Datasheet/Worksheet/youtube_dl_1500868256051216387/index.html" TargetMode="External"/><Relationship Id="rId7988" Type="http://schemas.openxmlformats.org/officeDocument/2006/relationships/hyperlink" Target="https://bellingcat-archive.nyc3.cdn.digitaloceanspaces.com/Ukraine_Witness_Datasheet/Worksheet/youtube_dl_1500797138632073219.mp4" TargetMode="External"/><Relationship Id="rId256" Type="http://schemas.openxmlformats.org/officeDocument/2006/relationships/hyperlink" Target="https://twitter.com/MilitaryEmpire/status/1488103894899113985" TargetMode="External"/><Relationship Id="rId5326" Type="http://schemas.openxmlformats.org/officeDocument/2006/relationships/hyperlink" Target="https://bellingcat-archive.nyc3.cdn.digitaloceanspaces.com/Ukraine_Witness_Datasheet/Worksheet/youtube_dl_1499400552664371209/index.html" TargetMode="External"/><Relationship Id="rId6657" Type="http://schemas.openxmlformats.org/officeDocument/2006/relationships/hyperlink" Target="https://www.instagram.com/tv/Ca0Sf71jQ9E/" TargetMode="External"/><Relationship Id="rId7987" Type="http://schemas.openxmlformats.org/officeDocument/2006/relationships/hyperlink" Target="https://www.google.com/maps/@50.0414146,36.2269997,3a,25.9y,200.03h,102.03t/data=!3m6!1e1!3m4!1sCT40f9NnGE-tn28TS2_zYQ!2e0!7i13312!8i6656" TargetMode="External"/><Relationship Id="rId255" Type="http://schemas.openxmlformats.org/officeDocument/2006/relationships/hyperlink" Target="https://twitter.com/GirkinGirkin/status/1488028300941434881" TargetMode="External"/><Relationship Id="rId5323" Type="http://schemas.openxmlformats.org/officeDocument/2006/relationships/hyperlink" Target="https://twitter.com/RALee85/status/1499400552664371209" TargetMode="External"/><Relationship Id="rId6654" Type="http://schemas.openxmlformats.org/officeDocument/2006/relationships/hyperlink" Target="https://bellingcat-archive.nyc3.cdn.digitaloceanspaces.com/Ukraine_Witness_Datasheet/Worksheet/youtube_dl_1500868256051216387.mp4" TargetMode="External"/><Relationship Id="rId7986" Type="http://schemas.openxmlformats.org/officeDocument/2006/relationships/hyperlink" Target="https://twitter.com/Sabados7/status/1500803906984681477" TargetMode="External"/><Relationship Id="rId254" Type="http://schemas.openxmlformats.org/officeDocument/2006/relationships/hyperlink" Target="https://bellingcat-archive.nyc3.cdn.digitaloceanspaces.com/ukraine_witness_test/Worksheet/yotube_dl_1487778133168304129/index.html" TargetMode="External"/><Relationship Id="rId5324" Type="http://schemas.openxmlformats.org/officeDocument/2006/relationships/hyperlink" Target="https://bellingcat-archive.nyc3.cdn.digitaloceanspaces.com/Ukraine_Witness_Datasheet/Worksheet/youtube_dl_1499400552664371209.mp4" TargetMode="External"/><Relationship Id="rId6655" Type="http://schemas.openxmlformats.org/officeDocument/2006/relationships/hyperlink" Target="https://bellingcat-archive.nyc3.cdn.digitaloceanspaces.com/Ukraine_Witness_Datasheet/Worksheet/youtube_dl__UAWeapons_status_15008682560512163872022-03-08T01:20:15.119234.png" TargetMode="External"/><Relationship Id="rId7985" Type="http://schemas.openxmlformats.org/officeDocument/2006/relationships/hyperlink" Target="https://twitter.com/TpyxaNews/status/1500797138632073219" TargetMode="External"/><Relationship Id="rId4029" Type="http://schemas.openxmlformats.org/officeDocument/2006/relationships/hyperlink" Target="https://twitter.com/zcjbrooker/status/1498272949908000769" TargetMode="External"/><Relationship Id="rId293" Type="http://schemas.openxmlformats.org/officeDocument/2006/relationships/hyperlink" Target="https://bellingcat-archive.nyc3.cdn.digitaloceanspaces.com/ukraine_witness_test/Worksheet/yotube_dl__4emberlen_status_14874451784871198742022-02-25T11:45:51.899153.png" TargetMode="External"/><Relationship Id="rId292" Type="http://schemas.openxmlformats.org/officeDocument/2006/relationships/hyperlink" Target="https://bellingcat-archive.nyc3.cdn.digitaloceanspaces.com/ukraine_witness_test/Worksheet/yotube_dl_1487445178487119874.mp4" TargetMode="External"/><Relationship Id="rId291" Type="http://schemas.openxmlformats.org/officeDocument/2006/relationships/hyperlink" Target="https://twitter.com/4emberlen/status/1487445178487119874" TargetMode="External"/><Relationship Id="rId290" Type="http://schemas.openxmlformats.org/officeDocument/2006/relationships/hyperlink" Target="https://bellingcat-archive.nyc3.cdn.digitaloceanspaces.com/ukraine_witness_test/Worksheet/yotube_dl_1483069960599523330/index.html" TargetMode="External"/><Relationship Id="rId5350" Type="http://schemas.openxmlformats.org/officeDocument/2006/relationships/hyperlink" Target="https://twitter.com/RussiaUkraineW3/status/1498682172957691904" TargetMode="External"/><Relationship Id="rId6681" Type="http://schemas.openxmlformats.org/officeDocument/2006/relationships/hyperlink" Target="https://bellingcat-archive.nyc3.cdn.digitaloceanspaces.com/Ukraine_Witness_Datasheet/Worksheet/youtube_dl__RALee85_status_14967346909711974442022-03-08T08:37:36.916385.png" TargetMode="External"/><Relationship Id="rId5351" Type="http://schemas.openxmlformats.org/officeDocument/2006/relationships/hyperlink" Target="https://bellingcat-archive.nyc3.cdn.digitaloceanspaces.com/Ukraine_Witness_Datasheet/Worksheet/twitter__RussiaUkraineW3_status_1498682172957691904.html" TargetMode="External"/><Relationship Id="rId6682" Type="http://schemas.openxmlformats.org/officeDocument/2006/relationships/hyperlink" Target="https://bellingcat-archive.nyc3.cdn.digitaloceanspaces.com/Ukraine_Witness_Datasheet/Worksheet/youtube_dl_1496734690971197444/index.html" TargetMode="External"/><Relationship Id="rId4020" Type="http://schemas.openxmlformats.org/officeDocument/2006/relationships/hyperlink" Target="https://bellingcat-archive.nyc3.cdn.digitaloceanspaces.com/Ukraine_Witness_Datasheet/Worksheet/youtube_dl_1498259982428610560/index.html" TargetMode="External"/><Relationship Id="rId6680" Type="http://schemas.openxmlformats.org/officeDocument/2006/relationships/hyperlink" Target="https://bellingcat-archive.nyc3.cdn.digitaloceanspaces.com/Ukraine_Witness_Datasheet/Worksheet/youtube_dl_1496734690971197444.mp4" TargetMode="External"/><Relationship Id="rId286" Type="http://schemas.openxmlformats.org/officeDocument/2006/relationships/hyperlink" Target="https://bellingcat-archive.nyc3.cdn.digitaloceanspaces.com/ukraine_witness_test/Worksheet/yotube_dl_1488434485884604418/index.html" TargetMode="External"/><Relationship Id="rId4022" Type="http://schemas.openxmlformats.org/officeDocument/2006/relationships/hyperlink" Target="https://bellingcat-archive.nyc3.cdn.digitaloceanspaces.com/Ukraine_Witness_Datasheet/Worksheet/youtube_dl_1498261445213048837.mp4" TargetMode="External"/><Relationship Id="rId5354" Type="http://schemas.openxmlformats.org/officeDocument/2006/relationships/hyperlink" Target="https://bellingcat-archive.nyc3.cdn.digitaloceanspaces.com/Ukraine_Witness_Datasheet/Worksheet/twitter__aldin_ww_status_1498728726066081792.html" TargetMode="External"/><Relationship Id="rId6685" Type="http://schemas.openxmlformats.org/officeDocument/2006/relationships/hyperlink" Target="https://bellingcat-archive.nyc3.cdn.digitaloceanspaces.com/Ukraine_Witness_Datasheet/Worksheet/youtube_dl__ralee85_status_14967175066350796822022-03-08T08:37:50.941604.png" TargetMode="External"/><Relationship Id="rId285" Type="http://schemas.openxmlformats.org/officeDocument/2006/relationships/hyperlink" Target="https://bellingcat-archive.nyc3.cdn.digitaloceanspaces.com/ukraine_witness_test/Worksheet/yotube_dl__GirkinGirkin_status_14884344858846044182022-02-25T11:45:01.776975.png" TargetMode="External"/><Relationship Id="rId4021" Type="http://schemas.openxmlformats.org/officeDocument/2006/relationships/hyperlink" Target="https://twitter.com/MelnykAndrij/status/1498261445213048837" TargetMode="External"/><Relationship Id="rId5355" Type="http://schemas.openxmlformats.org/officeDocument/2006/relationships/hyperlink" Target="https://bellingcat-archive.nyc3.cdn.digitaloceanspaces.com/Ukraine_Witness_Datasheet/Worksheet/twitter__aldin_ww_status_14987287260660817922022-03-03T16:55:23.197902.png" TargetMode="External"/><Relationship Id="rId6686" Type="http://schemas.openxmlformats.org/officeDocument/2006/relationships/hyperlink" Target="https://bellingcat-archive.nyc3.cdn.digitaloceanspaces.com/Ukraine_Witness_Datasheet/Worksheet/youtube_dl_1496717506635079682/index.html" TargetMode="External"/><Relationship Id="rId284" Type="http://schemas.openxmlformats.org/officeDocument/2006/relationships/hyperlink" Target="https://bellingcat-archive.nyc3.cdn.digitaloceanspaces.com/ukraine_witness_test/Worksheet/yotube_dl_1488434485884604418.mp4" TargetMode="External"/><Relationship Id="rId4024" Type="http://schemas.openxmlformats.org/officeDocument/2006/relationships/hyperlink" Target="https://bellingcat-archive.nyc3.cdn.digitaloceanspaces.com/Ukraine_Witness_Datasheet/Worksheet/youtube_dl_1498261445213048837/index.html" TargetMode="External"/><Relationship Id="rId5352" Type="http://schemas.openxmlformats.org/officeDocument/2006/relationships/hyperlink" Target="https://bellingcat-archive.nyc3.cdn.digitaloceanspaces.com/Ukraine_Witness_Datasheet/Worksheet/twitter__RussiaUkraineW3_status_14986821729576919042022-03-03T16:55:12.553488.png" TargetMode="External"/><Relationship Id="rId6683" Type="http://schemas.openxmlformats.org/officeDocument/2006/relationships/hyperlink" Target="https://twitter.com/ralee85/status/1496717506635079682?s=21" TargetMode="External"/><Relationship Id="rId283" Type="http://schemas.openxmlformats.org/officeDocument/2006/relationships/hyperlink" Target="https://www.tiktok.com/@votobei63/video/7059597332836322562?is_copy_url=1&amp;is_from_webapp=v1&amp;q=votobei63&amp;t=1643716218730" TargetMode="External"/><Relationship Id="rId4023" Type="http://schemas.openxmlformats.org/officeDocument/2006/relationships/hyperlink" Target="https://bellingcat-archive.nyc3.cdn.digitaloceanspaces.com/Ukraine_Witness_Datasheet/Worksheet/youtube_dl__MelnykAndrij_status_14982614452130488372022-02-28T12:11:04.886740.png" TargetMode="External"/><Relationship Id="rId5353" Type="http://schemas.openxmlformats.org/officeDocument/2006/relationships/hyperlink" Target="https://twitter.com/aldin_ww/status/1498728726066081792" TargetMode="External"/><Relationship Id="rId6684" Type="http://schemas.openxmlformats.org/officeDocument/2006/relationships/hyperlink" Target="https://bellingcat-archive.nyc3.cdn.digitaloceanspaces.com/Ukraine_Witness_Datasheet/Worksheet/youtube_dl_1496717506635079682.mp4" TargetMode="External"/><Relationship Id="rId4026" Type="http://schemas.openxmlformats.org/officeDocument/2006/relationships/hyperlink" Target="https://bellingcat-archive.nyc3.cdn.digitaloceanspaces.com/Ukraine_Witness_Datasheet/Worksheet/youtube_dl_1498270618025873411.mp4" TargetMode="External"/><Relationship Id="rId5358" Type="http://schemas.openxmlformats.org/officeDocument/2006/relationships/hyperlink" Target="https://bellingcat-archive.nyc3.cdn.digitaloceanspaces.com/Ukraine_Witness_Datasheet/Worksheet/youtube_dl__TpyxaNews_status_14994173839828336682022-03-03T16:55:34.269883.png" TargetMode="External"/><Relationship Id="rId6689" Type="http://schemas.openxmlformats.org/officeDocument/2006/relationships/hyperlink" Target="https://bellingcat-archive.nyc3.cdn.digitaloceanspaces.com/Ukraine_Witness_Datasheet/Worksheet/youtube_dl__ralee85_status_14974237564148326502022-03-08T08:38:07.394029.png" TargetMode="External"/><Relationship Id="rId289" Type="http://schemas.openxmlformats.org/officeDocument/2006/relationships/hyperlink" Target="https://bellingcat-archive.nyc3.cdn.digitaloceanspaces.com/ukraine_witness_test/Worksheet/yotube_dl__worldonalert_status_14830699605995233302022-02-25T11:45:26.659559.png" TargetMode="External"/><Relationship Id="rId4025" Type="http://schemas.openxmlformats.org/officeDocument/2006/relationships/hyperlink" Target="https://twitter.com/200_zoka/status/1498270618025873411" TargetMode="External"/><Relationship Id="rId5359" Type="http://schemas.openxmlformats.org/officeDocument/2006/relationships/hyperlink" Target="https://bellingcat-archive.nyc3.cdn.digitaloceanspaces.com/Ukraine_Witness_Datasheet/Worksheet/youtube_dl_1499417383982833668/index.html" TargetMode="External"/><Relationship Id="rId288" Type="http://schemas.openxmlformats.org/officeDocument/2006/relationships/hyperlink" Target="https://bellingcat-archive.nyc3.cdn.digitaloceanspaces.com/ukraine_witness_test/Worksheet/yotube_dl_1483069960599523330.mp4" TargetMode="External"/><Relationship Id="rId4028" Type="http://schemas.openxmlformats.org/officeDocument/2006/relationships/hyperlink" Target="https://bellingcat-archive.nyc3.cdn.digitaloceanspaces.com/Ukraine_Witness_Datasheet/Worksheet/youtube_dl_1498270618025873411/index.html" TargetMode="External"/><Relationship Id="rId5356" Type="http://schemas.openxmlformats.org/officeDocument/2006/relationships/hyperlink" Target="https://twitter.com/TpyxaNews/status/1499417383982833668" TargetMode="External"/><Relationship Id="rId6687" Type="http://schemas.openxmlformats.org/officeDocument/2006/relationships/hyperlink" Target="https://twitter.com/ralee85/status/1497423756414832650?s=21" TargetMode="External"/><Relationship Id="rId287" Type="http://schemas.openxmlformats.org/officeDocument/2006/relationships/hyperlink" Target="https://twitter.com/worldonalert/status/1483069960599523330" TargetMode="External"/><Relationship Id="rId4027" Type="http://schemas.openxmlformats.org/officeDocument/2006/relationships/hyperlink" Target="https://bellingcat-archive.nyc3.cdn.digitaloceanspaces.com/Ukraine_Witness_Datasheet/Worksheet/youtube_dl__200_zoka_status_14982706180258734112022-02-28T12:47:23.002124.png" TargetMode="External"/><Relationship Id="rId5357" Type="http://schemas.openxmlformats.org/officeDocument/2006/relationships/hyperlink" Target="https://bellingcat-archive.nyc3.cdn.digitaloceanspaces.com/Ukraine_Witness_Datasheet/Worksheet/youtube_dl_1499417383982833668.mp4" TargetMode="External"/><Relationship Id="rId6688" Type="http://schemas.openxmlformats.org/officeDocument/2006/relationships/hyperlink" Target="https://bellingcat-archive.nyc3.cdn.digitaloceanspaces.com/Ukraine_Witness_Datasheet/Worksheet/youtube_dl_1497422148419432448.mp4" TargetMode="External"/><Relationship Id="rId4019" Type="http://schemas.openxmlformats.org/officeDocument/2006/relationships/hyperlink" Target="https://bellingcat-archive.nyc3.cdn.digitaloceanspaces.com/Ukraine_Witness_Datasheet/Worksheet/youtube_dl__RALee85_status_14982599824286105602022-02-28T12:10:42.467545.png" TargetMode="External"/><Relationship Id="rId4018" Type="http://schemas.openxmlformats.org/officeDocument/2006/relationships/hyperlink" Target="https://bellingcat-archive.nyc3.cdn.digitaloceanspaces.com/Ukraine_Witness_Datasheet/Worksheet/youtube_dl_1498259982428610560.mp4" TargetMode="External"/><Relationship Id="rId5349" Type="http://schemas.openxmlformats.org/officeDocument/2006/relationships/hyperlink" Target="https://bellingcat-archive.nyc3.cdn.digitaloceanspaces.com/Ukraine_Witness_Datasheet/Worksheet/twitter__GirkinGirkin_status_14994186026420633702022-03-03T16:35:11.999311.png" TargetMode="External"/><Relationship Id="rId282" Type="http://schemas.openxmlformats.org/officeDocument/2006/relationships/hyperlink" Target="https://twitter.com/GirkinGirkin/status/1488434485884604418" TargetMode="External"/><Relationship Id="rId281" Type="http://schemas.openxmlformats.org/officeDocument/2006/relationships/hyperlink" Target="https://bellingcat-archive.nyc3.cdn.digitaloceanspaces.com/ukraine_witness_test/Worksheet/yotube_dl_1488224940293771271/index.html" TargetMode="External"/><Relationship Id="rId280" Type="http://schemas.openxmlformats.org/officeDocument/2006/relationships/hyperlink" Target="https://bellingcat-archive.nyc3.cdn.digitaloceanspaces.com/ukraine_witness_test/Worksheet/yotube_dl__GirkinGirkin_status_14882249402937712712022-02-25T11:44:44.351386.png" TargetMode="External"/><Relationship Id="rId6670" Type="http://schemas.openxmlformats.org/officeDocument/2006/relationships/hyperlink" Target="https://bellingcat-archive.nyc3.cdn.digitaloceanspaces.com/Ukraine_Witness_Datasheet/Worksheet/youtube_dl_1500766687959859200.mp4" TargetMode="External"/><Relationship Id="rId5340" Type="http://schemas.openxmlformats.org/officeDocument/2006/relationships/hyperlink" Target="https://bellingcat-archive.nyc3.cdn.digitaloceanspaces.com/Ukraine_Witness_Datasheet/Worksheet/youtube_dl__nexta_tv_status_14994055552067051532022-03-03T16:25:13.536611.png" TargetMode="External"/><Relationship Id="rId6671" Type="http://schemas.openxmlformats.org/officeDocument/2006/relationships/hyperlink" Target="https://bellingcat-archive.nyc3.cdn.digitaloceanspaces.com/Ukraine_Witness_Datasheet/Worksheet/youtube_dl__CzechPremysl_status_15007666879598592002022-03-08T07:45:12.119523.png" TargetMode="External"/><Relationship Id="rId275" Type="http://schemas.openxmlformats.org/officeDocument/2006/relationships/hyperlink" Target="https://bellingcat-archive.nyc3.cdn.digitaloceanspaces.com/ukraine_witness_test/Worksheet/yotube_dl__GirkinGirkin_status_14881277905830092812022-02-25T11:44:28.300219.png" TargetMode="External"/><Relationship Id="rId4011" Type="http://schemas.openxmlformats.org/officeDocument/2006/relationships/hyperlink" Target="https://bellingcat-archive.nyc3.cdn.digitaloceanspaces.com/Ukraine_Witness_Datasheet/Worksheet/twitter__zcjbrooker_status_1498263672950566918.html" TargetMode="External"/><Relationship Id="rId5343" Type="http://schemas.openxmlformats.org/officeDocument/2006/relationships/hyperlink" Target="https://bellingcat-archive.nyc3.cdn.digitaloceanspaces.com/Ukraine_Witness_Datasheet/Worksheet/youtube_dl_1499404517439426563.mp4" TargetMode="External"/><Relationship Id="rId6674" Type="http://schemas.openxmlformats.org/officeDocument/2006/relationships/hyperlink" Target="https://web.archive.org/web/20220308083523/https://t.me/c/1347456995/38590" TargetMode="External"/><Relationship Id="rId274" Type="http://schemas.openxmlformats.org/officeDocument/2006/relationships/hyperlink" Target="https://bellingcat-archive.nyc3.cdn.digitaloceanspaces.com/ukraine_witness_test/Worksheet/yotube_dl_1488127790583009281.mp4" TargetMode="External"/><Relationship Id="rId4010" Type="http://schemas.openxmlformats.org/officeDocument/2006/relationships/hyperlink" Target="https://twitter.com/zcjbrooker/status/1498263672950566918" TargetMode="External"/><Relationship Id="rId5344" Type="http://schemas.openxmlformats.org/officeDocument/2006/relationships/hyperlink" Target="https://bellingcat-archive.nyc3.cdn.digitaloceanspaces.com/Ukraine_Witness_Datasheet/Worksheet/youtube_dl__nexta_tv_status_14994045174394265632022-03-03T16:30:14.570920.png" TargetMode="External"/><Relationship Id="rId6675" Type="http://schemas.openxmlformats.org/officeDocument/2006/relationships/hyperlink" Target="https://bellingcat-archive.nyc3.cdn.digitaloceanspaces.com/Ukraine_Witness_Datasheet/Worksheet/wayback__c_1347456995_385902022-03-08T08:36:56.690692.png" TargetMode="External"/><Relationship Id="rId273" Type="http://schemas.openxmlformats.org/officeDocument/2006/relationships/hyperlink" Target="https://twitter.com/Spectat09243946/status/1488135872084160513" TargetMode="External"/><Relationship Id="rId4013" Type="http://schemas.openxmlformats.org/officeDocument/2006/relationships/hyperlink" Target="https://twitter.com/no_itsmyturn/status/1498263195735277570" TargetMode="External"/><Relationship Id="rId5341" Type="http://schemas.openxmlformats.org/officeDocument/2006/relationships/hyperlink" Target="https://bellingcat-archive.nyc3.cdn.digitaloceanspaces.com/Ukraine_Witness_Datasheet/Worksheet/youtube_dl_1499405555206705153/index.html" TargetMode="External"/><Relationship Id="rId6672" Type="http://schemas.openxmlformats.org/officeDocument/2006/relationships/hyperlink" Target="https://bellingcat-archive.nyc3.cdn.digitaloceanspaces.com/Ukraine_Witness_Datasheet/Worksheet/youtube_dl_1500766687959859200/index.html" TargetMode="External"/><Relationship Id="rId272" Type="http://schemas.openxmlformats.org/officeDocument/2006/relationships/hyperlink" Target="https://twitter.com/GirkinGirkin/status/1488127790583009281" TargetMode="External"/><Relationship Id="rId4012" Type="http://schemas.openxmlformats.org/officeDocument/2006/relationships/hyperlink" Target="https://bellingcat-archive.nyc3.cdn.digitaloceanspaces.com/Ukraine_Witness_Datasheet/Worksheet/twitter__zcjbrooker_status_14982636729505669182022-02-28T12:09:16.758470.png" TargetMode="External"/><Relationship Id="rId5342" Type="http://schemas.openxmlformats.org/officeDocument/2006/relationships/hyperlink" Target="https://twitter.com/nexta_tv/status/1499404517439426563" TargetMode="External"/><Relationship Id="rId6673" Type="http://schemas.openxmlformats.org/officeDocument/2006/relationships/hyperlink" Target="https://t.me/c/1347456995/38590" TargetMode="External"/><Relationship Id="rId279" Type="http://schemas.openxmlformats.org/officeDocument/2006/relationships/hyperlink" Target="https://bellingcat-archive.nyc3.cdn.digitaloceanspaces.com/ukraine_witness_test/Worksheet/yotube_dl_1488224940293771271.mp4" TargetMode="External"/><Relationship Id="rId4015" Type="http://schemas.openxmlformats.org/officeDocument/2006/relationships/hyperlink" Target="https://bellingcat-archive.nyc3.cdn.digitaloceanspaces.com/Ukraine_Witness_Datasheet/Worksheet/youtube_dl__no_itsmyturn_status_14982631957352775702022-02-28T12:10:06.519013.png" TargetMode="External"/><Relationship Id="rId5347" Type="http://schemas.openxmlformats.org/officeDocument/2006/relationships/hyperlink" Target="https://twitter.com/gfusfus/status/1499422189442977797" TargetMode="External"/><Relationship Id="rId6678" Type="http://schemas.openxmlformats.org/officeDocument/2006/relationships/hyperlink" Target="https://bellingcat-archive.nyc3.cdn.digitaloceanspaces.com/Ukraine_Witness_Datasheet/Worksheet/wayback__pavlokyrylenko.donoda_posts_4936411123184482022-03-08T08:37:26.564141.png" TargetMode="External"/><Relationship Id="rId278" Type="http://schemas.openxmlformats.org/officeDocument/2006/relationships/hyperlink" Target="https://twitter.com/Michael1Sheldon/status/1488302565607489541" TargetMode="External"/><Relationship Id="rId4014" Type="http://schemas.openxmlformats.org/officeDocument/2006/relationships/hyperlink" Target="https://bellingcat-archive.nyc3.cdn.digitaloceanspaces.com/Ukraine_Witness_Datasheet/Worksheet/youtube_dl_1498263195735277570.mp4" TargetMode="External"/><Relationship Id="rId5348" Type="http://schemas.openxmlformats.org/officeDocument/2006/relationships/hyperlink" Target="https://bellingcat-archive.nyc3.cdn.digitaloceanspaces.com/Ukraine_Witness_Datasheet/Worksheet/twitter__GirkinGirkin_status_1499418602642063370.html" TargetMode="External"/><Relationship Id="rId6679" Type="http://schemas.openxmlformats.org/officeDocument/2006/relationships/hyperlink" Target="https://twitter.com/RALee85/status/1496734690971197444?s=20&amp;t=YBptTuRUiR-FrhvxxMSFrg" TargetMode="External"/><Relationship Id="rId277" Type="http://schemas.openxmlformats.org/officeDocument/2006/relationships/hyperlink" Target="https://twitter.com/GirkinGirkin/status/1488224940293771271" TargetMode="External"/><Relationship Id="rId4017" Type="http://schemas.openxmlformats.org/officeDocument/2006/relationships/hyperlink" Target="https://twitter.com/RALee85/status/1498259982428610560?s=20&amp;t=j07osHvc_5LdnSsnGui-bA" TargetMode="External"/><Relationship Id="rId5345" Type="http://schemas.openxmlformats.org/officeDocument/2006/relationships/hyperlink" Target="https://bellingcat-archive.nyc3.cdn.digitaloceanspaces.com/Ukraine_Witness_Datasheet/Worksheet/youtube_dl_1499404517439426563/index.html" TargetMode="External"/><Relationship Id="rId6676" Type="http://schemas.openxmlformats.org/officeDocument/2006/relationships/hyperlink" Target="https://www.facebook.com/pavlokyrylenko.donoda/posts/493641112318448" TargetMode="External"/><Relationship Id="rId276" Type="http://schemas.openxmlformats.org/officeDocument/2006/relationships/hyperlink" Target="https://bellingcat-archive.nyc3.cdn.digitaloceanspaces.com/ukraine_witness_test/Worksheet/yotube_dl_1488127790583009281/index.html" TargetMode="External"/><Relationship Id="rId4016" Type="http://schemas.openxmlformats.org/officeDocument/2006/relationships/hyperlink" Target="https://bellingcat-archive.nyc3.cdn.digitaloceanspaces.com/Ukraine_Witness_Datasheet/Worksheet/youtube_dl_1498263195735277570/index.html" TargetMode="External"/><Relationship Id="rId5346" Type="http://schemas.openxmlformats.org/officeDocument/2006/relationships/hyperlink" Target="https://twitter.com/GirkinGirkin/status/1499418602642063370" TargetMode="External"/><Relationship Id="rId6677" Type="http://schemas.openxmlformats.org/officeDocument/2006/relationships/hyperlink" Target="https://web.archive.org/web/20220308083717/https://www.facebook.com/login/?next=https%3A%2F%2Fwww.facebook.com%2Fpavlokyrylenko.donoda%2Fposts%2F493641112318448" TargetMode="External"/><Relationship Id="rId1851" Type="http://schemas.openxmlformats.org/officeDocument/2006/relationships/hyperlink" Target="https://bellingcat-archive.nyc3.cdn.digitaloceanspaces.com/Ukraine_Witness_Datasheet/Worksheet/youtube_dl__Idzanagi4_status_14950499851503124492022-02-25T13:53:34.051135.png" TargetMode="External"/><Relationship Id="rId1852" Type="http://schemas.openxmlformats.org/officeDocument/2006/relationships/hyperlink" Target="https://bellingcat-archive.nyc3.cdn.digitaloceanspaces.com/Ukraine_Witness_Datasheet/Worksheet/youtube_dl_1495049985150312449/index.html" TargetMode="External"/><Relationship Id="rId1853" Type="http://schemas.openxmlformats.org/officeDocument/2006/relationships/hyperlink" Target="https://twitter.com/Idzanagi4/status/1495019720361320453" TargetMode="External"/><Relationship Id="rId1854" Type="http://schemas.openxmlformats.org/officeDocument/2006/relationships/hyperlink" Target="https://twitter.com/danvan71/status/1495124428782452742" TargetMode="External"/><Relationship Id="rId1855" Type="http://schemas.openxmlformats.org/officeDocument/2006/relationships/hyperlink" Target="https://bellingcat-archive.nyc3.cdn.digitaloceanspaces.com/Ukraine_Witness_Datasheet/Worksheet/youtube_dl_1495019720361320453.mp4" TargetMode="External"/><Relationship Id="rId1856" Type="http://schemas.openxmlformats.org/officeDocument/2006/relationships/hyperlink" Target="https://bellingcat-archive.nyc3.cdn.digitaloceanspaces.com/Ukraine_Witness_Datasheet/Worksheet/youtube_dl__Idzanagi4_status_14950197203613204532022-02-25T13:53:17.350048.png" TargetMode="External"/><Relationship Id="rId1857" Type="http://schemas.openxmlformats.org/officeDocument/2006/relationships/hyperlink" Target="https://bellingcat-archive.nyc3.cdn.digitaloceanspaces.com/Ukraine_Witness_Datasheet/Worksheet/youtube_dl_1495019720361320453/index.html" TargetMode="External"/><Relationship Id="rId1858" Type="http://schemas.openxmlformats.org/officeDocument/2006/relationships/hyperlink" Target="https://twitter.com/MotolkoHelp/status/1495008242430316547" TargetMode="External"/><Relationship Id="rId1859" Type="http://schemas.openxmlformats.org/officeDocument/2006/relationships/hyperlink" Target="https://twitter.com/gfusfus/status/1495014816171413509" TargetMode="External"/><Relationship Id="rId1850" Type="http://schemas.openxmlformats.org/officeDocument/2006/relationships/hyperlink" Target="https://bellingcat-archive.nyc3.cdn.digitaloceanspaces.com/Ukraine_Witness_Datasheet/Worksheet/youtube_dl_1495049985150312449.mp4" TargetMode="External"/><Relationship Id="rId1840" Type="http://schemas.openxmlformats.org/officeDocument/2006/relationships/hyperlink" Target="https://bellingcat-archive.nyc3.cdn.digitaloceanspaces.com/Ukraine_Witness_Datasheet/Worksheet/youtube_dl_1494984191586578434.mp4" TargetMode="External"/><Relationship Id="rId1841" Type="http://schemas.openxmlformats.org/officeDocument/2006/relationships/hyperlink" Target="https://bellingcat-archive.nyc3.cdn.digitaloceanspaces.com/Ukraine_Witness_Datasheet/Worksheet/youtube_dl__KyleJGlen_status_14949841915865784342022-02-25T13:54:13.815810.png" TargetMode="External"/><Relationship Id="rId1842" Type="http://schemas.openxmlformats.org/officeDocument/2006/relationships/hyperlink" Target="https://bellingcat-archive.nyc3.cdn.digitaloceanspaces.com/Ukraine_Witness_Datasheet/Worksheet/youtube_dl_1494984191586578434/index.html" TargetMode="External"/><Relationship Id="rId1843" Type="http://schemas.openxmlformats.org/officeDocument/2006/relationships/hyperlink" Target="https://twitter.com/GirkinGirkin/status/1494867617634471940" TargetMode="External"/><Relationship Id="rId1844" Type="http://schemas.openxmlformats.org/officeDocument/2006/relationships/hyperlink" Target="https://twitter.com/ToasterIntel/status/1494870329952329731" TargetMode="External"/><Relationship Id="rId1845" Type="http://schemas.openxmlformats.org/officeDocument/2006/relationships/hyperlink" Target="https://bellingcat-archive.nyc3.cdn.digitaloceanspaces.com/Ukraine_Witness_Datasheet/Worksheet/youtube_dl_1494867617634471940.mp4" TargetMode="External"/><Relationship Id="rId1846" Type="http://schemas.openxmlformats.org/officeDocument/2006/relationships/hyperlink" Target="https://bellingcat-archive.nyc3.cdn.digitaloceanspaces.com/Ukraine_Witness_Datasheet/Worksheet/youtube_dl__GirkinGirkin_status_14948676176344719402022-02-25T13:53:54.115652.png" TargetMode="External"/><Relationship Id="rId1847" Type="http://schemas.openxmlformats.org/officeDocument/2006/relationships/hyperlink" Target="https://bellingcat-archive.nyc3.cdn.digitaloceanspaces.com/Ukraine_Witness_Datasheet/Worksheet/youtube_dl_1494867617634471940/index.html" TargetMode="External"/><Relationship Id="rId1848" Type="http://schemas.openxmlformats.org/officeDocument/2006/relationships/hyperlink" Target="https://twitter.com/Idzanagi4/status/1495049985150312449" TargetMode="External"/><Relationship Id="rId1849" Type="http://schemas.openxmlformats.org/officeDocument/2006/relationships/hyperlink" Target="https://twitter.com/danvan71/status/1495115084791795717" TargetMode="External"/><Relationship Id="rId1873" Type="http://schemas.openxmlformats.org/officeDocument/2006/relationships/hyperlink" Target="https://twitter.com/sasha_sotnik/status/1495024214939774980" TargetMode="External"/><Relationship Id="rId1874" Type="http://schemas.openxmlformats.org/officeDocument/2006/relationships/hyperlink" Target="https://twitter.com/gfusfus/status/1495045278617026562" TargetMode="External"/><Relationship Id="rId1875" Type="http://schemas.openxmlformats.org/officeDocument/2006/relationships/hyperlink" Target="https://bellingcat-archive.nyc3.cdn.digitaloceanspaces.com/Ukraine_Witness_Datasheet/Worksheet/youtube_dl_1495024214939774980.mp4" TargetMode="External"/><Relationship Id="rId1876" Type="http://schemas.openxmlformats.org/officeDocument/2006/relationships/hyperlink" Target="https://bellingcat-archive.nyc3.cdn.digitaloceanspaces.com/Ukraine_Witness_Datasheet/Worksheet/youtube_dl__sasha_sotnik_status_14950242149397749802022-02-25T13:51:54.518183.png" TargetMode="External"/><Relationship Id="rId1877" Type="http://schemas.openxmlformats.org/officeDocument/2006/relationships/hyperlink" Target="https://bellingcat-archive.nyc3.cdn.digitaloceanspaces.com/Ukraine_Witness_Datasheet/Worksheet/youtube_dl_1495024214939774980/index.html" TargetMode="External"/><Relationship Id="rId1878" Type="http://schemas.openxmlformats.org/officeDocument/2006/relationships/hyperlink" Target="https://t.me/new_militarycolumnist/72285" TargetMode="External"/><Relationship Id="rId1879" Type="http://schemas.openxmlformats.org/officeDocument/2006/relationships/hyperlink" Target="https://twitter.com/gfusfus/status/1495123304193081345" TargetMode="External"/><Relationship Id="rId1870" Type="http://schemas.openxmlformats.org/officeDocument/2006/relationships/hyperlink" Target="https://bellingcat-archive.nyc3.cdn.digitaloceanspaces.com/Ukraine_Witness_Datasheet/Worksheet/youtube_dl_1495032915264163846.mp4" TargetMode="External"/><Relationship Id="rId1871" Type="http://schemas.openxmlformats.org/officeDocument/2006/relationships/hyperlink" Target="https://bellingcat-archive.nyc3.cdn.digitaloceanspaces.com/Ukraine_Witness_Datasheet/Worksheet/youtube_dl__GirkinGirkin_status_14950329152641638462022-02-25T13:52:14.166217.png" TargetMode="External"/><Relationship Id="rId1872" Type="http://schemas.openxmlformats.org/officeDocument/2006/relationships/hyperlink" Target="https://bellingcat-archive.nyc3.cdn.digitaloceanspaces.com/Ukraine_Witness_Datasheet/Worksheet/youtube_dl_1495032915264163846/index.html" TargetMode="External"/><Relationship Id="rId1862" Type="http://schemas.openxmlformats.org/officeDocument/2006/relationships/hyperlink" Target="https://bellingcat-archive.nyc3.cdn.digitaloceanspaces.com/Ukraine_Witness_Datasheet/Worksheet/youtube_dl_1495008242430316547/index.html" TargetMode="External"/><Relationship Id="rId1863" Type="http://schemas.openxmlformats.org/officeDocument/2006/relationships/hyperlink" Target="https://twitter.com/Idzanagi4/status/1495015956078374913" TargetMode="External"/><Relationship Id="rId1864" Type="http://schemas.openxmlformats.org/officeDocument/2006/relationships/hyperlink" Target="https://twitter.com/gfusfus/status/1495019285235871746" TargetMode="External"/><Relationship Id="rId1865" Type="http://schemas.openxmlformats.org/officeDocument/2006/relationships/hyperlink" Target="https://bellingcat-archive.nyc3.cdn.digitaloceanspaces.com/Ukraine_Witness_Datasheet/Worksheet/youtube_dl_1495015956078374913.mp4" TargetMode="External"/><Relationship Id="rId1866" Type="http://schemas.openxmlformats.org/officeDocument/2006/relationships/hyperlink" Target="https://bellingcat-archive.nyc3.cdn.digitaloceanspaces.com/Ukraine_Witness_Datasheet/Worksheet/youtube_dl__Idzanagi4_status_14950159560783749132022-02-25T13:52:31.103322.png" TargetMode="External"/><Relationship Id="rId1867" Type="http://schemas.openxmlformats.org/officeDocument/2006/relationships/hyperlink" Target="https://bellingcat-archive.nyc3.cdn.digitaloceanspaces.com/Ukraine_Witness_Datasheet/Worksheet/youtube_dl_1495015956078374913/index.html" TargetMode="External"/><Relationship Id="rId1868" Type="http://schemas.openxmlformats.org/officeDocument/2006/relationships/hyperlink" Target="https://twitter.com/GirkinGirkin/status/1495032915264163846" TargetMode="External"/><Relationship Id="rId1869" Type="http://schemas.openxmlformats.org/officeDocument/2006/relationships/hyperlink" Target="https://twitter.com/gfusfus/status/1495036262385963010" TargetMode="External"/><Relationship Id="rId1860" Type="http://schemas.openxmlformats.org/officeDocument/2006/relationships/hyperlink" Target="https://bellingcat-archive.nyc3.cdn.digitaloceanspaces.com/Ukraine_Witness_Datasheet/Worksheet/youtube_dl_1495008242430316547.mp4" TargetMode="External"/><Relationship Id="rId1861" Type="http://schemas.openxmlformats.org/officeDocument/2006/relationships/hyperlink" Target="https://bellingcat-archive.nyc3.cdn.digitaloceanspaces.com/Ukraine_Witness_Datasheet/Worksheet/youtube_dl__MotolkoHelp_status_14950082424303165472022-02-25T13:52:57.728744.png" TargetMode="External"/><Relationship Id="rId1810" Type="http://schemas.openxmlformats.org/officeDocument/2006/relationships/hyperlink" Target="https://bellingcat-archive.nyc3.cdn.digitaloceanspaces.com/Ukraine_Witness_Datasheet/Worksheet/youtube_dl_1494825550342459392.mp4" TargetMode="External"/><Relationship Id="rId1811" Type="http://schemas.openxmlformats.org/officeDocument/2006/relationships/hyperlink" Target="https://bellingcat-archive.nyc3.cdn.digitaloceanspaces.com/Ukraine_Witness_Datasheet/Worksheet/youtube_dl__GirkinGirkin_status_14948255503424593922022-02-25T13:56:22.900351.png" TargetMode="External"/><Relationship Id="rId1812" Type="http://schemas.openxmlformats.org/officeDocument/2006/relationships/hyperlink" Target="https://bellingcat-archive.nyc3.cdn.digitaloceanspaces.com/Ukraine_Witness_Datasheet/Worksheet/youtube_dl_1494825550342459392/index.html" TargetMode="External"/><Relationship Id="rId1813" Type="http://schemas.openxmlformats.org/officeDocument/2006/relationships/hyperlink" Target="https://twitter.com/GirkinGirkin/status/1495018245631397892" TargetMode="External"/><Relationship Id="rId1814" Type="http://schemas.openxmlformats.org/officeDocument/2006/relationships/hyperlink" Target="https://twitter.com/danvan71/status/1495032321585688576" TargetMode="External"/><Relationship Id="rId1815" Type="http://schemas.openxmlformats.org/officeDocument/2006/relationships/hyperlink" Target="https://bellingcat-archive.nyc3.cdn.digitaloceanspaces.com/Ukraine_Witness_Datasheet/Worksheet/youtube_dl_1495018245631397892.mp4" TargetMode="External"/><Relationship Id="rId1816" Type="http://schemas.openxmlformats.org/officeDocument/2006/relationships/hyperlink" Target="https://bellingcat-archive.nyc3.cdn.digitaloceanspaces.com/Ukraine_Witness_Datasheet/Worksheet/youtube_dl__GirkinGirkin_status_14950182456313978922022-02-25T13:56:05.762010.png" TargetMode="External"/><Relationship Id="rId1817" Type="http://schemas.openxmlformats.org/officeDocument/2006/relationships/hyperlink" Target="https://bellingcat-archive.nyc3.cdn.digitaloceanspaces.com/Ukraine_Witness_Datasheet/Worksheet/youtube_dl_1495018245631397892/index.html" TargetMode="External"/><Relationship Id="rId1818" Type="http://schemas.openxmlformats.org/officeDocument/2006/relationships/hyperlink" Target="https://twitter.com/GirkinGirkin/status/1495022443857162250" TargetMode="External"/><Relationship Id="rId1819" Type="http://schemas.openxmlformats.org/officeDocument/2006/relationships/hyperlink" Target="https://twitter.com/danvan71/status/1495025908784275461" TargetMode="External"/><Relationship Id="rId4080" Type="http://schemas.openxmlformats.org/officeDocument/2006/relationships/hyperlink" Target="https://bellingcat-archive.nyc3.cdn.digitaloceanspaces.com/Ukraine_Witness_Datasheet/Worksheet/twitter__RolandOliphant_status_1498269943271469063.html" TargetMode="External"/><Relationship Id="rId4082" Type="http://schemas.openxmlformats.org/officeDocument/2006/relationships/hyperlink" Target="https://twitter.com/nntaleb/status/1498306870007762946" TargetMode="External"/><Relationship Id="rId4081" Type="http://schemas.openxmlformats.org/officeDocument/2006/relationships/hyperlink" Target="https://bellingcat-archive.nyc3.cdn.digitaloceanspaces.com/Ukraine_Witness_Datasheet/Worksheet/twitter__RolandOliphant_status_14982699432714690632022-02-28T14:28:43.030687.png" TargetMode="External"/><Relationship Id="rId4084" Type="http://schemas.openxmlformats.org/officeDocument/2006/relationships/hyperlink" Target="https://bellingcat-archive.nyc3.cdn.digitaloceanspaces.com/Ukraine_Witness_Datasheet/Worksheet/youtube_dl__nntaleb_status_14983068700077629462022-03-02T13:02:21.923602.png" TargetMode="External"/><Relationship Id="rId4083" Type="http://schemas.openxmlformats.org/officeDocument/2006/relationships/hyperlink" Target="https://bellingcat-archive.nyc3.cdn.digitaloceanspaces.com/Ukraine_Witness_Datasheet/Worksheet/youtube_dl_1498306870007762946.mp4" TargetMode="External"/><Relationship Id="rId4086" Type="http://schemas.openxmlformats.org/officeDocument/2006/relationships/hyperlink" Target="https://twitter.com/donetsk62ua/status/1498267087562846211?s=20&amp;t=_xFKuqmEK9J7zIULpQJ-ew" TargetMode="External"/><Relationship Id="rId4085" Type="http://schemas.openxmlformats.org/officeDocument/2006/relationships/hyperlink" Target="https://bellingcat-archive.nyc3.cdn.digitaloceanspaces.com/Ukraine_Witness_Datasheet/Worksheet/youtube_dl_1498306870007762946/index.html" TargetMode="External"/><Relationship Id="rId4088" Type="http://schemas.openxmlformats.org/officeDocument/2006/relationships/hyperlink" Target="https://bellingcat-archive.nyc3.cdn.digitaloceanspaces.com/Ukraine_Witness_Datasheet/Worksheet/twitter__donetsk62ua_status_14982670875628462112022-02-28T13:26:25.220094.png" TargetMode="External"/><Relationship Id="rId4087" Type="http://schemas.openxmlformats.org/officeDocument/2006/relationships/hyperlink" Target="https://bellingcat-archive.nyc3.cdn.digitaloceanspaces.com/Ukraine_Witness_Datasheet/Worksheet/twitter__donetsk62ua_status_1498267087562846211.html" TargetMode="External"/><Relationship Id="rId4089" Type="http://schemas.openxmlformats.org/officeDocument/2006/relationships/hyperlink" Target="https://twitter.com/juliaskripkaser/status/1498257415330054144?s=20&amp;t=A6jWQ4h19yCjjoYwVXLvOw" TargetMode="External"/><Relationship Id="rId1800" Type="http://schemas.openxmlformats.org/officeDocument/2006/relationships/hyperlink" Target="https://bellingcat-archive.nyc3.cdn.digitaloceanspaces.com/Ukraine_Witness_Datasheet/Worksheet/youtube_dl_1495062942903156744.mp4" TargetMode="External"/><Relationship Id="rId1801" Type="http://schemas.openxmlformats.org/officeDocument/2006/relationships/hyperlink" Target="https://bellingcat-archive.nyc3.cdn.digitaloceanspaces.com/Ukraine_Witness_Datasheet/Worksheet/youtube_dl__Michael1Sheldon_status_14950629429031567442022-02-25T13:56:58.454408.png" TargetMode="External"/><Relationship Id="rId1802" Type="http://schemas.openxmlformats.org/officeDocument/2006/relationships/hyperlink" Target="https://bellingcat-archive.nyc3.cdn.digitaloceanspaces.com/Ukraine_Witness_Datasheet/Worksheet/youtube_dl_1495062942903156744/index.html" TargetMode="External"/><Relationship Id="rId1803" Type="http://schemas.openxmlformats.org/officeDocument/2006/relationships/hyperlink" Target="https://twitter.com/JC_Monitoring/status/1495059793966514183" TargetMode="External"/><Relationship Id="rId1804" Type="http://schemas.openxmlformats.org/officeDocument/2006/relationships/hyperlink" Target="https://twitter.com/JC_Monitoring/status/1495060287342456834" TargetMode="External"/><Relationship Id="rId1805" Type="http://schemas.openxmlformats.org/officeDocument/2006/relationships/hyperlink" Target="https://bellingcat-archive.nyc3.cdn.digitaloceanspaces.com/Ukraine_Witness_Datasheet/Worksheet/youtube_dl_1495059793966514183.mp4" TargetMode="External"/><Relationship Id="rId1806" Type="http://schemas.openxmlformats.org/officeDocument/2006/relationships/hyperlink" Target="https://bellingcat-archive.nyc3.cdn.digitaloceanspaces.com/Ukraine_Witness_Datasheet/Worksheet/youtube_dl__JC_Monitoring_status_14950597939665141832022-02-25T13:56:39.257031.png" TargetMode="External"/><Relationship Id="rId1807" Type="http://schemas.openxmlformats.org/officeDocument/2006/relationships/hyperlink" Target="https://bellingcat-archive.nyc3.cdn.digitaloceanspaces.com/Ukraine_Witness_Datasheet/Worksheet/youtube_dl_1495059793966514183/index.html" TargetMode="External"/><Relationship Id="rId1808" Type="http://schemas.openxmlformats.org/officeDocument/2006/relationships/hyperlink" Target="https://twitter.com/GirkinGirkin/status/1494825550342459392" TargetMode="External"/><Relationship Id="rId1809" Type="http://schemas.openxmlformats.org/officeDocument/2006/relationships/hyperlink" Target="https://twitter.com/danvan71/status/1495025962223865856" TargetMode="External"/><Relationship Id="rId4071" Type="http://schemas.openxmlformats.org/officeDocument/2006/relationships/hyperlink" Target="https://twitter.com/poppoppopkt/status/1498253254907789313" TargetMode="External"/><Relationship Id="rId4070" Type="http://schemas.openxmlformats.org/officeDocument/2006/relationships/hyperlink" Target="https://t.me/uniannet/33371" TargetMode="External"/><Relationship Id="rId4073" Type="http://schemas.openxmlformats.org/officeDocument/2006/relationships/hyperlink" Target="https://bellingcat-archive.nyc3.cdn.digitaloceanspaces.com/Ukraine_Witness_Datasheet/Worksheet/youtube_dl__poppoppopkt_status_14982532549077893132022-02-28T13:25:15.574097.png" TargetMode="External"/><Relationship Id="rId4072" Type="http://schemas.openxmlformats.org/officeDocument/2006/relationships/hyperlink" Target="https://bellingcat-archive.nyc3.cdn.digitaloceanspaces.com/Ukraine_Witness_Datasheet/Worksheet/youtube_dl_1498253254907789313.mp4" TargetMode="External"/><Relationship Id="rId4075" Type="http://schemas.openxmlformats.org/officeDocument/2006/relationships/hyperlink" Target="https://twitter.com/YWNReporter/status/1498222843380879362" TargetMode="External"/><Relationship Id="rId4074" Type="http://schemas.openxmlformats.org/officeDocument/2006/relationships/hyperlink" Target="https://bellingcat-archive.nyc3.cdn.digitaloceanspaces.com/Ukraine_Witness_Datasheet/Worksheet/youtube_dl_1498253254907789313/index.html" TargetMode="External"/><Relationship Id="rId4077" Type="http://schemas.openxmlformats.org/officeDocument/2006/relationships/hyperlink" Target="https://bellingcat-archive.nyc3.cdn.digitaloceanspaces.com/Ukraine_Witness_Datasheet/Worksheet/youtube_dl__YWNReporter_status_14982228433808793622022-02-28T13:25:36.395436.png" TargetMode="External"/><Relationship Id="rId4076" Type="http://schemas.openxmlformats.org/officeDocument/2006/relationships/hyperlink" Target="https://bellingcat-archive.nyc3.cdn.digitaloceanspaces.com/Ukraine_Witness_Datasheet/Worksheet/youtube_dl_1498222843380879362.mp4" TargetMode="External"/><Relationship Id="rId4079" Type="http://schemas.openxmlformats.org/officeDocument/2006/relationships/hyperlink" Target="https://twitter.com/RolandOliphant/status/1498269943271469063" TargetMode="External"/><Relationship Id="rId4078" Type="http://schemas.openxmlformats.org/officeDocument/2006/relationships/hyperlink" Target="https://bellingcat-archive.nyc3.cdn.digitaloceanspaces.com/Ukraine_Witness_Datasheet/Worksheet/youtube_dl_1498222843380879362/index.html" TargetMode="External"/><Relationship Id="rId1830" Type="http://schemas.openxmlformats.org/officeDocument/2006/relationships/hyperlink" Target="https://bellingcat-archive.nyc3.cdn.digitaloceanspaces.com/Ukraine_Witness_Datasheet/Worksheet/youtube_dl_1495061583571079174.mp4" TargetMode="External"/><Relationship Id="rId1831" Type="http://schemas.openxmlformats.org/officeDocument/2006/relationships/hyperlink" Target="https://bellingcat-archive.nyc3.cdn.digitaloceanspaces.com/Ukraine_Witness_Datasheet/Worksheet/youtube_dl__Idzanagi4_status_14950615835710791742022-02-25T13:54:59.643594.png" TargetMode="External"/><Relationship Id="rId1832" Type="http://schemas.openxmlformats.org/officeDocument/2006/relationships/hyperlink" Target="https://bellingcat-archive.nyc3.cdn.digitaloceanspaces.com/Ukraine_Witness_Datasheet/Worksheet/youtube_dl_1495061583571079174/index.html" TargetMode="External"/><Relationship Id="rId1833" Type="http://schemas.openxmlformats.org/officeDocument/2006/relationships/hyperlink" Target="https://twitter.com/Idzanagi4/status/1495053679266832390" TargetMode="External"/><Relationship Id="rId1834" Type="http://schemas.openxmlformats.org/officeDocument/2006/relationships/hyperlink" Target="https://twitter.com/danvan71/status/1495090587640512515" TargetMode="External"/><Relationship Id="rId1835" Type="http://schemas.openxmlformats.org/officeDocument/2006/relationships/hyperlink" Target="https://bellingcat-archive.nyc3.cdn.digitaloceanspaces.com/Ukraine_Witness_Datasheet/Worksheet/youtube_dl_1495053679266832390.mp4" TargetMode="External"/><Relationship Id="rId1836" Type="http://schemas.openxmlformats.org/officeDocument/2006/relationships/hyperlink" Target="https://bellingcat-archive.nyc3.cdn.digitaloceanspaces.com/Ukraine_Witness_Datasheet/Worksheet/youtube_dl__Idzanagi4_status_14950536792668323902022-02-25T13:54:30.665053.png" TargetMode="External"/><Relationship Id="rId1837" Type="http://schemas.openxmlformats.org/officeDocument/2006/relationships/hyperlink" Target="https://bellingcat-archive.nyc3.cdn.digitaloceanspaces.com/Ukraine_Witness_Datasheet/Worksheet/youtube_dl_1495053679266832390/index.html" TargetMode="External"/><Relationship Id="rId1838" Type="http://schemas.openxmlformats.org/officeDocument/2006/relationships/hyperlink" Target="https://twitter.com/KyleJGlen/status/1494984191586578434" TargetMode="External"/><Relationship Id="rId1839" Type="http://schemas.openxmlformats.org/officeDocument/2006/relationships/hyperlink" Target="https://twitter.com/danvan71/status/1495070428787793929" TargetMode="External"/><Relationship Id="rId1820" Type="http://schemas.openxmlformats.org/officeDocument/2006/relationships/hyperlink" Target="https://bellingcat-archive.nyc3.cdn.digitaloceanspaces.com/Ukraine_Witness_Datasheet/Worksheet/youtube_dl_1495022443857162250.mp4" TargetMode="External"/><Relationship Id="rId1821" Type="http://schemas.openxmlformats.org/officeDocument/2006/relationships/hyperlink" Target="https://bellingcat-archive.nyc3.cdn.digitaloceanspaces.com/Ukraine_Witness_Datasheet/Worksheet/youtube_dl__GirkinGirkin_status_14950224438571622502022-02-25T13:55:43.934820.png" TargetMode="External"/><Relationship Id="rId1822" Type="http://schemas.openxmlformats.org/officeDocument/2006/relationships/hyperlink" Target="https://bellingcat-archive.nyc3.cdn.digitaloceanspaces.com/Ukraine_Witness_Datasheet/Worksheet/youtube_dl_1495022443857162250/index.html" TargetMode="External"/><Relationship Id="rId1823" Type="http://schemas.openxmlformats.org/officeDocument/2006/relationships/hyperlink" Target="https://twitter.com/GirkinGirkin/status/1494984111471140871" TargetMode="External"/><Relationship Id="rId1824" Type="http://schemas.openxmlformats.org/officeDocument/2006/relationships/hyperlink" Target="https://twitter.com/danvan71/status/1495045082537410565" TargetMode="External"/><Relationship Id="rId1825" Type="http://schemas.openxmlformats.org/officeDocument/2006/relationships/hyperlink" Target="https://bellingcat-archive.nyc3.cdn.digitaloceanspaces.com/Ukraine_Witness_Datasheet/Worksheet/youtube_dl_1494984111471140871.mp4" TargetMode="External"/><Relationship Id="rId1826" Type="http://schemas.openxmlformats.org/officeDocument/2006/relationships/hyperlink" Target="https://bellingcat-archive.nyc3.cdn.digitaloceanspaces.com/Ukraine_Witness_Datasheet/Worksheet/youtube_dl__GirkinGirkin_status_14949841114711408712022-02-25T13:55:23.969275.png" TargetMode="External"/><Relationship Id="rId1827" Type="http://schemas.openxmlformats.org/officeDocument/2006/relationships/hyperlink" Target="https://bellingcat-archive.nyc3.cdn.digitaloceanspaces.com/Ukraine_Witness_Datasheet/Worksheet/youtube_dl_1494984111471140871/index.html" TargetMode="External"/><Relationship Id="rId1828" Type="http://schemas.openxmlformats.org/officeDocument/2006/relationships/hyperlink" Target="https://twitter.com/Idzanagi4/status/1495061583571079174" TargetMode="External"/><Relationship Id="rId1829" Type="http://schemas.openxmlformats.org/officeDocument/2006/relationships/hyperlink" Target="https://twitter.com/danvan71/status/1495082231504715784" TargetMode="External"/><Relationship Id="rId4091" Type="http://schemas.openxmlformats.org/officeDocument/2006/relationships/hyperlink" Target="https://bellingcat-archive.nyc3.cdn.digitaloceanspaces.com/Ukraine_Witness_Datasheet/Worksheet/youtube_dl__juliaskripkaser_status_14982574153300541442022-02-28T13:26:40.599656.png" TargetMode="External"/><Relationship Id="rId4090" Type="http://schemas.openxmlformats.org/officeDocument/2006/relationships/hyperlink" Target="https://bellingcat-archive.nyc3.cdn.digitaloceanspaces.com/Ukraine_Witness_Datasheet/Worksheet/youtube_dl_1498257415330054144.mp4" TargetMode="External"/><Relationship Id="rId4093" Type="http://schemas.openxmlformats.org/officeDocument/2006/relationships/hyperlink" Target="https://t.me/truexanewsua/26073" TargetMode="External"/><Relationship Id="rId4092" Type="http://schemas.openxmlformats.org/officeDocument/2006/relationships/hyperlink" Target="https://bellingcat-archive.nyc3.cdn.digitaloceanspaces.com/Ukraine_Witness_Datasheet/Worksheet/youtube_dl_1498257415330054144/index.html" TargetMode="External"/><Relationship Id="rId4095" Type="http://schemas.openxmlformats.org/officeDocument/2006/relationships/hyperlink" Target="https://bellingcat-archive.nyc3.cdn.digitaloceanspaces.com/Ukraine_Witness_Datasheet/Worksheet/telegram__truexanewsua_260732022-02-28T13:26:59.820091.png" TargetMode="External"/><Relationship Id="rId4094" Type="http://schemas.openxmlformats.org/officeDocument/2006/relationships/hyperlink" Target="https://bellingcat-archive.nyc3.cdn.digitaloceanspaces.com/Ukraine_Witness_Datasheet/Worksheet/telegram_1cde8137c2.mp4" TargetMode="External"/><Relationship Id="rId4097" Type="http://schemas.openxmlformats.org/officeDocument/2006/relationships/hyperlink" Target="https://t.me/truexanewsua/26073" TargetMode="External"/><Relationship Id="rId4096" Type="http://schemas.openxmlformats.org/officeDocument/2006/relationships/hyperlink" Target="https://bellingcat-archive.nyc3.cdn.digitaloceanspaces.com/Ukraine_Witness_Datasheet/Worksheet/telegram_1cde8137c2/index.html" TargetMode="External"/><Relationship Id="rId4099" Type="http://schemas.openxmlformats.org/officeDocument/2006/relationships/hyperlink" Target="https://bellingcat-archive.nyc3.cdn.digitaloceanspaces.com/Ukraine_Witness_Datasheet/Worksheet/youtube_dl_1498254899792027653.mp4" TargetMode="External"/><Relationship Id="rId4098" Type="http://schemas.openxmlformats.org/officeDocument/2006/relationships/hyperlink" Target="https://twitter.com/juliaskripkaser/status/1498254899792027653?s=20&amp;t=A6jWQ4h19yCjjoYwVXLvOw" TargetMode="External"/><Relationship Id="rId1895" Type="http://schemas.openxmlformats.org/officeDocument/2006/relationships/hyperlink" Target="https://bellingcat-archive.nyc3.cdn.digitaloceanspaces.com/Ukraine_Witness_Datasheet/Worksheet/youtube_dl_1495122053116145667.mp4" TargetMode="External"/><Relationship Id="rId1896" Type="http://schemas.openxmlformats.org/officeDocument/2006/relationships/hyperlink" Target="https://bellingcat-archive.nyc3.cdn.digitaloceanspaces.com/Ukraine_Witness_Datasheet/Worksheet/youtube_dl__GirkinGirkin_status_14951220531161456672022-02-25T13:48:36.237709.png" TargetMode="External"/><Relationship Id="rId1897" Type="http://schemas.openxmlformats.org/officeDocument/2006/relationships/hyperlink" Target="https://bellingcat-archive.nyc3.cdn.digitaloceanspaces.com/Ukraine_Witness_Datasheet/Worksheet/youtube_dl_1495122053116145667/index.html" TargetMode="External"/><Relationship Id="rId1898" Type="http://schemas.openxmlformats.org/officeDocument/2006/relationships/hyperlink" Target="https://twitter.com/JC_Monitoring/status/1495169062866927620" TargetMode="External"/><Relationship Id="rId1899" Type="http://schemas.openxmlformats.org/officeDocument/2006/relationships/hyperlink" Target="https://twitter.com/JC_Monitoring/status/1495170828215980032" TargetMode="External"/><Relationship Id="rId1890" Type="http://schemas.openxmlformats.org/officeDocument/2006/relationships/hyperlink" Target="https://twitter.com/DefMon3/status/1495147958706352128" TargetMode="External"/><Relationship Id="rId1891" Type="http://schemas.openxmlformats.org/officeDocument/2006/relationships/hyperlink" Target="https://bellingcat-archive.nyc3.cdn.digitaloceanspaces.com/Ukraine_Witness_Datasheet/Worksheet/youtube_dl_1495143188599824384.mp4" TargetMode="External"/><Relationship Id="rId1892" Type="http://schemas.openxmlformats.org/officeDocument/2006/relationships/hyperlink" Target="https://bellingcat-archive.nyc3.cdn.digitaloceanspaces.com/Ukraine_Witness_Datasheet/Worksheet/youtube_dl__JC_Monitoring_status_14951431885998243842022-02-25T13:49:01.317433.png" TargetMode="External"/><Relationship Id="rId1893" Type="http://schemas.openxmlformats.org/officeDocument/2006/relationships/hyperlink" Target="https://bellingcat-archive.nyc3.cdn.digitaloceanspaces.com/Ukraine_Witness_Datasheet/Worksheet/youtube_dl_1495143188599824384/index.html" TargetMode="External"/><Relationship Id="rId1894" Type="http://schemas.openxmlformats.org/officeDocument/2006/relationships/hyperlink" Target="https://twitter.com/GirkinGirkin/status/1495122053116145667" TargetMode="External"/><Relationship Id="rId1884" Type="http://schemas.openxmlformats.org/officeDocument/2006/relationships/hyperlink" Target="https://twitter.com/JC_Monitoring/status/1495152980093513731" TargetMode="External"/><Relationship Id="rId1885" Type="http://schemas.openxmlformats.org/officeDocument/2006/relationships/hyperlink" Target="https://twitter.com/JC_Monitoring/status/1495153116957847556" TargetMode="External"/><Relationship Id="rId1886" Type="http://schemas.openxmlformats.org/officeDocument/2006/relationships/hyperlink" Target="https://bellingcat-archive.nyc3.cdn.digitaloceanspaces.com/Ukraine_Witness_Datasheet/Worksheet/youtube_dl_1495152980093513731.mp4" TargetMode="External"/><Relationship Id="rId1887" Type="http://schemas.openxmlformats.org/officeDocument/2006/relationships/hyperlink" Target="https://bellingcat-archive.nyc3.cdn.digitaloceanspaces.com/Ukraine_Witness_Datasheet/Worksheet/youtube_dl__JC_Monitoring_status_14951529800935137312022-02-25T13:49:18.261620.png" TargetMode="External"/><Relationship Id="rId1888" Type="http://schemas.openxmlformats.org/officeDocument/2006/relationships/hyperlink" Target="https://bellingcat-archive.nyc3.cdn.digitaloceanspaces.com/Ukraine_Witness_Datasheet/Worksheet/youtube_dl_1495152980093513731/index.html" TargetMode="External"/><Relationship Id="rId1889" Type="http://schemas.openxmlformats.org/officeDocument/2006/relationships/hyperlink" Target="https://twitter.com/JC_Monitoring/status/1495143188599824384" TargetMode="External"/><Relationship Id="rId1880" Type="http://schemas.openxmlformats.org/officeDocument/2006/relationships/hyperlink" Target="https://bellingcat-archive.nyc3.cdn.digitaloceanspaces.com/Ukraine_Witness_Datasheet/Worksheet/telegram_5c25a5ec5c.mp4" TargetMode="External"/><Relationship Id="rId1881" Type="http://schemas.openxmlformats.org/officeDocument/2006/relationships/hyperlink" Target="https://bellingcat-archive.nyc3.cdn.digitaloceanspaces.com/Ukraine_Witness_Datasheet/Worksheet/telegram__new_militarycolumnist_722852022-02-25T15:00:36.352128.png" TargetMode="External"/><Relationship Id="rId1882" Type="http://schemas.openxmlformats.org/officeDocument/2006/relationships/hyperlink" Target="https://bellingcat-archive.nyc3.cdn.digitaloceanspaces.com/Ukraine_Witness_Datasheet/Worksheet/telegram_5c25a5ec5c/index.html" TargetMode="External"/><Relationship Id="rId1883" Type="http://schemas.openxmlformats.org/officeDocument/2006/relationships/hyperlink" Target="https://t.me/new_militarycolumnist/72285" TargetMode="External"/><Relationship Id="rId5417" Type="http://schemas.openxmlformats.org/officeDocument/2006/relationships/hyperlink" Target="https://bellingcat-archive.nyc3.cdn.digitaloceanspaces.com/Ukraine_Witness_Datasheet/Worksheet/telegram_7de523d268/index.html" TargetMode="External"/><Relationship Id="rId6748" Type="http://schemas.openxmlformats.org/officeDocument/2006/relationships/hyperlink" Target="https://bellingcat-archive.nyc3.cdn.digitaloceanspaces.com/Ukraine_Witness_Datasheet/Worksheet/youtube_dl_1497448045637783553/index.html" TargetMode="External"/><Relationship Id="rId5418" Type="http://schemas.openxmlformats.org/officeDocument/2006/relationships/hyperlink" Target="https://t.me/istorijaoruzija/39072" TargetMode="External"/><Relationship Id="rId6749" Type="http://schemas.openxmlformats.org/officeDocument/2006/relationships/hyperlink" Target="https://t.me/truexanewsua/24171" TargetMode="External"/><Relationship Id="rId5415" Type="http://schemas.openxmlformats.org/officeDocument/2006/relationships/hyperlink" Target="https://bellingcat-archive.nyc3.cdn.digitaloceanspaces.com/Ukraine_Witness_Datasheet/Worksheet/telegram_7de523d268.mp4" TargetMode="External"/><Relationship Id="rId6746" Type="http://schemas.openxmlformats.org/officeDocument/2006/relationships/hyperlink" Target="https://bellingcat-archive.nyc3.cdn.digitaloceanspaces.com/Ukraine_Witness_Datasheet/Worksheet/youtube_dl_1497448045637783553.mp4" TargetMode="External"/><Relationship Id="rId5416" Type="http://schemas.openxmlformats.org/officeDocument/2006/relationships/hyperlink" Target="https://bellingcat-archive.nyc3.cdn.digitaloceanspaces.com/Ukraine_Witness_Datasheet/Worksheet/telegram__istorijaoruzija_390722022-03-04T09:50:09.710851.png" TargetMode="External"/><Relationship Id="rId6747" Type="http://schemas.openxmlformats.org/officeDocument/2006/relationships/hyperlink" Target="https://bellingcat-archive.nyc3.cdn.digitaloceanspaces.com/Ukraine_Witness_Datasheet/Worksheet/youtube_dl__Michael1Sheldon_status_14974480456377835532022-03-08T08:48:43.542404.png" TargetMode="External"/><Relationship Id="rId5419" Type="http://schemas.openxmlformats.org/officeDocument/2006/relationships/hyperlink" Target="https://t.me/rybar/27241" TargetMode="External"/><Relationship Id="rId228" Type="http://schemas.openxmlformats.org/officeDocument/2006/relationships/hyperlink" Target="https://twitter.com/GirkinGirkin/status/1487773497346732036" TargetMode="External"/><Relationship Id="rId227" Type="http://schemas.openxmlformats.org/officeDocument/2006/relationships/hyperlink" Target="https://bellingcat-archive.nyc3.cdn.digitaloceanspaces.com/ukraine_witness_test/Worksheet/yotube_dl_1487505180455227394/index.html" TargetMode="External"/><Relationship Id="rId226" Type="http://schemas.openxmlformats.org/officeDocument/2006/relationships/hyperlink" Target="https://bellingcat-archive.nyc3.cdn.digitaloceanspaces.com/ukraine_witness_test/Worksheet/yotube_dl__GirkinGirkin_status_14875051804552273942022-02-25T11:39:00.994180.png" TargetMode="External"/><Relationship Id="rId225" Type="http://schemas.openxmlformats.org/officeDocument/2006/relationships/hyperlink" Target="https://bellingcat-archive.nyc3.cdn.digitaloceanspaces.com/ukraine_witness_test/Worksheet/yotube_dl_1487505180455227394.mp4" TargetMode="External"/><Relationship Id="rId229" Type="http://schemas.openxmlformats.org/officeDocument/2006/relationships/hyperlink" Target="https://bellingcat-archive.nyc3.cdn.digitaloceanspaces.com/ukraine_witness_test/Worksheet/yotube_dl_1487773497346732036.mp4" TargetMode="External"/><Relationship Id="rId220" Type="http://schemas.openxmlformats.org/officeDocument/2006/relationships/hyperlink" Target="https://twitter.com/GirkinGirkin/status/1487647994296033283" TargetMode="External"/><Relationship Id="rId6740" Type="http://schemas.openxmlformats.org/officeDocument/2006/relationships/hyperlink" Target="https://bellingcat-archive.nyc3.cdn.digitaloceanspaces.com/Ukraine_Witness_Datasheet/Worksheet/telegram__livekharkov_27412.html" TargetMode="External"/><Relationship Id="rId5410" Type="http://schemas.openxmlformats.org/officeDocument/2006/relationships/hyperlink" Target="https://bellingcat-archive.nyc3.cdn.digitaloceanspaces.com/Ukraine_Witness_Datasheet/Worksheet/telegram_23ec035868.mp4" TargetMode="External"/><Relationship Id="rId6741" Type="http://schemas.openxmlformats.org/officeDocument/2006/relationships/hyperlink" Target="https://bellingcat-archive.nyc3.cdn.digitaloceanspaces.com/Ukraine_Witness_Datasheet/Worksheet/telegram__livekharkov_274122022-03-08T08:48:25.016457.png" TargetMode="External"/><Relationship Id="rId224" Type="http://schemas.openxmlformats.org/officeDocument/2006/relationships/hyperlink" Target="https://twitter.com/GirkinGirkin/status/1487505180455227394" TargetMode="External"/><Relationship Id="rId5413" Type="http://schemas.openxmlformats.org/officeDocument/2006/relationships/hyperlink" Target="https://t.me/istorijaoruzija/39065" TargetMode="External"/><Relationship Id="rId6744" Type="http://schemas.openxmlformats.org/officeDocument/2006/relationships/hyperlink" Target="https://twitter.com/Michael1Sheldon/status/1497448045637783553?s=20&amp;t=WJLEo9WsWhruLegJ-5OZxA" TargetMode="External"/><Relationship Id="rId223" Type="http://schemas.openxmlformats.org/officeDocument/2006/relationships/hyperlink" Target="https://bellingcat-archive.nyc3.cdn.digitaloceanspaces.com/ukraine_witness_test/Worksheet/yotube_dl_1487647994296033283/index.html" TargetMode="External"/><Relationship Id="rId5414" Type="http://schemas.openxmlformats.org/officeDocument/2006/relationships/hyperlink" Target="https://t.me/istorijaoruzija/39072" TargetMode="External"/><Relationship Id="rId6745" Type="http://schemas.openxmlformats.org/officeDocument/2006/relationships/hyperlink" Target="https://twitter.com/Michael1Sheldon/status/1497448736301142016" TargetMode="External"/><Relationship Id="rId222" Type="http://schemas.openxmlformats.org/officeDocument/2006/relationships/hyperlink" Target="https://bellingcat-archive.nyc3.cdn.digitaloceanspaces.com/ukraine_witness_test/Worksheet/yotube_dl__GirkinGirkin_status_14876479942960332832022-02-25T11:37:46.284031.png" TargetMode="External"/><Relationship Id="rId5411" Type="http://schemas.openxmlformats.org/officeDocument/2006/relationships/hyperlink" Target="https://bellingcat-archive.nyc3.cdn.digitaloceanspaces.com/Ukraine_Witness_Datasheet/Worksheet/telegram__istorijaoruzija_390652022-03-04T09:25:09.852749.png" TargetMode="External"/><Relationship Id="rId6742" Type="http://schemas.openxmlformats.org/officeDocument/2006/relationships/hyperlink" Target="https://bellingcat-archive.nyc3.cdn.digitaloceanspaces.com/Ukraine_Witness_Datasheet/Worksheet/telegram__livekharkov_27370.html" TargetMode="External"/><Relationship Id="rId221" Type="http://schemas.openxmlformats.org/officeDocument/2006/relationships/hyperlink" Target="https://bellingcat-archive.nyc3.cdn.digitaloceanspaces.com/ukraine_witness_test/Worksheet/yotube_dl_1487647994296033283.mp4" TargetMode="External"/><Relationship Id="rId5412" Type="http://schemas.openxmlformats.org/officeDocument/2006/relationships/hyperlink" Target="https://bellingcat-archive.nyc3.cdn.digitaloceanspaces.com/Ukraine_Witness_Datasheet/Worksheet/telegram_23ec035868/index.html" TargetMode="External"/><Relationship Id="rId6743" Type="http://schemas.openxmlformats.org/officeDocument/2006/relationships/hyperlink" Target="https://bellingcat-archive.nyc3.cdn.digitaloceanspaces.com/Ukraine_Witness_Datasheet/Worksheet/telegram__livekharkov_273702022-03-08T08:48:34.304223.png" TargetMode="External"/><Relationship Id="rId5406" Type="http://schemas.openxmlformats.org/officeDocument/2006/relationships/hyperlink" Target="https://bellingcat-archive.nyc3.cdn.digitaloceanspaces.com/Ukraine_Witness_Datasheet/Worksheet/youtube_dl_1499450783749845001.mp4" TargetMode="External"/><Relationship Id="rId6737" Type="http://schemas.openxmlformats.org/officeDocument/2006/relationships/hyperlink" Target="https://bellingcat-archive.nyc3.cdn.digitaloceanspaces.com/Ukraine_Witness_Datasheet/Worksheet/twitter__Michael1Sheldon_status_1497449148412481541.html" TargetMode="External"/><Relationship Id="rId5407" Type="http://schemas.openxmlformats.org/officeDocument/2006/relationships/hyperlink" Target="https://bellingcat-archive.nyc3.cdn.digitaloceanspaces.com/Ukraine_Witness_Datasheet/Worksheet/youtube_dl__NotWoofers_status_14994507837498450012022-03-03T19:20:12.237201.png" TargetMode="External"/><Relationship Id="rId6738" Type="http://schemas.openxmlformats.org/officeDocument/2006/relationships/hyperlink" Target="https://bellingcat-archive.nyc3.cdn.digitaloceanspaces.com/Ukraine_Witness_Datasheet/Worksheet/twitter__Michael1Sheldon_status_14974491484124815412022-03-08T08:48:15.429574.png" TargetMode="External"/><Relationship Id="rId5404" Type="http://schemas.openxmlformats.org/officeDocument/2006/relationships/hyperlink" Target="https://bellingcat-archive.nyc3.cdn.digitaloceanspaces.com/Ukraine_Witness_Datasheet/Worksheet/twitter__stefsiohan_status_14994646513813831722022-03-03T19:25:12.434653.png" TargetMode="External"/><Relationship Id="rId6735" Type="http://schemas.openxmlformats.org/officeDocument/2006/relationships/hyperlink" Target="https://twitter.com/Michael1Sheldon/status/1497449148412481541?s=20&amp;t=2ePKuyV1NGQmvtHcykvr9Q" TargetMode="External"/><Relationship Id="rId5405" Type="http://schemas.openxmlformats.org/officeDocument/2006/relationships/hyperlink" Target="https://twitter.com/NotWoofers/status/1499450783749845001" TargetMode="External"/><Relationship Id="rId6736" Type="http://schemas.openxmlformats.org/officeDocument/2006/relationships/hyperlink" Target="https://twitter.com/Michael1Sheldon/status/1497449148412481541?s=20&amp;t=GMP0bUtak-O-RomFlRvRjA" TargetMode="External"/><Relationship Id="rId5408" Type="http://schemas.openxmlformats.org/officeDocument/2006/relationships/hyperlink" Target="https://bellingcat-archive.nyc3.cdn.digitaloceanspaces.com/Ukraine_Witness_Datasheet/Worksheet/youtube_dl_1499450783749845001/index.html" TargetMode="External"/><Relationship Id="rId6739" Type="http://schemas.openxmlformats.org/officeDocument/2006/relationships/hyperlink" Target="https://t.me/livekharkov/27412" TargetMode="External"/><Relationship Id="rId5409" Type="http://schemas.openxmlformats.org/officeDocument/2006/relationships/hyperlink" Target="https://t.me/istorijaoruzija/39065" TargetMode="External"/><Relationship Id="rId217" Type="http://schemas.openxmlformats.org/officeDocument/2006/relationships/hyperlink" Target="https://bellingcat-archive.nyc3.cdn.digitaloceanspaces.com/ukraine_witness_test/Worksheet/yotube_dl_1485924749653983235.mp4" TargetMode="External"/><Relationship Id="rId216" Type="http://schemas.openxmlformats.org/officeDocument/2006/relationships/hyperlink" Target="https://twitter.com/Danspiun/status/1487140934068449285" TargetMode="External"/><Relationship Id="rId215" Type="http://schemas.openxmlformats.org/officeDocument/2006/relationships/hyperlink" Target="https://twitter.com/4emberlen/status/1485924749653983235" TargetMode="External"/><Relationship Id="rId214" Type="http://schemas.openxmlformats.org/officeDocument/2006/relationships/hyperlink" Target="https://bellingcat-archive.nyc3.cdn.digitaloceanspaces.com/ukraine_witness_test/Worksheet/yotube_dl_1485721493199892485/index.html" TargetMode="External"/><Relationship Id="rId219" Type="http://schemas.openxmlformats.org/officeDocument/2006/relationships/hyperlink" Target="https://bellingcat-archive.nyc3.cdn.digitaloceanspaces.com/ukraine_witness_test/Worksheet/yotube_dl_1485924749653983235/index.html" TargetMode="External"/><Relationship Id="rId218" Type="http://schemas.openxmlformats.org/officeDocument/2006/relationships/hyperlink" Target="https://bellingcat-archive.nyc3.cdn.digitaloceanspaces.com/ukraine_witness_test/Worksheet/yotube_dl__4emberlen_status_14859247496539832352022-02-25T11:37:28.613917.png" TargetMode="External"/><Relationship Id="rId6730" Type="http://schemas.openxmlformats.org/officeDocument/2006/relationships/hyperlink" Target="https://bellingcat-archive.nyc3.cdn.digitaloceanspaces.com/Ukraine_Witness_Datasheet/Worksheet/twitter__UAWeapons_status_1497487302125400064.html" TargetMode="External"/><Relationship Id="rId213" Type="http://schemas.openxmlformats.org/officeDocument/2006/relationships/hyperlink" Target="https://bellingcat-archive.nyc3.cdn.digitaloceanspaces.com/ukraine_witness_test/Worksheet/yotube_dl__4emberlen_status_14857214931998924852022-02-25T11:37:05.699497.png" TargetMode="External"/><Relationship Id="rId5402" Type="http://schemas.openxmlformats.org/officeDocument/2006/relationships/hyperlink" Target="https://twitter.com/stefsiohan/status/1499464651381383172?s=20&amp;t=FhC-wMh55y_Zm9zrXbz3UA" TargetMode="External"/><Relationship Id="rId6733" Type="http://schemas.openxmlformats.org/officeDocument/2006/relationships/hyperlink" Target="https://bellingcat-archive.nyc3.cdn.digitaloceanspaces.com/Ukraine_Witness_Datasheet/Worksheet/telegram__livekharkov_27596.html" TargetMode="External"/><Relationship Id="rId212" Type="http://schemas.openxmlformats.org/officeDocument/2006/relationships/hyperlink" Target="https://bellingcat-archive.nyc3.cdn.digitaloceanspaces.com/ukraine_witness_test/Worksheet/yotube_dl_1485721493199892485.mp4" TargetMode="External"/><Relationship Id="rId5403" Type="http://schemas.openxmlformats.org/officeDocument/2006/relationships/hyperlink" Target="https://bellingcat-archive.nyc3.cdn.digitaloceanspaces.com/Ukraine_Witness_Datasheet/Worksheet/twitter__stefsiohan_status_1499464651381383172.html" TargetMode="External"/><Relationship Id="rId6734" Type="http://schemas.openxmlformats.org/officeDocument/2006/relationships/hyperlink" Target="https://bellingcat-archive.nyc3.cdn.digitaloceanspaces.com/Ukraine_Witness_Datasheet/Worksheet/telegram__livekharkov_275962022-03-08T08:48:04.522435.png" TargetMode="External"/><Relationship Id="rId211" Type="http://schemas.openxmlformats.org/officeDocument/2006/relationships/hyperlink" Target="https://twitter.com/danvan71/status/1485766684430544902" TargetMode="External"/><Relationship Id="rId5400" Type="http://schemas.openxmlformats.org/officeDocument/2006/relationships/hyperlink" Target="https://bellingcat-archive.nyc3.cdn.digitaloceanspaces.com/Ukraine_Witness_Datasheet/Worksheet/youtube_dl__MarQs___status_14994181060028252242022-03-03T19:05:13.164174.png" TargetMode="External"/><Relationship Id="rId6731" Type="http://schemas.openxmlformats.org/officeDocument/2006/relationships/hyperlink" Target="https://bellingcat-archive.nyc3.cdn.digitaloceanspaces.com/Ukraine_Witness_Datasheet/Worksheet/twitter__UAWeapons_status_14974873021254000642022-03-08T08:47:55.072715.png" TargetMode="External"/><Relationship Id="rId210" Type="http://schemas.openxmlformats.org/officeDocument/2006/relationships/hyperlink" Target="https://twitter.com/4emberlen/status/1485721493199892485" TargetMode="External"/><Relationship Id="rId5401" Type="http://schemas.openxmlformats.org/officeDocument/2006/relationships/hyperlink" Target="https://bellingcat-archive.nyc3.cdn.digitaloceanspaces.com/Ukraine_Witness_Datasheet/Worksheet/youtube_dl_1499418106002825224/index.html" TargetMode="External"/><Relationship Id="rId6732" Type="http://schemas.openxmlformats.org/officeDocument/2006/relationships/hyperlink" Target="https://t.me/livekharkov/27596" TargetMode="External"/><Relationship Id="rId4107" Type="http://schemas.openxmlformats.org/officeDocument/2006/relationships/hyperlink" Target="https://bellingcat-archive.nyc3.cdn.digitaloceanspaces.com/Ukraine_Witness_Datasheet/Worksheet/telegram__truexanewsua_260602022-02-28T14:29:05.809264.png" TargetMode="External"/><Relationship Id="rId5439" Type="http://schemas.openxmlformats.org/officeDocument/2006/relationships/hyperlink" Target="https://bellingcat-archive.nyc3.cdn.digitaloceanspaces.com/Ukraine_Witness_Datasheet/Worksheet/twitter__GrangerE04117_status_14994484697944883252022-03-03T21:05:11.913801.png" TargetMode="External"/><Relationship Id="rId4106" Type="http://schemas.openxmlformats.org/officeDocument/2006/relationships/hyperlink" Target="https://bellingcat-archive.nyc3.cdn.digitaloceanspaces.com/Ukraine_Witness_Datasheet/Worksheet/telegram_1bc4827588.mp4" TargetMode="External"/><Relationship Id="rId4109" Type="http://schemas.openxmlformats.org/officeDocument/2006/relationships/hyperlink" Target="https://t.me/truexanewsua/26060" TargetMode="External"/><Relationship Id="rId5437" Type="http://schemas.openxmlformats.org/officeDocument/2006/relationships/hyperlink" Target="https://twitter.com/joshspatial/status/1499471257452138505" TargetMode="External"/><Relationship Id="rId6768" Type="http://schemas.openxmlformats.org/officeDocument/2006/relationships/hyperlink" Target="https://bellingcat-archive.nyc3.cdn.digitaloceanspaces.com/Ukraine_Witness_Datasheet/Worksheet/twitter__2022Kharkiv_status_1497909622912565252.html" TargetMode="External"/><Relationship Id="rId4108" Type="http://schemas.openxmlformats.org/officeDocument/2006/relationships/hyperlink" Target="https://bellingcat-archive.nyc3.cdn.digitaloceanspaces.com/Ukraine_Witness_Datasheet/Worksheet/telegram_1bc4827588/index.html" TargetMode="External"/><Relationship Id="rId5438" Type="http://schemas.openxmlformats.org/officeDocument/2006/relationships/hyperlink" Target="https://bellingcat-archive.nyc3.cdn.digitaloceanspaces.com/Ukraine_Witness_Datasheet/Worksheet/twitter__GrangerE04117_status_1499448469794488325.html" TargetMode="External"/><Relationship Id="rId6769" Type="http://schemas.openxmlformats.org/officeDocument/2006/relationships/hyperlink" Target="https://bellingcat-archive.nyc3.cdn.digitaloceanspaces.com/Ukraine_Witness_Datasheet/Worksheet/twitter__2022Kharkiv_status_14979096229125652522022-03-08T08:49:57.881425.png" TargetMode="External"/><Relationship Id="rId249" Type="http://schemas.openxmlformats.org/officeDocument/2006/relationships/hyperlink" Target="https://bellingcat-archive.nyc3.cdn.digitaloceanspaces.com/ukraine_witness_test/Worksheet/yotube_dl_1487842167053852674/index.html" TargetMode="External"/><Relationship Id="rId248" Type="http://schemas.openxmlformats.org/officeDocument/2006/relationships/hyperlink" Target="https://bellingcat-archive.nyc3.cdn.digitaloceanspaces.com/ukraine_witness_test/Worksheet/yotube_dl__4emberlen_status_14878421670538526742022-02-25T11:40:56.233098.png" TargetMode="External"/><Relationship Id="rId247" Type="http://schemas.openxmlformats.org/officeDocument/2006/relationships/hyperlink" Target="https://bellingcat-archive.nyc3.cdn.digitaloceanspaces.com/ukraine_witness_test/Worksheet/yotube_dl_1487842167053852674.mp4" TargetMode="External"/><Relationship Id="rId242" Type="http://schemas.openxmlformats.org/officeDocument/2006/relationships/hyperlink" Target="https://twitter.com/gfusfus/status/1487878419916464135" TargetMode="External"/><Relationship Id="rId5431" Type="http://schemas.openxmlformats.org/officeDocument/2006/relationships/hyperlink" Target="https://twitter.com/aldin_ww/status/1499441751987310596" TargetMode="External"/><Relationship Id="rId6762" Type="http://schemas.openxmlformats.org/officeDocument/2006/relationships/hyperlink" Target="https://bellingcat-archive.nyc3.cdn.digitaloceanspaces.com/Ukraine_Witness_Datasheet/Worksheet/telegram__truexanewsua_24906.html" TargetMode="External"/><Relationship Id="rId241" Type="http://schemas.openxmlformats.org/officeDocument/2006/relationships/hyperlink" Target="https://twitter.com/GirkinGirkin/status/1487871906216914946" TargetMode="External"/><Relationship Id="rId5432" Type="http://schemas.openxmlformats.org/officeDocument/2006/relationships/hyperlink" Target="https://twitter.com/GeoConfirmed/status/1499458098083340290" TargetMode="External"/><Relationship Id="rId6763" Type="http://schemas.openxmlformats.org/officeDocument/2006/relationships/hyperlink" Target="https://bellingcat-archive.nyc3.cdn.digitaloceanspaces.com/Ukraine_Witness_Datasheet/Worksheet/telegram__truexanewsua_249062022-03-08T08:49:34.398438.png" TargetMode="External"/><Relationship Id="rId240" Type="http://schemas.openxmlformats.org/officeDocument/2006/relationships/hyperlink" Target="https://bellingcat-archive.nyc3.cdn.digitaloceanspaces.com/ukraine_witness_test/Worksheet/yotube_dl_1487873819826139143/index.html" TargetMode="External"/><Relationship Id="rId4101" Type="http://schemas.openxmlformats.org/officeDocument/2006/relationships/hyperlink" Target="https://bellingcat-archive.nyc3.cdn.digitaloceanspaces.com/Ukraine_Witness_Datasheet/Worksheet/youtube_dl_1498254899792027653/index.html" TargetMode="External"/><Relationship Id="rId6760" Type="http://schemas.openxmlformats.org/officeDocument/2006/relationships/hyperlink" Target="https://bellingcat-archive.nyc3.cdn.digitaloceanspaces.com/Ukraine_Witness_Datasheet/Worksheet/telegram__truexanewsua_247602022-03-08T08:49:24.797937.png" TargetMode="External"/><Relationship Id="rId4100" Type="http://schemas.openxmlformats.org/officeDocument/2006/relationships/hyperlink" Target="https://bellingcat-archive.nyc3.cdn.digitaloceanspaces.com/Ukraine_Witness_Datasheet/Worksheet/youtube_dl__juliaskripkaser_status_14982548997920276532022-02-28T13:39:06.027692.png" TargetMode="External"/><Relationship Id="rId5430" Type="http://schemas.openxmlformats.org/officeDocument/2006/relationships/hyperlink" Target="https://youtu.be/BdSzxUYvaSU" TargetMode="External"/><Relationship Id="rId6761" Type="http://schemas.openxmlformats.org/officeDocument/2006/relationships/hyperlink" Target="https://t.me/truexanewsua/24906" TargetMode="External"/><Relationship Id="rId246" Type="http://schemas.openxmlformats.org/officeDocument/2006/relationships/hyperlink" Target="https://twitter.com/4emberlen/status/1487842167053852674" TargetMode="External"/><Relationship Id="rId4103" Type="http://schemas.openxmlformats.org/officeDocument/2006/relationships/hyperlink" Target="https://bellingcat-archive.nyc3.cdn.digitaloceanspaces.com/Ukraine_Witness_Datasheet/Worksheet/twitter__karinanguyen__status_1498248288205737990.html" TargetMode="External"/><Relationship Id="rId5435" Type="http://schemas.openxmlformats.org/officeDocument/2006/relationships/hyperlink" Target="https://bellingcat-archive.nyc3.cdn.digitaloceanspaces.com/Ukraine_Witness_Datasheet/Worksheet/youtube_dl_1499441751987310596/index.html" TargetMode="External"/><Relationship Id="rId6766" Type="http://schemas.openxmlformats.org/officeDocument/2006/relationships/hyperlink" Target="https://bellingcat-archive.nyc3.cdn.digitaloceanspaces.com/Ukraine_Witness_Datasheet/Worksheet/twitter__2022Kharkiv_status_14979102147706552322022-03-08T08:49:45.693123.png" TargetMode="External"/><Relationship Id="rId245" Type="http://schemas.openxmlformats.org/officeDocument/2006/relationships/hyperlink" Target="https://bellingcat-archive.nyc3.cdn.digitaloceanspaces.com/ukraine_witness_test/Worksheet/yotube_dl_1487871906216914946/index.html" TargetMode="External"/><Relationship Id="rId4102" Type="http://schemas.openxmlformats.org/officeDocument/2006/relationships/hyperlink" Target="https://twitter.com/karinanguyen_/status/1498248288205737990" TargetMode="External"/><Relationship Id="rId5436" Type="http://schemas.openxmlformats.org/officeDocument/2006/relationships/hyperlink" Target="https://twitter.com/GrangerE04117/status/1499448469794488325" TargetMode="External"/><Relationship Id="rId6767" Type="http://schemas.openxmlformats.org/officeDocument/2006/relationships/hyperlink" Target="https://twitter.com/2022Kharkiv/status/1497909622912565252?s=20&amp;t=aAsF3wLtOmuVJWrXQTxwHA" TargetMode="External"/><Relationship Id="rId244" Type="http://schemas.openxmlformats.org/officeDocument/2006/relationships/hyperlink" Target="https://bellingcat-archive.nyc3.cdn.digitaloceanspaces.com/ukraine_witness_test/Worksheet/yotube_dl__GirkinGirkin_status_14878719062169149462022-02-25T11:40:37.050755.png" TargetMode="External"/><Relationship Id="rId4105" Type="http://schemas.openxmlformats.org/officeDocument/2006/relationships/hyperlink" Target="https://t.me/truexanewsua/26060" TargetMode="External"/><Relationship Id="rId5433" Type="http://schemas.openxmlformats.org/officeDocument/2006/relationships/hyperlink" Target="https://bellingcat-archive.nyc3.cdn.digitaloceanspaces.com/Ukraine_Witness_Datasheet/Worksheet/youtube_dl_1499441751987310596.mp4" TargetMode="External"/><Relationship Id="rId6764" Type="http://schemas.openxmlformats.org/officeDocument/2006/relationships/hyperlink" Target="https://twitter.com/2022Kharkiv/status/1497910214770655232?s=20&amp;t=aAsF3wLtOmuVJWrXQTxwHA" TargetMode="External"/><Relationship Id="rId243" Type="http://schemas.openxmlformats.org/officeDocument/2006/relationships/hyperlink" Target="https://bellingcat-archive.nyc3.cdn.digitaloceanspaces.com/ukraine_witness_test/Worksheet/yotube_dl_1487871906216914946.mp4" TargetMode="External"/><Relationship Id="rId4104" Type="http://schemas.openxmlformats.org/officeDocument/2006/relationships/hyperlink" Target="https://bellingcat-archive.nyc3.cdn.digitaloceanspaces.com/Ukraine_Witness_Datasheet/Worksheet/twitter__karinanguyen__status_14982482882057379902022-02-28T13:39:32.943724.png" TargetMode="External"/><Relationship Id="rId5434" Type="http://schemas.openxmlformats.org/officeDocument/2006/relationships/hyperlink" Target="https://bellingcat-archive.nyc3.cdn.digitaloceanspaces.com/Ukraine_Witness_Datasheet/Worksheet/youtube_dl__aldin_ww_status_14994417519873105962022-03-03T20:27:18.719960.png" TargetMode="External"/><Relationship Id="rId6765" Type="http://schemas.openxmlformats.org/officeDocument/2006/relationships/hyperlink" Target="https://bellingcat-archive.nyc3.cdn.digitaloceanspaces.com/Ukraine_Witness_Datasheet/Worksheet/twitter__2022Kharkiv_status_1497910214770655232.html" TargetMode="External"/><Relationship Id="rId5428" Type="http://schemas.openxmlformats.org/officeDocument/2006/relationships/hyperlink" Target="https://t.me/Pravda_Gerashchenko/1749" TargetMode="External"/><Relationship Id="rId6759" Type="http://schemas.openxmlformats.org/officeDocument/2006/relationships/hyperlink" Target="https://bellingcat-archive.nyc3.cdn.digitaloceanspaces.com/Ukraine_Witness_Datasheet/Worksheet/telegram__truexanewsua_24760.html" TargetMode="External"/><Relationship Id="rId5429" Type="http://schemas.openxmlformats.org/officeDocument/2006/relationships/hyperlink" Target="https://t.me/Pravda_Gerashchenko/1757?single" TargetMode="External"/><Relationship Id="rId5426" Type="http://schemas.openxmlformats.org/officeDocument/2006/relationships/hyperlink" Target="https://bellingcat-archive.nyc3.cdn.digitaloceanspaces.com/Ukraine_Witness_Datasheet/Worksheet/telegram__Pravda_Gerashchenko_17492022-03-03T20:15:09.320927.png" TargetMode="External"/><Relationship Id="rId6757" Type="http://schemas.openxmlformats.org/officeDocument/2006/relationships/hyperlink" Target="https://bellingcat-archive.nyc3.cdn.digitaloceanspaces.com/Ukraine_Witness_Datasheet/Worksheet/telegram__livekharkov_277232022-03-08T08:49:16.420538.png" TargetMode="External"/><Relationship Id="rId5427" Type="http://schemas.openxmlformats.org/officeDocument/2006/relationships/hyperlink" Target="https://bellingcat-archive.nyc3.cdn.digitaloceanspaces.com/Ukraine_Witness_Datasheet/Worksheet/telegram_40058464b2/index.html" TargetMode="External"/><Relationship Id="rId6758" Type="http://schemas.openxmlformats.org/officeDocument/2006/relationships/hyperlink" Target="https://t.me/truexanewsua/24760" TargetMode="External"/><Relationship Id="rId239" Type="http://schemas.openxmlformats.org/officeDocument/2006/relationships/hyperlink" Target="https://bellingcat-archive.nyc3.cdn.digitaloceanspaces.com/ukraine_witness_test/Worksheet/yotube_dl__GirkinGirkin_status_14878738198261391432022-02-25T11:40:17.780131.png" TargetMode="External"/><Relationship Id="rId238" Type="http://schemas.openxmlformats.org/officeDocument/2006/relationships/hyperlink" Target="https://bellingcat-archive.nyc3.cdn.digitaloceanspaces.com/ukraine_witness_test/Worksheet/yotube_dl_1487873819826139143.mp4" TargetMode="External"/><Relationship Id="rId237" Type="http://schemas.openxmlformats.org/officeDocument/2006/relationships/hyperlink" Target="https://twitter.com/gfusfus/status/1487920079325089800" TargetMode="External"/><Relationship Id="rId236" Type="http://schemas.openxmlformats.org/officeDocument/2006/relationships/hyperlink" Target="https://twitter.com/GirkinGirkin/status/1487873819826139143" TargetMode="External"/><Relationship Id="rId231" Type="http://schemas.openxmlformats.org/officeDocument/2006/relationships/hyperlink" Target="https://bellingcat-archive.nyc3.cdn.digitaloceanspaces.com/ukraine_witness_test/Worksheet/yotube_dl_1487773497346732036/index.html" TargetMode="External"/><Relationship Id="rId5420" Type="http://schemas.openxmlformats.org/officeDocument/2006/relationships/hyperlink" Target="https://bellingcat-archive.nyc3.cdn.digitaloceanspaces.com/Ukraine_Witness_Datasheet/Worksheet/telegram_f101c4e59f.mp4" TargetMode="External"/><Relationship Id="rId6751" Type="http://schemas.openxmlformats.org/officeDocument/2006/relationships/hyperlink" Target="https://bellingcat-archive.nyc3.cdn.digitaloceanspaces.com/Ukraine_Witness_Datasheet/Worksheet/telegram__truexanewsua_241712022-03-08T08:48:57.183767.png" TargetMode="External"/><Relationship Id="rId230" Type="http://schemas.openxmlformats.org/officeDocument/2006/relationships/hyperlink" Target="https://bellingcat-archive.nyc3.cdn.digitaloceanspaces.com/ukraine_witness_test/Worksheet/yotube_dl__GirkinGirkin_status_14877734973467320362022-02-25T11:39:28.108732.png" TargetMode="External"/><Relationship Id="rId5421" Type="http://schemas.openxmlformats.org/officeDocument/2006/relationships/hyperlink" Target="https://bellingcat-archive.nyc3.cdn.digitaloceanspaces.com/Ukraine_Witness_Datasheet/Worksheet/telegram__rybar_272412022-03-04T09:55:09.063628.png" TargetMode="External"/><Relationship Id="rId6752" Type="http://schemas.openxmlformats.org/officeDocument/2006/relationships/hyperlink" Target="https://t.me/truexanewsua/24773" TargetMode="External"/><Relationship Id="rId6750" Type="http://schemas.openxmlformats.org/officeDocument/2006/relationships/hyperlink" Target="https://bellingcat-archive.nyc3.cdn.digitaloceanspaces.com/Ukraine_Witness_Datasheet/Worksheet/telegram__truexanewsua_24171.html" TargetMode="External"/><Relationship Id="rId235" Type="http://schemas.openxmlformats.org/officeDocument/2006/relationships/hyperlink" Target="https://bellingcat-archive.nyc3.cdn.digitaloceanspaces.com/ukraine_witness_test/Worksheet/tiktok_7058989146882247937/index.html" TargetMode="External"/><Relationship Id="rId5424" Type="http://schemas.openxmlformats.org/officeDocument/2006/relationships/hyperlink" Target="https://t.me/Pravda_Gerashchenko/1749" TargetMode="External"/><Relationship Id="rId6755" Type="http://schemas.openxmlformats.org/officeDocument/2006/relationships/hyperlink" Target="https://t.me/livekharkov/27723" TargetMode="External"/><Relationship Id="rId234" Type="http://schemas.openxmlformats.org/officeDocument/2006/relationships/hyperlink" Target="https://bellingcat-archive.nyc3.cdn.digitaloceanspaces.com/ukraine_witness_test/Worksheet/tiktok__@alexpaul_1990_video_70589891468822479372022-02-25T11:39:59.936502.png" TargetMode="External"/><Relationship Id="rId5425" Type="http://schemas.openxmlformats.org/officeDocument/2006/relationships/hyperlink" Target="https://bellingcat-archive.nyc3.cdn.digitaloceanspaces.com/Ukraine_Witness_Datasheet/Worksheet/telegram_40058464b2.mp4" TargetMode="External"/><Relationship Id="rId6756" Type="http://schemas.openxmlformats.org/officeDocument/2006/relationships/hyperlink" Target="https://bellingcat-archive.nyc3.cdn.digitaloceanspaces.com/Ukraine_Witness_Datasheet/Worksheet/telegram__livekharkov_27723.html" TargetMode="External"/><Relationship Id="rId233" Type="http://schemas.openxmlformats.org/officeDocument/2006/relationships/hyperlink" Target="https://bellingcat-archive.nyc3.cdn.digitaloceanspaces.com/ukraine_witness_test/Worksheet/tiktok_7058989146882247937.mp4" TargetMode="External"/><Relationship Id="rId5422" Type="http://schemas.openxmlformats.org/officeDocument/2006/relationships/hyperlink" Target="https://bellingcat-archive.nyc3.cdn.digitaloceanspaces.com/Ukraine_Witness_Datasheet/Worksheet/telegram_f101c4e59f/index.html" TargetMode="External"/><Relationship Id="rId6753" Type="http://schemas.openxmlformats.org/officeDocument/2006/relationships/hyperlink" Target="https://bellingcat-archive.nyc3.cdn.digitaloceanspaces.com/Ukraine_Witness_Datasheet/Worksheet/telegram__truexanewsua_24773.html" TargetMode="External"/><Relationship Id="rId232" Type="http://schemas.openxmlformats.org/officeDocument/2006/relationships/hyperlink" Target="https://www.tiktok.com/@alexpaul_1990/video/7058989146882247937?is_copy_url=1&amp;is_from_webapp=v1" TargetMode="External"/><Relationship Id="rId5423" Type="http://schemas.openxmlformats.org/officeDocument/2006/relationships/hyperlink" Target="https://t.me/rybar/27241" TargetMode="External"/><Relationship Id="rId6754" Type="http://schemas.openxmlformats.org/officeDocument/2006/relationships/hyperlink" Target="https://bellingcat-archive.nyc3.cdn.digitaloceanspaces.com/Ukraine_Witness_Datasheet/Worksheet/telegram__truexanewsua_247732022-03-08T08:49:06.531327.png" TargetMode="External"/><Relationship Id="rId6704" Type="http://schemas.openxmlformats.org/officeDocument/2006/relationships/hyperlink" Target="https://bellingcat-archive.nyc3.cdn.digitaloceanspaces.com/Ukraine_Witness_Datasheet/Worksheet/telegram_70561c9a2e/index.html" TargetMode="External"/><Relationship Id="rId6705" Type="http://schemas.openxmlformats.org/officeDocument/2006/relationships/hyperlink" Target="https://t.me/truexanewsua/23405" TargetMode="External"/><Relationship Id="rId6702" Type="http://schemas.openxmlformats.org/officeDocument/2006/relationships/hyperlink" Target="https://bellingcat-archive.nyc3.cdn.digitaloceanspaces.com/Ukraine_Witness_Datasheet/Worksheet/telegram_70561c9a2e.mp4" TargetMode="External"/><Relationship Id="rId6703" Type="http://schemas.openxmlformats.org/officeDocument/2006/relationships/hyperlink" Target="https://bellingcat-archive.nyc3.cdn.digitaloceanspaces.com/Ukraine_Witness_Datasheet/Worksheet/telegram__truexanewsua_234052022-03-08T08:40:54.770175.png" TargetMode="External"/><Relationship Id="rId6708" Type="http://schemas.openxmlformats.org/officeDocument/2006/relationships/hyperlink" Target="https://bellingcat-archive.nyc3.cdn.digitaloceanspaces.com/Ukraine_Witness_Datasheet/Worksheet/twitter__2022Kharkiv_status_14980342915776102502022-03-08T08:43:02.244902.png" TargetMode="External"/><Relationship Id="rId6709" Type="http://schemas.openxmlformats.org/officeDocument/2006/relationships/hyperlink" Target="https://t.me/c/1347456995/38726" TargetMode="External"/><Relationship Id="rId6706" Type="http://schemas.openxmlformats.org/officeDocument/2006/relationships/hyperlink" Target="https://twitter.com/2022Kharkiv/status/1498034291577610250?s=20&amp;t=aAsF3wLtOmuVJWrXQTxwHA" TargetMode="External"/><Relationship Id="rId6707" Type="http://schemas.openxmlformats.org/officeDocument/2006/relationships/hyperlink" Target="https://bellingcat-archive.nyc3.cdn.digitaloceanspaces.com/Ukraine_Witness_Datasheet/Worksheet/twitter__2022Kharkiv_status_1498034291577610250.html" TargetMode="External"/><Relationship Id="rId6700" Type="http://schemas.openxmlformats.org/officeDocument/2006/relationships/hyperlink" Target="https://bellingcat-archive.nyc3.cdn.digitaloceanspaces.com/Ukraine_Witness_Datasheet/Worksheet/twitter__666_mancer_status_14972637661652009012022-03-08T08:40:43.814893.png" TargetMode="External"/><Relationship Id="rId6701" Type="http://schemas.openxmlformats.org/officeDocument/2006/relationships/hyperlink" Target="https://t.me/truexanewsua/23393" TargetMode="External"/><Relationship Id="rId6726" Type="http://schemas.openxmlformats.org/officeDocument/2006/relationships/hyperlink" Target="https://bellingcat-archive.nyc3.cdn.digitaloceanspaces.com/Ukraine_Witness_Datasheet/Worksheet/youtube_dl_1497422526946889734.mp4" TargetMode="External"/><Relationship Id="rId6727" Type="http://schemas.openxmlformats.org/officeDocument/2006/relationships/hyperlink" Target="https://bellingcat-archive.nyc3.cdn.digitaloceanspaces.com/Ukraine_Witness_Datasheet/Worksheet/youtube_dl__GirkinGirkin_status_14974225269468897342022-03-08T08:47:40.830695.png" TargetMode="External"/><Relationship Id="rId6724" Type="http://schemas.openxmlformats.org/officeDocument/2006/relationships/hyperlink" Target="https://bellingcat-archive.nyc3.cdn.digitaloceanspaces.com/Ukraine_Witness_Datasheet/Worksheet/wayback__c_1347456995_389642022-03-08T08:47:29.974618.png" TargetMode="External"/><Relationship Id="rId6725" Type="http://schemas.openxmlformats.org/officeDocument/2006/relationships/hyperlink" Target="https://twitter.com/GirkinGirkin/status/1497422526946889734" TargetMode="External"/><Relationship Id="rId6728" Type="http://schemas.openxmlformats.org/officeDocument/2006/relationships/hyperlink" Target="https://bellingcat-archive.nyc3.cdn.digitaloceanspaces.com/Ukraine_Witness_Datasheet/Worksheet/youtube_dl_1497422526946889734/index.html" TargetMode="External"/><Relationship Id="rId6729" Type="http://schemas.openxmlformats.org/officeDocument/2006/relationships/hyperlink" Target="https://twitter.com/UAWeapons/status/1497487302125400064" TargetMode="External"/><Relationship Id="rId206" Type="http://schemas.openxmlformats.org/officeDocument/2006/relationships/hyperlink" Target="https://twitter.com/danvan71/status/1480922262488367112" TargetMode="External"/><Relationship Id="rId205" Type="http://schemas.openxmlformats.org/officeDocument/2006/relationships/hyperlink" Target="https://www.youtube.com/watch?v=ohY2GBG7yk8" TargetMode="External"/><Relationship Id="rId204" Type="http://schemas.openxmlformats.org/officeDocument/2006/relationships/hyperlink" Target="https://bellingcat-archive.nyc3.cdn.digitaloceanspaces.com/ukraine_witness_test/Worksheet/tiktok_7057074329506417925/index.html" TargetMode="External"/><Relationship Id="rId203" Type="http://schemas.openxmlformats.org/officeDocument/2006/relationships/hyperlink" Target="https://bellingcat-archive.nyc3.cdn.digitaloceanspaces.com/ukraine_witness_test/Worksheet/tiktok__@leva235181_video_70570743295064179252022-02-25T11:18:57.320500.png" TargetMode="External"/><Relationship Id="rId209" Type="http://schemas.openxmlformats.org/officeDocument/2006/relationships/hyperlink" Target="https://bellingcat-archive.nyc3.cdn.digitaloceanspaces.com/ukraine_witness_test/Worksheet/yotube_dl_ohY2GBG7yk8/index.html" TargetMode="External"/><Relationship Id="rId208" Type="http://schemas.openxmlformats.org/officeDocument/2006/relationships/hyperlink" Target="https://bellingcat-archive.nyc3.cdn.digitaloceanspaces.com/ukraine_witness_test/Worksheet/yotube_dl__watch2022-02-25T11:36:56.680613.png" TargetMode="External"/><Relationship Id="rId207" Type="http://schemas.openxmlformats.org/officeDocument/2006/relationships/hyperlink" Target="https://bellingcat-archive.nyc3.cdn.digitaloceanspaces.com/ukraine_witness_test/Worksheet/yotube_dl_ohY2GBG7yk8.webm" TargetMode="External"/><Relationship Id="rId202" Type="http://schemas.openxmlformats.org/officeDocument/2006/relationships/hyperlink" Target="https://bellingcat-archive.nyc3.cdn.digitaloceanspaces.com/ukraine_witness_test/Worksheet/tiktok_7057074329506417925.mp4" TargetMode="External"/><Relationship Id="rId6722" Type="http://schemas.openxmlformats.org/officeDocument/2006/relationships/hyperlink" Target="https://t.me/c/1347456995/38964" TargetMode="External"/><Relationship Id="rId201" Type="http://schemas.openxmlformats.org/officeDocument/2006/relationships/hyperlink" Target="https://www.tiktok.com/@leva235181/video/7057074329506417925?is_copy_url=1&amp;is_from_webapp=v1&amp;q=Leva235181&amp;t=1643546183423" TargetMode="External"/><Relationship Id="rId6723" Type="http://schemas.openxmlformats.org/officeDocument/2006/relationships/hyperlink" Target="https://web.archive.org/web/20220308084557/https://t.me/c/1347456995/38964" TargetMode="External"/><Relationship Id="rId200" Type="http://schemas.openxmlformats.org/officeDocument/2006/relationships/hyperlink" Target="https://bellingcat-archive.nyc3.cdn.digitaloceanspaces.com/ukraine_witness_test/Worksheet/tiktok_7056698808381541637/index.html" TargetMode="External"/><Relationship Id="rId6720" Type="http://schemas.openxmlformats.org/officeDocument/2006/relationships/hyperlink" Target="https://bellingcat-archive.nyc3.cdn.digitaloceanspaces.com/Ukraine_Witness_Datasheet/Worksheet/twitter__ChatterFax_status_1497447467964633088.html" TargetMode="External"/><Relationship Id="rId6721" Type="http://schemas.openxmlformats.org/officeDocument/2006/relationships/hyperlink" Target="https://bellingcat-archive.nyc3.cdn.digitaloceanspaces.com/Ukraine_Witness_Datasheet/Worksheet/twitter__ChatterFax_status_14974474679646330882022-03-08T08:45:37.295259.png" TargetMode="External"/><Relationship Id="rId6715" Type="http://schemas.openxmlformats.org/officeDocument/2006/relationships/hyperlink" Target="https://t.me/truexanewsua/24284" TargetMode="External"/><Relationship Id="rId6716" Type="http://schemas.openxmlformats.org/officeDocument/2006/relationships/hyperlink" Target="https://twitter.com/Illegal_Peng/status/1497615070548971533" TargetMode="External"/><Relationship Id="rId6713" Type="http://schemas.openxmlformats.org/officeDocument/2006/relationships/hyperlink" Target="https://bellingcat-archive.nyc3.cdn.digitaloceanspaces.com/Ukraine_Witness_Datasheet/Worksheet/telegram__dsns_telegram_3973.html" TargetMode="External"/><Relationship Id="rId6714" Type="http://schemas.openxmlformats.org/officeDocument/2006/relationships/hyperlink" Target="https://bellingcat-archive.nyc3.cdn.digitaloceanspaces.com/Ukraine_Witness_Datasheet/Worksheet/telegram__dsns_telegram_39732022-03-08T08:45:15.800851.png" TargetMode="External"/><Relationship Id="rId6719" Type="http://schemas.openxmlformats.org/officeDocument/2006/relationships/hyperlink" Target="https://twitter.com/ChatterFax/status/1497447467964633088" TargetMode="External"/><Relationship Id="rId6717" Type="http://schemas.openxmlformats.org/officeDocument/2006/relationships/hyperlink" Target="https://bellingcat-archive.nyc3.cdn.digitaloceanspaces.com/Ukraine_Witness_Datasheet/Worksheet/telegram__truexanewsua_24284.html" TargetMode="External"/><Relationship Id="rId6718" Type="http://schemas.openxmlformats.org/officeDocument/2006/relationships/hyperlink" Target="https://bellingcat-archive.nyc3.cdn.digitaloceanspaces.com/Ukraine_Witness_Datasheet/Worksheet/telegram__truexanewsua_242842022-03-08T08:45:25.339843.png" TargetMode="External"/><Relationship Id="rId6711" Type="http://schemas.openxmlformats.org/officeDocument/2006/relationships/hyperlink" Target="https://bellingcat-archive.nyc3.cdn.digitaloceanspaces.com/Ukraine_Witness_Datasheet/Worksheet/wayback__c_1347456995_387262022-03-08T08:45:05.558519.png" TargetMode="External"/><Relationship Id="rId6712" Type="http://schemas.openxmlformats.org/officeDocument/2006/relationships/hyperlink" Target="https://t.me/dsns_telegram/3973" TargetMode="External"/><Relationship Id="rId6710" Type="http://schemas.openxmlformats.org/officeDocument/2006/relationships/hyperlink" Target="https://web.archive.org/web/20220308084334/https://t.me/c/1347456995/38726" TargetMode="External"/><Relationship Id="rId5490" Type="http://schemas.openxmlformats.org/officeDocument/2006/relationships/hyperlink" Target="https://bellingcat-archive.nyc3.cdn.digitaloceanspaces.com/Ukraine_Witness_Datasheet/Worksheet/youtube_dl__MotolkoHelp_status_14996760786165923862022-03-04T10:20:12.980892.png" TargetMode="External"/><Relationship Id="rId4161" Type="http://schemas.openxmlformats.org/officeDocument/2006/relationships/hyperlink" Target="https://bellingcat-archive.nyc3.cdn.digitaloceanspaces.com/Ukraine_Witness_Datasheet/Worksheet/youtube_dl__666_mancer_status_14982971842315960422022-03-01T06:51:17.300919.png" TargetMode="External"/><Relationship Id="rId5493" Type="http://schemas.openxmlformats.org/officeDocument/2006/relationships/hyperlink" Target="https://bellingcat-archive.nyc3.cdn.digitaloceanspaces.com/Ukraine_Witness_Datasheet/Worksheet/twitter__vezhlivo_status_1499688891758125057.html" TargetMode="External"/><Relationship Id="rId4160" Type="http://schemas.openxmlformats.org/officeDocument/2006/relationships/hyperlink" Target="https://bellingcat-archive.nyc3.cdn.digitaloceanspaces.com/Ukraine_Witness_Datasheet/Worksheet/youtube_dl_1498297184231596042.mp4" TargetMode="External"/><Relationship Id="rId5494" Type="http://schemas.openxmlformats.org/officeDocument/2006/relationships/hyperlink" Target="https://bellingcat-archive.nyc3.cdn.digitaloceanspaces.com/Ukraine_Witness_Datasheet/Worksheet/twitter__vezhlivo_status_14996888917581250572022-03-04T10:20:26.375465.png" TargetMode="External"/><Relationship Id="rId4163" Type="http://schemas.openxmlformats.org/officeDocument/2006/relationships/hyperlink" Target="https://twitter.com/GirkinGirkin/status/1498293986087387139" TargetMode="External"/><Relationship Id="rId5491" Type="http://schemas.openxmlformats.org/officeDocument/2006/relationships/hyperlink" Target="https://bellingcat-archive.nyc3.cdn.digitaloceanspaces.com/Ukraine_Witness_Datasheet/Worksheet/youtube_dl_1499676078616592386/index.html" TargetMode="External"/><Relationship Id="rId4162" Type="http://schemas.openxmlformats.org/officeDocument/2006/relationships/hyperlink" Target="https://bellingcat-archive.nyc3.cdn.digitaloceanspaces.com/Ukraine_Witness_Datasheet/Worksheet/youtube_dl_1498297184231596042/index.html" TargetMode="External"/><Relationship Id="rId5492" Type="http://schemas.openxmlformats.org/officeDocument/2006/relationships/hyperlink" Target="https://twitter.com/vezhlivo/status/1499688891758125057" TargetMode="External"/><Relationship Id="rId4165" Type="http://schemas.openxmlformats.org/officeDocument/2006/relationships/hyperlink" Target="https://bellingcat-archive.nyc3.cdn.digitaloceanspaces.com/Ukraine_Witness_Datasheet/Worksheet/youtube_dl_1498293986087387139.mp4" TargetMode="External"/><Relationship Id="rId5497" Type="http://schemas.openxmlformats.org/officeDocument/2006/relationships/hyperlink" Target="https://bellingcat-archive.nyc3.cdn.digitaloceanspaces.com/Ukraine_Witness_Datasheet/Worksheet/twitter__StratcomCentre_status_14996737148074311702022-03-04T10:20:37.102272.png" TargetMode="External"/><Relationship Id="rId4164" Type="http://schemas.openxmlformats.org/officeDocument/2006/relationships/hyperlink" Target="https://twitter.com/il_kanguru/status/1498309072352862218" TargetMode="External"/><Relationship Id="rId5498" Type="http://schemas.openxmlformats.org/officeDocument/2006/relationships/hyperlink" Target="https://vm.tiktok.com/ZMLDVnFHW/" TargetMode="External"/><Relationship Id="rId4167" Type="http://schemas.openxmlformats.org/officeDocument/2006/relationships/hyperlink" Target="https://bellingcat-archive.nyc3.cdn.digitaloceanspaces.com/Ukraine_Witness_Datasheet/Worksheet/youtube_dl_1498293986087387139/index.html" TargetMode="External"/><Relationship Id="rId5495" Type="http://schemas.openxmlformats.org/officeDocument/2006/relationships/hyperlink" Target="https://twitter.com/StratcomCentre/status/1499673714807431170" TargetMode="External"/><Relationship Id="rId4166" Type="http://schemas.openxmlformats.org/officeDocument/2006/relationships/hyperlink" Target="https://bellingcat-archive.nyc3.cdn.digitaloceanspaces.com/Ukraine_Witness_Datasheet/Worksheet/youtube_dl__GirkinGirkin_status_14982939860873871392022-03-01T06:51:41.383942.png" TargetMode="External"/><Relationship Id="rId5496" Type="http://schemas.openxmlformats.org/officeDocument/2006/relationships/hyperlink" Target="https://bellingcat-archive.nyc3.cdn.digitaloceanspaces.com/Ukraine_Witness_Datasheet/Worksheet/twitter__StratcomCentre_status_1499673714807431170.html" TargetMode="External"/><Relationship Id="rId4169" Type="http://schemas.openxmlformats.org/officeDocument/2006/relationships/hyperlink" Target="https://bellingcat-archive.nyc3.cdn.digitaloceanspaces.com/Ukraine_Witness_Datasheet/Worksheet/telegram_752c4b844b.mp4" TargetMode="External"/><Relationship Id="rId4168" Type="http://schemas.openxmlformats.org/officeDocument/2006/relationships/hyperlink" Target="https://t.me/voynareal/11026" TargetMode="External"/><Relationship Id="rId5499" Type="http://schemas.openxmlformats.org/officeDocument/2006/relationships/hyperlink" Target="https://bellingcat-archive.nyc3.cdn.digitaloceanspaces.com/Ukraine_Witness_Datasheet/Worksheet/tiktok_7069000165452942593.mp4" TargetMode="External"/><Relationship Id="rId4150" Type="http://schemas.openxmlformats.org/officeDocument/2006/relationships/hyperlink" Target="https://bellingcat-archive.nyc3.cdn.digitaloceanspaces.com/Ukraine_Witness_Datasheet/Worksheet/youtube_dl_1498286694465949696.mp4" TargetMode="External"/><Relationship Id="rId5482" Type="http://schemas.openxmlformats.org/officeDocument/2006/relationships/hyperlink" Target="https://bellingcat-archive.nyc3.cdn.digitaloceanspaces.com/Ukraine_Witness_Datasheet/Worksheet/twitter__UAWeapons_status_1499683365263446020.html" TargetMode="External"/><Relationship Id="rId5483" Type="http://schemas.openxmlformats.org/officeDocument/2006/relationships/hyperlink" Target="https://bellingcat-archive.nyc3.cdn.digitaloceanspaces.com/Ukraine_Witness_Datasheet/Worksheet/twitter__UAWeapons_status_14996833652634460202022-03-04T10:05:13.943366.png" TargetMode="External"/><Relationship Id="rId4152" Type="http://schemas.openxmlformats.org/officeDocument/2006/relationships/hyperlink" Target="https://bellingcat-archive.nyc3.cdn.digitaloceanspaces.com/Ukraine_Witness_Datasheet/Worksheet/youtube_dl_1498286694465949696/index.html" TargetMode="External"/><Relationship Id="rId5480" Type="http://schemas.openxmlformats.org/officeDocument/2006/relationships/hyperlink" Target="https://bellingcat-archive.nyc3.cdn.digitaloceanspaces.com/Ukraine_Witness_Datasheet/Worksheet/twitter__nexta_tv_status_14996647260029706272022-03-04T10:00:36.299033.png" TargetMode="External"/><Relationship Id="rId4151" Type="http://schemas.openxmlformats.org/officeDocument/2006/relationships/hyperlink" Target="https://bellingcat-archive.nyc3.cdn.digitaloceanspaces.com/Ukraine_Witness_Datasheet/Worksheet/youtube_dl__dmitryakhatov_status_14982866944659496962022-03-01T06:50:38.282547.png" TargetMode="External"/><Relationship Id="rId5481" Type="http://schemas.openxmlformats.org/officeDocument/2006/relationships/hyperlink" Target="https://twitter.com/UAWeapons/status/1499683365263446020" TargetMode="External"/><Relationship Id="rId4154" Type="http://schemas.openxmlformats.org/officeDocument/2006/relationships/hyperlink" Target="https://twitter.com/markito0171/status/1498319067891093506" TargetMode="External"/><Relationship Id="rId5486" Type="http://schemas.openxmlformats.org/officeDocument/2006/relationships/hyperlink" Target="https://bellingcat-archive.nyc3.cdn.digitaloceanspaces.com/Ukraine_Witness_Datasheet/Worksheet/youtube_dl__@chechenec329_video_70706022359772398092022-03-04T10:17:03.266961.png" TargetMode="External"/><Relationship Id="rId4153" Type="http://schemas.openxmlformats.org/officeDocument/2006/relationships/hyperlink" Target="https://twitter.com/markito0171/status/1498318948940533769" TargetMode="External"/><Relationship Id="rId5487" Type="http://schemas.openxmlformats.org/officeDocument/2006/relationships/hyperlink" Target="https://bellingcat-archive.nyc3.cdn.digitaloceanspaces.com/Ukraine_Witness_Datasheet/Worksheet/youtube_dl_7070602235977239809/index.html" TargetMode="External"/><Relationship Id="rId4156" Type="http://schemas.openxmlformats.org/officeDocument/2006/relationships/hyperlink" Target="https://bellingcat-archive.nyc3.cdn.digitaloceanspaces.com/Ukraine_Witness_Datasheet/Worksheet/youtube_dl__markito0171_status_14983189489405337692022-03-01T06:51:00.678034.png" TargetMode="External"/><Relationship Id="rId5484" Type="http://schemas.openxmlformats.org/officeDocument/2006/relationships/hyperlink" Target="https://www.tiktok.com/@chechenec329/video/7070602235977239809?is_copy_url=1&amp;is_from_webapp=v1" TargetMode="External"/><Relationship Id="rId4155" Type="http://schemas.openxmlformats.org/officeDocument/2006/relationships/hyperlink" Target="https://bellingcat-archive.nyc3.cdn.digitaloceanspaces.com/Ukraine_Witness_Datasheet/Worksheet/youtube_dl_1498318948940533769.mp4" TargetMode="External"/><Relationship Id="rId5485" Type="http://schemas.openxmlformats.org/officeDocument/2006/relationships/hyperlink" Target="https://bellingcat-archive.nyc3.cdn.digitaloceanspaces.com/Ukraine_Witness_Datasheet/Worksheet/youtube_dl_7070602235977239809.mp4" TargetMode="External"/><Relationship Id="rId4158" Type="http://schemas.openxmlformats.org/officeDocument/2006/relationships/hyperlink" Target="https://twitter.com/666_mancer/status/1498297184231596042" TargetMode="External"/><Relationship Id="rId4157" Type="http://schemas.openxmlformats.org/officeDocument/2006/relationships/hyperlink" Target="https://bellingcat-archive.nyc3.cdn.digitaloceanspaces.com/Ukraine_Witness_Datasheet/Worksheet/youtube_dl_1498318948940533769/index.html" TargetMode="External"/><Relationship Id="rId5488" Type="http://schemas.openxmlformats.org/officeDocument/2006/relationships/hyperlink" Target="https://twitter.com/MotolkoHelp/status/1499676078616592386" TargetMode="External"/><Relationship Id="rId4159" Type="http://schemas.openxmlformats.org/officeDocument/2006/relationships/hyperlink" Target="https://twitter.com/5urpher/status/1498308317910913027" TargetMode="External"/><Relationship Id="rId5489" Type="http://schemas.openxmlformats.org/officeDocument/2006/relationships/hyperlink" Target="https://bellingcat-archive.nyc3.cdn.digitaloceanspaces.com/Ukraine_Witness_Datasheet/Worksheet/youtube_dl_1499676078616592386.mp4" TargetMode="External"/><Relationship Id="rId1910" Type="http://schemas.openxmlformats.org/officeDocument/2006/relationships/hyperlink" Target="https://bellingcat-archive.nyc3.cdn.digitaloceanspaces.com/Ukraine_Witness_Datasheet/Worksheet/youtube_dl_1495172211002466311/index.html" TargetMode="External"/><Relationship Id="rId1911" Type="http://schemas.openxmlformats.org/officeDocument/2006/relationships/hyperlink" Target="https://twitter.com/Michael1Sheldon/status/1495266521777594374" TargetMode="External"/><Relationship Id="rId1912" Type="http://schemas.openxmlformats.org/officeDocument/2006/relationships/hyperlink" Target="https://twitter.com/Michael1Sheldon/status/1495266329192026112" TargetMode="External"/><Relationship Id="rId1913" Type="http://schemas.openxmlformats.org/officeDocument/2006/relationships/hyperlink" Target="https://bellingcat-archive.nyc3.cdn.digitaloceanspaces.com/Ukraine_Witness_Datasheet/Worksheet/youtube_dl_1495266521777594374.mp4" TargetMode="External"/><Relationship Id="rId1914" Type="http://schemas.openxmlformats.org/officeDocument/2006/relationships/hyperlink" Target="https://bellingcat-archive.nyc3.cdn.digitaloceanspaces.com/Ukraine_Witness_Datasheet/Worksheet/youtube_dl__Michael1Sheldon_status_14952665217775943742022-02-25T13:47:12.569399.png" TargetMode="External"/><Relationship Id="rId1915" Type="http://schemas.openxmlformats.org/officeDocument/2006/relationships/hyperlink" Target="https://bellingcat-archive.nyc3.cdn.digitaloceanspaces.com/Ukraine_Witness_Datasheet/Worksheet/youtube_dl_1495266521777594374/index.html" TargetMode="External"/><Relationship Id="rId1916" Type="http://schemas.openxmlformats.org/officeDocument/2006/relationships/hyperlink" Target="https://twitter.com/4emberlen/status/1495231557829038083" TargetMode="External"/><Relationship Id="rId1917" Type="http://schemas.openxmlformats.org/officeDocument/2006/relationships/hyperlink" Target="https://bellingcat-archive.nyc3.cdn.digitaloceanspaces.com/Ukraine_Witness_Datasheet/Worksheet/youtube_dl_1495231557829038083.mp4" TargetMode="External"/><Relationship Id="rId1918" Type="http://schemas.openxmlformats.org/officeDocument/2006/relationships/hyperlink" Target="https://bellingcat-archive.nyc3.cdn.digitaloceanspaces.com/Ukraine_Witness_Datasheet/Worksheet/youtube_dl__4emberlen_status_14952315578290380832022-02-25T13:46:43.404377.png" TargetMode="External"/><Relationship Id="rId1919" Type="http://schemas.openxmlformats.org/officeDocument/2006/relationships/hyperlink" Target="https://bellingcat-archive.nyc3.cdn.digitaloceanspaces.com/Ukraine_Witness_Datasheet/Worksheet/youtube_dl_1495231557829038083/index.html" TargetMode="External"/><Relationship Id="rId4181" Type="http://schemas.openxmlformats.org/officeDocument/2006/relationships/hyperlink" Target="https://bellingcat-archive.nyc3.cdn.digitaloceanspaces.com/Ukraine_Witness_Datasheet/Worksheet/telegram_38a7187351/index.html" TargetMode="External"/><Relationship Id="rId4180" Type="http://schemas.openxmlformats.org/officeDocument/2006/relationships/hyperlink" Target="https://bellingcat-archive.nyc3.cdn.digitaloceanspaces.com/Ukraine_Witness_Datasheet/Worksheet/telegram__livekharkov_280392022-03-01T06:53:45.787655.png" TargetMode="External"/><Relationship Id="rId4183" Type="http://schemas.openxmlformats.org/officeDocument/2006/relationships/hyperlink" Target="https://twitter.com/Shrik_E/status/1497679185237712906" TargetMode="External"/><Relationship Id="rId4182" Type="http://schemas.openxmlformats.org/officeDocument/2006/relationships/hyperlink" Target="https://t.me/livekharkov/28039" TargetMode="External"/><Relationship Id="rId4185" Type="http://schemas.openxmlformats.org/officeDocument/2006/relationships/hyperlink" Target="https://bellingcat-archive.nyc3.cdn.digitaloceanspaces.com/Ukraine_Witness_Datasheet/Worksheet/youtube_dl_1497679185237712906.mp4" TargetMode="External"/><Relationship Id="rId4184" Type="http://schemas.openxmlformats.org/officeDocument/2006/relationships/hyperlink" Target="https://twitter.com/5urpher/status/1497684054791139331" TargetMode="External"/><Relationship Id="rId4187" Type="http://schemas.openxmlformats.org/officeDocument/2006/relationships/hyperlink" Target="https://bellingcat-archive.nyc3.cdn.digitaloceanspaces.com/Ukraine_Witness_Datasheet/Worksheet/youtube_dl_1497679185237712906/index.html" TargetMode="External"/><Relationship Id="rId4186" Type="http://schemas.openxmlformats.org/officeDocument/2006/relationships/hyperlink" Target="https://bellingcat-archive.nyc3.cdn.digitaloceanspaces.com/Ukraine_Witness_Datasheet/Worksheet/youtube_dl__Shrik_E_status_14976791852377129062022-03-01T06:54:58.605821.png" TargetMode="External"/><Relationship Id="rId4189" Type="http://schemas.openxmlformats.org/officeDocument/2006/relationships/hyperlink" Target="https://imgur.com/a/g3flcnk" TargetMode="External"/><Relationship Id="rId4188" Type="http://schemas.openxmlformats.org/officeDocument/2006/relationships/hyperlink" Target="https://twitter.com/RALee85/status/1498255416203087872?s=20&amp;t=7Mn9SHetvta9meWkY-R_gw" TargetMode="External"/><Relationship Id="rId1900" Type="http://schemas.openxmlformats.org/officeDocument/2006/relationships/hyperlink" Target="https://bellingcat-archive.nyc3.cdn.digitaloceanspaces.com/Ukraine_Witness_Datasheet/Worksheet/youtube_dl_1495169062866927620.mp4" TargetMode="External"/><Relationship Id="rId1901" Type="http://schemas.openxmlformats.org/officeDocument/2006/relationships/hyperlink" Target="https://bellingcat-archive.nyc3.cdn.digitaloceanspaces.com/Ukraine_Witness_Datasheet/Worksheet/youtube_dl__JC_Monitoring_status_14951690628669276202022-02-25T13:48:08.551498.png" TargetMode="External"/><Relationship Id="rId1902" Type="http://schemas.openxmlformats.org/officeDocument/2006/relationships/hyperlink" Target="https://bellingcat-archive.nyc3.cdn.digitaloceanspaces.com/Ukraine_Witness_Datasheet/Worksheet/youtube_dl_1495169062866927620/index.html" TargetMode="External"/><Relationship Id="rId1903" Type="http://schemas.openxmlformats.org/officeDocument/2006/relationships/hyperlink" Target="https://twitter.com/YWNReporter/status/1495168140061384708" TargetMode="External"/><Relationship Id="rId1904" Type="http://schemas.openxmlformats.org/officeDocument/2006/relationships/hyperlink" Target="https://bellingcat-archive.nyc3.cdn.digitaloceanspaces.com/Ukraine_Witness_Datasheet/Worksheet/youtube_dl_1495168140061384708.mp4" TargetMode="External"/><Relationship Id="rId1905" Type="http://schemas.openxmlformats.org/officeDocument/2006/relationships/hyperlink" Target="https://bellingcat-archive.nyc3.cdn.digitaloceanspaces.com/Ukraine_Witness_Datasheet/Worksheet/youtube_dl__YWNReporter_status_14951681400613847082022-02-25T13:47:51.542872.png" TargetMode="External"/><Relationship Id="rId1906" Type="http://schemas.openxmlformats.org/officeDocument/2006/relationships/hyperlink" Target="https://bellingcat-archive.nyc3.cdn.digitaloceanspaces.com/Ukraine_Witness_Datasheet/Worksheet/youtube_dl_1495168140061384708/index.html" TargetMode="External"/><Relationship Id="rId1907" Type="http://schemas.openxmlformats.org/officeDocument/2006/relationships/hyperlink" Target="https://twitter.com/YWNReporter/status/1495172211002466311" TargetMode="External"/><Relationship Id="rId1908" Type="http://schemas.openxmlformats.org/officeDocument/2006/relationships/hyperlink" Target="https://bellingcat-archive.nyc3.cdn.digitaloceanspaces.com/Ukraine_Witness_Datasheet/Worksheet/youtube_dl_1495172211002466311.mp4" TargetMode="External"/><Relationship Id="rId1909" Type="http://schemas.openxmlformats.org/officeDocument/2006/relationships/hyperlink" Target="https://bellingcat-archive.nyc3.cdn.digitaloceanspaces.com/Ukraine_Witness_Datasheet/Worksheet/youtube_dl__YWNReporter_status_14951722110024663112022-02-25T13:47:33.024808.png" TargetMode="External"/><Relationship Id="rId4170" Type="http://schemas.openxmlformats.org/officeDocument/2006/relationships/hyperlink" Target="https://bellingcat-archive.nyc3.cdn.digitaloceanspaces.com/Ukraine_Witness_Datasheet/Worksheet/telegram__voynareal_110262022-03-01T06:57:29.854279.png" TargetMode="External"/><Relationship Id="rId4172" Type="http://schemas.openxmlformats.org/officeDocument/2006/relationships/hyperlink" Target="https://t.me/voynareal/11026" TargetMode="External"/><Relationship Id="rId4171" Type="http://schemas.openxmlformats.org/officeDocument/2006/relationships/hyperlink" Target="https://bellingcat-archive.nyc3.cdn.digitaloceanspaces.com/Ukraine_Witness_Datasheet/Worksheet/telegram_752c4b844b/index.html" TargetMode="External"/><Relationship Id="rId4174" Type="http://schemas.openxmlformats.org/officeDocument/2006/relationships/hyperlink" Target="https://twitter.com/5urpher/status/1497999576384557058" TargetMode="External"/><Relationship Id="rId4173" Type="http://schemas.openxmlformats.org/officeDocument/2006/relationships/hyperlink" Target="https://twitter.com/666_mancer/status/1497993315551170561" TargetMode="External"/><Relationship Id="rId4176" Type="http://schemas.openxmlformats.org/officeDocument/2006/relationships/hyperlink" Target="https://bellingcat-archive.nyc3.cdn.digitaloceanspaces.com/Ukraine_Witness_Datasheet/Worksheet/youtube_dl__666_mancer_status_14979933155511705612022-03-01T06:53:29.556989.png" TargetMode="External"/><Relationship Id="rId4175" Type="http://schemas.openxmlformats.org/officeDocument/2006/relationships/hyperlink" Target="https://bellingcat-archive.nyc3.cdn.digitaloceanspaces.com/Ukraine_Witness_Datasheet/Worksheet/youtube_dl_1497993315551170561.mp4" TargetMode="External"/><Relationship Id="rId4178" Type="http://schemas.openxmlformats.org/officeDocument/2006/relationships/hyperlink" Target="https://t.me/livekharkov/28039" TargetMode="External"/><Relationship Id="rId4177" Type="http://schemas.openxmlformats.org/officeDocument/2006/relationships/hyperlink" Target="https://bellingcat-archive.nyc3.cdn.digitaloceanspaces.com/Ukraine_Witness_Datasheet/Worksheet/youtube_dl_1497993315551170561/index.html" TargetMode="External"/><Relationship Id="rId4179" Type="http://schemas.openxmlformats.org/officeDocument/2006/relationships/hyperlink" Target="https://bellingcat-archive.nyc3.cdn.digitaloceanspaces.com/Ukraine_Witness_Datasheet/Worksheet/telegram_38a7187351.mp4" TargetMode="External"/><Relationship Id="rId4129" Type="http://schemas.openxmlformats.org/officeDocument/2006/relationships/hyperlink" Target="https://twitter.com/ostapcsms/status/1498292085832790020" TargetMode="External"/><Relationship Id="rId4128" Type="http://schemas.openxmlformats.org/officeDocument/2006/relationships/hyperlink" Target="https://bellingcat-archive.nyc3.cdn.digitaloceanspaces.com/Ukraine_Witness_Datasheet/Worksheet/youtube_dl_1498272000946708486/index.html" TargetMode="External"/><Relationship Id="rId5459" Type="http://schemas.openxmlformats.org/officeDocument/2006/relationships/hyperlink" Target="https://t.me/voynareal/12350" TargetMode="External"/><Relationship Id="rId6780" Type="http://schemas.openxmlformats.org/officeDocument/2006/relationships/hyperlink" Target="https://bellingcat-archive.nyc3.cdn.digitaloceanspaces.com/Ukraine_Witness_Datasheet/Worksheet/wayback__c_1347456995_389762022-03-08T08:52:54.942997.png" TargetMode="External"/><Relationship Id="rId5450" Type="http://schemas.openxmlformats.org/officeDocument/2006/relationships/hyperlink" Target="https://bellingcat-archive.nyc3.cdn.digitaloceanspaces.com/Ukraine_Witness_Datasheet/Worksheet/twitter__UAWeapons_status_1499479184342757391_photo_2.html" TargetMode="External"/><Relationship Id="rId6781" Type="http://schemas.openxmlformats.org/officeDocument/2006/relationships/hyperlink" Target="https://twitter.com/2022Kharkiv/status/1497907864723247106?s=20&amp;t=aAsF3wLtOmuVJWrXQTxwHA" TargetMode="External"/><Relationship Id="rId4121" Type="http://schemas.openxmlformats.org/officeDocument/2006/relationships/hyperlink" Target="https://bellingcat-archive.nyc3.cdn.digitaloceanspaces.com/Ukraine_Witness_Datasheet/Worksheet/youtube_dl_1498279966588481540/index.html" TargetMode="External"/><Relationship Id="rId5453" Type="http://schemas.openxmlformats.org/officeDocument/2006/relationships/hyperlink" Target="https://bellingcat-archive.nyc3.cdn.digitaloceanspaces.com/Ukraine_Witness_Datasheet/Worksheet/twitter__666_mancer_status_1499494388187254784.html" TargetMode="External"/><Relationship Id="rId6784" Type="http://schemas.openxmlformats.org/officeDocument/2006/relationships/hyperlink" Target="https://t.me/livekharkov/27793" TargetMode="External"/><Relationship Id="rId4120" Type="http://schemas.openxmlformats.org/officeDocument/2006/relationships/hyperlink" Target="https://bellingcat-archive.nyc3.cdn.digitaloceanspaces.com/Ukraine_Witness_Datasheet/Worksheet/youtube_dl__RALee85_status_14982799665884815402022-02-28T14:35:50.698945.png" TargetMode="External"/><Relationship Id="rId5454" Type="http://schemas.openxmlformats.org/officeDocument/2006/relationships/hyperlink" Target="https://bellingcat-archive.nyc3.cdn.digitaloceanspaces.com/Ukraine_Witness_Datasheet/Worksheet/twitter__666_mancer_status_14994943881872547842022-03-04T05:40:15.385224.png" TargetMode="External"/><Relationship Id="rId6785" Type="http://schemas.openxmlformats.org/officeDocument/2006/relationships/hyperlink" Target="https://bellingcat-archive.nyc3.cdn.digitaloceanspaces.com/Ukraine_Witness_Datasheet/Worksheet/telegram_26c8d848f1.mp4" TargetMode="External"/><Relationship Id="rId4123" Type="http://schemas.openxmlformats.org/officeDocument/2006/relationships/hyperlink" Target="https://bellingcat-archive.nyc3.cdn.digitaloceanspaces.com/Ukraine_Witness_Datasheet/Worksheet/twitter__AKirilenko_True_status_1497941425400565763_photo_1.html" TargetMode="External"/><Relationship Id="rId5451" Type="http://schemas.openxmlformats.org/officeDocument/2006/relationships/hyperlink" Target="https://bellingcat-archive.nyc3.cdn.digitaloceanspaces.com/Ukraine_Witness_Datasheet/Worksheet/twitter__UAWeapons_status_1499479184342757391_photo_22022-03-03T23:45:12.696894.png" TargetMode="External"/><Relationship Id="rId6782" Type="http://schemas.openxmlformats.org/officeDocument/2006/relationships/hyperlink" Target="https://bellingcat-archive.nyc3.cdn.digitaloceanspaces.com/Ukraine_Witness_Datasheet/Worksheet/twitter__2022Kharkiv_status_1497907864723247106.html" TargetMode="External"/><Relationship Id="rId4122" Type="http://schemas.openxmlformats.org/officeDocument/2006/relationships/hyperlink" Target="https://twitter.com/AKirilenko_True/status/1497941425400565763/photo/1" TargetMode="External"/><Relationship Id="rId5452" Type="http://schemas.openxmlformats.org/officeDocument/2006/relationships/hyperlink" Target="https://twitter.com/666_mancer/status/1499494388187254784" TargetMode="External"/><Relationship Id="rId6783" Type="http://schemas.openxmlformats.org/officeDocument/2006/relationships/hyperlink" Target="https://bellingcat-archive.nyc3.cdn.digitaloceanspaces.com/Ukraine_Witness_Datasheet/Worksheet/twitter__2022Kharkiv_status_14979078647232471062022-03-08T08:53:05.675876.png" TargetMode="External"/><Relationship Id="rId4125" Type="http://schemas.openxmlformats.org/officeDocument/2006/relationships/hyperlink" Target="https://twitter.com/juliaskripkaser/status/1498272000946708486" TargetMode="External"/><Relationship Id="rId5457" Type="http://schemas.openxmlformats.org/officeDocument/2006/relationships/hyperlink" Target="https://bellingcat-archive.nyc3.cdn.digitaloceanspaces.com/Ukraine_Witness_Datasheet/Worksheet/telegram__voynareal_123502022-03-04T08:40:09.138810.png" TargetMode="External"/><Relationship Id="rId6788" Type="http://schemas.openxmlformats.org/officeDocument/2006/relationships/hyperlink" Target="https://t.me/livekharkov/27793" TargetMode="External"/><Relationship Id="rId4124" Type="http://schemas.openxmlformats.org/officeDocument/2006/relationships/hyperlink" Target="https://bellingcat-archive.nyc3.cdn.digitaloceanspaces.com/Ukraine_Witness_Datasheet/Worksheet/twitter__AKirilenko_True_status_1497941425400565763_photo_12022-02-28T14:37:20.654500.png" TargetMode="External"/><Relationship Id="rId5458" Type="http://schemas.openxmlformats.org/officeDocument/2006/relationships/hyperlink" Target="https://bellingcat-archive.nyc3.cdn.digitaloceanspaces.com/Ukraine_Witness_Datasheet/Worksheet/telegram_e3507a3454/index.html" TargetMode="External"/><Relationship Id="rId6789" Type="http://schemas.openxmlformats.org/officeDocument/2006/relationships/hyperlink" Target="https://t.me/truexanewsua/24773" TargetMode="External"/><Relationship Id="rId4127" Type="http://schemas.openxmlformats.org/officeDocument/2006/relationships/hyperlink" Target="https://bellingcat-archive.nyc3.cdn.digitaloceanspaces.com/Ukraine_Witness_Datasheet/Worksheet/youtube_dl__juliaskripkaser_status_14982720009467084862022-02-28T14:38:07.602976.png" TargetMode="External"/><Relationship Id="rId5455" Type="http://schemas.openxmlformats.org/officeDocument/2006/relationships/hyperlink" Target="https://t.me/voynareal/12350" TargetMode="External"/><Relationship Id="rId6786" Type="http://schemas.openxmlformats.org/officeDocument/2006/relationships/hyperlink" Target="https://bellingcat-archive.nyc3.cdn.digitaloceanspaces.com/Ukraine_Witness_Datasheet/Worksheet/telegram__livekharkov_277932022-03-08T08:53:15.942243.png" TargetMode="External"/><Relationship Id="rId4126" Type="http://schemas.openxmlformats.org/officeDocument/2006/relationships/hyperlink" Target="https://bellingcat-archive.nyc3.cdn.digitaloceanspaces.com/Ukraine_Witness_Datasheet/Worksheet/youtube_dl_1498272000946708486.mp4" TargetMode="External"/><Relationship Id="rId5456" Type="http://schemas.openxmlformats.org/officeDocument/2006/relationships/hyperlink" Target="https://bellingcat-archive.nyc3.cdn.digitaloceanspaces.com/Ukraine_Witness_Datasheet/Worksheet/telegram_e3507a3454.mp4" TargetMode="External"/><Relationship Id="rId6787" Type="http://schemas.openxmlformats.org/officeDocument/2006/relationships/hyperlink" Target="https://bellingcat-archive.nyc3.cdn.digitaloceanspaces.com/Ukraine_Witness_Datasheet/Worksheet/telegram_26c8d848f1/index.html" TargetMode="External"/><Relationship Id="rId4118" Type="http://schemas.openxmlformats.org/officeDocument/2006/relationships/hyperlink" Target="https://twitter.com/RALee85/status/1498279966588481540?s=20&amp;t=mSFlcDNS0oT1fEh4rZdNHg" TargetMode="External"/><Relationship Id="rId4117" Type="http://schemas.openxmlformats.org/officeDocument/2006/relationships/hyperlink" Target="https://bellingcat-archive.nyc3.cdn.digitaloceanspaces.com/Ukraine_Witness_Datasheet/Worksheet/youtube_dl_1497782496347496452/index.html" TargetMode="External"/><Relationship Id="rId5448" Type="http://schemas.openxmlformats.org/officeDocument/2006/relationships/hyperlink" Target="https://bellingcat-archive.nyc3.cdn.digitaloceanspaces.com/Ukraine_Witness_Datasheet/Worksheet/youtube_dl_1499423856540409865/index.html" TargetMode="External"/><Relationship Id="rId6779" Type="http://schemas.openxmlformats.org/officeDocument/2006/relationships/hyperlink" Target="https://web.archive.org/web/20220308085122/https://t.me/c/1347456995/38976" TargetMode="External"/><Relationship Id="rId4119" Type="http://schemas.openxmlformats.org/officeDocument/2006/relationships/hyperlink" Target="https://bellingcat-archive.nyc3.cdn.digitaloceanspaces.com/Ukraine_Witness_Datasheet/Worksheet/youtube_dl_1498279966588481540.mp4" TargetMode="External"/><Relationship Id="rId5449" Type="http://schemas.openxmlformats.org/officeDocument/2006/relationships/hyperlink" Target="https://twitter.com/UAWeapons/status/1499479184342757391/photo/2" TargetMode="External"/><Relationship Id="rId6770" Type="http://schemas.openxmlformats.org/officeDocument/2006/relationships/hyperlink" Target="https://twitter.com/trbrtc/status/1497364297038635015" TargetMode="External"/><Relationship Id="rId4110" Type="http://schemas.openxmlformats.org/officeDocument/2006/relationships/hyperlink" Target="https://twitter.com/YWNReporter/status/1498283825985638400" TargetMode="External"/><Relationship Id="rId5442" Type="http://schemas.openxmlformats.org/officeDocument/2006/relationships/hyperlink" Target="https://bellingcat-archive.nyc3.cdn.digitaloceanspaces.com/Ukraine_Witness_Datasheet/Worksheet/youtube_dl__9ujP8WuRi6A19RU_status_14994849260261253182022-03-03T22:40:11.714879.png" TargetMode="External"/><Relationship Id="rId6773" Type="http://schemas.openxmlformats.org/officeDocument/2006/relationships/hyperlink" Target="https://bellingcat-archive.nyc3.cdn.digitaloceanspaces.com/Ukraine_Witness_Datasheet/Worksheet/youtube_dl_1497364297038635015/index.html" TargetMode="External"/><Relationship Id="rId5443" Type="http://schemas.openxmlformats.org/officeDocument/2006/relationships/hyperlink" Target="https://bellingcat-archive.nyc3.cdn.digitaloceanspaces.com/Ukraine_Witness_Datasheet/Worksheet/youtube_dl_1499484926026125318/index.html" TargetMode="External"/><Relationship Id="rId6774" Type="http://schemas.openxmlformats.org/officeDocument/2006/relationships/hyperlink" Target="https://twitter.com/666_mancer/status/1498013275891642372?s=20&amp;t=t9pbZJOmojsHcNJj5XbVhA" TargetMode="External"/><Relationship Id="rId4112" Type="http://schemas.openxmlformats.org/officeDocument/2006/relationships/hyperlink" Target="https://bellingcat-archive.nyc3.cdn.digitaloceanspaces.com/Ukraine_Witness_Datasheet/Worksheet/youtube_dl__YWNReporter_status_14982838259856384002022-02-28T14:31:58.613014.png" TargetMode="External"/><Relationship Id="rId5440" Type="http://schemas.openxmlformats.org/officeDocument/2006/relationships/hyperlink" Target="https://twitter.com/9ujP8WuRi6A19RU/status/1499484926026125318" TargetMode="External"/><Relationship Id="rId6771" Type="http://schemas.openxmlformats.org/officeDocument/2006/relationships/hyperlink" Target="https://bellingcat-archive.nyc3.cdn.digitaloceanspaces.com/Ukraine_Witness_Datasheet/Worksheet/youtube_dl_1497364297038635015.mp4" TargetMode="External"/><Relationship Id="rId4111" Type="http://schemas.openxmlformats.org/officeDocument/2006/relationships/hyperlink" Target="https://bellingcat-archive.nyc3.cdn.digitaloceanspaces.com/Ukraine_Witness_Datasheet/Worksheet/youtube_dl_1498283825985638400.mp4" TargetMode="External"/><Relationship Id="rId5441" Type="http://schemas.openxmlformats.org/officeDocument/2006/relationships/hyperlink" Target="https://bellingcat-archive.nyc3.cdn.digitaloceanspaces.com/Ukraine_Witness_Datasheet/Worksheet/youtube_dl_1499484926026125318.mp4" TargetMode="External"/><Relationship Id="rId6772" Type="http://schemas.openxmlformats.org/officeDocument/2006/relationships/hyperlink" Target="https://bellingcat-archive.nyc3.cdn.digitaloceanspaces.com/Ukraine_Witness_Datasheet/Worksheet/youtube_dl__trbrtc_status_14973642970386350152022-03-08T08:50:09.401450.png" TargetMode="External"/><Relationship Id="rId4114" Type="http://schemas.openxmlformats.org/officeDocument/2006/relationships/hyperlink" Target="https://twitter.com/Bacco110/status/1497782496347496452" TargetMode="External"/><Relationship Id="rId5446" Type="http://schemas.openxmlformats.org/officeDocument/2006/relationships/hyperlink" Target="https://bellingcat-archive.nyc3.cdn.digitaloceanspaces.com/Ukraine_Witness_Datasheet/Worksheet/youtube_dl_1499423856540409865.mp4" TargetMode="External"/><Relationship Id="rId6777" Type="http://schemas.openxmlformats.org/officeDocument/2006/relationships/hyperlink" Target="https://twitter.com/ralee85/status/1497817921711751168?s=21" TargetMode="External"/><Relationship Id="rId4113" Type="http://schemas.openxmlformats.org/officeDocument/2006/relationships/hyperlink" Target="https://bellingcat-archive.nyc3.cdn.digitaloceanspaces.com/Ukraine_Witness_Datasheet/Worksheet/youtube_dl_1498283825985638400/index.html" TargetMode="External"/><Relationship Id="rId5447" Type="http://schemas.openxmlformats.org/officeDocument/2006/relationships/hyperlink" Target="https://bellingcat-archive.nyc3.cdn.digitaloceanspaces.com/Ukraine_Witness_Datasheet/Worksheet/youtube_dl__CasusBellii_status_14994238565404098652022-03-03T23:15:11.007098.png" TargetMode="External"/><Relationship Id="rId6778" Type="http://schemas.openxmlformats.org/officeDocument/2006/relationships/hyperlink" Target="https://t.me/c/1347456995/38976" TargetMode="External"/><Relationship Id="rId4116" Type="http://schemas.openxmlformats.org/officeDocument/2006/relationships/hyperlink" Target="https://bellingcat-archive.nyc3.cdn.digitaloceanspaces.com/Ukraine_Witness_Datasheet/Worksheet/youtube_dl__Bacco110_status_14977824963474964522022-02-28T14:33:38.337702.png" TargetMode="External"/><Relationship Id="rId5444" Type="http://schemas.openxmlformats.org/officeDocument/2006/relationships/hyperlink" Target="https://twitter.com/CasusBellii/status/1499423856540409865" TargetMode="External"/><Relationship Id="rId6775" Type="http://schemas.openxmlformats.org/officeDocument/2006/relationships/hyperlink" Target="https://bellingcat-archive.nyc3.cdn.digitaloceanspaces.com/Ukraine_Witness_Datasheet/Worksheet/twitter__666_mancer_status_1498013275891642372.html" TargetMode="External"/><Relationship Id="rId4115" Type="http://schemas.openxmlformats.org/officeDocument/2006/relationships/hyperlink" Target="https://bellingcat-archive.nyc3.cdn.digitaloceanspaces.com/Ukraine_Witness_Datasheet/Worksheet/youtube_dl_1497782496347496452.mp4" TargetMode="External"/><Relationship Id="rId5445" Type="http://schemas.openxmlformats.org/officeDocument/2006/relationships/hyperlink" Target="https://twitter.com/CasusBellii/status/1499428549429714944" TargetMode="External"/><Relationship Id="rId6776" Type="http://schemas.openxmlformats.org/officeDocument/2006/relationships/hyperlink" Target="https://bellingcat-archive.nyc3.cdn.digitaloceanspaces.com/Ukraine_Witness_Datasheet/Worksheet/twitter__666_mancer_status_14980132758916423722022-03-08T08:50:25.715784.png" TargetMode="External"/><Relationship Id="rId5471" Type="http://schemas.openxmlformats.org/officeDocument/2006/relationships/hyperlink" Target="https://twitter.com/nexta_tv/status/1499679371635970049" TargetMode="External"/><Relationship Id="rId5472" Type="http://schemas.openxmlformats.org/officeDocument/2006/relationships/hyperlink" Target="https://bellingcat-archive.nyc3.cdn.digitaloceanspaces.com/Ukraine_Witness_Datasheet/Worksheet/twitter__nexta_tv_status_1499679371635970049.html" TargetMode="External"/><Relationship Id="rId4141" Type="http://schemas.openxmlformats.org/officeDocument/2006/relationships/hyperlink" Target="https://twitter.com/UAWeapons/status/1497651007752445954" TargetMode="External"/><Relationship Id="rId4140" Type="http://schemas.openxmlformats.org/officeDocument/2006/relationships/hyperlink" Target="https://bellingcat-archive.nyc3.cdn.digitaloceanspaces.com/Ukraine_Witness_Datasheet/Worksheet/youtube_dl_1498299997359587331/index.html" TargetMode="External"/><Relationship Id="rId5470" Type="http://schemas.openxmlformats.org/officeDocument/2006/relationships/hyperlink" Target="https://bellingcat-archive.nyc3.cdn.digitaloceanspaces.com/Ukraine_Witness_Datasheet/Worksheet/twitter__nexta_tv_status_14996758925195223052022-03-04T09:45:11.836121.png" TargetMode="External"/><Relationship Id="rId4143" Type="http://schemas.openxmlformats.org/officeDocument/2006/relationships/hyperlink" Target="https://bellingcat-archive.nyc3.cdn.digitaloceanspaces.com/Ukraine_Witness_Datasheet/Worksheet/youtube_dl__UAWeapons_status_14976510077524459542022-02-28T15:32:30.228029.png" TargetMode="External"/><Relationship Id="rId5475" Type="http://schemas.openxmlformats.org/officeDocument/2006/relationships/hyperlink" Target="https://bellingcat-archive.nyc3.cdn.digitaloceanspaces.com/Ukraine_Witness_Datasheet/Worksheet/youtube_dl_1499675601346641922.mp4" TargetMode="External"/><Relationship Id="rId4142" Type="http://schemas.openxmlformats.org/officeDocument/2006/relationships/hyperlink" Target="https://bellingcat-archive.nyc3.cdn.digitaloceanspaces.com/Ukraine_Witness_Datasheet/Worksheet/youtube_dl_1497651007752445954.mp4" TargetMode="External"/><Relationship Id="rId5476" Type="http://schemas.openxmlformats.org/officeDocument/2006/relationships/hyperlink" Target="https://bellingcat-archive.nyc3.cdn.digitaloceanspaces.com/Ukraine_Witness_Datasheet/Worksheet/youtube_dl__no_itsmyturn_status_14996756013466419222022-03-04T10:00:14.215640.png" TargetMode="External"/><Relationship Id="rId4145" Type="http://schemas.openxmlformats.org/officeDocument/2006/relationships/hyperlink" Target="https://twitter.com/worldonalert/status/1498314971398213633?s=20&amp;t=wIDgC7FK45IH7aIBwjf-wQ" TargetMode="External"/><Relationship Id="rId5473" Type="http://schemas.openxmlformats.org/officeDocument/2006/relationships/hyperlink" Target="https://bellingcat-archive.nyc3.cdn.digitaloceanspaces.com/Ukraine_Witness_Datasheet/Worksheet/twitter__nexta_tv_status_14996793716359700492022-03-04T09:56:59.182246.png" TargetMode="External"/><Relationship Id="rId4144" Type="http://schemas.openxmlformats.org/officeDocument/2006/relationships/hyperlink" Target="https://bellingcat-archive.nyc3.cdn.digitaloceanspaces.com/Ukraine_Witness_Datasheet/Worksheet/youtube_dl_1497651007752445954/index.html" TargetMode="External"/><Relationship Id="rId5474" Type="http://schemas.openxmlformats.org/officeDocument/2006/relationships/hyperlink" Target="https://twitter.com/no_itsmyturn/status/1499675601346641922" TargetMode="External"/><Relationship Id="rId4147" Type="http://schemas.openxmlformats.org/officeDocument/2006/relationships/hyperlink" Target="https://bellingcat-archive.nyc3.cdn.digitaloceanspaces.com/Ukraine_Witness_Datasheet/Worksheet/youtube_dl__worldonalert_status_14983149713982136332022-02-28T15:33:50.384298.png" TargetMode="External"/><Relationship Id="rId5479" Type="http://schemas.openxmlformats.org/officeDocument/2006/relationships/hyperlink" Target="https://bellingcat-archive.nyc3.cdn.digitaloceanspaces.com/Ukraine_Witness_Datasheet/Worksheet/twitter__nexta_tv_status_1499664726002970627.html" TargetMode="External"/><Relationship Id="rId4146" Type="http://schemas.openxmlformats.org/officeDocument/2006/relationships/hyperlink" Target="https://bellingcat-archive.nyc3.cdn.digitaloceanspaces.com/Ukraine_Witness_Datasheet/Worksheet/youtube_dl_1498314971398213633.mp4" TargetMode="External"/><Relationship Id="rId4149" Type="http://schemas.openxmlformats.org/officeDocument/2006/relationships/hyperlink" Target="https://twitter.com/dmitryakhatov/status/1498286694465949696" TargetMode="External"/><Relationship Id="rId5477" Type="http://schemas.openxmlformats.org/officeDocument/2006/relationships/hyperlink" Target="https://bellingcat-archive.nyc3.cdn.digitaloceanspaces.com/Ukraine_Witness_Datasheet/Worksheet/youtube_dl_1499675601346641922/index.html" TargetMode="External"/><Relationship Id="rId4148" Type="http://schemas.openxmlformats.org/officeDocument/2006/relationships/hyperlink" Target="https://bellingcat-archive.nyc3.cdn.digitaloceanspaces.com/Ukraine_Witness_Datasheet/Worksheet/youtube_dl_1498314971398213633/index.html" TargetMode="External"/><Relationship Id="rId5478" Type="http://schemas.openxmlformats.org/officeDocument/2006/relationships/hyperlink" Target="https://twitter.com/nexta_tv/status/1499664726002970627" TargetMode="External"/><Relationship Id="rId4139" Type="http://schemas.openxmlformats.org/officeDocument/2006/relationships/hyperlink" Target="https://bellingcat-archive.nyc3.cdn.digitaloceanspaces.com/Ukraine_Witness_Datasheet/Worksheet/youtube_dl__michaelh992_status_14982999973595873312022-02-28T15:32:07.497079.png" TargetMode="External"/><Relationship Id="rId5460" Type="http://schemas.openxmlformats.org/officeDocument/2006/relationships/hyperlink" Target="https://t.me/voynareal/12352" TargetMode="External"/><Relationship Id="rId6791" Type="http://schemas.openxmlformats.org/officeDocument/2006/relationships/hyperlink" Target="https://bellingcat-archive.nyc3.cdn.digitaloceanspaces.com/Ukraine_Witness_Datasheet/Worksheet/telegram__truexanewsua_247732022-03-08T08:53:41.183763.png" TargetMode="External"/><Relationship Id="rId5461" Type="http://schemas.openxmlformats.org/officeDocument/2006/relationships/hyperlink" Target="https://bellingcat-archive.nyc3.cdn.digitaloceanspaces.com/Ukraine_Witness_Datasheet/Worksheet/telegram_106bb7b9bb.mp4" TargetMode="External"/><Relationship Id="rId6792" Type="http://schemas.openxmlformats.org/officeDocument/2006/relationships/hyperlink" Target="https://t.me/truexanewsua/25031" TargetMode="External"/><Relationship Id="rId4130" Type="http://schemas.openxmlformats.org/officeDocument/2006/relationships/hyperlink" Target="https://bellingcat-archive.nyc3.cdn.digitaloceanspaces.com/Ukraine_Witness_Datasheet/Worksheet/twitter__ostapcsms_status_1498292085832790020.html" TargetMode="External"/><Relationship Id="rId6790" Type="http://schemas.openxmlformats.org/officeDocument/2006/relationships/hyperlink" Target="https://bellingcat-archive.nyc3.cdn.digitaloceanspaces.com/Ukraine_Witness_Datasheet/Worksheet/telegram__truexanewsua_24773.html" TargetMode="External"/><Relationship Id="rId4132" Type="http://schemas.openxmlformats.org/officeDocument/2006/relationships/hyperlink" Target="https://twitter.com/Liveuamap/status/1498249640021528582?s=20&amp;t=G6vPQRweptCgBGsmYJjEpQ" TargetMode="External"/><Relationship Id="rId5464" Type="http://schemas.openxmlformats.org/officeDocument/2006/relationships/hyperlink" Target="https://t.me/voynareal/12352" TargetMode="External"/><Relationship Id="rId6795" Type="http://schemas.openxmlformats.org/officeDocument/2006/relationships/hyperlink" Target="https://t.me/truexanewsua/24856" TargetMode="External"/><Relationship Id="rId4131" Type="http://schemas.openxmlformats.org/officeDocument/2006/relationships/hyperlink" Target="https://bellingcat-archive.nyc3.cdn.digitaloceanspaces.com/Ukraine_Witness_Datasheet/Worksheet/twitter__ostapcsms_status_14982920858327900202022-02-28T15:31:21.170415.png" TargetMode="External"/><Relationship Id="rId5465" Type="http://schemas.openxmlformats.org/officeDocument/2006/relationships/hyperlink" Target="https://twitter.com/golub/status/1499677165415247874" TargetMode="External"/><Relationship Id="rId6796" Type="http://schemas.openxmlformats.org/officeDocument/2006/relationships/hyperlink" Target="https://bellingcat-archive.nyc3.cdn.digitaloceanspaces.com/Ukraine_Witness_Datasheet/Worksheet/telegram_91f03468f2.mp4" TargetMode="External"/><Relationship Id="rId4134" Type="http://schemas.openxmlformats.org/officeDocument/2006/relationships/hyperlink" Target="https://bellingcat-archive.nyc3.cdn.digitaloceanspaces.com/Ukraine_Witness_Datasheet/Worksheet/youtube_dl__Liveuamap_status_14982496400215285822022-02-28T15:31:37.696267.png" TargetMode="External"/><Relationship Id="rId5462" Type="http://schemas.openxmlformats.org/officeDocument/2006/relationships/hyperlink" Target="https://bellingcat-archive.nyc3.cdn.digitaloceanspaces.com/Ukraine_Witness_Datasheet/Worksheet/telegram__voynareal_123522022-03-04T08:55:09.267574.png" TargetMode="External"/><Relationship Id="rId6793" Type="http://schemas.openxmlformats.org/officeDocument/2006/relationships/hyperlink" Target="https://bellingcat-archive.nyc3.cdn.digitaloceanspaces.com/Ukraine_Witness_Datasheet/Worksheet/telegram__truexanewsua_25031.html" TargetMode="External"/><Relationship Id="rId4133" Type="http://schemas.openxmlformats.org/officeDocument/2006/relationships/hyperlink" Target="https://bellingcat-archive.nyc3.cdn.digitaloceanspaces.com/Ukraine_Witness_Datasheet/Worksheet/youtube_dl_1498249640021528582.mp4" TargetMode="External"/><Relationship Id="rId5463" Type="http://schemas.openxmlformats.org/officeDocument/2006/relationships/hyperlink" Target="https://bellingcat-archive.nyc3.cdn.digitaloceanspaces.com/Ukraine_Witness_Datasheet/Worksheet/telegram_106bb7b9bb/index.html" TargetMode="External"/><Relationship Id="rId6794" Type="http://schemas.openxmlformats.org/officeDocument/2006/relationships/hyperlink" Target="https://bellingcat-archive.nyc3.cdn.digitaloceanspaces.com/Ukraine_Witness_Datasheet/Worksheet/telegram__truexanewsua_250312022-03-08T08:53:50.692099.png" TargetMode="External"/><Relationship Id="rId4136" Type="http://schemas.openxmlformats.org/officeDocument/2006/relationships/hyperlink" Target="https://twitter.com/michaelh992/status/1498299997359587331" TargetMode="External"/><Relationship Id="rId5468" Type="http://schemas.openxmlformats.org/officeDocument/2006/relationships/hyperlink" Target="https://twitter.com/nexta_tv/status/1499675892519522305" TargetMode="External"/><Relationship Id="rId6799" Type="http://schemas.openxmlformats.org/officeDocument/2006/relationships/hyperlink" Target="https://t.me/truexanewsua/24856" TargetMode="External"/><Relationship Id="rId4135" Type="http://schemas.openxmlformats.org/officeDocument/2006/relationships/hyperlink" Target="https://bellingcat-archive.nyc3.cdn.digitaloceanspaces.com/Ukraine_Witness_Datasheet/Worksheet/youtube_dl_1498249640021528582/index.html" TargetMode="External"/><Relationship Id="rId5469" Type="http://schemas.openxmlformats.org/officeDocument/2006/relationships/hyperlink" Target="https://bellingcat-archive.nyc3.cdn.digitaloceanspaces.com/Ukraine_Witness_Datasheet/Worksheet/twitter__nexta_tv_status_1499675892519522305.html" TargetMode="External"/><Relationship Id="rId4138" Type="http://schemas.openxmlformats.org/officeDocument/2006/relationships/hyperlink" Target="https://bellingcat-archive.nyc3.cdn.digitaloceanspaces.com/Ukraine_Witness_Datasheet/Worksheet/youtube_dl_1498299997359587331.mp4" TargetMode="External"/><Relationship Id="rId5466" Type="http://schemas.openxmlformats.org/officeDocument/2006/relationships/hyperlink" Target="https://bellingcat-archive.nyc3.cdn.digitaloceanspaces.com/Ukraine_Witness_Datasheet/Worksheet/twitter__golub_status_1499677165415247874.html" TargetMode="External"/><Relationship Id="rId6797" Type="http://schemas.openxmlformats.org/officeDocument/2006/relationships/hyperlink" Target="https://bellingcat-archive.nyc3.cdn.digitaloceanspaces.com/Ukraine_Witness_Datasheet/Worksheet/telegram__truexanewsua_248562022-03-08T08:54:03.343625.png" TargetMode="External"/><Relationship Id="rId4137" Type="http://schemas.openxmlformats.org/officeDocument/2006/relationships/hyperlink" Target="https://twitter.com/michaelh992/status/1498300078074871809" TargetMode="External"/><Relationship Id="rId5467" Type="http://schemas.openxmlformats.org/officeDocument/2006/relationships/hyperlink" Target="https://bellingcat-archive.nyc3.cdn.digitaloceanspaces.com/Ukraine_Witness_Datasheet/Worksheet/twitter__golub_status_14996771654152478742022-03-04T09:30:11.440821.png" TargetMode="External"/><Relationship Id="rId6798" Type="http://schemas.openxmlformats.org/officeDocument/2006/relationships/hyperlink" Target="https://bellingcat-archive.nyc3.cdn.digitaloceanspaces.com/Ukraine_Witness_Datasheet/Worksheet/telegram_91f03468f2/index.html" TargetMode="External"/><Relationship Id="rId1972" Type="http://schemas.openxmlformats.org/officeDocument/2006/relationships/hyperlink" Target="https://twitter.com/GirkinGirkin/status/1495393293890371584" TargetMode="External"/><Relationship Id="rId1973" Type="http://schemas.openxmlformats.org/officeDocument/2006/relationships/hyperlink" Target="https://twitter.com/gfusfus/status/1495417103276548101" TargetMode="External"/><Relationship Id="rId1974" Type="http://schemas.openxmlformats.org/officeDocument/2006/relationships/hyperlink" Target="https://bellingcat-archive.nyc3.cdn.digitaloceanspaces.com/Ukraine_Witness_Datasheet/Worksheet/youtube_dl_1495393293890371584.mp4" TargetMode="External"/><Relationship Id="rId1975" Type="http://schemas.openxmlformats.org/officeDocument/2006/relationships/hyperlink" Target="https://bellingcat-archive.nyc3.cdn.digitaloceanspaces.com/Ukraine_Witness_Datasheet/Worksheet/youtube_dl__GirkinGirkin_status_14953932938903715842022-02-25T13:41:32.823406.png" TargetMode="External"/><Relationship Id="rId1976" Type="http://schemas.openxmlformats.org/officeDocument/2006/relationships/hyperlink" Target="https://bellingcat-archive.nyc3.cdn.digitaloceanspaces.com/Ukraine_Witness_Datasheet/Worksheet/youtube_dl_1495393293890371584/index.html" TargetMode="External"/><Relationship Id="rId1977" Type="http://schemas.openxmlformats.org/officeDocument/2006/relationships/hyperlink" Target="https://twitter.com/GirkinGirkin/status/1495463432790941701" TargetMode="External"/><Relationship Id="rId1978" Type="http://schemas.openxmlformats.org/officeDocument/2006/relationships/hyperlink" Target="https://twitter.com/gfusfus/status/1495471651282198530" TargetMode="External"/><Relationship Id="rId1979" Type="http://schemas.openxmlformats.org/officeDocument/2006/relationships/hyperlink" Target="https://bellingcat-archive.nyc3.cdn.digitaloceanspaces.com/Ukraine_Witness_Datasheet/Worksheet/youtube_dl_1495463432790941701.mp4" TargetMode="External"/><Relationship Id="rId1970" Type="http://schemas.openxmlformats.org/officeDocument/2006/relationships/hyperlink" Target="https://bellingcat-archive.nyc3.cdn.digitaloceanspaces.com/Ukraine_Witness_Datasheet/Worksheet/youtube_dl__GirkinGirkin_status_14953926088599633952022-02-25T13:41:50.392484.png" TargetMode="External"/><Relationship Id="rId1971" Type="http://schemas.openxmlformats.org/officeDocument/2006/relationships/hyperlink" Target="https://bellingcat-archive.nyc3.cdn.digitaloceanspaces.com/Ukraine_Witness_Datasheet/Worksheet/youtube_dl_1495392608859963395/index.html" TargetMode="External"/><Relationship Id="rId1961" Type="http://schemas.openxmlformats.org/officeDocument/2006/relationships/hyperlink" Target="https://bellingcat-archive.nyc3.cdn.digitaloceanspaces.com/Ukraine_Witness_Datasheet/Worksheet/youtube_dl_1495130617851392004/index.html" TargetMode="External"/><Relationship Id="rId1962" Type="http://schemas.openxmlformats.org/officeDocument/2006/relationships/hyperlink" Target="https://twitter.com/GirkinGirkin/status/1495398896973107205" TargetMode="External"/><Relationship Id="rId1963" Type="http://schemas.openxmlformats.org/officeDocument/2006/relationships/hyperlink" Target="https://twitter.com/gfusfus/status/1495402759247511555" TargetMode="External"/><Relationship Id="rId1964" Type="http://schemas.openxmlformats.org/officeDocument/2006/relationships/hyperlink" Target="https://bellingcat-archive.nyc3.cdn.digitaloceanspaces.com/Ukraine_Witness_Datasheet/Worksheet/youtube_dl_1495398896973107205.mp4" TargetMode="External"/><Relationship Id="rId1965" Type="http://schemas.openxmlformats.org/officeDocument/2006/relationships/hyperlink" Target="https://bellingcat-archive.nyc3.cdn.digitaloceanspaces.com/Ukraine_Witness_Datasheet/Worksheet/youtube_dl__GirkinGirkin_status_14953988969731072052022-02-25T13:42:14.526830.png" TargetMode="External"/><Relationship Id="rId1966" Type="http://schemas.openxmlformats.org/officeDocument/2006/relationships/hyperlink" Target="https://bellingcat-archive.nyc3.cdn.digitaloceanspaces.com/Ukraine_Witness_Datasheet/Worksheet/youtube_dl_1495398896973107205/index.html" TargetMode="External"/><Relationship Id="rId1967" Type="http://schemas.openxmlformats.org/officeDocument/2006/relationships/hyperlink" Target="https://twitter.com/GirkinGirkin/status/1495392608859963395" TargetMode="External"/><Relationship Id="rId1968" Type="http://schemas.openxmlformats.org/officeDocument/2006/relationships/hyperlink" Target="https://twitter.com/gfusfus/status/1495413643311202306" TargetMode="External"/><Relationship Id="rId1969" Type="http://schemas.openxmlformats.org/officeDocument/2006/relationships/hyperlink" Target="https://bellingcat-archive.nyc3.cdn.digitaloceanspaces.com/Ukraine_Witness_Datasheet/Worksheet/youtube_dl_1495392608859963395.mp4" TargetMode="External"/><Relationship Id="rId1960" Type="http://schemas.openxmlformats.org/officeDocument/2006/relationships/hyperlink" Target="https://bellingcat-archive.nyc3.cdn.digitaloceanspaces.com/Ukraine_Witness_Datasheet/Worksheet/youtube_dl__GirkinGirkin_status_14951306178513920042022-02-25T13:42:35.908130.png" TargetMode="External"/><Relationship Id="rId1994" Type="http://schemas.openxmlformats.org/officeDocument/2006/relationships/hyperlink" Target="https://bellingcat-archive.nyc3.cdn.digitaloceanspaces.com/Ukraine_Witness_Datasheet/Worksheet/youtube_dl__MotolkoHelp_status_14953697334613975142022-02-25T13:40:09.753473.png" TargetMode="External"/><Relationship Id="rId1995" Type="http://schemas.openxmlformats.org/officeDocument/2006/relationships/hyperlink" Target="https://bellingcat-archive.nyc3.cdn.digitaloceanspaces.com/Ukraine_Witness_Datasheet/Worksheet/youtube_dl_1495369733461397514/index.html" TargetMode="External"/><Relationship Id="rId1996" Type="http://schemas.openxmlformats.org/officeDocument/2006/relationships/hyperlink" Target="https://twitter.com/GirkinGirkin/status/1495472823824957440" TargetMode="External"/><Relationship Id="rId1997" Type="http://schemas.openxmlformats.org/officeDocument/2006/relationships/hyperlink" Target="https://twitter.com/ohsendit/status/1495482836610125828" TargetMode="External"/><Relationship Id="rId1998" Type="http://schemas.openxmlformats.org/officeDocument/2006/relationships/hyperlink" Target="https://bellingcat-archive.nyc3.cdn.digitaloceanspaces.com/Ukraine_Witness_Datasheet/Worksheet/youtube_dl_1495472823824957440.mp4" TargetMode="External"/><Relationship Id="rId1999" Type="http://schemas.openxmlformats.org/officeDocument/2006/relationships/hyperlink" Target="https://bellingcat-archive.nyc3.cdn.digitaloceanspaces.com/Ukraine_Witness_Datasheet/Worksheet/youtube_dl__GirkinGirkin_status_14954728238249574402022-02-25T13:39:50.291136.png" TargetMode="External"/><Relationship Id="rId1990" Type="http://schemas.openxmlformats.org/officeDocument/2006/relationships/hyperlink" Target="https://bellingcat-archive.nyc3.cdn.digitaloceanspaces.com/Ukraine_Witness_Datasheet/Worksheet/youtube_dl_1495479787007234048/index.html" TargetMode="External"/><Relationship Id="rId1991" Type="http://schemas.openxmlformats.org/officeDocument/2006/relationships/hyperlink" Target="https://twitter.com/MotolkoHelp/status/1495369733461397514" TargetMode="External"/><Relationship Id="rId1992" Type="http://schemas.openxmlformats.org/officeDocument/2006/relationships/hyperlink" Target="https://twitter.com/danvan71/status/1495533648724078595" TargetMode="External"/><Relationship Id="rId1993" Type="http://schemas.openxmlformats.org/officeDocument/2006/relationships/hyperlink" Target="https://bellingcat-archive.nyc3.cdn.digitaloceanspaces.com/Ukraine_Witness_Datasheet/Worksheet/youtube_dl_1495369733461397514.mp4" TargetMode="External"/><Relationship Id="rId1983" Type="http://schemas.openxmlformats.org/officeDocument/2006/relationships/hyperlink" Target="https://bellingcat-archive.nyc3.cdn.digitaloceanspaces.com/Ukraine_Witness_Datasheet/Worksheet/youtube_dl_1495482636533391370.mp4" TargetMode="External"/><Relationship Id="rId1984" Type="http://schemas.openxmlformats.org/officeDocument/2006/relationships/hyperlink" Target="https://bellingcat-archive.nyc3.cdn.digitaloceanspaces.com/Ukraine_Witness_Datasheet/Worksheet/youtube_dl__GirkinGirkin_status_14954826365333913702022-02-25T13:40:55.544880.png" TargetMode="External"/><Relationship Id="rId1985" Type="http://schemas.openxmlformats.org/officeDocument/2006/relationships/hyperlink" Target="https://bellingcat-archive.nyc3.cdn.digitaloceanspaces.com/Ukraine_Witness_Datasheet/Worksheet/youtube_dl_1495482636533391370/index.html" TargetMode="External"/><Relationship Id="rId1986" Type="http://schemas.openxmlformats.org/officeDocument/2006/relationships/hyperlink" Target="https://twitter.com/GirkinGirkin/status/1495479787007234048" TargetMode="External"/><Relationship Id="rId1987" Type="http://schemas.openxmlformats.org/officeDocument/2006/relationships/hyperlink" Target="https://twitter.com/gfusfus/status/1495493346885881857" TargetMode="External"/><Relationship Id="rId1988" Type="http://schemas.openxmlformats.org/officeDocument/2006/relationships/hyperlink" Target="https://bellingcat-archive.nyc3.cdn.digitaloceanspaces.com/Ukraine_Witness_Datasheet/Worksheet/youtube_dl_1495479787007234048.mp4" TargetMode="External"/><Relationship Id="rId1989" Type="http://schemas.openxmlformats.org/officeDocument/2006/relationships/hyperlink" Target="https://bellingcat-archive.nyc3.cdn.digitaloceanspaces.com/Ukraine_Witness_Datasheet/Worksheet/youtube_dl__GirkinGirkin_status_14954797870072340482022-02-25T13:40:29.722865.png" TargetMode="External"/><Relationship Id="rId1980" Type="http://schemas.openxmlformats.org/officeDocument/2006/relationships/hyperlink" Target="https://bellingcat-archive.nyc3.cdn.digitaloceanspaces.com/Ukraine_Witness_Datasheet/Worksheet/youtube_dl__GirkinGirkin_status_14954634327909417012022-02-25T13:41:16.269758.png" TargetMode="External"/><Relationship Id="rId1981" Type="http://schemas.openxmlformats.org/officeDocument/2006/relationships/hyperlink" Target="https://bellingcat-archive.nyc3.cdn.digitaloceanspaces.com/Ukraine_Witness_Datasheet/Worksheet/youtube_dl_1495463432790941701/index.html" TargetMode="External"/><Relationship Id="rId1982" Type="http://schemas.openxmlformats.org/officeDocument/2006/relationships/hyperlink" Target="https://twitter.com/GirkinGirkin/status/1495482636533391370" TargetMode="External"/><Relationship Id="rId1930" Type="http://schemas.openxmlformats.org/officeDocument/2006/relationships/hyperlink" Target="https://twitter.com/4emberlen/status/1495357694294777864" TargetMode="External"/><Relationship Id="rId1931" Type="http://schemas.openxmlformats.org/officeDocument/2006/relationships/hyperlink" Target="https://bellingcat-archive.nyc3.cdn.digitaloceanspaces.com/Ukraine_Witness_Datasheet/Worksheet/youtube_dl_1495357694294777864.mp4" TargetMode="External"/><Relationship Id="rId1932" Type="http://schemas.openxmlformats.org/officeDocument/2006/relationships/hyperlink" Target="https://bellingcat-archive.nyc3.cdn.digitaloceanspaces.com/Ukraine_Witness_Datasheet/Worksheet/youtube_dl__4emberlen_status_14953576942947778642022-02-25T13:45:38.034282.png" TargetMode="External"/><Relationship Id="rId1933" Type="http://schemas.openxmlformats.org/officeDocument/2006/relationships/hyperlink" Target="https://bellingcat-archive.nyc3.cdn.digitaloceanspaces.com/Ukraine_Witness_Datasheet/Worksheet/youtube_dl_1495357694294777864/index.html" TargetMode="External"/><Relationship Id="rId1934" Type="http://schemas.openxmlformats.org/officeDocument/2006/relationships/hyperlink" Target="https://twitter.com/4emberlen/status/1495365726869327877" TargetMode="External"/><Relationship Id="rId1935" Type="http://schemas.openxmlformats.org/officeDocument/2006/relationships/hyperlink" Target="https://twitter.com/4emberlen/status/1495365795249070084" TargetMode="External"/><Relationship Id="rId1936" Type="http://schemas.openxmlformats.org/officeDocument/2006/relationships/hyperlink" Target="https://bellingcat-archive.nyc3.cdn.digitaloceanspaces.com/Ukraine_Witness_Datasheet/Worksheet/youtube_dl_1495365726869327877.mp4" TargetMode="External"/><Relationship Id="rId1937" Type="http://schemas.openxmlformats.org/officeDocument/2006/relationships/hyperlink" Target="https://bellingcat-archive.nyc3.cdn.digitaloceanspaces.com/Ukraine_Witness_Datasheet/Worksheet/youtube_dl__4emberlen_status_14953657268693278772022-02-25T13:45:20.296067.png" TargetMode="External"/><Relationship Id="rId1938" Type="http://schemas.openxmlformats.org/officeDocument/2006/relationships/hyperlink" Target="https://bellingcat-archive.nyc3.cdn.digitaloceanspaces.com/Ukraine_Witness_Datasheet/Worksheet/youtube_dl_1495365726869327877/index.html" TargetMode="External"/><Relationship Id="rId1939" Type="http://schemas.openxmlformats.org/officeDocument/2006/relationships/hyperlink" Target="https://twitter.com/4emberlen/status/1495370167030882304" TargetMode="External"/><Relationship Id="rId1920" Type="http://schemas.openxmlformats.org/officeDocument/2006/relationships/hyperlink" Target="https://twitter.com/4emberlen/status/1495316374553612289" TargetMode="External"/><Relationship Id="rId1921" Type="http://schemas.openxmlformats.org/officeDocument/2006/relationships/hyperlink" Target="https://twitter.com/4emberlen/status/1495316464756314116" TargetMode="External"/><Relationship Id="rId1922" Type="http://schemas.openxmlformats.org/officeDocument/2006/relationships/hyperlink" Target="https://bellingcat-archive.nyc3.cdn.digitaloceanspaces.com/Ukraine_Witness_Datasheet/Worksheet/youtube_dl_1495316374553612289.mp4" TargetMode="External"/><Relationship Id="rId1923" Type="http://schemas.openxmlformats.org/officeDocument/2006/relationships/hyperlink" Target="https://bellingcat-archive.nyc3.cdn.digitaloceanspaces.com/Ukraine_Witness_Datasheet/Worksheet/youtube_dl__4emberlen_status_14953163745536122892022-02-25T13:46:26.417138.png" TargetMode="External"/><Relationship Id="rId1924" Type="http://schemas.openxmlformats.org/officeDocument/2006/relationships/hyperlink" Target="https://bellingcat-archive.nyc3.cdn.digitaloceanspaces.com/Ukraine_Witness_Datasheet/Worksheet/youtube_dl_1495316374553612289/index.html" TargetMode="External"/><Relationship Id="rId1925" Type="http://schemas.openxmlformats.org/officeDocument/2006/relationships/hyperlink" Target="https://twitter.com/MotolkoHelp/status/1494998947387084810" TargetMode="External"/><Relationship Id="rId1926" Type="http://schemas.openxmlformats.org/officeDocument/2006/relationships/hyperlink" Target="https://twitter.com/danvan71/status/1495002460355796997" TargetMode="External"/><Relationship Id="rId1927" Type="http://schemas.openxmlformats.org/officeDocument/2006/relationships/hyperlink" Target="https://bellingcat-archive.nyc3.cdn.digitaloceanspaces.com/Ukraine_Witness_Datasheet/Worksheet/youtube_dl_1494998947387084810.mp4" TargetMode="External"/><Relationship Id="rId1928" Type="http://schemas.openxmlformats.org/officeDocument/2006/relationships/hyperlink" Target="https://bellingcat-archive.nyc3.cdn.digitaloceanspaces.com/Ukraine_Witness_Datasheet/Worksheet/youtube_dl__MotolkoHelp_status_14949989473870848102022-02-25T13:46:06.186079.png" TargetMode="External"/><Relationship Id="rId1929" Type="http://schemas.openxmlformats.org/officeDocument/2006/relationships/hyperlink" Target="https://bellingcat-archive.nyc3.cdn.digitaloceanspaces.com/Ukraine_Witness_Datasheet/Worksheet/youtube_dl_1494998947387084810/index.html" TargetMode="External"/><Relationship Id="rId4190" Type="http://schemas.openxmlformats.org/officeDocument/2006/relationships/hyperlink" Target="https://bellingcat-archive.nyc3.cdn.digitaloceanspaces.com/Ukraine_Witness_Datasheet/Worksheet/youtube_dl_1498255416203087872.mp4" TargetMode="External"/><Relationship Id="rId4192" Type="http://schemas.openxmlformats.org/officeDocument/2006/relationships/hyperlink" Target="https://bellingcat-archive.nyc3.cdn.digitaloceanspaces.com/Ukraine_Witness_Datasheet/Worksheet/youtube_dl_1498255416203087872/index.html" TargetMode="External"/><Relationship Id="rId4191" Type="http://schemas.openxmlformats.org/officeDocument/2006/relationships/hyperlink" Target="https://bellingcat-archive.nyc3.cdn.digitaloceanspaces.com/Ukraine_Witness_Datasheet/Worksheet/youtube_dl__RALee85_status_14982554162030878722022-03-01T06:55:17.369718.png" TargetMode="External"/><Relationship Id="rId4194" Type="http://schemas.openxmlformats.org/officeDocument/2006/relationships/hyperlink" Target="https://bellingcat-archive.nyc3.cdn.digitaloceanspaces.com/Ukraine_Witness_Datasheet/Worksheet/youtube_dl_1498290252548616192.mp4" TargetMode="External"/><Relationship Id="rId4193" Type="http://schemas.openxmlformats.org/officeDocument/2006/relationships/hyperlink" Target="https://twitter.com/Militarylandnet/status/1498290252548616192?s=20&amp;t=Gq2irF641jjFGJPsEx6RWw" TargetMode="External"/><Relationship Id="rId4196" Type="http://schemas.openxmlformats.org/officeDocument/2006/relationships/hyperlink" Target="https://bellingcat-archive.nyc3.cdn.digitaloceanspaces.com/Ukraine_Witness_Datasheet/Worksheet/youtube_dl_1498290252548616192/index.html" TargetMode="External"/><Relationship Id="rId4195" Type="http://schemas.openxmlformats.org/officeDocument/2006/relationships/hyperlink" Target="https://bellingcat-archive.nyc3.cdn.digitaloceanspaces.com/Ukraine_Witness_Datasheet/Worksheet/youtube_dl__Militarylandnet_status_14982902525486161922022-03-01T06:55:36.879721.png" TargetMode="External"/><Relationship Id="rId4198" Type="http://schemas.openxmlformats.org/officeDocument/2006/relationships/hyperlink" Target="https://bellingcat-archive.nyc3.cdn.digitaloceanspaces.com/Ukraine_Witness_Datasheet/Worksheet/telegram__WarLife_7715.html" TargetMode="External"/><Relationship Id="rId4197" Type="http://schemas.openxmlformats.org/officeDocument/2006/relationships/hyperlink" Target="https://t.me/WarLife/7715" TargetMode="External"/><Relationship Id="rId4199" Type="http://schemas.openxmlformats.org/officeDocument/2006/relationships/hyperlink" Target="https://bellingcat-archive.nyc3.cdn.digitaloceanspaces.com/Ukraine_Witness_Datasheet/Worksheet/telegram__WarLife_77152022-03-01T06:55:48.581290.png" TargetMode="External"/><Relationship Id="rId1950" Type="http://schemas.openxmlformats.org/officeDocument/2006/relationships/hyperlink" Target="https://bellingcat-archive.nyc3.cdn.digitaloceanspaces.com/Ukraine_Witness_Datasheet/Worksheet/youtube_dl__GirkinGirkin_status_14954626832184279142022-02-25T13:43:11.721028.png" TargetMode="External"/><Relationship Id="rId1951" Type="http://schemas.openxmlformats.org/officeDocument/2006/relationships/hyperlink" Target="https://bellingcat-archive.nyc3.cdn.digitaloceanspaces.com/Ukraine_Witness_Datasheet/Worksheet/youtube_dl_1495462683218427914/index.html" TargetMode="External"/><Relationship Id="rId1952" Type="http://schemas.openxmlformats.org/officeDocument/2006/relationships/hyperlink" Target="https://twitter.com/GirkinGirkin/status/1495276351242317832" TargetMode="External"/><Relationship Id="rId1953" Type="http://schemas.openxmlformats.org/officeDocument/2006/relationships/hyperlink" Target="https://twitter.com/cdrsalamander/status/1495455979307413505" TargetMode="External"/><Relationship Id="rId1954" Type="http://schemas.openxmlformats.org/officeDocument/2006/relationships/hyperlink" Target="https://bellingcat-archive.nyc3.cdn.digitaloceanspaces.com/Ukraine_Witness_Datasheet/Worksheet/youtube_dl_1495276351242317832.mp4" TargetMode="External"/><Relationship Id="rId1955" Type="http://schemas.openxmlformats.org/officeDocument/2006/relationships/hyperlink" Target="https://bellingcat-archive.nyc3.cdn.digitaloceanspaces.com/Ukraine_Witness_Datasheet/Worksheet/youtube_dl__GirkinGirkin_status_14952763512423178322022-02-25T13:42:54.956298.png" TargetMode="External"/><Relationship Id="rId1956" Type="http://schemas.openxmlformats.org/officeDocument/2006/relationships/hyperlink" Target="https://bellingcat-archive.nyc3.cdn.digitaloceanspaces.com/Ukraine_Witness_Datasheet/Worksheet/youtube_dl_1495276351242317832/index.html" TargetMode="External"/><Relationship Id="rId1957" Type="http://schemas.openxmlformats.org/officeDocument/2006/relationships/hyperlink" Target="https://twitter.com/GirkinGirkin/status/1495130617851392004" TargetMode="External"/><Relationship Id="rId1958" Type="http://schemas.openxmlformats.org/officeDocument/2006/relationships/hyperlink" Target="https://twitter.com/gfusfus/status/1495164060182142978" TargetMode="External"/><Relationship Id="rId1959" Type="http://schemas.openxmlformats.org/officeDocument/2006/relationships/hyperlink" Target="https://bellingcat-archive.nyc3.cdn.digitaloceanspaces.com/Ukraine_Witness_Datasheet/Worksheet/youtube_dl_1495130617851392004.mp4" TargetMode="External"/><Relationship Id="rId1940" Type="http://schemas.openxmlformats.org/officeDocument/2006/relationships/hyperlink" Target="https://bellingcat-archive.nyc3.cdn.digitaloceanspaces.com/Ukraine_Witness_Datasheet/Worksheet/youtube_dl_1495370167030882304.mp4" TargetMode="External"/><Relationship Id="rId1941" Type="http://schemas.openxmlformats.org/officeDocument/2006/relationships/hyperlink" Target="https://bellingcat-archive.nyc3.cdn.digitaloceanspaces.com/Ukraine_Witness_Datasheet/Worksheet/youtube_dl__4emberlen_status_14953701670308823042022-02-25T13:45:03.337278.png" TargetMode="External"/><Relationship Id="rId1942" Type="http://schemas.openxmlformats.org/officeDocument/2006/relationships/hyperlink" Target="https://bellingcat-archive.nyc3.cdn.digitaloceanspaces.com/Ukraine_Witness_Datasheet/Worksheet/youtube_dl_1495370167030882304/index.html" TargetMode="External"/><Relationship Id="rId1943" Type="http://schemas.openxmlformats.org/officeDocument/2006/relationships/hyperlink" Target="https://twitter.com/GirkinGirkin/status/1495389712634335234" TargetMode="External"/><Relationship Id="rId1944" Type="http://schemas.openxmlformats.org/officeDocument/2006/relationships/hyperlink" Target="https://bellingcat-archive.nyc3.cdn.digitaloceanspaces.com/Ukraine_Witness_Datasheet/Worksheet/youtube_dl_1495389712634335234.mp4" TargetMode="External"/><Relationship Id="rId1945" Type="http://schemas.openxmlformats.org/officeDocument/2006/relationships/hyperlink" Target="https://bellingcat-archive.nyc3.cdn.digitaloceanspaces.com/Ukraine_Witness_Datasheet/Worksheet/youtube_dl__GirkinGirkin_status_14953897126343352342022-02-25T15:00:58.673215.png" TargetMode="External"/><Relationship Id="rId1946" Type="http://schemas.openxmlformats.org/officeDocument/2006/relationships/hyperlink" Target="https://bellingcat-archive.nyc3.cdn.digitaloceanspaces.com/Ukraine_Witness_Datasheet/Worksheet/youtube_dl_1495389712634335234/index.html" TargetMode="External"/><Relationship Id="rId1947" Type="http://schemas.openxmlformats.org/officeDocument/2006/relationships/hyperlink" Target="https://twitter.com/GirkinGirkin/status/1495462683218427914" TargetMode="External"/><Relationship Id="rId1948" Type="http://schemas.openxmlformats.org/officeDocument/2006/relationships/hyperlink" Target="https://twitter.com/PPoutsup/status/1495467798621048839" TargetMode="External"/><Relationship Id="rId1949" Type="http://schemas.openxmlformats.org/officeDocument/2006/relationships/hyperlink" Target="https://bellingcat-archive.nyc3.cdn.digitaloceanspaces.com/Ukraine_Witness_Datasheet/Worksheet/youtube_dl_1495462683218427914.mp4" TargetMode="External"/><Relationship Id="rId509" Type="http://schemas.openxmlformats.org/officeDocument/2006/relationships/hyperlink" Target="https://bellingcat-archive.nyc3.cdn.digitaloceanspaces.com/Ukraine_Witness_Datasheet/Worksheet/youtube_dl_1491118036694487040.mp4" TargetMode="External"/><Relationship Id="rId508" Type="http://schemas.openxmlformats.org/officeDocument/2006/relationships/hyperlink" Target="https://twitter.com/gfusfus/status/1491128688402112513" TargetMode="External"/><Relationship Id="rId503" Type="http://schemas.openxmlformats.org/officeDocument/2006/relationships/hyperlink" Target="https://twitter.com/gfusfus/status/1491148669638574080" TargetMode="External"/><Relationship Id="rId502" Type="http://schemas.openxmlformats.org/officeDocument/2006/relationships/hyperlink" Target="https://twitter.com/GirkinGirkin/status/1491127848559472642" TargetMode="External"/><Relationship Id="rId501" Type="http://schemas.openxmlformats.org/officeDocument/2006/relationships/hyperlink" Target="https://bellingcat-archive.nyc3.cdn.digitaloceanspaces.com/Ukraine_Witness_Datasheet/Worksheet/youtube_dl_1491079146797420547/index.html" TargetMode="External"/><Relationship Id="rId500" Type="http://schemas.openxmlformats.org/officeDocument/2006/relationships/hyperlink" Target="https://bellingcat-archive.nyc3.cdn.digitaloceanspaces.com/Ukraine_Witness_Datasheet/Worksheet/youtube_dl__4emberlen_status_14910791467974205472022-02-25T13:14:14.569929.png" TargetMode="External"/><Relationship Id="rId507" Type="http://schemas.openxmlformats.org/officeDocument/2006/relationships/hyperlink" Target="https://twitter.com/GirkinGirkin/status/1491118036694487040" TargetMode="External"/><Relationship Id="rId506" Type="http://schemas.openxmlformats.org/officeDocument/2006/relationships/hyperlink" Target="https://bellingcat-archive.nyc3.cdn.digitaloceanspaces.com/Ukraine_Witness_Datasheet/Worksheet/youtube_dl_1491127848559472642/index.html" TargetMode="External"/><Relationship Id="rId505" Type="http://schemas.openxmlformats.org/officeDocument/2006/relationships/hyperlink" Target="https://bellingcat-archive.nyc3.cdn.digitaloceanspaces.com/Ukraine_Witness_Datasheet/Worksheet/youtube_dl__GirkinGirkin_status_14911278485594726422022-02-25T13:14:31.121142.png" TargetMode="External"/><Relationship Id="rId504" Type="http://schemas.openxmlformats.org/officeDocument/2006/relationships/hyperlink" Target="https://bellingcat-archive.nyc3.cdn.digitaloceanspaces.com/Ukraine_Witness_Datasheet/Worksheet/youtube_dl_1491127848559472642.mp4" TargetMode="External"/><Relationship Id="rId6803" Type="http://schemas.openxmlformats.org/officeDocument/2006/relationships/hyperlink" Target="https://bellingcat-archive.nyc3.cdn.digitaloceanspaces.com/Ukraine_Witness_Datasheet/Worksheet/twitter__2022Kharkiv_status_1497905543289225217.html" TargetMode="External"/><Relationship Id="rId6804" Type="http://schemas.openxmlformats.org/officeDocument/2006/relationships/hyperlink" Target="https://bellingcat-archive.nyc3.cdn.digitaloceanspaces.com/Ukraine_Witness_Datasheet/Worksheet/twitter__2022Kharkiv_status_14979055432892252172022-03-08T08:55:08.512790.png" TargetMode="External"/><Relationship Id="rId6801" Type="http://schemas.openxmlformats.org/officeDocument/2006/relationships/hyperlink" Target="https://bellingcat-archive.nyc3.cdn.digitaloceanspaces.com/Ukraine_Witness_Datasheet/Worksheet/telegram__truexanewsua_24760.html" TargetMode="External"/><Relationship Id="rId6802" Type="http://schemas.openxmlformats.org/officeDocument/2006/relationships/hyperlink" Target="https://bellingcat-archive.nyc3.cdn.digitaloceanspaces.com/Ukraine_Witness_Datasheet/Worksheet/telegram__truexanewsua_247602022-03-08T08:54:56.731124.png" TargetMode="External"/><Relationship Id="rId6807" Type="http://schemas.openxmlformats.org/officeDocument/2006/relationships/hyperlink" Target="https://twitter.com/2022Kharkiv/status/1497906951732318208?s=20&amp;t=aAsF3wLtOmuVJWrXQTxwHA" TargetMode="External"/><Relationship Id="rId6808" Type="http://schemas.openxmlformats.org/officeDocument/2006/relationships/hyperlink" Target="https://bellingcat-archive.nyc3.cdn.digitaloceanspaces.com/Ukraine_Witness_Datasheet/Worksheet/twitter__2022Kharkiv_status_1497906951732318208.html" TargetMode="External"/><Relationship Id="rId6805" Type="http://schemas.openxmlformats.org/officeDocument/2006/relationships/hyperlink" Target="https://web.archive.org/web/20220308085122/https://t.me/c/1347456995/38976" TargetMode="External"/><Relationship Id="rId6806" Type="http://schemas.openxmlformats.org/officeDocument/2006/relationships/hyperlink" Target="https://bellingcat-archive.nyc3.cdn.digitaloceanspaces.com/Ukraine_Witness_Datasheet/Worksheet/wayback__c_1347456995_389762022-03-08T08:52:54.942997.png" TargetMode="External"/><Relationship Id="rId6809" Type="http://schemas.openxmlformats.org/officeDocument/2006/relationships/hyperlink" Target="https://bellingcat-archive.nyc3.cdn.digitaloceanspaces.com/Ukraine_Witness_Datasheet/Worksheet/twitter__2022Kharkiv_status_14979069517323182082022-03-08T08:55:27.850482.png" TargetMode="External"/><Relationship Id="rId525" Type="http://schemas.openxmlformats.org/officeDocument/2006/relationships/hyperlink" Target="https://bellingcat-archive.nyc3.cdn.digitaloceanspaces.com/Ukraine_Witness_Datasheet/Worksheet/youtube_dl__JC_Monitoring_status_14908048869502730242022-02-25T13:15:40.424702.png" TargetMode="External"/><Relationship Id="rId524" Type="http://schemas.openxmlformats.org/officeDocument/2006/relationships/hyperlink" Target="https://bellingcat-archive.nyc3.cdn.digitaloceanspaces.com/Ukraine_Witness_Datasheet/Worksheet/youtube_dl_1490804886950273024.mp4" TargetMode="External"/><Relationship Id="rId523" Type="http://schemas.openxmlformats.org/officeDocument/2006/relationships/hyperlink" Target="https://twitter.com/gfusfus/status/1490824628368982017" TargetMode="External"/><Relationship Id="rId522" Type="http://schemas.openxmlformats.org/officeDocument/2006/relationships/hyperlink" Target="https://twitter.com/JC_Monitoring/status/1490804886950273024" TargetMode="External"/><Relationship Id="rId529" Type="http://schemas.openxmlformats.org/officeDocument/2006/relationships/hyperlink" Target="https://bellingcat-archive.nyc3.cdn.digitaloceanspaces.com/Ukraine_Witness_Datasheet/Worksheet/youtube_dl_1490811870453940231.mp4" TargetMode="External"/><Relationship Id="rId528" Type="http://schemas.openxmlformats.org/officeDocument/2006/relationships/hyperlink" Target="https://twitter.com/gfusfus/status/1490820681982001157" TargetMode="External"/><Relationship Id="rId527" Type="http://schemas.openxmlformats.org/officeDocument/2006/relationships/hyperlink" Target="https://twitter.com/JC_Monitoring/status/1490811870453940231" TargetMode="External"/><Relationship Id="rId526" Type="http://schemas.openxmlformats.org/officeDocument/2006/relationships/hyperlink" Target="https://bellingcat-archive.nyc3.cdn.digitaloceanspaces.com/Ukraine_Witness_Datasheet/Worksheet/youtube_dl_1490804886950273024/index.html" TargetMode="External"/><Relationship Id="rId521" Type="http://schemas.openxmlformats.org/officeDocument/2006/relationships/hyperlink" Target="https://bellingcat-archive.nyc3.cdn.digitaloceanspaces.com/Ukraine_Witness_Datasheet/Worksheet/youtube_dl_1491087825579966467/index.html" TargetMode="External"/><Relationship Id="rId520" Type="http://schemas.openxmlformats.org/officeDocument/2006/relationships/hyperlink" Target="https://bellingcat-archive.nyc3.cdn.digitaloceanspaces.com/Ukraine_Witness_Datasheet/Worksheet/youtube_dl__4emberlen_status_14910878255799664672022-02-25T13:15:21.681063.png" TargetMode="External"/><Relationship Id="rId6800" Type="http://schemas.openxmlformats.org/officeDocument/2006/relationships/hyperlink" Target="https://t.me/truexanewsua/24760" TargetMode="External"/><Relationship Id="rId519" Type="http://schemas.openxmlformats.org/officeDocument/2006/relationships/hyperlink" Target="https://bellingcat-archive.nyc3.cdn.digitaloceanspaces.com/Ukraine_Witness_Datasheet/Worksheet/youtube_dl_1491087825579966467.mp4" TargetMode="External"/><Relationship Id="rId514" Type="http://schemas.openxmlformats.org/officeDocument/2006/relationships/hyperlink" Target="https://bellingcat-archive.nyc3.cdn.digitaloceanspaces.com/Ukraine_Witness_Datasheet/Worksheet/youtube_dl_1490765928916783108.mp4" TargetMode="External"/><Relationship Id="rId513" Type="http://schemas.openxmlformats.org/officeDocument/2006/relationships/hyperlink" Target="https://twitter.com/gfusfus/status/1491117012516741120" TargetMode="External"/><Relationship Id="rId512" Type="http://schemas.openxmlformats.org/officeDocument/2006/relationships/hyperlink" Target="https://twitter.com/GirkinGirkin/status/1490765928916783108" TargetMode="External"/><Relationship Id="rId511" Type="http://schemas.openxmlformats.org/officeDocument/2006/relationships/hyperlink" Target="https://bellingcat-archive.nyc3.cdn.digitaloceanspaces.com/Ukraine_Witness_Datasheet/Worksheet/youtube_dl_1491118036694487040/index.html" TargetMode="External"/><Relationship Id="rId518" Type="http://schemas.openxmlformats.org/officeDocument/2006/relationships/hyperlink" Target="https://twitter.com/gfusfus/status/1491094515952001028" TargetMode="External"/><Relationship Id="rId517" Type="http://schemas.openxmlformats.org/officeDocument/2006/relationships/hyperlink" Target="https://twitter.com/4emberlen/status/1491087825579966467" TargetMode="External"/><Relationship Id="rId516" Type="http://schemas.openxmlformats.org/officeDocument/2006/relationships/hyperlink" Target="https://bellingcat-archive.nyc3.cdn.digitaloceanspaces.com/Ukraine_Witness_Datasheet/Worksheet/youtube_dl_1490765928916783108/index.html" TargetMode="External"/><Relationship Id="rId515" Type="http://schemas.openxmlformats.org/officeDocument/2006/relationships/hyperlink" Target="https://bellingcat-archive.nyc3.cdn.digitaloceanspaces.com/Ukraine_Witness_Datasheet/Worksheet/youtube_dl__GirkinGirkin_status_14907659289167831082022-02-25T13:15:04.983742.png" TargetMode="External"/><Relationship Id="rId510" Type="http://schemas.openxmlformats.org/officeDocument/2006/relationships/hyperlink" Target="https://bellingcat-archive.nyc3.cdn.digitaloceanspaces.com/Ukraine_Witness_Datasheet/Worksheet/youtube_dl__GirkinGirkin_status_14911180366944870402022-02-25T13:14:48.841655.png" TargetMode="External"/><Relationship Id="rId4206" Type="http://schemas.openxmlformats.org/officeDocument/2006/relationships/hyperlink" Target="https://www.facebook.com/groups/820419854981203/posts/1571696369853544/" TargetMode="External"/><Relationship Id="rId5538" Type="http://schemas.openxmlformats.org/officeDocument/2006/relationships/hyperlink" Target="https://bellingcat-archive.nyc3.cdn.digitaloceanspaces.com/Ukraine_Witness_Datasheet/Worksheet/youtube_dl_1499693084237570052/index.html" TargetMode="External"/><Relationship Id="rId6869" Type="http://schemas.openxmlformats.org/officeDocument/2006/relationships/hyperlink" Target="https://twitter.com/2022Kharkiv/status/1498279499657531396?s=20&amp;t=aAsF3wLtOmuVJWrXQTxwHA" TargetMode="External"/><Relationship Id="rId4205" Type="http://schemas.openxmlformats.org/officeDocument/2006/relationships/hyperlink" Target="https://bellingcat-archive.nyc3.cdn.digitaloceanspaces.com/Ukraine_Witness_Datasheet/Worksheet/wayback__100075881777013_posts_131589862713739_2022-03-01T06:56:28.824059.png" TargetMode="External"/><Relationship Id="rId5539" Type="http://schemas.openxmlformats.org/officeDocument/2006/relationships/hyperlink" Target="https://twitter.com/YWNReporter/status/1499692570720587777" TargetMode="External"/><Relationship Id="rId4208" Type="http://schemas.openxmlformats.org/officeDocument/2006/relationships/hyperlink" Target="https://bellingcat-archive.nyc3.cdn.digitaloceanspaces.com/Ukraine_Witness_Datasheet/Worksheet/wayback__groups_820419854981203_posts_1571696369853544_2022-03-01T06:57:11.617743.png" TargetMode="External"/><Relationship Id="rId5536" Type="http://schemas.openxmlformats.org/officeDocument/2006/relationships/hyperlink" Target="https://bellingcat-archive.nyc3.cdn.digitaloceanspaces.com/Ukraine_Witness_Datasheet/Worksheet/youtube_dl_1499693084237570052.mp4" TargetMode="External"/><Relationship Id="rId6867" Type="http://schemas.openxmlformats.org/officeDocument/2006/relationships/hyperlink" Target="https://bellingcat-archive.nyc3.cdn.digitaloceanspaces.com/Ukraine_Witness_Datasheet/Worksheet/telegram__truexanewsua_25664.html" TargetMode="External"/><Relationship Id="rId4207" Type="http://schemas.openxmlformats.org/officeDocument/2006/relationships/hyperlink" Target="https://web.archive.org/web/20220301065707/https://www.facebook.com/login/?next=https%3A%2F%2Fwww.facebook.com%2Fgroups%2F820419854981203%2Fposts%2F1571696369853544%2F" TargetMode="External"/><Relationship Id="rId5537" Type="http://schemas.openxmlformats.org/officeDocument/2006/relationships/hyperlink" Target="https://bellingcat-archive.nyc3.cdn.digitaloceanspaces.com/Ukraine_Witness_Datasheet/Worksheet/youtube_dl__YWNReporter_status_14996930842375700522022-03-04T10:40:12.212928.png" TargetMode="External"/><Relationship Id="rId6868" Type="http://schemas.openxmlformats.org/officeDocument/2006/relationships/hyperlink" Target="https://bellingcat-archive.nyc3.cdn.digitaloceanspaces.com/Ukraine_Witness_Datasheet/Worksheet/telegram__truexanewsua_256642022-03-08T09:02:06.000954.png" TargetMode="External"/><Relationship Id="rId590" Type="http://schemas.openxmlformats.org/officeDocument/2006/relationships/hyperlink" Target="https://bellingcat-archive.nyc3.cdn.digitaloceanspaces.com/Ukraine_Witness_Datasheet/Worksheet/youtube_dl__GirkinGirkin_status_14903901567292743712022-02-25T13:19:47.326578.png" TargetMode="External"/><Relationship Id="rId4209" Type="http://schemas.openxmlformats.org/officeDocument/2006/relationships/hyperlink" Target="https://www.facebook.com/watch/?v=923732664951321&amp;extid=CL-UNK-UNK-UNK-AN_GK0T-GK1C&amp;ref=sharing" TargetMode="External"/><Relationship Id="rId589" Type="http://schemas.openxmlformats.org/officeDocument/2006/relationships/hyperlink" Target="https://bellingcat-archive.nyc3.cdn.digitaloceanspaces.com/Ukraine_Witness_Datasheet/Worksheet/youtube_dl_1490390156729274371.mp4" TargetMode="External"/><Relationship Id="rId588" Type="http://schemas.openxmlformats.org/officeDocument/2006/relationships/hyperlink" Target="https://twitter.com/gfusfus/status/1490408837219856391" TargetMode="External"/><Relationship Id="rId583" Type="http://schemas.openxmlformats.org/officeDocument/2006/relationships/hyperlink" Target="https://twitter.com/il_kanguru/status/1480294337015603209" TargetMode="External"/><Relationship Id="rId5530" Type="http://schemas.openxmlformats.org/officeDocument/2006/relationships/hyperlink" Target="https://bellingcat-archive.nyc3.cdn.digitaloceanspaces.com/Ukraine_Witness_Datasheet/Worksheet/telegram__suspilnekharkiv_86462022-03-04T10:32:09.956346.png" TargetMode="External"/><Relationship Id="rId6861" Type="http://schemas.openxmlformats.org/officeDocument/2006/relationships/hyperlink" Target="https://bellingcat-archive.nyc3.cdn.digitaloceanspaces.com/Ukraine_Witness_Datasheet/Worksheet/twitter__2022Kharkiv_status_1498232196737519616.html" TargetMode="External"/><Relationship Id="rId582" Type="http://schemas.openxmlformats.org/officeDocument/2006/relationships/hyperlink" Target="https://twitter.com/GirkinGirkin/status/1479494074763730946" TargetMode="External"/><Relationship Id="rId5531" Type="http://schemas.openxmlformats.org/officeDocument/2006/relationships/hyperlink" Target="https://twitter.com/KyivIndependent/status/1499012433943437314?s=20&amp;t=1Z_ZbeQuhLAK26lu8_4lzQ" TargetMode="External"/><Relationship Id="rId6862" Type="http://schemas.openxmlformats.org/officeDocument/2006/relationships/hyperlink" Target="https://bellingcat-archive.nyc3.cdn.digitaloceanspaces.com/Ukraine_Witness_Datasheet/Worksheet/twitter__2022Kharkiv_status_14982321967375196162022-03-08T09:01:44.769239.png" TargetMode="External"/><Relationship Id="rId581" Type="http://schemas.openxmlformats.org/officeDocument/2006/relationships/hyperlink" Target="https://bellingcat-archive.nyc3.cdn.digitaloceanspaces.com/Ukraine_Witness_Datasheet/Worksheet/youtube_dl_1481202086960406530/index.html" TargetMode="External"/><Relationship Id="rId4200" Type="http://schemas.openxmlformats.org/officeDocument/2006/relationships/hyperlink" Target="https://t.me/truexanewsua/26226" TargetMode="External"/><Relationship Id="rId580" Type="http://schemas.openxmlformats.org/officeDocument/2006/relationships/hyperlink" Target="https://bellingcat-archive.nyc3.cdn.digitaloceanspaces.com/Ukraine_Witness_Datasheet/Worksheet/youtube_dl__4emberlen_status_14812020869604065302022-02-25T13:19:13.737403.png" TargetMode="External"/><Relationship Id="rId6860" Type="http://schemas.openxmlformats.org/officeDocument/2006/relationships/hyperlink" Target="https://twitter.com/2022Kharkiv/status/1498232196737519616?s=20&amp;t=aAsF3wLtOmuVJWrXQTxwHA" TargetMode="External"/><Relationship Id="rId587" Type="http://schemas.openxmlformats.org/officeDocument/2006/relationships/hyperlink" Target="https://twitter.com/GirkinGirkin/status/1490390156729274371" TargetMode="External"/><Relationship Id="rId4202" Type="http://schemas.openxmlformats.org/officeDocument/2006/relationships/hyperlink" Target="https://bellingcat-archive.nyc3.cdn.digitaloceanspaces.com/Ukraine_Witness_Datasheet/Worksheet/telegram__truexanewsua_262262022-03-01T06:56:02.092927.png" TargetMode="External"/><Relationship Id="rId5534" Type="http://schemas.openxmlformats.org/officeDocument/2006/relationships/hyperlink" Target="https://bellingcat-archive.nyc3.cdn.digitaloceanspaces.com/Ukraine_Witness_Datasheet/Worksheet/youtube_dl_1499012433943437314/index.html" TargetMode="External"/><Relationship Id="rId6865" Type="http://schemas.openxmlformats.org/officeDocument/2006/relationships/hyperlink" Target="https://bellingcat-archive.nyc3.cdn.digitaloceanspaces.com/Ukraine_Witness_Datasheet/Worksheet/twitter__2022Kharkiv_status_14982991172436172802022-03-08T09:01:56.391648.png" TargetMode="External"/><Relationship Id="rId586" Type="http://schemas.openxmlformats.org/officeDocument/2006/relationships/hyperlink" Target="https://bellingcat-archive.nyc3.cdn.digitaloceanspaces.com/Ukraine_Witness_Datasheet/Worksheet/youtube_dl_1479494074763730946/index.html" TargetMode="External"/><Relationship Id="rId4201" Type="http://schemas.openxmlformats.org/officeDocument/2006/relationships/hyperlink" Target="https://bellingcat-archive.nyc3.cdn.digitaloceanspaces.com/Ukraine_Witness_Datasheet/Worksheet/telegram__truexanewsua_26226.html" TargetMode="External"/><Relationship Id="rId5535" Type="http://schemas.openxmlformats.org/officeDocument/2006/relationships/hyperlink" Target="https://twitter.com/YWNReporter/status/1499693084237570052" TargetMode="External"/><Relationship Id="rId6866" Type="http://schemas.openxmlformats.org/officeDocument/2006/relationships/hyperlink" Target="https://t.me/truexanewsua/25664" TargetMode="External"/><Relationship Id="rId585" Type="http://schemas.openxmlformats.org/officeDocument/2006/relationships/hyperlink" Target="https://bellingcat-archive.nyc3.cdn.digitaloceanspaces.com/Ukraine_Witness_Datasheet/Worksheet/youtube_dl__GirkinGirkin_status_14794940747637309462022-02-25T13:19:29.813626.png" TargetMode="External"/><Relationship Id="rId4204" Type="http://schemas.openxmlformats.org/officeDocument/2006/relationships/hyperlink" Target="https://web.archive.org/web/20220301065623/https://www.facebook.com/login/?next=https%3A%2F%2Fwww.facebook.com%2F100075881777013%2Fposts%2F131589862713739%2F" TargetMode="External"/><Relationship Id="rId5532" Type="http://schemas.openxmlformats.org/officeDocument/2006/relationships/hyperlink" Target="https://bellingcat-archive.nyc3.cdn.digitaloceanspaces.com/Ukraine_Witness_Datasheet/Worksheet/youtube_dl_1499012433943437314.mp4" TargetMode="External"/><Relationship Id="rId6863" Type="http://schemas.openxmlformats.org/officeDocument/2006/relationships/hyperlink" Target="https://twitter.com/2022Kharkiv/status/1498299117243617280?s=20&amp;t=aAsF3wLtOmuVJWrXQTxwHA" TargetMode="External"/><Relationship Id="rId584" Type="http://schemas.openxmlformats.org/officeDocument/2006/relationships/hyperlink" Target="https://bellingcat-archive.nyc3.cdn.digitaloceanspaces.com/Ukraine_Witness_Datasheet/Worksheet/youtube_dl_1479494074763730946.mp4" TargetMode="External"/><Relationship Id="rId4203" Type="http://schemas.openxmlformats.org/officeDocument/2006/relationships/hyperlink" Target="https://www.facebook.com/100075881777013/posts/131589862713739/" TargetMode="External"/><Relationship Id="rId5533" Type="http://schemas.openxmlformats.org/officeDocument/2006/relationships/hyperlink" Target="https://bellingcat-archive.nyc3.cdn.digitaloceanspaces.com/Ukraine_Witness_Datasheet/Worksheet/youtube_dl__KyivIndependent_status_14990124339434373142022-03-04T10:32:20.272612.png" TargetMode="External"/><Relationship Id="rId6864" Type="http://schemas.openxmlformats.org/officeDocument/2006/relationships/hyperlink" Target="https://bellingcat-archive.nyc3.cdn.digitaloceanspaces.com/Ukraine_Witness_Datasheet/Worksheet/twitter__2022Kharkiv_status_1498299117243617280.html" TargetMode="External"/><Relationship Id="rId5527" Type="http://schemas.openxmlformats.org/officeDocument/2006/relationships/hyperlink" Target="https://t.me/suspilnekharkiv/8646" TargetMode="External"/><Relationship Id="rId6858" Type="http://schemas.openxmlformats.org/officeDocument/2006/relationships/hyperlink" Target="https://bellingcat-archive.nyc3.cdn.digitaloceanspaces.com/Ukraine_Witness_Datasheet/Worksheet/telegram__truexanewsua_25896.html" TargetMode="External"/><Relationship Id="rId5528" Type="http://schemas.openxmlformats.org/officeDocument/2006/relationships/hyperlink" Target="https://twitter.com/Michael1Sheldon/status/1499487118816600074" TargetMode="External"/><Relationship Id="rId6859" Type="http://schemas.openxmlformats.org/officeDocument/2006/relationships/hyperlink" Target="https://bellingcat-archive.nyc3.cdn.digitaloceanspaces.com/Ukraine_Witness_Datasheet/Worksheet/telegram__truexanewsua_258962022-03-08T09:01:34.085621.png" TargetMode="External"/><Relationship Id="rId5525" Type="http://schemas.openxmlformats.org/officeDocument/2006/relationships/hyperlink" Target="https://bellingcat-archive.nyc3.cdn.digitaloceanspaces.com/Ukraine_Witness_Datasheet/Worksheet/telegram_949e425d59/index.html" TargetMode="External"/><Relationship Id="rId6856" Type="http://schemas.openxmlformats.org/officeDocument/2006/relationships/hyperlink" Target="https://bellingcat-archive.nyc3.cdn.digitaloceanspaces.com/Ukraine_Witness_Datasheet/Worksheet/telegram__livekharkov_280812022-03-08T09:01:23.446316.png" TargetMode="External"/><Relationship Id="rId5526" Type="http://schemas.openxmlformats.org/officeDocument/2006/relationships/hyperlink" Target="https://t.me/pravdaGerashchenko_en/870" TargetMode="External"/><Relationship Id="rId6857" Type="http://schemas.openxmlformats.org/officeDocument/2006/relationships/hyperlink" Target="https://t.me/truexanewsua/25896" TargetMode="External"/><Relationship Id="rId5529" Type="http://schemas.openxmlformats.org/officeDocument/2006/relationships/hyperlink" Target="https://bellingcat-archive.nyc3.cdn.digitaloceanspaces.com/Ukraine_Witness_Datasheet/Worksheet/telegram__suspilnekharkiv_8646.html" TargetMode="External"/><Relationship Id="rId579" Type="http://schemas.openxmlformats.org/officeDocument/2006/relationships/hyperlink" Target="https://bellingcat-archive.nyc3.cdn.digitaloceanspaces.com/Ukraine_Witness_Datasheet/Worksheet/youtube_dl_1481202086960406530.mp4" TargetMode="External"/><Relationship Id="rId578" Type="http://schemas.openxmlformats.org/officeDocument/2006/relationships/hyperlink" Target="https://twitter.com/il_kanguru/status/1482429834055847937" TargetMode="External"/><Relationship Id="rId577" Type="http://schemas.openxmlformats.org/officeDocument/2006/relationships/hyperlink" Target="https://twitter.com/4emberlen/status/1481202086960406530" TargetMode="External"/><Relationship Id="rId572" Type="http://schemas.openxmlformats.org/officeDocument/2006/relationships/hyperlink" Target="https://twitter.com/GirkinGirkin/status/1482540686163513345" TargetMode="External"/><Relationship Id="rId6850" Type="http://schemas.openxmlformats.org/officeDocument/2006/relationships/hyperlink" Target="https://bellingcat-archive.nyc3.cdn.digitaloceanspaces.com/Ukraine_Witness_Datasheet/Worksheet/telegram_dc5b75093c.mp4" TargetMode="External"/><Relationship Id="rId571" Type="http://schemas.openxmlformats.org/officeDocument/2006/relationships/hyperlink" Target="https://bellingcat-archive.nyc3.cdn.digitaloceanspaces.com/Ukraine_Witness_Datasheet/Worksheet/youtube_dl_1482434887621689347/index.html" TargetMode="External"/><Relationship Id="rId5520" Type="http://schemas.openxmlformats.org/officeDocument/2006/relationships/hyperlink" Target="https://t.me/pravdaGerashchenko_en/861" TargetMode="External"/><Relationship Id="rId6851" Type="http://schemas.openxmlformats.org/officeDocument/2006/relationships/hyperlink" Target="https://bellingcat-archive.nyc3.cdn.digitaloceanspaces.com/Ukraine_Witness_Datasheet/Worksheet/telegram__truexanewsua_257072022-03-08T09:00:43.011898.png" TargetMode="External"/><Relationship Id="rId570" Type="http://schemas.openxmlformats.org/officeDocument/2006/relationships/hyperlink" Target="https://bellingcat-archive.nyc3.cdn.digitaloceanspaces.com/Ukraine_Witness_Datasheet/Worksheet/youtube_dl__GirkinGirkin_status_14824348876216893472022-02-25T13:18:40.629048.png" TargetMode="External"/><Relationship Id="rId576" Type="http://schemas.openxmlformats.org/officeDocument/2006/relationships/hyperlink" Target="https://bellingcat-archive.nyc3.cdn.digitaloceanspaces.com/Ukraine_Witness_Datasheet/Worksheet/youtube_dl_1482540686163513345/index.html" TargetMode="External"/><Relationship Id="rId5523" Type="http://schemas.openxmlformats.org/officeDocument/2006/relationships/hyperlink" Target="https://bellingcat-archive.nyc3.cdn.digitaloceanspaces.com/Ukraine_Witness_Datasheet/Worksheet/telegram_949e425d59.mp4" TargetMode="External"/><Relationship Id="rId6854" Type="http://schemas.openxmlformats.org/officeDocument/2006/relationships/hyperlink" Target="https://t.me/livekharkov/28081" TargetMode="External"/><Relationship Id="rId575" Type="http://schemas.openxmlformats.org/officeDocument/2006/relationships/hyperlink" Target="https://bellingcat-archive.nyc3.cdn.digitaloceanspaces.com/Ukraine_Witness_Datasheet/Worksheet/youtube_dl__GirkinGirkin_status_14825406861635133452022-02-25T13:18:56.990400.png" TargetMode="External"/><Relationship Id="rId5524" Type="http://schemas.openxmlformats.org/officeDocument/2006/relationships/hyperlink" Target="https://bellingcat-archive.nyc3.cdn.digitaloceanspaces.com/Ukraine_Witness_Datasheet/Worksheet/telegram__pravdaGerashchenko_en_8702022-03-04T10:30:09.952744.png" TargetMode="External"/><Relationship Id="rId6855" Type="http://schemas.openxmlformats.org/officeDocument/2006/relationships/hyperlink" Target="https://bellingcat-archive.nyc3.cdn.digitaloceanspaces.com/Ukraine_Witness_Datasheet/Worksheet/telegram__livekharkov_28081.html" TargetMode="External"/><Relationship Id="rId574" Type="http://schemas.openxmlformats.org/officeDocument/2006/relationships/hyperlink" Target="https://bellingcat-archive.nyc3.cdn.digitaloceanspaces.com/Ukraine_Witness_Datasheet/Worksheet/youtube_dl_1482540686163513345.mp4" TargetMode="External"/><Relationship Id="rId5521" Type="http://schemas.openxmlformats.org/officeDocument/2006/relationships/hyperlink" Target="https://t.me/pravdaGerashchenko_en/870" TargetMode="External"/><Relationship Id="rId6852" Type="http://schemas.openxmlformats.org/officeDocument/2006/relationships/hyperlink" Target="https://bellingcat-archive.nyc3.cdn.digitaloceanspaces.com/Ukraine_Witness_Datasheet/Worksheet/telegram_dc5b75093c/index.html" TargetMode="External"/><Relationship Id="rId573" Type="http://schemas.openxmlformats.org/officeDocument/2006/relationships/hyperlink" Target="https://twitter.com/il_kanguru/status/1482681577553412099" TargetMode="External"/><Relationship Id="rId5522" Type="http://schemas.openxmlformats.org/officeDocument/2006/relationships/hyperlink" Target="https://www.google.de/maps/place/%D0%90%D0%BF%D1%82%D0%B5%D0%BA%D0%B0+%D0%94%D0%BE%D0%B1%D1%80%D0%BE%D0%B3%D0%BE+%D0%94%D0%BD%D1%8F/@50.5037871,30.3486526,17531m/data=!3m1!1e3!4m9!1m2!2m1!1shostomel+apteka+dobrogo!3m5!1s0x472b2e03e994f9fd:0xd4d3dba0bf6d596f!8m2!3d50.5649251!4d30.2702741!15sChdob3N0b21lbCBhcHRla2EgZG9icm9nb1oZIhdob3N0b21lbCBhcHRla2EgZG9icm9nb5IBCHBoYXJtYWN5!5m1!1e4" TargetMode="External"/><Relationship Id="rId6853" Type="http://schemas.openxmlformats.org/officeDocument/2006/relationships/hyperlink" Target="https://t.me/truexanewsua/25707" TargetMode="External"/><Relationship Id="rId4228" Type="http://schemas.openxmlformats.org/officeDocument/2006/relationships/hyperlink" Target="https://bellingcat-archive.nyc3.cdn.digitaloceanspaces.com/Ukraine_Witness_Datasheet/Worksheet/youtube_dl_1498566462126108680/index.html" TargetMode="External"/><Relationship Id="rId4227" Type="http://schemas.openxmlformats.org/officeDocument/2006/relationships/hyperlink" Target="https://bellingcat-archive.nyc3.cdn.digitaloceanspaces.com/Ukraine_Witness_Datasheet/Worksheet/youtube_dl__RALee85_status_14985664621261086802022-03-01T09:29:22.965941.png" TargetMode="External"/><Relationship Id="rId5558" Type="http://schemas.openxmlformats.org/officeDocument/2006/relationships/hyperlink" Target="https://bellingcat-archive.nyc3.cdn.digitaloceanspaces.com/Ukraine_Witness_Datasheet/Worksheet/twitter__Osinttechnical_status_14996984484168867852022-03-04T11:35:11.844680.png" TargetMode="External"/><Relationship Id="rId6889" Type="http://schemas.openxmlformats.org/officeDocument/2006/relationships/hyperlink" Target="https://bellingcat-archive.nyc3.cdn.digitaloceanspaces.com/Ukraine_Witness_Datasheet/Worksheet/twitter__2022Kharkiv_status_14982864233209692162022-03-08T09:04:04.006514.png" TargetMode="External"/><Relationship Id="rId4229" Type="http://schemas.openxmlformats.org/officeDocument/2006/relationships/hyperlink" Target="https://twitter.com/IAPonomarenko/status/1498562567047979008" TargetMode="External"/><Relationship Id="rId5559" Type="http://schemas.openxmlformats.org/officeDocument/2006/relationships/hyperlink" Target="https://twitter.com/nabihbulos/status/1499712171873222656" TargetMode="External"/><Relationship Id="rId6880" Type="http://schemas.openxmlformats.org/officeDocument/2006/relationships/hyperlink" Target="https://twitter.com/zloy_odessit/status/1498275098758889475" TargetMode="External"/><Relationship Id="rId4220" Type="http://schemas.openxmlformats.org/officeDocument/2006/relationships/hyperlink" Target="https://bellingcat-archive.nyc3.cdn.digitaloceanspaces.com/Ukraine_Witness_Datasheet/Worksheet/twitter__HannaGun_status_14984942751134310402022-03-01T09:28:53.523763.png" TargetMode="External"/><Relationship Id="rId5552" Type="http://schemas.openxmlformats.org/officeDocument/2006/relationships/hyperlink" Target="https://bellingcat-archive.nyc3.cdn.digitaloceanspaces.com/Ukraine_Witness_Datasheet/Worksheet/youtube_dl_1499700120291581953/index.html" TargetMode="External"/><Relationship Id="rId6883" Type="http://schemas.openxmlformats.org/officeDocument/2006/relationships/hyperlink" Target="https://bellingcat-archive.nyc3.cdn.digitaloceanspaces.com/Ukraine_Witness_Datasheet/Worksheet/youtube_dl_1498275098758889475/index.html" TargetMode="External"/><Relationship Id="rId5553" Type="http://schemas.openxmlformats.org/officeDocument/2006/relationships/hyperlink" Target="https://t.me/rybar/27263" TargetMode="External"/><Relationship Id="rId6884" Type="http://schemas.openxmlformats.org/officeDocument/2006/relationships/hyperlink" Target="https://t.me/c/1347456995/39128" TargetMode="External"/><Relationship Id="rId4222" Type="http://schemas.openxmlformats.org/officeDocument/2006/relationships/hyperlink" Target="https://bellingcat-archive.nyc3.cdn.digitaloceanspaces.com/Ukraine_Witness_Datasheet/Worksheet/youtube_dl_1498541548757213186.mp4" TargetMode="External"/><Relationship Id="rId5550" Type="http://schemas.openxmlformats.org/officeDocument/2006/relationships/hyperlink" Target="https://bellingcat-archive.nyc3.cdn.digitaloceanspaces.com/Ukraine_Witness_Datasheet/Worksheet/youtube_dl_1499700120291581953.mp4" TargetMode="External"/><Relationship Id="rId6881" Type="http://schemas.openxmlformats.org/officeDocument/2006/relationships/hyperlink" Target="https://bellingcat-archive.nyc3.cdn.digitaloceanspaces.com/Ukraine_Witness_Datasheet/Worksheet/youtube_dl_1498275098758889475.mp4" TargetMode="External"/><Relationship Id="rId4221" Type="http://schemas.openxmlformats.org/officeDocument/2006/relationships/hyperlink" Target="https://twitter.com/GirkinGirkin/status/1498541548757213186" TargetMode="External"/><Relationship Id="rId5551" Type="http://schemas.openxmlformats.org/officeDocument/2006/relationships/hyperlink" Target="https://bellingcat-archive.nyc3.cdn.digitaloceanspaces.com/Ukraine_Witness_Datasheet/Worksheet/youtube_dl__Caucasuswar_status_14997001202915819532022-03-04T11:20:12.687575.png" TargetMode="External"/><Relationship Id="rId6882" Type="http://schemas.openxmlformats.org/officeDocument/2006/relationships/hyperlink" Target="https://bellingcat-archive.nyc3.cdn.digitaloceanspaces.com/Ukraine_Witness_Datasheet/Worksheet/youtube_dl__zloy_odessit_status_14982750987588894752022-03-08T09:03:40.794719.png" TargetMode="External"/><Relationship Id="rId4224" Type="http://schemas.openxmlformats.org/officeDocument/2006/relationships/hyperlink" Target="https://bellingcat-archive.nyc3.cdn.digitaloceanspaces.com/Ukraine_Witness_Datasheet/Worksheet/youtube_dl_1498541548757213186/index.html" TargetMode="External"/><Relationship Id="rId5556" Type="http://schemas.openxmlformats.org/officeDocument/2006/relationships/hyperlink" Target="https://twitter.com/Osinttechnical/status/1499698448416886785" TargetMode="External"/><Relationship Id="rId6887" Type="http://schemas.openxmlformats.org/officeDocument/2006/relationships/hyperlink" Target="https://twitter.com/2022Kharkiv/status/1498286423320969216?s=20&amp;t=aAsF3wLtOmuVJWrXQTxwHA" TargetMode="External"/><Relationship Id="rId4223" Type="http://schemas.openxmlformats.org/officeDocument/2006/relationships/hyperlink" Target="https://bellingcat-archive.nyc3.cdn.digitaloceanspaces.com/Ukraine_Witness_Datasheet/Worksheet/youtube_dl__GirkinGirkin_status_14985415487572131862022-03-01T09:29:05.348343.png" TargetMode="External"/><Relationship Id="rId5557" Type="http://schemas.openxmlformats.org/officeDocument/2006/relationships/hyperlink" Target="https://bellingcat-archive.nyc3.cdn.digitaloceanspaces.com/Ukraine_Witness_Datasheet/Worksheet/twitter__Osinttechnical_status_1499698448416886785.html" TargetMode="External"/><Relationship Id="rId6888" Type="http://schemas.openxmlformats.org/officeDocument/2006/relationships/hyperlink" Target="https://bellingcat-archive.nyc3.cdn.digitaloceanspaces.com/Ukraine_Witness_Datasheet/Worksheet/twitter__2022Kharkiv_status_1498286423320969216.html" TargetMode="External"/><Relationship Id="rId4226" Type="http://schemas.openxmlformats.org/officeDocument/2006/relationships/hyperlink" Target="https://bellingcat-archive.nyc3.cdn.digitaloceanspaces.com/Ukraine_Witness_Datasheet/Worksheet/youtube_dl_1498566462126108680.mp4" TargetMode="External"/><Relationship Id="rId5554" Type="http://schemas.openxmlformats.org/officeDocument/2006/relationships/hyperlink" Target="https://bellingcat-archive.nyc3.cdn.digitaloceanspaces.com/Ukraine_Witness_Datasheet/Worksheet/telegram__rybar_27263.html" TargetMode="External"/><Relationship Id="rId6885" Type="http://schemas.openxmlformats.org/officeDocument/2006/relationships/hyperlink" Target="https://web.archive.org/web/20220308085633/https://t.me/c/1347456995/39128" TargetMode="External"/><Relationship Id="rId4225" Type="http://schemas.openxmlformats.org/officeDocument/2006/relationships/hyperlink" Target="https://twitter.com/RALee85/status/1498566462126108680" TargetMode="External"/><Relationship Id="rId5555" Type="http://schemas.openxmlformats.org/officeDocument/2006/relationships/hyperlink" Target="https://bellingcat-archive.nyc3.cdn.digitaloceanspaces.com/Ukraine_Witness_Datasheet/Worksheet/telegram__rybar_272632022-03-04T11:25:09.328522.png" TargetMode="External"/><Relationship Id="rId6886" Type="http://schemas.openxmlformats.org/officeDocument/2006/relationships/hyperlink" Target="https://bellingcat-archive.nyc3.cdn.digitaloceanspaces.com/Ukraine_Witness_Datasheet/Worksheet/wayback__c_1347456995_391282022-03-08T08:58:07.115822.png" TargetMode="External"/><Relationship Id="rId4217" Type="http://schemas.openxmlformats.org/officeDocument/2006/relationships/hyperlink" Target="https://bellingcat-archive.nyc3.cdn.digitaloceanspaces.com/Ukraine_Witness_Datasheet/Worksheet/youtube_dl_1498550650048811012/index.html" TargetMode="External"/><Relationship Id="rId5549" Type="http://schemas.openxmlformats.org/officeDocument/2006/relationships/hyperlink" Target="https://twitter.com/Caucasuswar/status/1499700120291581953" TargetMode="External"/><Relationship Id="rId4216" Type="http://schemas.openxmlformats.org/officeDocument/2006/relationships/hyperlink" Target="https://bellingcat-archive.nyc3.cdn.digitaloceanspaces.com/Ukraine_Witness_Datasheet/Worksheet/youtube_dl__ArmedForcesUkr_status_14985506500488110122022-03-01T07:47:59.801602.png" TargetMode="External"/><Relationship Id="rId4219" Type="http://schemas.openxmlformats.org/officeDocument/2006/relationships/hyperlink" Target="https://bellingcat-archive.nyc3.cdn.digitaloceanspaces.com/Ukraine_Witness_Datasheet/Worksheet/twitter__HannaGun_status_1498494275113431040.html" TargetMode="External"/><Relationship Id="rId5547" Type="http://schemas.openxmlformats.org/officeDocument/2006/relationships/hyperlink" Target="https://bellingcat-archive.nyc3.cdn.digitaloceanspaces.com/Ukraine_Witness_Datasheet/Worksheet/twitter__MarQs___status_1499704184471494656.html" TargetMode="External"/><Relationship Id="rId6878" Type="http://schemas.openxmlformats.org/officeDocument/2006/relationships/hyperlink" Target="https://bellingcat-archive.nyc3.cdn.digitaloceanspaces.com/Ukraine_Witness_Datasheet/Worksheet/telegram_dc5b75093c/index.html" TargetMode="External"/><Relationship Id="rId4218" Type="http://schemas.openxmlformats.org/officeDocument/2006/relationships/hyperlink" Target="https://twitter.com/HannaGun/status/1498494275113431040" TargetMode="External"/><Relationship Id="rId5548" Type="http://schemas.openxmlformats.org/officeDocument/2006/relationships/hyperlink" Target="https://bellingcat-archive.nyc3.cdn.digitaloceanspaces.com/Ukraine_Witness_Datasheet/Worksheet/twitter__MarQs___status_14997041844714946562022-03-04T11:15:12.606409.png" TargetMode="External"/><Relationship Id="rId6879" Type="http://schemas.openxmlformats.org/officeDocument/2006/relationships/hyperlink" Target="https://t.me/truexanewsua/25707" TargetMode="External"/><Relationship Id="rId599" Type="http://schemas.openxmlformats.org/officeDocument/2006/relationships/hyperlink" Target="https://bellingcat-archive.nyc3.cdn.digitaloceanspaces.com/Ukraine_Witness_Datasheet/Worksheet/youtube_dl_1490310167459684357.mp4" TargetMode="External"/><Relationship Id="rId594" Type="http://schemas.openxmlformats.org/officeDocument/2006/relationships/hyperlink" Target="https://bellingcat-archive.nyc3.cdn.digitaloceanspaces.com/Ukraine_Witness_Datasheet/Worksheet/youtube_dl_1490355701302140929.mp4" TargetMode="External"/><Relationship Id="rId5541" Type="http://schemas.openxmlformats.org/officeDocument/2006/relationships/hyperlink" Target="https://bellingcat-archive.nyc3.cdn.digitaloceanspaces.com/Ukraine_Witness_Datasheet/Worksheet/twitter__YWNReporter_status_14996925707205877772022-03-04T10:40:26.028470.png" TargetMode="External"/><Relationship Id="rId6872" Type="http://schemas.openxmlformats.org/officeDocument/2006/relationships/hyperlink" Target="https://kyivindependent.com/national/kharkiv-barraged-with-multiple-rocket-launchers-killing-a-dozen-of-people/" TargetMode="External"/><Relationship Id="rId593" Type="http://schemas.openxmlformats.org/officeDocument/2006/relationships/hyperlink" Target="https://twitter.com/gfusfus/status/1490362381683277828" TargetMode="External"/><Relationship Id="rId5542" Type="http://schemas.openxmlformats.org/officeDocument/2006/relationships/hyperlink" Target="https://twitter.com/hengenahm/status/1499542895954522113" TargetMode="External"/><Relationship Id="rId6873" Type="http://schemas.openxmlformats.org/officeDocument/2006/relationships/hyperlink" Target="https://web.archive.org/web/20220308090234/https://kyivindependent.com/national/kharkiv-barraged-with-multiple-rocket-launchers-killing-a-dozen-of-people/" TargetMode="External"/><Relationship Id="rId592" Type="http://schemas.openxmlformats.org/officeDocument/2006/relationships/hyperlink" Target="https://twitter.com/GirkinGirkin/status/1490355701302140929" TargetMode="External"/><Relationship Id="rId4211" Type="http://schemas.openxmlformats.org/officeDocument/2006/relationships/hyperlink" Target="https://bellingcat-archive.nyc3.cdn.digitaloceanspaces.com/Ukraine_Witness_Datasheet/Worksheet/youtube_dl__watch_2022-03-02T13:02:41.970189.png" TargetMode="External"/><Relationship Id="rId6870" Type="http://schemas.openxmlformats.org/officeDocument/2006/relationships/hyperlink" Target="https://bellingcat-archive.nyc3.cdn.digitaloceanspaces.com/Ukraine_Witness_Datasheet/Worksheet/twitter__2022Kharkiv_status_1498279499657531396.html" TargetMode="External"/><Relationship Id="rId591" Type="http://schemas.openxmlformats.org/officeDocument/2006/relationships/hyperlink" Target="https://bellingcat-archive.nyc3.cdn.digitaloceanspaces.com/Ukraine_Witness_Datasheet/Worksheet/youtube_dl_1490390156729274371/index.html" TargetMode="External"/><Relationship Id="rId4210" Type="http://schemas.openxmlformats.org/officeDocument/2006/relationships/hyperlink" Target="https://bellingcat-archive.nyc3.cdn.digitaloceanspaces.com/Ukraine_Witness_Datasheet/Worksheet/youtube_dl_923732664951321.mkv" TargetMode="External"/><Relationship Id="rId5540" Type="http://schemas.openxmlformats.org/officeDocument/2006/relationships/hyperlink" Target="https://bellingcat-archive.nyc3.cdn.digitaloceanspaces.com/Ukraine_Witness_Datasheet/Worksheet/twitter__YWNReporter_status_1499692570720587777.html" TargetMode="External"/><Relationship Id="rId6871" Type="http://schemas.openxmlformats.org/officeDocument/2006/relationships/hyperlink" Target="https://bellingcat-archive.nyc3.cdn.digitaloceanspaces.com/Ukraine_Witness_Datasheet/Worksheet/twitter__2022Kharkiv_status_14982794996575313962022-03-08T09:02:17.014018.png" TargetMode="External"/><Relationship Id="rId598" Type="http://schemas.openxmlformats.org/officeDocument/2006/relationships/hyperlink" Target="https://twitter.com/gfusfus/status/1490356018127286274" TargetMode="External"/><Relationship Id="rId4213" Type="http://schemas.openxmlformats.org/officeDocument/2006/relationships/hyperlink" Target="https://twitter.com/ArmedForcesUkr/status/1498550650048811012?s=20&amp;t=BRA5LLszUShbt7IVebiZwA" TargetMode="External"/><Relationship Id="rId5545" Type="http://schemas.openxmlformats.org/officeDocument/2006/relationships/hyperlink" Target="https://bellingcat-archive.nyc3.cdn.digitaloceanspaces.com/Ukraine_Witness_Datasheet/Worksheet/youtube_dl_1499542895954522113/index.html" TargetMode="External"/><Relationship Id="rId6876" Type="http://schemas.openxmlformats.org/officeDocument/2006/relationships/hyperlink" Target="https://bellingcat-archive.nyc3.cdn.digitaloceanspaces.com/Ukraine_Witness_Datasheet/Worksheet/telegram_dc5b75093c.mp4" TargetMode="External"/><Relationship Id="rId597" Type="http://schemas.openxmlformats.org/officeDocument/2006/relationships/hyperlink" Target="https://twitter.com/GirkinGirkin/status/1490310167459684357" TargetMode="External"/><Relationship Id="rId4212" Type="http://schemas.openxmlformats.org/officeDocument/2006/relationships/hyperlink" Target="https://bellingcat-archive.nyc3.cdn.digitaloceanspaces.com/Ukraine_Witness_Datasheet/Worksheet/youtube_dl_923732664951321/index.html" TargetMode="External"/><Relationship Id="rId5546" Type="http://schemas.openxmlformats.org/officeDocument/2006/relationships/hyperlink" Target="https://twitter.com/MarQs__/status/1499704184471494656" TargetMode="External"/><Relationship Id="rId6877" Type="http://schemas.openxmlformats.org/officeDocument/2006/relationships/hyperlink" Target="https://bellingcat-archive.nyc3.cdn.digitaloceanspaces.com/Ukraine_Witness_Datasheet/Worksheet/telegram__truexanewsua_257072022-03-08T09:02:57.711211.png" TargetMode="External"/><Relationship Id="rId596" Type="http://schemas.openxmlformats.org/officeDocument/2006/relationships/hyperlink" Target="https://bellingcat-archive.nyc3.cdn.digitaloceanspaces.com/Ukraine_Witness_Datasheet/Worksheet/youtube_dl_1490355701302140929/index.html" TargetMode="External"/><Relationship Id="rId4215" Type="http://schemas.openxmlformats.org/officeDocument/2006/relationships/hyperlink" Target="https://bellingcat-archive.nyc3.cdn.digitaloceanspaces.com/Ukraine_Witness_Datasheet/Worksheet/youtube_dl_1498550650048811012.mp4" TargetMode="External"/><Relationship Id="rId5543" Type="http://schemas.openxmlformats.org/officeDocument/2006/relationships/hyperlink" Target="https://bellingcat-archive.nyc3.cdn.digitaloceanspaces.com/Ukraine_Witness_Datasheet/Worksheet/youtube_dl_1499542895954522113.mp4" TargetMode="External"/><Relationship Id="rId6874" Type="http://schemas.openxmlformats.org/officeDocument/2006/relationships/hyperlink" Target="https://bellingcat-archive.nyc3.cdn.digitaloceanspaces.com/Ukraine_Witness_Datasheet/Worksheet/wayback__national_kharkiv-barraged-with-multiple-rocket-launchers-killing-a-dozen-of-people_2022-03-08T09:02:47.925767.png" TargetMode="External"/><Relationship Id="rId595" Type="http://schemas.openxmlformats.org/officeDocument/2006/relationships/hyperlink" Target="https://bellingcat-archive.nyc3.cdn.digitaloceanspaces.com/Ukraine_Witness_Datasheet/Worksheet/youtube_dl__GirkinGirkin_status_14903557013021409292022-02-25T13:20:05.856183.png" TargetMode="External"/><Relationship Id="rId4214" Type="http://schemas.openxmlformats.org/officeDocument/2006/relationships/hyperlink" Target="https://twitter.com/Euan_MacDonald/status/1498551778853404674?s=20&amp;t=BRA5LLszUShbt7IVebiZwA" TargetMode="External"/><Relationship Id="rId5544" Type="http://schemas.openxmlformats.org/officeDocument/2006/relationships/hyperlink" Target="https://bellingcat-archive.nyc3.cdn.digitaloceanspaces.com/Ukraine_Witness_Datasheet/Worksheet/youtube_dl__hengenahm_status_14995428959545221132022-03-04T10:40:36.876083.png" TargetMode="External"/><Relationship Id="rId6875" Type="http://schemas.openxmlformats.org/officeDocument/2006/relationships/hyperlink" Target="https://t.me/truexanewsua/25707" TargetMode="External"/><Relationship Id="rId6825" Type="http://schemas.openxmlformats.org/officeDocument/2006/relationships/hyperlink" Target="https://twitter.com/kgb_files/status/1498284698690363393" TargetMode="External"/><Relationship Id="rId6826" Type="http://schemas.openxmlformats.org/officeDocument/2006/relationships/hyperlink" Target="https://bellingcat-archive.nyc3.cdn.digitaloceanspaces.com/Ukraine_Witness_Datasheet/Worksheet/youtube_dl_1498284698690363393.mp4" TargetMode="External"/><Relationship Id="rId6823" Type="http://schemas.openxmlformats.org/officeDocument/2006/relationships/hyperlink" Target="https://web.archive.org/web/20220308085633/https://t.me/c/1347456995/39128" TargetMode="External"/><Relationship Id="rId6824" Type="http://schemas.openxmlformats.org/officeDocument/2006/relationships/hyperlink" Target="https://bellingcat-archive.nyc3.cdn.digitaloceanspaces.com/Ukraine_Witness_Datasheet/Worksheet/wayback__c_1347456995_391282022-03-08T08:58:07.115822.png" TargetMode="External"/><Relationship Id="rId6829" Type="http://schemas.openxmlformats.org/officeDocument/2006/relationships/hyperlink" Target="https://t.me/Tsaplienko/1400" TargetMode="External"/><Relationship Id="rId6827" Type="http://schemas.openxmlformats.org/officeDocument/2006/relationships/hyperlink" Target="https://bellingcat-archive.nyc3.cdn.digitaloceanspaces.com/Ukraine_Witness_Datasheet/Worksheet/youtube_dl__kgb_files_status_14982846986903633932022-03-08T08:58:17.743941.png" TargetMode="External"/><Relationship Id="rId6828" Type="http://schemas.openxmlformats.org/officeDocument/2006/relationships/hyperlink" Target="https://bellingcat-archive.nyc3.cdn.digitaloceanspaces.com/Ukraine_Witness_Datasheet/Worksheet/youtube_dl_1498284698690363393/index.html" TargetMode="External"/><Relationship Id="rId547" Type="http://schemas.openxmlformats.org/officeDocument/2006/relationships/hyperlink" Target="https://twitter.com/GirkinGirkin/status/1490270307558510593" TargetMode="External"/><Relationship Id="rId546" Type="http://schemas.openxmlformats.org/officeDocument/2006/relationships/hyperlink" Target="https://bellingcat-archive.nyc3.cdn.digitaloceanspaces.com/Ukraine_Witness_Datasheet/Worksheet/youtube_dl_1490414225579286528/index.html" TargetMode="External"/><Relationship Id="rId545" Type="http://schemas.openxmlformats.org/officeDocument/2006/relationships/hyperlink" Target="https://bellingcat-archive.nyc3.cdn.digitaloceanspaces.com/Ukraine_Witness_Datasheet/Worksheet/youtube_dl__4emberlen_status_14904142255792865282022-02-25T13:17:06.005720.png" TargetMode="External"/><Relationship Id="rId544" Type="http://schemas.openxmlformats.org/officeDocument/2006/relationships/hyperlink" Target="https://bellingcat-archive.nyc3.cdn.digitaloceanspaces.com/Ukraine_Witness_Datasheet/Worksheet/youtube_dl_1490414225579286528.mp4" TargetMode="External"/><Relationship Id="rId549" Type="http://schemas.openxmlformats.org/officeDocument/2006/relationships/hyperlink" Target="https://bellingcat-archive.nyc3.cdn.digitaloceanspaces.com/Ukraine_Witness_Datasheet/Worksheet/youtube_dl_1490270307558510593.mp4" TargetMode="External"/><Relationship Id="rId548" Type="http://schemas.openxmlformats.org/officeDocument/2006/relationships/hyperlink" Target="https://twitter.com/gfusfus/status/1490463954765848589" TargetMode="External"/><Relationship Id="rId543" Type="http://schemas.openxmlformats.org/officeDocument/2006/relationships/hyperlink" Target="https://twitter.com/gfusfus/status/1490473944142467076" TargetMode="External"/><Relationship Id="rId6821" Type="http://schemas.openxmlformats.org/officeDocument/2006/relationships/hyperlink" Target="https://bellingcat-archive.nyc3.cdn.digitaloceanspaces.com/Ukraine_Witness_Datasheet/Worksheet/youtube_dl_1498268564922449923/index.html" TargetMode="External"/><Relationship Id="rId542" Type="http://schemas.openxmlformats.org/officeDocument/2006/relationships/hyperlink" Target="https://twitter.com/4emberlen/status/1490414225579286528" TargetMode="External"/><Relationship Id="rId6822" Type="http://schemas.openxmlformats.org/officeDocument/2006/relationships/hyperlink" Target="https://t.me/c/1347456995/39128" TargetMode="External"/><Relationship Id="rId541" Type="http://schemas.openxmlformats.org/officeDocument/2006/relationships/hyperlink" Target="https://bellingcat-archive.nyc3.cdn.digitaloceanspaces.com/Ukraine_Witness_Datasheet/Worksheet/youtube_dl_1490472689273823233/index.html" TargetMode="External"/><Relationship Id="rId540" Type="http://schemas.openxmlformats.org/officeDocument/2006/relationships/hyperlink" Target="https://bellingcat-archive.nyc3.cdn.digitaloceanspaces.com/Ukraine_Witness_Datasheet/Worksheet/youtube_dl__4emberlen_status_14904726892738232332022-02-25T13:16:45.284488.png" TargetMode="External"/><Relationship Id="rId6820" Type="http://schemas.openxmlformats.org/officeDocument/2006/relationships/hyperlink" Target="https://bellingcat-archive.nyc3.cdn.digitaloceanspaces.com/Ukraine_Witness_Datasheet/Worksheet/youtube_dl__StJavelinUkr_status_14982685649224499232022-03-08T08:56:11.299027.png" TargetMode="External"/><Relationship Id="rId6814" Type="http://schemas.openxmlformats.org/officeDocument/2006/relationships/hyperlink" Target="https://bellingcat-archive.nyc3.cdn.digitaloceanspaces.com/Ukraine_Witness_Datasheet/Worksheet/telegram__livekharkov_27662.html" TargetMode="External"/><Relationship Id="rId6815" Type="http://schemas.openxmlformats.org/officeDocument/2006/relationships/hyperlink" Target="https://bellingcat-archive.nyc3.cdn.digitaloceanspaces.com/Ukraine_Witness_Datasheet/Worksheet/telegram__livekharkov_276622022-03-08T08:55:49.150390.png" TargetMode="External"/><Relationship Id="rId6812" Type="http://schemas.openxmlformats.org/officeDocument/2006/relationships/hyperlink" Target="https://bellingcat-archive.nyc3.cdn.digitaloceanspaces.com/Ukraine_Witness_Datasheet/Worksheet/twitter__2022Kharkiv_status_14979094478296965192022-03-08T08:55:39.420273.png" TargetMode="External"/><Relationship Id="rId6813" Type="http://schemas.openxmlformats.org/officeDocument/2006/relationships/hyperlink" Target="https://t.me/livekharkov/27662" TargetMode="External"/><Relationship Id="rId6818" Type="http://schemas.openxmlformats.org/officeDocument/2006/relationships/hyperlink" Target="https://twitter.com/StJavelinUkr/status/1498268564922449923?s=20&amp;t=aAsF3wLtOmuVJWrXQTxwHA" TargetMode="External"/><Relationship Id="rId6819" Type="http://schemas.openxmlformats.org/officeDocument/2006/relationships/hyperlink" Target="https://bellingcat-archive.nyc3.cdn.digitaloceanspaces.com/Ukraine_Witness_Datasheet/Worksheet/youtube_dl_1498268564922449923.mp4" TargetMode="External"/><Relationship Id="rId6816" Type="http://schemas.openxmlformats.org/officeDocument/2006/relationships/hyperlink" Target="https://bellingcat-archive.nyc3.cdn.digitaloceanspaces.com/Ukraine_Witness_Datasheet/Worksheet/telegram__truexanewsua_24773.html" TargetMode="External"/><Relationship Id="rId6817" Type="http://schemas.openxmlformats.org/officeDocument/2006/relationships/hyperlink" Target="https://bellingcat-archive.nyc3.cdn.digitaloceanspaces.com/Ukraine_Witness_Datasheet/Worksheet/telegram__truexanewsua_247732022-03-08T08:55:59.400105.png" TargetMode="External"/><Relationship Id="rId536" Type="http://schemas.openxmlformats.org/officeDocument/2006/relationships/hyperlink" Target="https://bellingcat-archive.nyc3.cdn.digitaloceanspaces.com/Ukraine_Witness_Datasheet/Worksheet/youtube_dl_1490306155540844544/index.html" TargetMode="External"/><Relationship Id="rId535" Type="http://schemas.openxmlformats.org/officeDocument/2006/relationships/hyperlink" Target="https://bellingcat-archive.nyc3.cdn.digitaloceanspaces.com/Ukraine_Witness_Datasheet/Worksheet/youtube_dl__GirkinGirkin_status_14903061555408445442022-02-25T13:16:29.299179.png" TargetMode="External"/><Relationship Id="rId534" Type="http://schemas.openxmlformats.org/officeDocument/2006/relationships/hyperlink" Target="https://bellingcat-archive.nyc3.cdn.digitaloceanspaces.com/Ukraine_Witness_Datasheet/Worksheet/youtube_dl_1490306155540844544.mp4" TargetMode="External"/><Relationship Id="rId533" Type="http://schemas.openxmlformats.org/officeDocument/2006/relationships/hyperlink" Target="https://twitter.com/gfusfus/status/1490699967970914306" TargetMode="External"/><Relationship Id="rId539" Type="http://schemas.openxmlformats.org/officeDocument/2006/relationships/hyperlink" Target="https://bellingcat-archive.nyc3.cdn.digitaloceanspaces.com/Ukraine_Witness_Datasheet/Worksheet/youtube_dl_1490472689273823233.mp4" TargetMode="External"/><Relationship Id="rId538" Type="http://schemas.openxmlformats.org/officeDocument/2006/relationships/hyperlink" Target="https://twitter.com/gfusfus/status/1490479111306891266" TargetMode="External"/><Relationship Id="rId537" Type="http://schemas.openxmlformats.org/officeDocument/2006/relationships/hyperlink" Target="https://twitter.com/4emberlen/status/1490472689273823233" TargetMode="External"/><Relationship Id="rId532" Type="http://schemas.openxmlformats.org/officeDocument/2006/relationships/hyperlink" Target="https://twitter.com/GirkinGirkin/status/1490306155540844544" TargetMode="External"/><Relationship Id="rId6810" Type="http://schemas.openxmlformats.org/officeDocument/2006/relationships/hyperlink" Target="https://twitter.com/2022Kharkiv/status/1497909447829696519?s=20&amp;t=aAsF3wLtOmuVJWrXQTxwHA" TargetMode="External"/><Relationship Id="rId531" Type="http://schemas.openxmlformats.org/officeDocument/2006/relationships/hyperlink" Target="https://bellingcat-archive.nyc3.cdn.digitaloceanspaces.com/Ukraine_Witness_Datasheet/Worksheet/youtube_dl_1490811870453940231/index.html" TargetMode="External"/><Relationship Id="rId6811" Type="http://schemas.openxmlformats.org/officeDocument/2006/relationships/hyperlink" Target="https://bellingcat-archive.nyc3.cdn.digitaloceanspaces.com/Ukraine_Witness_Datasheet/Worksheet/twitter__2022Kharkiv_status_1497909447829696519.html" TargetMode="External"/><Relationship Id="rId530" Type="http://schemas.openxmlformats.org/officeDocument/2006/relationships/hyperlink" Target="https://bellingcat-archive.nyc3.cdn.digitaloceanspaces.com/Ukraine_Witness_Datasheet/Worksheet/youtube_dl__JC_Monitoring_status_14908118704539402312022-02-25T13:16:12.315714.png" TargetMode="External"/><Relationship Id="rId5516" Type="http://schemas.openxmlformats.org/officeDocument/2006/relationships/hyperlink" Target="https://t.me/pravdaGerashchenko_en/861" TargetMode="External"/><Relationship Id="rId6847" Type="http://schemas.openxmlformats.org/officeDocument/2006/relationships/hyperlink" Target="https://web.archive.org/web/20220308085633/https://t.me/c/1347456995/39128" TargetMode="External"/><Relationship Id="rId5517" Type="http://schemas.openxmlformats.org/officeDocument/2006/relationships/hyperlink" Target="https://bellingcat-archive.nyc3.cdn.digitaloceanspaces.com/Ukraine_Witness_Datasheet/Worksheet/telegram_c45af1fb49.mp4" TargetMode="External"/><Relationship Id="rId6848" Type="http://schemas.openxmlformats.org/officeDocument/2006/relationships/hyperlink" Target="https://bellingcat-archive.nyc3.cdn.digitaloceanspaces.com/Ukraine_Witness_Datasheet/Worksheet/wayback__c_1347456995_391282022-03-08T08:58:07.115822.png" TargetMode="External"/><Relationship Id="rId5514" Type="http://schemas.openxmlformats.org/officeDocument/2006/relationships/hyperlink" Target="https://bellingcat-archive.nyc3.cdn.digitaloceanspaces.com/Ukraine_Witness_Datasheet/Worksheet/twitter__UAWeapons_status_1499479184342757391.html" TargetMode="External"/><Relationship Id="rId6845" Type="http://schemas.openxmlformats.org/officeDocument/2006/relationships/hyperlink" Target="https://t.me/truexanewsua/25707" TargetMode="External"/><Relationship Id="rId5515" Type="http://schemas.openxmlformats.org/officeDocument/2006/relationships/hyperlink" Target="https://bellingcat-archive.nyc3.cdn.digitaloceanspaces.com/Ukraine_Witness_Datasheet/Worksheet/twitter__UAWeapons_status_14994791843427573912022-03-04T10:25:31.582837.png" TargetMode="External"/><Relationship Id="rId6846" Type="http://schemas.openxmlformats.org/officeDocument/2006/relationships/hyperlink" Target="https://t.me/c/1347456995/39128" TargetMode="External"/><Relationship Id="rId5518" Type="http://schemas.openxmlformats.org/officeDocument/2006/relationships/hyperlink" Target="https://bellingcat-archive.nyc3.cdn.digitaloceanspaces.com/Ukraine_Witness_Datasheet/Worksheet/telegram__pravdaGerashchenko_en_8612022-03-04T11:10:09.888792.png" TargetMode="External"/><Relationship Id="rId6849" Type="http://schemas.openxmlformats.org/officeDocument/2006/relationships/hyperlink" Target="https://t.me/truexanewsua/25707" TargetMode="External"/><Relationship Id="rId5519" Type="http://schemas.openxmlformats.org/officeDocument/2006/relationships/hyperlink" Target="https://bellingcat-archive.nyc3.cdn.digitaloceanspaces.com/Ukraine_Witness_Datasheet/Worksheet/telegram_c45af1fb49/index.html" TargetMode="External"/><Relationship Id="rId569" Type="http://schemas.openxmlformats.org/officeDocument/2006/relationships/hyperlink" Target="https://bellingcat-archive.nyc3.cdn.digitaloceanspaces.com/Ukraine_Witness_Datasheet/Worksheet/youtube_dl_1482434887621689347.mp4" TargetMode="External"/><Relationship Id="rId568" Type="http://schemas.openxmlformats.org/officeDocument/2006/relationships/hyperlink" Target="https://twitter.com/il_kanguru/status/1482721114157686793" TargetMode="External"/><Relationship Id="rId567" Type="http://schemas.openxmlformats.org/officeDocument/2006/relationships/hyperlink" Target="https://twitter.com/GirkinGirkin/status/1482434887621689347" TargetMode="External"/><Relationship Id="rId566" Type="http://schemas.openxmlformats.org/officeDocument/2006/relationships/hyperlink" Target="https://bellingcat-archive.nyc3.cdn.digitaloceanspaces.com/Ukraine_Witness_Datasheet/Worksheet/youtube_dl_1490368912244056064/index.html" TargetMode="External"/><Relationship Id="rId561" Type="http://schemas.openxmlformats.org/officeDocument/2006/relationships/hyperlink" Target="https://bellingcat-archive.nyc3.cdn.digitaloceanspaces.com/Ukraine_Witness_Datasheet/Worksheet/youtube_dl_1482809379166597121/index.html" TargetMode="External"/><Relationship Id="rId560" Type="http://schemas.openxmlformats.org/officeDocument/2006/relationships/hyperlink" Target="https://bellingcat-archive.nyc3.cdn.digitaloceanspaces.com/Ukraine_Witness_Datasheet/Worksheet/youtube_dl__4emberlen_status_14828093791665971212022-02-25T13:18:05.819688.png" TargetMode="External"/><Relationship Id="rId6840" Type="http://schemas.openxmlformats.org/officeDocument/2006/relationships/hyperlink" Target="https://bellingcat-archive.nyc3.cdn.digitaloceanspaces.com/Ukraine_Witness_Datasheet/Worksheet/telegram_dc5b75093c/index.html" TargetMode="External"/><Relationship Id="rId565" Type="http://schemas.openxmlformats.org/officeDocument/2006/relationships/hyperlink" Target="https://bellingcat-archive.nyc3.cdn.digitaloceanspaces.com/Ukraine_Witness_Datasheet/Worksheet/youtube_dl__GirkinGirkin_status_14903689122440560642022-02-25T13:18:23.207625.png" TargetMode="External"/><Relationship Id="rId5512" Type="http://schemas.openxmlformats.org/officeDocument/2006/relationships/hyperlink" Target="https://twitter.com/UAWeapons/status/1499479184342757391" TargetMode="External"/><Relationship Id="rId6843" Type="http://schemas.openxmlformats.org/officeDocument/2006/relationships/hyperlink" Target="https://bellingcat-archive.nyc3.cdn.digitaloceanspaces.com/Ukraine_Witness_Datasheet/Worksheet/telegram__truexanewsua_257072022-03-08T08:59:55.068018.png" TargetMode="External"/><Relationship Id="rId564" Type="http://schemas.openxmlformats.org/officeDocument/2006/relationships/hyperlink" Target="https://bellingcat-archive.nyc3.cdn.digitaloceanspaces.com/Ukraine_Witness_Datasheet/Worksheet/youtube_dl_1490368912244056064.mp4" TargetMode="External"/><Relationship Id="rId5513" Type="http://schemas.openxmlformats.org/officeDocument/2006/relationships/hyperlink" Target="https://twitter.com/grad_harrison/status/1499483874757386246" TargetMode="External"/><Relationship Id="rId6844" Type="http://schemas.openxmlformats.org/officeDocument/2006/relationships/hyperlink" Target="https://bellingcat-archive.nyc3.cdn.digitaloceanspaces.com/Ukraine_Witness_Datasheet/Worksheet/telegram_dc5b75093c/index.html" TargetMode="External"/><Relationship Id="rId563" Type="http://schemas.openxmlformats.org/officeDocument/2006/relationships/hyperlink" Target="https://twitter.com/gfusfus/status/1490423334533664771" TargetMode="External"/><Relationship Id="rId5510" Type="http://schemas.openxmlformats.org/officeDocument/2006/relationships/hyperlink" Target="https://bellingcat-archive.nyc3.cdn.digitaloceanspaces.com/Ukraine_Witness_Datasheet/Worksheet/youtube_dl__GirkinGirkin_status_14996089845625159712022-03-04T10:25:15.030780.png" TargetMode="External"/><Relationship Id="rId6841" Type="http://schemas.openxmlformats.org/officeDocument/2006/relationships/hyperlink" Target="https://t.me/truexanewsua/25707" TargetMode="External"/><Relationship Id="rId562" Type="http://schemas.openxmlformats.org/officeDocument/2006/relationships/hyperlink" Target="https://twitter.com/GirkinGirkin/status/1490368912244056064" TargetMode="External"/><Relationship Id="rId5511" Type="http://schemas.openxmlformats.org/officeDocument/2006/relationships/hyperlink" Target="https://bellingcat-archive.nyc3.cdn.digitaloceanspaces.com/Ukraine_Witness_Datasheet/Worksheet/youtube_dl_1499608984562515971/index.html" TargetMode="External"/><Relationship Id="rId6842" Type="http://schemas.openxmlformats.org/officeDocument/2006/relationships/hyperlink" Target="https://bellingcat-archive.nyc3.cdn.digitaloceanspaces.com/Ukraine_Witness_Datasheet/Worksheet/telegram_dc5b75093c.mp4" TargetMode="External"/><Relationship Id="rId5505" Type="http://schemas.openxmlformats.org/officeDocument/2006/relationships/hyperlink" Target="https://bellingcat-archive.nyc3.cdn.digitaloceanspaces.com/Ukraine_Witness_Datasheet/Worksheet/youtube_dl_1499654589766946820.mp4" TargetMode="External"/><Relationship Id="rId6836" Type="http://schemas.openxmlformats.org/officeDocument/2006/relationships/hyperlink" Target="https://bellingcat-archive.nyc3.cdn.digitaloceanspaces.com/Ukraine_Witness_Datasheet/Worksheet/telegram__livekharkov_280812022-03-08T08:59:00.876266.png" TargetMode="External"/><Relationship Id="rId5506" Type="http://schemas.openxmlformats.org/officeDocument/2006/relationships/hyperlink" Target="https://bellingcat-archive.nyc3.cdn.digitaloceanspaces.com/Ukraine_Witness_Datasheet/Worksheet/youtube_dl__nexta_tv_status_14996545897669468202022-03-04T10:21:07.874995.png" TargetMode="External"/><Relationship Id="rId6837" Type="http://schemas.openxmlformats.org/officeDocument/2006/relationships/hyperlink" Target="https://t.me/truexanewsua/25707" TargetMode="External"/><Relationship Id="rId5503" Type="http://schemas.openxmlformats.org/officeDocument/2006/relationships/hyperlink" Target="https://bellingcat-archive.nyc3.cdn.digitaloceanspaces.com/Ukraine_Witness_Datasheet/Worksheet/telegram__milinfolive_779172022-03-04T10:45:10.330269.png" TargetMode="External"/><Relationship Id="rId6834" Type="http://schemas.openxmlformats.org/officeDocument/2006/relationships/hyperlink" Target="https://t.me/livekharkov/28081" TargetMode="External"/><Relationship Id="rId5504" Type="http://schemas.openxmlformats.org/officeDocument/2006/relationships/hyperlink" Target="https://twitter.com/nexta_tv/status/1499654589766946820" TargetMode="External"/><Relationship Id="rId6835" Type="http://schemas.openxmlformats.org/officeDocument/2006/relationships/hyperlink" Target="https://bellingcat-archive.nyc3.cdn.digitaloceanspaces.com/Ukraine_Witness_Datasheet/Worksheet/telegram__livekharkov_28081.html" TargetMode="External"/><Relationship Id="rId5509" Type="http://schemas.openxmlformats.org/officeDocument/2006/relationships/hyperlink" Target="https://bellingcat-archive.nyc3.cdn.digitaloceanspaces.com/Ukraine_Witness_Datasheet/Worksheet/youtube_dl_1499608984562515971.mp4" TargetMode="External"/><Relationship Id="rId5507" Type="http://schemas.openxmlformats.org/officeDocument/2006/relationships/hyperlink" Target="https://bellingcat-archive.nyc3.cdn.digitaloceanspaces.com/Ukraine_Witness_Datasheet/Worksheet/youtube_dl_1499654589766946820/index.html" TargetMode="External"/><Relationship Id="rId6838" Type="http://schemas.openxmlformats.org/officeDocument/2006/relationships/hyperlink" Target="https://bellingcat-archive.nyc3.cdn.digitaloceanspaces.com/Ukraine_Witness_Datasheet/Worksheet/telegram_dc5b75093c.mp4" TargetMode="External"/><Relationship Id="rId5508" Type="http://schemas.openxmlformats.org/officeDocument/2006/relationships/hyperlink" Target="https://twitter.com/GirkinGirkin/status/1499608984562515971" TargetMode="External"/><Relationship Id="rId6839" Type="http://schemas.openxmlformats.org/officeDocument/2006/relationships/hyperlink" Target="https://bellingcat-archive.nyc3.cdn.digitaloceanspaces.com/Ukraine_Witness_Datasheet/Worksheet/telegram__truexanewsua_257072022-03-08T08:59:13.620767.png" TargetMode="External"/><Relationship Id="rId558" Type="http://schemas.openxmlformats.org/officeDocument/2006/relationships/hyperlink" Target="https://twitter.com/il_kanguru/status/1482926577113518082" TargetMode="External"/><Relationship Id="rId557" Type="http://schemas.openxmlformats.org/officeDocument/2006/relationships/hyperlink" Target="https://twitter.com/4emberlen/status/1482809379166597121" TargetMode="External"/><Relationship Id="rId556" Type="http://schemas.openxmlformats.org/officeDocument/2006/relationships/hyperlink" Target="https://bellingcat-archive.nyc3.cdn.digitaloceanspaces.com/Ukraine_Witness_Datasheet/Worksheet/youtube_dl_1482924741400924160/index.html" TargetMode="External"/><Relationship Id="rId555" Type="http://schemas.openxmlformats.org/officeDocument/2006/relationships/hyperlink" Target="https://bellingcat-archive.nyc3.cdn.digitaloceanspaces.com/Ukraine_Witness_Datasheet/Worksheet/youtube_dl__GirkinGirkin_status_14829247414009241602022-02-25T13:17:43.836810.png" TargetMode="External"/><Relationship Id="rId559" Type="http://schemas.openxmlformats.org/officeDocument/2006/relationships/hyperlink" Target="https://bellingcat-archive.nyc3.cdn.digitaloceanspaces.com/Ukraine_Witness_Datasheet/Worksheet/youtube_dl_1482809379166597121.mp4" TargetMode="External"/><Relationship Id="rId550" Type="http://schemas.openxmlformats.org/officeDocument/2006/relationships/hyperlink" Target="https://bellingcat-archive.nyc3.cdn.digitaloceanspaces.com/Ukraine_Witness_Datasheet/Worksheet/youtube_dl__GirkinGirkin_status_14902703075585105932022-02-25T13:17:23.985152.png" TargetMode="External"/><Relationship Id="rId554" Type="http://schemas.openxmlformats.org/officeDocument/2006/relationships/hyperlink" Target="https://bellingcat-archive.nyc3.cdn.digitaloceanspaces.com/Ukraine_Witness_Datasheet/Worksheet/youtube_dl_1482924741400924160.mp4" TargetMode="External"/><Relationship Id="rId5501" Type="http://schemas.openxmlformats.org/officeDocument/2006/relationships/hyperlink" Target="https://t.me/milinfolive/77917" TargetMode="External"/><Relationship Id="rId6832" Type="http://schemas.openxmlformats.org/officeDocument/2006/relationships/hyperlink" Target="https://bellingcat-archive.nyc3.cdn.digitaloceanspaces.com/Ukraine_Witness_Datasheet/Worksheet/telegram_b1a11baffc/index.html" TargetMode="External"/><Relationship Id="rId553" Type="http://schemas.openxmlformats.org/officeDocument/2006/relationships/hyperlink" Target="https://twitter.com/il_kanguru/status/1482930462775558144" TargetMode="External"/><Relationship Id="rId5502" Type="http://schemas.openxmlformats.org/officeDocument/2006/relationships/hyperlink" Target="https://bellingcat-archive.nyc3.cdn.digitaloceanspaces.com/Ukraine_Witness_Datasheet/Worksheet/telegram__milinfolive_77917.html" TargetMode="External"/><Relationship Id="rId6833" Type="http://schemas.openxmlformats.org/officeDocument/2006/relationships/hyperlink" Target="https://t.me/Tsaplienko/1400" TargetMode="External"/><Relationship Id="rId552" Type="http://schemas.openxmlformats.org/officeDocument/2006/relationships/hyperlink" Target="https://twitter.com/GirkinGirkin/status/1482924741400924160" TargetMode="External"/><Relationship Id="rId6830" Type="http://schemas.openxmlformats.org/officeDocument/2006/relationships/hyperlink" Target="https://bellingcat-archive.nyc3.cdn.digitaloceanspaces.com/Ukraine_Witness_Datasheet/Worksheet/telegram_b1a11baffc.mp4" TargetMode="External"/><Relationship Id="rId551" Type="http://schemas.openxmlformats.org/officeDocument/2006/relationships/hyperlink" Target="https://bellingcat-archive.nyc3.cdn.digitaloceanspaces.com/Ukraine_Witness_Datasheet/Worksheet/youtube_dl_1490270307558510593/index.html" TargetMode="External"/><Relationship Id="rId5500" Type="http://schemas.openxmlformats.org/officeDocument/2006/relationships/hyperlink" Target="https://bellingcat-archive.nyc3.cdn.digitaloceanspaces.com/Ukraine_Witness_Datasheet/Worksheet/tiktok_7069000165452942593/index.html" TargetMode="External"/><Relationship Id="rId6831" Type="http://schemas.openxmlformats.org/officeDocument/2006/relationships/hyperlink" Target="https://bellingcat-archive.nyc3.cdn.digitaloceanspaces.com/Ukraine_Witness_Datasheet/Worksheet/telegram__Tsaplienko_14002022-03-08T08:58:30.297673.png" TargetMode="External"/><Relationship Id="rId4280" Type="http://schemas.openxmlformats.org/officeDocument/2006/relationships/hyperlink" Target="https://bellingcat-archive.nyc3.cdn.digitaloceanspaces.com/Ukraine_Witness_Datasheet/Worksheet/youtube_dl_1498605883886080000.mp4" TargetMode="External"/><Relationship Id="rId4282" Type="http://schemas.openxmlformats.org/officeDocument/2006/relationships/hyperlink" Target="https://bellingcat-archive.nyc3.cdn.digitaloceanspaces.com/Ukraine_Witness_Datasheet/Worksheet/youtube_dl_1498605883886080000/index.html" TargetMode="External"/><Relationship Id="rId4281" Type="http://schemas.openxmlformats.org/officeDocument/2006/relationships/hyperlink" Target="https://bellingcat-archive.nyc3.cdn.digitaloceanspaces.com/Ukraine_Witness_Datasheet/Worksheet/youtube_dl__RALee85_status_14986058838860800002022-03-01T13:50:42.489634.png" TargetMode="External"/><Relationship Id="rId4284" Type="http://schemas.openxmlformats.org/officeDocument/2006/relationships/hyperlink" Target="https://bellingcat-archive.nyc3.cdn.digitaloceanspaces.com/Ukraine_Witness_Datasheet/Worksheet/youtube_dl_1498603941214441478.mp4" TargetMode="External"/><Relationship Id="rId4283" Type="http://schemas.openxmlformats.org/officeDocument/2006/relationships/hyperlink" Target="https://twitter.com/michaelh992/status/1498603941214441478" TargetMode="External"/><Relationship Id="rId4286" Type="http://schemas.openxmlformats.org/officeDocument/2006/relationships/hyperlink" Target="https://bellingcat-archive.nyc3.cdn.digitaloceanspaces.com/Ukraine_Witness_Datasheet/Worksheet/youtube_dl_1498603941214441478/index.html" TargetMode="External"/><Relationship Id="rId4285" Type="http://schemas.openxmlformats.org/officeDocument/2006/relationships/hyperlink" Target="https://bellingcat-archive.nyc3.cdn.digitaloceanspaces.com/Ukraine_Witness_Datasheet/Worksheet/youtube_dl__michaelh992_status_14986039412144414782022-03-01T13:51:06.000101.png" TargetMode="External"/><Relationship Id="rId4288" Type="http://schemas.openxmlformats.org/officeDocument/2006/relationships/hyperlink" Target="https://bellingcat-archive.nyc3.cdn.digitaloceanspaces.com/Ukraine_Witness_Datasheet/Worksheet/youtube_dl_1498611237948694533.mp4" TargetMode="External"/><Relationship Id="rId4287" Type="http://schemas.openxmlformats.org/officeDocument/2006/relationships/hyperlink" Target="https://twitter.com/gt_lotrz/status/1498611237948694533" TargetMode="External"/><Relationship Id="rId4289" Type="http://schemas.openxmlformats.org/officeDocument/2006/relationships/hyperlink" Target="https://bellingcat-archive.nyc3.cdn.digitaloceanspaces.com/Ukraine_Witness_Datasheet/Worksheet/youtube_dl__gt_lotrz_status_14986112379486945332022-03-01T13:51:40.043527.png" TargetMode="External"/><Relationship Id="rId4271" Type="http://schemas.openxmlformats.org/officeDocument/2006/relationships/hyperlink" Target="https://twitter.com/verkhovna_rada/status/1498608507486093315" TargetMode="External"/><Relationship Id="rId4270" Type="http://schemas.openxmlformats.org/officeDocument/2006/relationships/hyperlink" Target="https://bellingcat-archive.nyc3.cdn.digitaloceanspaces.com/Ukraine_Witness_Datasheet/Worksheet/youtube_dl_1498261970318991366/index.html" TargetMode="External"/><Relationship Id="rId4273" Type="http://schemas.openxmlformats.org/officeDocument/2006/relationships/hyperlink" Target="https://bellingcat-archive.nyc3.cdn.digitaloceanspaces.com/Ukraine_Witness_Datasheet/Worksheet/youtube_dl__verkhovna_rada_status_14986085074860933152022-03-01T13:49:52.631865.png" TargetMode="External"/><Relationship Id="rId4272" Type="http://schemas.openxmlformats.org/officeDocument/2006/relationships/hyperlink" Target="https://bellingcat-archive.nyc3.cdn.digitaloceanspaces.com/Ukraine_Witness_Datasheet/Worksheet/youtube_dl_1498608507486093315.mp4" TargetMode="External"/><Relationship Id="rId4275" Type="http://schemas.openxmlformats.org/officeDocument/2006/relationships/hyperlink" Target="https://twitter.com/michaelh992/status/1498592167966695424" TargetMode="External"/><Relationship Id="rId4274" Type="http://schemas.openxmlformats.org/officeDocument/2006/relationships/hyperlink" Target="https://bellingcat-archive.nyc3.cdn.digitaloceanspaces.com/Ukraine_Witness_Datasheet/Worksheet/youtube_dl_1498608507486093315/index.html" TargetMode="External"/><Relationship Id="rId4277" Type="http://schemas.openxmlformats.org/officeDocument/2006/relationships/hyperlink" Target="https://bellingcat-archive.nyc3.cdn.digitaloceanspaces.com/Ukraine_Witness_Datasheet/Worksheet/youtube_dl__michaelh992_status_14985921679666954242022-03-01T13:50:10.128670.png" TargetMode="External"/><Relationship Id="rId4276" Type="http://schemas.openxmlformats.org/officeDocument/2006/relationships/hyperlink" Target="https://bellingcat-archive.nyc3.cdn.digitaloceanspaces.com/Ukraine_Witness_Datasheet/Worksheet/youtube_dl_1498592167966695424.mp4" TargetMode="External"/><Relationship Id="rId4279" Type="http://schemas.openxmlformats.org/officeDocument/2006/relationships/hyperlink" Target="https://twitter.com/RALee85/status/1498605883886080000" TargetMode="External"/><Relationship Id="rId4278" Type="http://schemas.openxmlformats.org/officeDocument/2006/relationships/hyperlink" Target="https://bellingcat-archive.nyc3.cdn.digitaloceanspaces.com/Ukraine_Witness_Datasheet/Worksheet/youtube_dl_1498592167966695424/index.html" TargetMode="External"/><Relationship Id="rId4291" Type="http://schemas.openxmlformats.org/officeDocument/2006/relationships/hyperlink" Target="https://www.facebook.com/Dmytro.Lunin/posts/5550840651625357?__cft__%5B0%5D=AZXlywU7BQajUEwlUiGjbLvGAifEJ6NM1vf_oklRJFZLeoTzVF-gJ4npmEQ_EIwBLf-mCfxZ1w_ykOco4mTXVwRFqcBEM1TWfd2Z4nOFZGz-6E9yyTADIov-v68Bl_XaZIA&amp;__tn__=%2CO%2CP-R" TargetMode="External"/><Relationship Id="rId4290" Type="http://schemas.openxmlformats.org/officeDocument/2006/relationships/hyperlink" Target="https://bellingcat-archive.nyc3.cdn.digitaloceanspaces.com/Ukraine_Witness_Datasheet/Worksheet/youtube_dl_1498611237948694533/index.html" TargetMode="External"/><Relationship Id="rId4293" Type="http://schemas.openxmlformats.org/officeDocument/2006/relationships/hyperlink" Target="https://bellingcat-archive.nyc3.cdn.digitaloceanspaces.com/Ukraine_Witness_Datasheet/Worksheet/wayback__Dmytro.Lunin_posts_55508406516253572022-03-01T15:37:05.755947.png" TargetMode="External"/><Relationship Id="rId4292" Type="http://schemas.openxmlformats.org/officeDocument/2006/relationships/hyperlink" Target="https://web.archive.org/web/20220301153657/https://www.facebook.com/login/?next=https%3A%2F%2Fwww.facebook.com%2FDmytro.Lunin%2Fposts%2F5550840651625357%3F__cft__%255B0%255D%3DAZXlywU7BQajUEwlUiGjbLvGAifEJ6NM1vf_oklRJFZLeoTzVF-gJ4npmEQ_EIwBLf-mCfxZ1w_ykOco4mTXVwRFqcBEM1TWfd2Z4nOFZGz-6E9yyTADIov-v68Bl_XaZIA%26__tn__%3D%252CO%252CP-R" TargetMode="External"/><Relationship Id="rId4295" Type="http://schemas.openxmlformats.org/officeDocument/2006/relationships/hyperlink" Target="https://bellingcat-archive.nyc3.cdn.digitaloceanspaces.com/Ukraine_Witness_Datasheet/Worksheet/youtube_dl_1498636315004489734.mp4" TargetMode="External"/><Relationship Id="rId4294" Type="http://schemas.openxmlformats.org/officeDocument/2006/relationships/hyperlink" Target="https://twitter.com/aldin_ww/status/1498636315004489734" TargetMode="External"/><Relationship Id="rId4297" Type="http://schemas.openxmlformats.org/officeDocument/2006/relationships/hyperlink" Target="https://bellingcat-archive.nyc3.cdn.digitaloceanspaces.com/Ukraine_Witness_Datasheet/Worksheet/youtube_dl_1498636315004489734/index.html" TargetMode="External"/><Relationship Id="rId4296" Type="http://schemas.openxmlformats.org/officeDocument/2006/relationships/hyperlink" Target="https://bellingcat-archive.nyc3.cdn.digitaloceanspaces.com/Ukraine_Witness_Datasheet/Worksheet/youtube_dl__aldin_ww_status_14986363150044897342022-03-01T14:37:02.017294.png" TargetMode="External"/><Relationship Id="rId4299" Type="http://schemas.openxmlformats.org/officeDocument/2006/relationships/hyperlink" Target="https://bellingcat-archive.nyc3.cdn.digitaloceanspaces.com/Ukraine_Witness_Datasheet/Worksheet/twitter__Polk_Azov_status_1498638194908315648.html" TargetMode="External"/><Relationship Id="rId4298" Type="http://schemas.openxmlformats.org/officeDocument/2006/relationships/hyperlink" Target="https://twitter.com/Polk_Azov/status/1498638194908315648" TargetMode="External"/><Relationship Id="rId4249" Type="http://schemas.openxmlformats.org/officeDocument/2006/relationships/hyperlink" Target="https://bellingcat-archive.nyc3.cdn.digitaloceanspaces.com/Ukraine_Witness_Datasheet/Worksheet/youtube_dl__L_Team10_status_14985600890321141772022-03-01T11:06:52.969880.png" TargetMode="External"/><Relationship Id="rId5570" Type="http://schemas.openxmlformats.org/officeDocument/2006/relationships/hyperlink" Target="https://bellingcat-archive.nyc3.cdn.digitaloceanspaces.com/Ukraine_Witness_Datasheet/Worksheet/telegram_aa9c1ae33c/index.html" TargetMode="External"/><Relationship Id="rId5571" Type="http://schemas.openxmlformats.org/officeDocument/2006/relationships/hyperlink" Target="https://t.me/rybar/27270" TargetMode="External"/><Relationship Id="rId4240" Type="http://schemas.openxmlformats.org/officeDocument/2006/relationships/hyperlink" Target="https://twitter.com/Osinttechnical/status/1498569467445587969" TargetMode="External"/><Relationship Id="rId4242" Type="http://schemas.openxmlformats.org/officeDocument/2006/relationships/hyperlink" Target="https://bellingcat-archive.nyc3.cdn.digitaloceanspaces.com/Ukraine_Witness_Datasheet/Worksheet/twitter__Osinttechnical_status_14985694674455879692022-03-01T09:40:59.025296.png" TargetMode="External"/><Relationship Id="rId5574" Type="http://schemas.openxmlformats.org/officeDocument/2006/relationships/hyperlink" Target="https://bellingcat-archive.nyc3.cdn.digitaloceanspaces.com/Ukraine_Witness_Datasheet/Worksheet/telegram__rybar_272672022-03-04T12:16:04.067825.png" TargetMode="External"/><Relationship Id="rId4241" Type="http://schemas.openxmlformats.org/officeDocument/2006/relationships/hyperlink" Target="https://bellingcat-archive.nyc3.cdn.digitaloceanspaces.com/Ukraine_Witness_Datasheet/Worksheet/twitter__Osinttechnical_status_1498569467445587969.html" TargetMode="External"/><Relationship Id="rId5575" Type="http://schemas.openxmlformats.org/officeDocument/2006/relationships/hyperlink" Target="https://bellingcat-archive.nyc3.cdn.digitaloceanspaces.com/Ukraine_Witness_Datasheet/Worksheet/telegram_0314bee945/index.html" TargetMode="External"/><Relationship Id="rId4244" Type="http://schemas.openxmlformats.org/officeDocument/2006/relationships/hyperlink" Target="https://bellingcat-archive.nyc3.cdn.digitaloceanspaces.com/Ukraine_Witness_Datasheet/Worksheet/youtube_dl_1498585279514529797.mp4" TargetMode="External"/><Relationship Id="rId5572" Type="http://schemas.openxmlformats.org/officeDocument/2006/relationships/hyperlink" Target="https://t.me/rybar/27267" TargetMode="External"/><Relationship Id="rId4243" Type="http://schemas.openxmlformats.org/officeDocument/2006/relationships/hyperlink" Target="https://twitter.com/MarQs__/status/1498585279514529797" TargetMode="External"/><Relationship Id="rId5573" Type="http://schemas.openxmlformats.org/officeDocument/2006/relationships/hyperlink" Target="https://bellingcat-archive.nyc3.cdn.digitaloceanspaces.com/Ukraine_Witness_Datasheet/Worksheet/telegram_0314bee945.mp4" TargetMode="External"/><Relationship Id="rId4246" Type="http://schemas.openxmlformats.org/officeDocument/2006/relationships/hyperlink" Target="https://bellingcat-archive.nyc3.cdn.digitaloceanspaces.com/Ukraine_Witness_Datasheet/Worksheet/youtube_dl_1498585279514529797/index.html" TargetMode="External"/><Relationship Id="rId5578" Type="http://schemas.openxmlformats.org/officeDocument/2006/relationships/hyperlink" Target="https://bellingcat-archive.nyc3.cdn.digitaloceanspaces.com/Ukraine_Witness_Datasheet/Worksheet/telegram_d7ce4e53d3.mp4" TargetMode="External"/><Relationship Id="rId4245" Type="http://schemas.openxmlformats.org/officeDocument/2006/relationships/hyperlink" Target="https://bellingcat-archive.nyc3.cdn.digitaloceanspaces.com/Ukraine_Witness_Datasheet/Worksheet/youtube_dl__MarQs___status_14985852795145297972022-03-01T09:41:13.896705.png" TargetMode="External"/><Relationship Id="rId5579" Type="http://schemas.openxmlformats.org/officeDocument/2006/relationships/hyperlink" Target="https://bellingcat-archive.nyc3.cdn.digitaloceanspaces.com/Ukraine_Witness_Datasheet/Worksheet/telegram__istorijaoruzija_391712022-03-04T12:25:09.627737.png" TargetMode="External"/><Relationship Id="rId4248" Type="http://schemas.openxmlformats.org/officeDocument/2006/relationships/hyperlink" Target="https://bellingcat-archive.nyc3.cdn.digitaloceanspaces.com/Ukraine_Witness_Datasheet/Worksheet/youtube_dl_1498560089032114177.mp4" TargetMode="External"/><Relationship Id="rId5576" Type="http://schemas.openxmlformats.org/officeDocument/2006/relationships/hyperlink" Target="https://t.me/rybar/27267" TargetMode="External"/><Relationship Id="rId4247" Type="http://schemas.openxmlformats.org/officeDocument/2006/relationships/hyperlink" Target="https://twitter.com/L_Team10/status/1498560089032114177" TargetMode="External"/><Relationship Id="rId5577" Type="http://schemas.openxmlformats.org/officeDocument/2006/relationships/hyperlink" Target="https://t.me/istorijaoruzija/39171" TargetMode="External"/><Relationship Id="rId4239" Type="http://schemas.openxmlformats.org/officeDocument/2006/relationships/hyperlink" Target="https://bellingcat-archive.nyc3.cdn.digitaloceanspaces.com/Ukraine_Witness_Datasheet/Worksheet/twitter__Techjournalisto_status_14985782262848020492022-03-01T09:30:16.407346.png" TargetMode="External"/><Relationship Id="rId4238" Type="http://schemas.openxmlformats.org/officeDocument/2006/relationships/hyperlink" Target="https://bellingcat-archive.nyc3.cdn.digitaloceanspaces.com/Ukraine_Witness_Datasheet/Worksheet/twitter__Techjournalisto_status_1498578226284802049.html" TargetMode="External"/><Relationship Id="rId5569" Type="http://schemas.openxmlformats.org/officeDocument/2006/relationships/hyperlink" Target="https://bellingcat-archive.nyc3.cdn.digitaloceanspaces.com/Ukraine_Witness_Datasheet/Worksheet/telegram__rybar_272702022-03-04T12:15:11.070774.png" TargetMode="External"/><Relationship Id="rId6890" Type="http://schemas.openxmlformats.org/officeDocument/2006/relationships/hyperlink" Target="https://twitter.com/bura_tinko/status/1498174894890262530" TargetMode="External"/><Relationship Id="rId5560" Type="http://schemas.openxmlformats.org/officeDocument/2006/relationships/hyperlink" Target="https://bellingcat-archive.nyc3.cdn.digitaloceanspaces.com/Ukraine_Witness_Datasheet/Worksheet/youtube_dl_1499712171873222656.mp4" TargetMode="External"/><Relationship Id="rId6891" Type="http://schemas.openxmlformats.org/officeDocument/2006/relationships/hyperlink" Target="https://bellingcat-archive.nyc3.cdn.digitaloceanspaces.com/Ukraine_Witness_Datasheet/Worksheet/youtube_dl_1498174894890262530.mp4" TargetMode="External"/><Relationship Id="rId495" Type="http://schemas.openxmlformats.org/officeDocument/2006/relationships/hyperlink" Target="https://bellingcat-archive.nyc3.cdn.digitaloceanspaces.com/Ukraine_Witness_Datasheet/Worksheet/youtube_dl__GirkinGirkin_status_14913581004102246402022-02-25T13:13:58.004854.png" TargetMode="External"/><Relationship Id="rId4231" Type="http://schemas.openxmlformats.org/officeDocument/2006/relationships/hyperlink" Target="https://bellingcat-archive.nyc3.cdn.digitaloceanspaces.com/Ukraine_Witness_Datasheet/Worksheet/youtube_dl__IAPonomarenko_status_14985625670479790082022-03-01T09:29:42.218718.png" TargetMode="External"/><Relationship Id="rId5563" Type="http://schemas.openxmlformats.org/officeDocument/2006/relationships/hyperlink" Target="https://twitter.com/StateOfUkraine/status/1499712419513630721" TargetMode="External"/><Relationship Id="rId6894" Type="http://schemas.openxmlformats.org/officeDocument/2006/relationships/hyperlink" Target="https://twitter.com/666_mancer/status/1498608481590411267?s=20&amp;t=t9pbZJOmojsHcNJj5XbVhA" TargetMode="External"/><Relationship Id="rId494" Type="http://schemas.openxmlformats.org/officeDocument/2006/relationships/hyperlink" Target="https://bellingcat-archive.nyc3.cdn.digitaloceanspaces.com/Ukraine_Witness_Datasheet/Worksheet/youtube_dl_1491358100410224640.mp4" TargetMode="External"/><Relationship Id="rId4230" Type="http://schemas.openxmlformats.org/officeDocument/2006/relationships/hyperlink" Target="https://bellingcat-archive.nyc3.cdn.digitaloceanspaces.com/Ukraine_Witness_Datasheet/Worksheet/youtube_dl_1498562567047979008.mp4" TargetMode="External"/><Relationship Id="rId5564" Type="http://schemas.openxmlformats.org/officeDocument/2006/relationships/hyperlink" Target="https://bellingcat-archive.nyc3.cdn.digitaloceanspaces.com/Ukraine_Witness_Datasheet/Worksheet/youtube_dl_1499712419513630721.mp4" TargetMode="External"/><Relationship Id="rId6895" Type="http://schemas.openxmlformats.org/officeDocument/2006/relationships/hyperlink" Target="https://bellingcat-archive.nyc3.cdn.digitaloceanspaces.com/Ukraine_Witness_Datasheet/Worksheet/youtube_dl_1498608481590411267.mp4" TargetMode="External"/><Relationship Id="rId493" Type="http://schemas.openxmlformats.org/officeDocument/2006/relationships/hyperlink" Target="https://twitter.com/gfusfus/status/1491369165533609991" TargetMode="External"/><Relationship Id="rId4233" Type="http://schemas.openxmlformats.org/officeDocument/2006/relationships/hyperlink" Target="https://twitter.com/MarQs__/status/1498573344223997952" TargetMode="External"/><Relationship Id="rId5561" Type="http://schemas.openxmlformats.org/officeDocument/2006/relationships/hyperlink" Target="https://bellingcat-archive.nyc3.cdn.digitaloceanspaces.com/Ukraine_Witness_Datasheet/Worksheet/youtube_dl__nabihbulos_status_14997121718732226562022-03-04T11:50:25.762886.png" TargetMode="External"/><Relationship Id="rId6892" Type="http://schemas.openxmlformats.org/officeDocument/2006/relationships/hyperlink" Target="https://bellingcat-archive.nyc3.cdn.digitaloceanspaces.com/Ukraine_Witness_Datasheet/Worksheet/youtube_dl__bura_tinko_status_14981748948902625302022-03-08T09:04:17.242041.png" TargetMode="External"/><Relationship Id="rId492" Type="http://schemas.openxmlformats.org/officeDocument/2006/relationships/hyperlink" Target="https://twitter.com/GirkinGirkin/status/1491358100410224640" TargetMode="External"/><Relationship Id="rId4232" Type="http://schemas.openxmlformats.org/officeDocument/2006/relationships/hyperlink" Target="https://bellingcat-archive.nyc3.cdn.digitaloceanspaces.com/Ukraine_Witness_Datasheet/Worksheet/youtube_dl_1498562567047979008/index.html" TargetMode="External"/><Relationship Id="rId5562" Type="http://schemas.openxmlformats.org/officeDocument/2006/relationships/hyperlink" Target="https://bellingcat-archive.nyc3.cdn.digitaloceanspaces.com/Ukraine_Witness_Datasheet/Worksheet/youtube_dl_1499712171873222656/index.html" TargetMode="External"/><Relationship Id="rId6893" Type="http://schemas.openxmlformats.org/officeDocument/2006/relationships/hyperlink" Target="https://bellingcat-archive.nyc3.cdn.digitaloceanspaces.com/Ukraine_Witness_Datasheet/Worksheet/youtube_dl_1498174894890262530/index.html" TargetMode="External"/><Relationship Id="rId499" Type="http://schemas.openxmlformats.org/officeDocument/2006/relationships/hyperlink" Target="https://bellingcat-archive.nyc3.cdn.digitaloceanspaces.com/Ukraine_Witness_Datasheet/Worksheet/youtube_dl_1491079146797420547.mp4" TargetMode="External"/><Relationship Id="rId4235" Type="http://schemas.openxmlformats.org/officeDocument/2006/relationships/hyperlink" Target="https://bellingcat-archive.nyc3.cdn.digitaloceanspaces.com/Ukraine_Witness_Datasheet/Worksheet/youtube_dl__MarQs___status_14985733442239979522022-03-01T09:30:00.200852.png" TargetMode="External"/><Relationship Id="rId5567" Type="http://schemas.openxmlformats.org/officeDocument/2006/relationships/hyperlink" Target="https://t.me/rybar/27270" TargetMode="External"/><Relationship Id="rId6898" Type="http://schemas.openxmlformats.org/officeDocument/2006/relationships/hyperlink" Target="https://t.me/livekharkov/27993" TargetMode="External"/><Relationship Id="rId498" Type="http://schemas.openxmlformats.org/officeDocument/2006/relationships/hyperlink" Target="https://twitter.com/gfusfus/status/1491159813912670208" TargetMode="External"/><Relationship Id="rId4234" Type="http://schemas.openxmlformats.org/officeDocument/2006/relationships/hyperlink" Target="https://bellingcat-archive.nyc3.cdn.digitaloceanspaces.com/Ukraine_Witness_Datasheet/Worksheet/youtube_dl_1498573344223997952.mp4" TargetMode="External"/><Relationship Id="rId5568" Type="http://schemas.openxmlformats.org/officeDocument/2006/relationships/hyperlink" Target="https://bellingcat-archive.nyc3.cdn.digitaloceanspaces.com/Ukraine_Witness_Datasheet/Worksheet/telegram_aa9c1ae33c.mp4" TargetMode="External"/><Relationship Id="rId6899" Type="http://schemas.openxmlformats.org/officeDocument/2006/relationships/hyperlink" Target="https://bellingcat-archive.nyc3.cdn.digitaloceanspaces.com/Ukraine_Witness_Datasheet/Worksheet/telegram__livekharkov_27993.html" TargetMode="External"/><Relationship Id="rId497" Type="http://schemas.openxmlformats.org/officeDocument/2006/relationships/hyperlink" Target="https://twitter.com/4emberlen/status/1491079146797420547" TargetMode="External"/><Relationship Id="rId4237" Type="http://schemas.openxmlformats.org/officeDocument/2006/relationships/hyperlink" Target="https://twitter.com/Techjournalisto/status/1498578226284802049" TargetMode="External"/><Relationship Id="rId5565" Type="http://schemas.openxmlformats.org/officeDocument/2006/relationships/hyperlink" Target="https://bellingcat-archive.nyc3.cdn.digitaloceanspaces.com/Ukraine_Witness_Datasheet/Worksheet/youtube_dl__StateOfUkraine_status_14997124195136307212022-03-04T11:50:43.731150.png" TargetMode="External"/><Relationship Id="rId6896" Type="http://schemas.openxmlformats.org/officeDocument/2006/relationships/hyperlink" Target="https://bellingcat-archive.nyc3.cdn.digitaloceanspaces.com/Ukraine_Witness_Datasheet/Worksheet/youtube_dl__666_mancer_status_14986084815904112672022-03-08T09:04:32.469783.png" TargetMode="External"/><Relationship Id="rId496" Type="http://schemas.openxmlformats.org/officeDocument/2006/relationships/hyperlink" Target="https://bellingcat-archive.nyc3.cdn.digitaloceanspaces.com/Ukraine_Witness_Datasheet/Worksheet/youtube_dl_1491358100410224640/index.html" TargetMode="External"/><Relationship Id="rId4236" Type="http://schemas.openxmlformats.org/officeDocument/2006/relationships/hyperlink" Target="https://bellingcat-archive.nyc3.cdn.digitaloceanspaces.com/Ukraine_Witness_Datasheet/Worksheet/youtube_dl_1498573344223997952/index.html" TargetMode="External"/><Relationship Id="rId5566" Type="http://schemas.openxmlformats.org/officeDocument/2006/relationships/hyperlink" Target="https://bellingcat-archive.nyc3.cdn.digitaloceanspaces.com/Ukraine_Witness_Datasheet/Worksheet/youtube_dl_1499712419513630721/index.html" TargetMode="External"/><Relationship Id="rId6897" Type="http://schemas.openxmlformats.org/officeDocument/2006/relationships/hyperlink" Target="https://bellingcat-archive.nyc3.cdn.digitaloceanspaces.com/Ukraine_Witness_Datasheet/Worksheet/youtube_dl_1498608481590411267/index.html" TargetMode="External"/><Relationship Id="rId4260" Type="http://schemas.openxmlformats.org/officeDocument/2006/relationships/hyperlink" Target="https://bellingcat-archive.nyc3.cdn.digitaloceanspaces.com/Ukraine_Witness_Datasheet/Worksheet/youtube_dl__nexta_tv_status_14985898967720960052022-03-01T11:08:02.248970.png" TargetMode="External"/><Relationship Id="rId5592" Type="http://schemas.openxmlformats.org/officeDocument/2006/relationships/hyperlink" Target="https://bellingcat-archive.nyc3.cdn.digitaloceanspaces.com/Ukraine_Witness_Datasheet/Worksheet/telegram__istorijaoruzija_392242022-03-04T13:25:35.798848.png" TargetMode="External"/><Relationship Id="rId5593" Type="http://schemas.openxmlformats.org/officeDocument/2006/relationships/hyperlink" Target="https://twitter.com/markito0171/status/1499737718162608134" TargetMode="External"/><Relationship Id="rId4262" Type="http://schemas.openxmlformats.org/officeDocument/2006/relationships/hyperlink" Target="https://twitter.com/brechtcastel/status/1498594115159736320?s=20&amp;t=IYl89ylnVso1uAcCSJo0Iw" TargetMode="External"/><Relationship Id="rId5590" Type="http://schemas.openxmlformats.org/officeDocument/2006/relationships/hyperlink" Target="https://t.me/istorijaoruzija/39224" TargetMode="External"/><Relationship Id="rId4261" Type="http://schemas.openxmlformats.org/officeDocument/2006/relationships/hyperlink" Target="https://bellingcat-archive.nyc3.cdn.digitaloceanspaces.com/Ukraine_Witness_Datasheet/Worksheet/youtube_dl_1498589896772096005/index.html" TargetMode="External"/><Relationship Id="rId5591" Type="http://schemas.openxmlformats.org/officeDocument/2006/relationships/hyperlink" Target="https://bellingcat-archive.nyc3.cdn.digitaloceanspaces.com/Ukraine_Witness_Datasheet/Worksheet/telegram__istorijaoruzija_39224.html" TargetMode="External"/><Relationship Id="rId4264" Type="http://schemas.openxmlformats.org/officeDocument/2006/relationships/hyperlink" Target="https://bellingcat-archive.nyc3.cdn.digitaloceanspaces.com/Ukraine_Witness_Datasheet/Worksheet/twitter__brechtcastel_status_1498594115159736320.html" TargetMode="External"/><Relationship Id="rId5596" Type="http://schemas.openxmlformats.org/officeDocument/2006/relationships/hyperlink" Target="https://bellingcat-archive.nyc3.cdn.digitaloceanspaces.com/Ukraine_Witness_Datasheet/Worksheet/youtube_dl_1499737718162608134/index.html" TargetMode="External"/><Relationship Id="rId4263" Type="http://schemas.openxmlformats.org/officeDocument/2006/relationships/hyperlink" Target="https://twitter.com/alexejhock/status/1498603940186923010?s=20&amp;t=7zQ_nq-rtDLA7lxyAZOpnQ" TargetMode="External"/><Relationship Id="rId5597" Type="http://schemas.openxmlformats.org/officeDocument/2006/relationships/hyperlink" Target="https://twitter.com/no_itsmyturn/status/1499707927669743619" TargetMode="External"/><Relationship Id="rId4266" Type="http://schemas.openxmlformats.org/officeDocument/2006/relationships/hyperlink" Target="https://twitter.com/nexta_tv/status/1498261970318991366" TargetMode="External"/><Relationship Id="rId5594" Type="http://schemas.openxmlformats.org/officeDocument/2006/relationships/hyperlink" Target="https://bellingcat-archive.nyc3.cdn.digitaloceanspaces.com/Ukraine_Witness_Datasheet/Worksheet/youtube_dl_1499737718162608134.mp4" TargetMode="External"/><Relationship Id="rId4265" Type="http://schemas.openxmlformats.org/officeDocument/2006/relationships/hyperlink" Target="https://bellingcat-archive.nyc3.cdn.digitaloceanspaces.com/Ukraine_Witness_Datasheet/Worksheet/twitter__brechtcastel_status_14985941151597363202022-03-01T11:08:17.523668.png" TargetMode="External"/><Relationship Id="rId5595" Type="http://schemas.openxmlformats.org/officeDocument/2006/relationships/hyperlink" Target="https://bellingcat-archive.nyc3.cdn.digitaloceanspaces.com/Ukraine_Witness_Datasheet/Worksheet/youtube_dl__markito0171_status_14997377181626081342022-03-04T13:45:13.036091.png" TargetMode="External"/><Relationship Id="rId4268" Type="http://schemas.openxmlformats.org/officeDocument/2006/relationships/hyperlink" Target="https://bellingcat-archive.nyc3.cdn.digitaloceanspaces.com/Ukraine_Witness_Datasheet/Worksheet/youtube_dl_1498261970318991366.mp4" TargetMode="External"/><Relationship Id="rId4267" Type="http://schemas.openxmlformats.org/officeDocument/2006/relationships/hyperlink" Target="https://twitter.com/alexejhock/status/1498603940186923010?s=20&amp;t=7zQ_nq-rtDLA7lxyAZOpnQ" TargetMode="External"/><Relationship Id="rId5598" Type="http://schemas.openxmlformats.org/officeDocument/2006/relationships/hyperlink" Target="https://bellingcat-archive.nyc3.cdn.digitaloceanspaces.com/Ukraine_Witness_Datasheet/Worksheet/youtube_dl_1499707927669743619.mp4" TargetMode="External"/><Relationship Id="rId4269" Type="http://schemas.openxmlformats.org/officeDocument/2006/relationships/hyperlink" Target="https://bellingcat-archive.nyc3.cdn.digitaloceanspaces.com/Ukraine_Witness_Datasheet/Worksheet/youtube_dl__nexta_tv_status_14982619703189913662022-03-01T11:08:32.943861.png" TargetMode="External"/><Relationship Id="rId5599" Type="http://schemas.openxmlformats.org/officeDocument/2006/relationships/hyperlink" Target="https://bellingcat-archive.nyc3.cdn.digitaloceanspaces.com/Ukraine_Witness_Datasheet/Worksheet/youtube_dl__no_itsmyturn_status_14997079276697436192022-03-04T13:50:13.278484.png" TargetMode="External"/><Relationship Id="rId5581" Type="http://schemas.openxmlformats.org/officeDocument/2006/relationships/hyperlink" Target="https://t.me/istorijaoruzija/39171" TargetMode="External"/><Relationship Id="rId5582" Type="http://schemas.openxmlformats.org/officeDocument/2006/relationships/hyperlink" Target="https://twitter.com/nabihbulos/status/1499135383338201088?s=20&amp;t=-_DhKih3n5FUZHsuOUnuFw" TargetMode="External"/><Relationship Id="rId4251" Type="http://schemas.openxmlformats.org/officeDocument/2006/relationships/hyperlink" Target="https://twitter.com/GirkinGirkin/status/1498598354896535555" TargetMode="External"/><Relationship Id="rId4250" Type="http://schemas.openxmlformats.org/officeDocument/2006/relationships/hyperlink" Target="https://bellingcat-archive.nyc3.cdn.digitaloceanspaces.com/Ukraine_Witness_Datasheet/Worksheet/youtube_dl_1498560089032114177/index.html" TargetMode="External"/><Relationship Id="rId5580" Type="http://schemas.openxmlformats.org/officeDocument/2006/relationships/hyperlink" Target="https://bellingcat-archive.nyc3.cdn.digitaloceanspaces.com/Ukraine_Witness_Datasheet/Worksheet/telegram_d7ce4e53d3/index.html" TargetMode="External"/><Relationship Id="rId4253" Type="http://schemas.openxmlformats.org/officeDocument/2006/relationships/hyperlink" Target="https://bellingcat-archive.nyc3.cdn.digitaloceanspaces.com/Ukraine_Witness_Datasheet/Worksheet/twitter__GirkinGirkin_status_14985983548965355552022-03-01T11:07:12.198075.png" TargetMode="External"/><Relationship Id="rId5585" Type="http://schemas.openxmlformats.org/officeDocument/2006/relationships/hyperlink" Target="https://t.me/istorijaoruzija/39228" TargetMode="External"/><Relationship Id="rId4252" Type="http://schemas.openxmlformats.org/officeDocument/2006/relationships/hyperlink" Target="https://bellingcat-archive.nyc3.cdn.digitaloceanspaces.com/Ukraine_Witness_Datasheet/Worksheet/twitter__GirkinGirkin_status_1498598354896535555.html" TargetMode="External"/><Relationship Id="rId5586" Type="http://schemas.openxmlformats.org/officeDocument/2006/relationships/hyperlink" Target="https://bellingcat-archive.nyc3.cdn.digitaloceanspaces.com/Ukraine_Witness_Datasheet/Worksheet/telegram_44031904e9.mp4" TargetMode="External"/><Relationship Id="rId4255" Type="http://schemas.openxmlformats.org/officeDocument/2006/relationships/hyperlink" Target="https://bellingcat-archive.nyc3.cdn.digitaloceanspaces.com/Ukraine_Witness_Datasheet/Worksheet/youtube_dl_1498597357360930817.mp4" TargetMode="External"/><Relationship Id="rId5583" Type="http://schemas.openxmlformats.org/officeDocument/2006/relationships/hyperlink" Target="https://web.archive.org/web/20220304122609/https://twitter.com/nabihbulos" TargetMode="External"/><Relationship Id="rId4254" Type="http://schemas.openxmlformats.org/officeDocument/2006/relationships/hyperlink" Target="https://twitter.com/RALee85/status/1498597357360930817" TargetMode="External"/><Relationship Id="rId5584" Type="http://schemas.openxmlformats.org/officeDocument/2006/relationships/hyperlink" Target="https://bellingcat-archive.nyc3.cdn.digitaloceanspaces.com/Ukraine_Witness_Datasheet/Worksheet/wayback__nabihbulos2022-03-04T12:26:27.066622.png" TargetMode="External"/><Relationship Id="rId4257" Type="http://schemas.openxmlformats.org/officeDocument/2006/relationships/hyperlink" Target="https://bellingcat-archive.nyc3.cdn.digitaloceanspaces.com/Ukraine_Witness_Datasheet/Worksheet/youtube_dl_1498597357360930817/index.html" TargetMode="External"/><Relationship Id="rId5589" Type="http://schemas.openxmlformats.org/officeDocument/2006/relationships/hyperlink" Target="https://t.me/istorijaoruzija/39228" TargetMode="External"/><Relationship Id="rId4256" Type="http://schemas.openxmlformats.org/officeDocument/2006/relationships/hyperlink" Target="https://bellingcat-archive.nyc3.cdn.digitaloceanspaces.com/Ukraine_Witness_Datasheet/Worksheet/youtube_dl__RALee85_status_14985973573609308172022-03-01T11:07:35.264384.png" TargetMode="External"/><Relationship Id="rId4259" Type="http://schemas.openxmlformats.org/officeDocument/2006/relationships/hyperlink" Target="https://bellingcat-archive.nyc3.cdn.digitaloceanspaces.com/Ukraine_Witness_Datasheet/Worksheet/youtube_dl_1498589896772096005.mp4" TargetMode="External"/><Relationship Id="rId5587" Type="http://schemas.openxmlformats.org/officeDocument/2006/relationships/hyperlink" Target="https://bellingcat-archive.nyc3.cdn.digitaloceanspaces.com/Ukraine_Witness_Datasheet/Worksheet/telegram__istorijaoruzija_392282022-03-04T13:25:09.799963.png" TargetMode="External"/><Relationship Id="rId4258" Type="http://schemas.openxmlformats.org/officeDocument/2006/relationships/hyperlink" Target="https://twitter.com/nexta_tv/status/1498589896772096005?s=20&amp;t=x2OHBEh_mIzSjm9XYDnukQ" TargetMode="External"/><Relationship Id="rId5588" Type="http://schemas.openxmlformats.org/officeDocument/2006/relationships/hyperlink" Target="https://bellingcat-archive.nyc3.cdn.digitaloceanspaces.com/Ukraine_Witness_Datasheet/Worksheet/telegram_44031904e9/index.html" TargetMode="External"/><Relationship Id="rId6902" Type="http://schemas.openxmlformats.org/officeDocument/2006/relationships/hyperlink" Target="https://bellingcat-archive.nyc3.cdn.digitaloceanspaces.com/Ukraine_Witness_Datasheet/Worksheet/telegram_53f66f1ed5.mp4" TargetMode="External"/><Relationship Id="rId6903" Type="http://schemas.openxmlformats.org/officeDocument/2006/relationships/hyperlink" Target="https://bellingcat-archive.nyc3.cdn.digitaloceanspaces.com/Ukraine_Witness_Datasheet/Worksheet/telegram__kharkov_now_103052022-03-08T09:04:58.006558.png" TargetMode="External"/><Relationship Id="rId6900" Type="http://schemas.openxmlformats.org/officeDocument/2006/relationships/hyperlink" Target="https://bellingcat-archive.nyc3.cdn.digitaloceanspaces.com/Ukraine_Witness_Datasheet/Worksheet/telegram__livekharkov_279932022-03-08T09:04:44.265937.png" TargetMode="External"/><Relationship Id="rId6901" Type="http://schemas.openxmlformats.org/officeDocument/2006/relationships/hyperlink" Target="https://t.me/kharkov_now/10305" TargetMode="External"/><Relationship Id="rId6906" Type="http://schemas.openxmlformats.org/officeDocument/2006/relationships/hyperlink" Target="https://t.me/c/1347456995/39128" TargetMode="External"/><Relationship Id="rId6907" Type="http://schemas.openxmlformats.org/officeDocument/2006/relationships/hyperlink" Target="https://web.archive.org/web/20220308085633/https://t.me/c/1347456995/39128" TargetMode="External"/><Relationship Id="rId6904" Type="http://schemas.openxmlformats.org/officeDocument/2006/relationships/hyperlink" Target="https://bellingcat-archive.nyc3.cdn.digitaloceanspaces.com/Ukraine_Witness_Datasheet/Worksheet/telegram_53f66f1ed5/index.html" TargetMode="External"/><Relationship Id="rId6905" Type="http://schemas.openxmlformats.org/officeDocument/2006/relationships/hyperlink" Target="https://t.me/kharkov_now/10305" TargetMode="External"/><Relationship Id="rId6908" Type="http://schemas.openxmlformats.org/officeDocument/2006/relationships/hyperlink" Target="https://bellingcat-archive.nyc3.cdn.digitaloceanspaces.com/Ukraine_Witness_Datasheet/Worksheet/wayback__c_1347456995_391282022-03-08T08:58:07.115822.png" TargetMode="External"/><Relationship Id="rId6909" Type="http://schemas.openxmlformats.org/officeDocument/2006/relationships/hyperlink" Target="https://twitter.com/ukrainenewstop/status/1498291251539591169" TargetMode="External"/><Relationship Id="rId6924" Type="http://schemas.openxmlformats.org/officeDocument/2006/relationships/hyperlink" Target="https://bellingcat-archive.nyc3.cdn.digitaloceanspaces.com/Ukraine_Witness_Datasheet/Worksheet/twitter__2022Kharkiv_status_1498321124345716739.html" TargetMode="External"/><Relationship Id="rId6925" Type="http://schemas.openxmlformats.org/officeDocument/2006/relationships/hyperlink" Target="https://bellingcat-archive.nyc3.cdn.digitaloceanspaces.com/Ukraine_Witness_Datasheet/Worksheet/twitter__2022Kharkiv_status_14983211243457167392022-03-08T09:06:59.121962.png" TargetMode="External"/><Relationship Id="rId6922" Type="http://schemas.openxmlformats.org/officeDocument/2006/relationships/hyperlink" Target="https://bellingcat-archive.nyc3.cdn.digitaloceanspaces.com/Ukraine_Witness_Datasheet/Worksheet/twitter__2022Kharkiv_status_14983102992160071682022-03-08T09:06:47.664186.png" TargetMode="External"/><Relationship Id="rId6923" Type="http://schemas.openxmlformats.org/officeDocument/2006/relationships/hyperlink" Target="https://twitter.com/2022Kharkiv/status/1498321124345716739" TargetMode="External"/><Relationship Id="rId6928" Type="http://schemas.openxmlformats.org/officeDocument/2006/relationships/hyperlink" Target="https://bellingcat-archive.nyc3.cdn.digitaloceanspaces.com/Ukraine_Witness_Datasheet/Worksheet/telegram__livekharkov_281602022-03-08T09:07:09.977223.png" TargetMode="External"/><Relationship Id="rId6929" Type="http://schemas.openxmlformats.org/officeDocument/2006/relationships/hyperlink" Target="https://twitter.com/EliotHiggins/status/1498714546307014658?s=20&amp;t=46-4eAaha4EOm49d56wbsg" TargetMode="External"/><Relationship Id="rId6926" Type="http://schemas.openxmlformats.org/officeDocument/2006/relationships/hyperlink" Target="https://t.me/livekharkov/28160" TargetMode="External"/><Relationship Id="rId6927" Type="http://schemas.openxmlformats.org/officeDocument/2006/relationships/hyperlink" Target="https://bellingcat-archive.nyc3.cdn.digitaloceanspaces.com/Ukraine_Witness_Datasheet/Worksheet/telegram__livekharkov_28160.html" TargetMode="External"/><Relationship Id="rId409" Type="http://schemas.openxmlformats.org/officeDocument/2006/relationships/hyperlink" Target="https://bellingcat-archive.nyc3.cdn.digitaloceanspaces.com/Ukraine_Witness_Datasheet/Worksheet/youtube_dl_1491113219259199492.mp4" TargetMode="External"/><Relationship Id="rId404" Type="http://schemas.openxmlformats.org/officeDocument/2006/relationships/hyperlink" Target="https://twitter.com/GirkinGirkin/status/1491044474575007745" TargetMode="External"/><Relationship Id="rId403" Type="http://schemas.openxmlformats.org/officeDocument/2006/relationships/hyperlink" Target="https://bellingcat-archive.nyc3.cdn.digitaloceanspaces.com/Ukraine_Witness_Datasheet/Worksheet/youtube_dl_1490766954503757826/index.html" TargetMode="External"/><Relationship Id="rId402" Type="http://schemas.openxmlformats.org/officeDocument/2006/relationships/hyperlink" Target="https://bellingcat-archive.nyc3.cdn.digitaloceanspaces.com/Ukraine_Witness_Datasheet/Worksheet/youtube_dl__GirkinGirkin_status_14907669545037578262022-02-25T13:04:42.375271.png" TargetMode="External"/><Relationship Id="rId401" Type="http://schemas.openxmlformats.org/officeDocument/2006/relationships/hyperlink" Target="https://bellingcat-archive.nyc3.cdn.digitaloceanspaces.com/Ukraine_Witness_Datasheet/Worksheet/youtube_dl_1490766954503757826.mp4" TargetMode="External"/><Relationship Id="rId408" Type="http://schemas.openxmlformats.org/officeDocument/2006/relationships/hyperlink" Target="https://twitter.com/GirkinGirkin/status/1491113219259199492" TargetMode="External"/><Relationship Id="rId407" Type="http://schemas.openxmlformats.org/officeDocument/2006/relationships/hyperlink" Target="https://bellingcat-archive.nyc3.cdn.digitaloceanspaces.com/Ukraine_Witness_Datasheet/Worksheet/youtube_dl_1491044474575007745/index.html" TargetMode="External"/><Relationship Id="rId406" Type="http://schemas.openxmlformats.org/officeDocument/2006/relationships/hyperlink" Target="https://bellingcat-archive.nyc3.cdn.digitaloceanspaces.com/Ukraine_Witness_Datasheet/Worksheet/youtube_dl__GirkinGirkin_status_14910444745750077452022-02-25T13:05:02.555489.png" TargetMode="External"/><Relationship Id="rId405" Type="http://schemas.openxmlformats.org/officeDocument/2006/relationships/hyperlink" Target="https://bellingcat-archive.nyc3.cdn.digitaloceanspaces.com/Ukraine_Witness_Datasheet/Worksheet/youtube_dl_1491044474575007745.mp4" TargetMode="External"/><Relationship Id="rId400" Type="http://schemas.openxmlformats.org/officeDocument/2006/relationships/hyperlink" Target="https://twitter.com/danvan71/status/1490817033310773249" TargetMode="External"/><Relationship Id="rId6920" Type="http://schemas.openxmlformats.org/officeDocument/2006/relationships/hyperlink" Target="https://twitter.com/2022Kharkiv/status/1498310299216007168?s=20&amp;t=aAsF3wLtOmuVJWrXQTxwHA" TargetMode="External"/><Relationship Id="rId6921" Type="http://schemas.openxmlformats.org/officeDocument/2006/relationships/hyperlink" Target="https://bellingcat-archive.nyc3.cdn.digitaloceanspaces.com/Ukraine_Witness_Datasheet/Worksheet/twitter__2022Kharkiv_status_1498310299216007168.html" TargetMode="External"/><Relationship Id="rId6913" Type="http://schemas.openxmlformats.org/officeDocument/2006/relationships/hyperlink" Target="https://twitter.com/UAWeapons/status/1498233481213751299?s=20&amp;t=aAsF3wLtOmuVJWrXQTxwHA" TargetMode="External"/><Relationship Id="rId6914" Type="http://schemas.openxmlformats.org/officeDocument/2006/relationships/hyperlink" Target="https://bellingcat-archive.nyc3.cdn.digitaloceanspaces.com/Ukraine_Witness_Datasheet/Worksheet/twitter__UAWeapons_status_1498233481213751299.html" TargetMode="External"/><Relationship Id="rId6911" Type="http://schemas.openxmlformats.org/officeDocument/2006/relationships/hyperlink" Target="https://bellingcat-archive.nyc3.cdn.digitaloceanspaces.com/Ukraine_Witness_Datasheet/Worksheet/youtube_dl__ukrainenewstop_status_14982912515395911692022-03-08T09:06:06.671016.png" TargetMode="External"/><Relationship Id="rId6912" Type="http://schemas.openxmlformats.org/officeDocument/2006/relationships/hyperlink" Target="https://bellingcat-archive.nyc3.cdn.digitaloceanspaces.com/Ukraine_Witness_Datasheet/Worksheet/youtube_dl_1498291251539591169/index.html" TargetMode="External"/><Relationship Id="rId6917" Type="http://schemas.openxmlformats.org/officeDocument/2006/relationships/hyperlink" Target="https://bellingcat-archive.nyc3.cdn.digitaloceanspaces.com/Ukraine_Witness_Datasheet/Worksheet/youtube_dl_1498325168095125504.mp4" TargetMode="External"/><Relationship Id="rId6918" Type="http://schemas.openxmlformats.org/officeDocument/2006/relationships/hyperlink" Target="https://bellingcat-archive.nyc3.cdn.digitaloceanspaces.com/Ukraine_Witness_Datasheet/Worksheet/youtube_dl__2022Kharkiv_status_14983251680951255042022-03-08T09:06:33.722923.png" TargetMode="External"/><Relationship Id="rId6915" Type="http://schemas.openxmlformats.org/officeDocument/2006/relationships/hyperlink" Target="https://bellingcat-archive.nyc3.cdn.digitaloceanspaces.com/Ukraine_Witness_Datasheet/Worksheet/twitter__UAWeapons_status_14982334812137512992022-03-08T09:06:22.120451.png" TargetMode="External"/><Relationship Id="rId6916" Type="http://schemas.openxmlformats.org/officeDocument/2006/relationships/hyperlink" Target="https://twitter.com/2022Kharkiv/status/1498325168095125504" TargetMode="External"/><Relationship Id="rId6919" Type="http://schemas.openxmlformats.org/officeDocument/2006/relationships/hyperlink" Target="https://bellingcat-archive.nyc3.cdn.digitaloceanspaces.com/Ukraine_Witness_Datasheet/Worksheet/youtube_dl_1498325168095125504/index.html" TargetMode="External"/><Relationship Id="rId6910" Type="http://schemas.openxmlformats.org/officeDocument/2006/relationships/hyperlink" Target="https://bellingcat-archive.nyc3.cdn.digitaloceanspaces.com/Ukraine_Witness_Datasheet/Worksheet/youtube_dl_1498291251539591169.mp4" TargetMode="External"/><Relationship Id="rId4327" Type="http://schemas.openxmlformats.org/officeDocument/2006/relationships/hyperlink" Target="https://bellingcat-archive.nyc3.cdn.digitaloceanspaces.com/Ukraine_Witness_Datasheet/Worksheet/youtube_dl__christogrozev_status_14976371691286937632022-03-01T15:10:29.186347.png" TargetMode="External"/><Relationship Id="rId5659" Type="http://schemas.openxmlformats.org/officeDocument/2006/relationships/hyperlink" Target="https://twitter.com/RALee85/status/1499855040328130561" TargetMode="External"/><Relationship Id="rId4326" Type="http://schemas.openxmlformats.org/officeDocument/2006/relationships/hyperlink" Target="https://bellingcat-archive.nyc3.cdn.digitaloceanspaces.com/Ukraine_Witness_Datasheet/Worksheet/youtube_dl_1497637169128693763.mp4" TargetMode="External"/><Relationship Id="rId4329" Type="http://schemas.openxmlformats.org/officeDocument/2006/relationships/hyperlink" Target="https://twitter.com/XyKyiv/status/1498393005027475461" TargetMode="External"/><Relationship Id="rId5657" Type="http://schemas.openxmlformats.org/officeDocument/2006/relationships/hyperlink" Target="https://bellingcat-archive.nyc3.cdn.digitaloceanspaces.com/Ukraine_Witness_Datasheet/Worksheet/youtube_dl__RALee85_status_14997941983289221142022-03-04T21:30:13.286409.png" TargetMode="External"/><Relationship Id="rId6988" Type="http://schemas.openxmlformats.org/officeDocument/2006/relationships/hyperlink" Target="https://t.me/livekharkov/28878" TargetMode="External"/><Relationship Id="rId4328" Type="http://schemas.openxmlformats.org/officeDocument/2006/relationships/hyperlink" Target="https://bellingcat-archive.nyc3.cdn.digitaloceanspaces.com/Ukraine_Witness_Datasheet/Worksheet/youtube_dl_1497637169128693763/index.html" TargetMode="External"/><Relationship Id="rId5658" Type="http://schemas.openxmlformats.org/officeDocument/2006/relationships/hyperlink" Target="https://bellingcat-archive.nyc3.cdn.digitaloceanspaces.com/Ukraine_Witness_Datasheet/Worksheet/youtube_dl_1499794198328922114/index.html" TargetMode="External"/><Relationship Id="rId6989" Type="http://schemas.openxmlformats.org/officeDocument/2006/relationships/hyperlink" Target="https://bellingcat-archive.nyc3.cdn.digitaloceanspaces.com/Ukraine_Witness_Datasheet/Worksheet/telegram__livekharkov_28878.html" TargetMode="External"/><Relationship Id="rId469" Type="http://schemas.openxmlformats.org/officeDocument/2006/relationships/hyperlink" Target="https://twitter.com/danvan71/status/1491399015099174913" TargetMode="External"/><Relationship Id="rId468" Type="http://schemas.openxmlformats.org/officeDocument/2006/relationships/hyperlink" Target="https://twitter.com/MarQs__/status/1491374811553333250" TargetMode="External"/><Relationship Id="rId467" Type="http://schemas.openxmlformats.org/officeDocument/2006/relationships/hyperlink" Target="https://bellingcat-archive.nyc3.cdn.digitaloceanspaces.com/Ukraine_Witness_Datasheet/Worksheet/youtube_dl_1491367231812702215/index.html" TargetMode="External"/><Relationship Id="rId462" Type="http://schemas.openxmlformats.org/officeDocument/2006/relationships/hyperlink" Target="https://bellingcat-archive.nyc3.cdn.digitaloceanspaces.com/Ukraine_Witness_Datasheet/Worksheet/youtube_dl_1491418129414914048/index.html" TargetMode="External"/><Relationship Id="rId5651" Type="http://schemas.openxmlformats.org/officeDocument/2006/relationships/hyperlink" Target="https://twitter.com/markito0171/status/1499693727744417793" TargetMode="External"/><Relationship Id="rId6982" Type="http://schemas.openxmlformats.org/officeDocument/2006/relationships/hyperlink" Target="https://t.me/c/1347456995/39609" TargetMode="External"/><Relationship Id="rId461" Type="http://schemas.openxmlformats.org/officeDocument/2006/relationships/hyperlink" Target="https://bellingcat-archive.nyc3.cdn.digitaloceanspaces.com/Ukraine_Witness_Datasheet/Worksheet/youtube_dl__4emberlen_status_14914181294149140482022-02-25T13:10:20.417180.png" TargetMode="External"/><Relationship Id="rId5652" Type="http://schemas.openxmlformats.org/officeDocument/2006/relationships/hyperlink" Target="https://bellingcat-archive.nyc3.cdn.digitaloceanspaces.com/Ukraine_Witness_Datasheet/Worksheet/twitter__markito0171_status_1499693727744417793.html" TargetMode="External"/><Relationship Id="rId6983" Type="http://schemas.openxmlformats.org/officeDocument/2006/relationships/hyperlink" Target="https://web.archive.org/web/20220308091135/https://t.me/c/1347456995/39609" TargetMode="External"/><Relationship Id="rId460" Type="http://schemas.openxmlformats.org/officeDocument/2006/relationships/hyperlink" Target="https://bellingcat-archive.nyc3.cdn.digitaloceanspaces.com/Ukraine_Witness_Datasheet/Worksheet/youtube_dl_1491418129414914048.mp4" TargetMode="External"/><Relationship Id="rId4321" Type="http://schemas.openxmlformats.org/officeDocument/2006/relationships/hyperlink" Target="https://twitter.com/tucamaiacaetano/status/1496704498177294355?s=20&amp;t=yL9zIVdh82XeuPTdAbODmQ" TargetMode="External"/><Relationship Id="rId6980" Type="http://schemas.openxmlformats.org/officeDocument/2006/relationships/hyperlink" Target="https://bellingcat-archive.nyc3.cdn.digitaloceanspaces.com/Ukraine_Witness_Datasheet/Worksheet/telegram__pavlokyrylenko_donoda_2500.html" TargetMode="External"/><Relationship Id="rId4320" Type="http://schemas.openxmlformats.org/officeDocument/2006/relationships/hyperlink" Target="https://t.me/riamelitopol/44951" TargetMode="External"/><Relationship Id="rId5650" Type="http://schemas.openxmlformats.org/officeDocument/2006/relationships/hyperlink" Target="https://bellingcat-archive.nyc3.cdn.digitaloceanspaces.com/Ukraine_Witness_Datasheet/Worksheet/twitter__666_mancer_status_14998527084712591432022-03-04T21:10:16.841804.png" TargetMode="External"/><Relationship Id="rId6981" Type="http://schemas.openxmlformats.org/officeDocument/2006/relationships/hyperlink" Target="https://bellingcat-archive.nyc3.cdn.digitaloceanspaces.com/Ukraine_Witness_Datasheet/Worksheet/telegram__pavlokyrylenko_donoda_25002022-03-08T09:11:12.532733.png" TargetMode="External"/><Relationship Id="rId466" Type="http://schemas.openxmlformats.org/officeDocument/2006/relationships/hyperlink" Target="https://bellingcat-archive.nyc3.cdn.digitaloceanspaces.com/Ukraine_Witness_Datasheet/Worksheet/youtube_dl__4emberlen_status_14913672318127022152022-02-25T13:10:39.494803.png" TargetMode="External"/><Relationship Id="rId4323" Type="http://schemas.openxmlformats.org/officeDocument/2006/relationships/hyperlink" Target="https://bellingcat-archive.nyc3.cdn.digitaloceanspaces.com/Ukraine_Witness_Datasheet/Worksheet/youtube_dl__tucamaiacaetano_status_14967044981772943552022-03-01T15:10:03.324823.png" TargetMode="External"/><Relationship Id="rId5655" Type="http://schemas.openxmlformats.org/officeDocument/2006/relationships/hyperlink" Target="https://twitter.com/john_marquee/status/1499800683536551937" TargetMode="External"/><Relationship Id="rId6986" Type="http://schemas.openxmlformats.org/officeDocument/2006/relationships/hyperlink" Target="https://bellingcat-archive.nyc3.cdn.digitaloceanspaces.com/Ukraine_Witness_Datasheet/Worksheet/telegram__livekharkov_28878.html" TargetMode="External"/><Relationship Id="rId465" Type="http://schemas.openxmlformats.org/officeDocument/2006/relationships/hyperlink" Target="https://bellingcat-archive.nyc3.cdn.digitaloceanspaces.com/Ukraine_Witness_Datasheet/Worksheet/youtube_dl_1491367231812702215.mp4" TargetMode="External"/><Relationship Id="rId4322" Type="http://schemas.openxmlformats.org/officeDocument/2006/relationships/hyperlink" Target="https://bellingcat-archive.nyc3.cdn.digitaloceanspaces.com/Ukraine_Witness_Datasheet/Worksheet/youtube_dl_1496704498177294355.mp4" TargetMode="External"/><Relationship Id="rId5656" Type="http://schemas.openxmlformats.org/officeDocument/2006/relationships/hyperlink" Target="https://bellingcat-archive.nyc3.cdn.digitaloceanspaces.com/Ukraine_Witness_Datasheet/Worksheet/youtube_dl_1499794198328922114.mp4" TargetMode="External"/><Relationship Id="rId6987" Type="http://schemas.openxmlformats.org/officeDocument/2006/relationships/hyperlink" Target="https://bellingcat-archive.nyc3.cdn.digitaloceanspaces.com/Ukraine_Witness_Datasheet/Worksheet/telegram__livekharkov_288782022-03-08T09:13:18.219534.png" TargetMode="External"/><Relationship Id="rId464" Type="http://schemas.openxmlformats.org/officeDocument/2006/relationships/hyperlink" Target="https://twitter.com/gfusfus/status/1491435131873431553" TargetMode="External"/><Relationship Id="rId4325" Type="http://schemas.openxmlformats.org/officeDocument/2006/relationships/hyperlink" Target="https://twitter.com/christogrozev/status/1497637169128693763?s=20&amp;t=fFkFcyY-DpDQ3r755nrx9Q" TargetMode="External"/><Relationship Id="rId5653" Type="http://schemas.openxmlformats.org/officeDocument/2006/relationships/hyperlink" Target="https://bellingcat-archive.nyc3.cdn.digitaloceanspaces.com/Ukraine_Witness_Datasheet/Worksheet/twitter__markito0171_status_14996937277444177932022-03-04T21:20:13.801013.png" TargetMode="External"/><Relationship Id="rId6984" Type="http://schemas.openxmlformats.org/officeDocument/2006/relationships/hyperlink" Target="https://bellingcat-archive.nyc3.cdn.digitaloceanspaces.com/Ukraine_Witness_Datasheet/Worksheet/wayback__c_1347456995_396092022-03-08T09:13:07.908486.png" TargetMode="External"/><Relationship Id="rId463" Type="http://schemas.openxmlformats.org/officeDocument/2006/relationships/hyperlink" Target="https://twitter.com/4emberlen/status/1491367231812702215" TargetMode="External"/><Relationship Id="rId4324" Type="http://schemas.openxmlformats.org/officeDocument/2006/relationships/hyperlink" Target="https://bellingcat-archive.nyc3.cdn.digitaloceanspaces.com/Ukraine_Witness_Datasheet/Worksheet/youtube_dl_1496704498177294355/index.html" TargetMode="External"/><Relationship Id="rId5654" Type="http://schemas.openxmlformats.org/officeDocument/2006/relationships/hyperlink" Target="https://twitter.com/RALee85/status/1499794198328922114" TargetMode="External"/><Relationship Id="rId6985" Type="http://schemas.openxmlformats.org/officeDocument/2006/relationships/hyperlink" Target="https://t.me/livekharkov/28878" TargetMode="External"/><Relationship Id="rId4316" Type="http://schemas.openxmlformats.org/officeDocument/2006/relationships/hyperlink" Target="https://t.me/riamelitopol/44951" TargetMode="External"/><Relationship Id="rId5648" Type="http://schemas.openxmlformats.org/officeDocument/2006/relationships/hyperlink" Target="https://twitter.com/666_mancer/status/1499852708471259143" TargetMode="External"/><Relationship Id="rId6979" Type="http://schemas.openxmlformats.org/officeDocument/2006/relationships/hyperlink" Target="https://t.me/pavlokyrylenko_donoda/2500" TargetMode="External"/><Relationship Id="rId4315" Type="http://schemas.openxmlformats.org/officeDocument/2006/relationships/hyperlink" Target="https://bellingcat-archive.nyc3.cdn.digitaloceanspaces.com/Ukraine_Witness_Datasheet/Worksheet/youtube_dl_1498647794319564808/index.html" TargetMode="External"/><Relationship Id="rId5649" Type="http://schemas.openxmlformats.org/officeDocument/2006/relationships/hyperlink" Target="https://bellingcat-archive.nyc3.cdn.digitaloceanspaces.com/Ukraine_Witness_Datasheet/Worksheet/twitter__666_mancer_status_1499852708471259143.html" TargetMode="External"/><Relationship Id="rId4318" Type="http://schemas.openxmlformats.org/officeDocument/2006/relationships/hyperlink" Target="https://bellingcat-archive.nyc3.cdn.digitaloceanspaces.com/Ukraine_Witness_Datasheet/Worksheet/telegram__riamelitopol_449512022-03-01T15:08:14.632421.png" TargetMode="External"/><Relationship Id="rId5646" Type="http://schemas.openxmlformats.org/officeDocument/2006/relationships/hyperlink" Target="https://bellingcat-archive.nyc3.cdn.digitaloceanspaces.com/Ukraine_Witness_Datasheet/Worksheet/youtube_dl_1499820585035173894/index.html" TargetMode="External"/><Relationship Id="rId6977" Type="http://schemas.openxmlformats.org/officeDocument/2006/relationships/hyperlink" Target="https://bellingcat-archive.nyc3.cdn.digitaloceanspaces.com/Ukraine_Witness_Datasheet/Worksheet/twitter__no_itsmyturn_status_1499660141951602688.html" TargetMode="External"/><Relationship Id="rId4317" Type="http://schemas.openxmlformats.org/officeDocument/2006/relationships/hyperlink" Target="https://bellingcat-archive.nyc3.cdn.digitaloceanspaces.com/Ukraine_Witness_Datasheet/Worksheet/telegram_2471eec51f.mp4" TargetMode="External"/><Relationship Id="rId5647" Type="http://schemas.openxmlformats.org/officeDocument/2006/relationships/hyperlink" Target="https://twitter.com/666_mancer/status/1499852708471259143" TargetMode="External"/><Relationship Id="rId6978" Type="http://schemas.openxmlformats.org/officeDocument/2006/relationships/hyperlink" Target="https://bellingcat-archive.nyc3.cdn.digitaloceanspaces.com/Ukraine_Witness_Datasheet/Worksheet/twitter__no_itsmyturn_status_14996601419516026882022-03-08T09:11:02.043188.png" TargetMode="External"/><Relationship Id="rId4319" Type="http://schemas.openxmlformats.org/officeDocument/2006/relationships/hyperlink" Target="https://bellingcat-archive.nyc3.cdn.digitaloceanspaces.com/Ukraine_Witness_Datasheet/Worksheet/telegram_2471eec51f/index.html" TargetMode="External"/><Relationship Id="rId459" Type="http://schemas.openxmlformats.org/officeDocument/2006/relationships/hyperlink" Target="https://twitter.com/gfusfus/status/1491439209500254208" TargetMode="External"/><Relationship Id="rId458" Type="http://schemas.openxmlformats.org/officeDocument/2006/relationships/hyperlink" Target="https://twitter.com/4emberlen/status/1491418129414914048" TargetMode="External"/><Relationship Id="rId457" Type="http://schemas.openxmlformats.org/officeDocument/2006/relationships/hyperlink" Target="https://bellingcat-archive.nyc3.cdn.digitaloceanspaces.com/Ukraine_Witness_Datasheet/Worksheet/youtube_dl_1491421002613792768/index.html" TargetMode="External"/><Relationship Id="rId456" Type="http://schemas.openxmlformats.org/officeDocument/2006/relationships/hyperlink" Target="https://bellingcat-archive.nyc3.cdn.digitaloceanspaces.com/Ukraine_Witness_Datasheet/Worksheet/youtube_dl__GirkinGirkin_status_14914210026137927682022-02-25T13:10:00.829819.png" TargetMode="External"/><Relationship Id="rId451" Type="http://schemas.openxmlformats.org/officeDocument/2006/relationships/hyperlink" Target="https://bellingcat-archive.nyc3.cdn.digitaloceanspaces.com/Ukraine_Witness_Datasheet/Worksheet/youtube_dl__GirkinGirkin_status_14906825503434219542022-02-25T13:09:42.724750.png" TargetMode="External"/><Relationship Id="rId5640" Type="http://schemas.openxmlformats.org/officeDocument/2006/relationships/hyperlink" Target="https://bellingcat-archive.nyc3.cdn.digitaloceanspaces.com/Ukraine_Witness_Datasheet/Worksheet/youtube_dl_1499787486758936577.mp4" TargetMode="External"/><Relationship Id="rId6971" Type="http://schemas.openxmlformats.org/officeDocument/2006/relationships/hyperlink" Target="https://bellingcat-archive.nyc3.cdn.digitaloceanspaces.com/Ukraine_Witness_Datasheet/Worksheet/youtube_dl__no_itsmyturn_status_14989002830108221472022-03-08T09:10:34.883694.png" TargetMode="External"/><Relationship Id="rId450" Type="http://schemas.openxmlformats.org/officeDocument/2006/relationships/hyperlink" Target="https://bellingcat-archive.nyc3.cdn.digitaloceanspaces.com/Ukraine_Witness_Datasheet/Worksheet/youtube_dl_1490682550343421954.mp4" TargetMode="External"/><Relationship Id="rId5641" Type="http://schemas.openxmlformats.org/officeDocument/2006/relationships/hyperlink" Target="https://bellingcat-archive.nyc3.cdn.digitaloceanspaces.com/Ukraine_Witness_Datasheet/Worksheet/youtube_dl__markito0171_status_14997874867589365772022-03-04T17:10:12.794315.png" TargetMode="External"/><Relationship Id="rId6972" Type="http://schemas.openxmlformats.org/officeDocument/2006/relationships/hyperlink" Target="https://bellingcat-archive.nyc3.cdn.digitaloceanspaces.com/Ukraine_Witness_Datasheet/Worksheet/youtube_dl_1498900283010822147/index.html" TargetMode="External"/><Relationship Id="rId4310" Type="http://schemas.openxmlformats.org/officeDocument/2006/relationships/hyperlink" Target="https://bellingcat-archive.nyc3.cdn.digitaloceanspaces.com/Ukraine_Witness_Datasheet/Worksheet/twitter__i_army_org_status_1498568218633461761.html" TargetMode="External"/><Relationship Id="rId6970" Type="http://schemas.openxmlformats.org/officeDocument/2006/relationships/hyperlink" Target="https://bellingcat-archive.nyc3.cdn.digitaloceanspaces.com/Ukraine_Witness_Datasheet/Worksheet/youtube_dl_1498900283010822147.mp4" TargetMode="External"/><Relationship Id="rId455" Type="http://schemas.openxmlformats.org/officeDocument/2006/relationships/hyperlink" Target="https://bellingcat-archive.nyc3.cdn.digitaloceanspaces.com/Ukraine_Witness_Datasheet/Worksheet/youtube_dl_1491421002613792768.mp4" TargetMode="External"/><Relationship Id="rId4312" Type="http://schemas.openxmlformats.org/officeDocument/2006/relationships/hyperlink" Target="https://twitter.com/MarQs__/status/1498647794319564808" TargetMode="External"/><Relationship Id="rId5644" Type="http://schemas.openxmlformats.org/officeDocument/2006/relationships/hyperlink" Target="https://bellingcat-archive.nyc3.cdn.digitaloceanspaces.com/Ukraine_Witness_Datasheet/Worksheet/youtube_dl_1499820585035173894.mp4" TargetMode="External"/><Relationship Id="rId6975" Type="http://schemas.openxmlformats.org/officeDocument/2006/relationships/hyperlink" Target="https://bellingcat-archive.nyc3.cdn.digitaloceanspaces.com/Ukraine_Witness_Datasheet/Worksheet/telegram__truexanewsua_274452022-03-08T09:10:49.568914.png" TargetMode="External"/><Relationship Id="rId454" Type="http://schemas.openxmlformats.org/officeDocument/2006/relationships/hyperlink" Target="https://twitter.com/gfusfus/status/1491426748613152769" TargetMode="External"/><Relationship Id="rId4311" Type="http://schemas.openxmlformats.org/officeDocument/2006/relationships/hyperlink" Target="https://bellingcat-archive.nyc3.cdn.digitaloceanspaces.com/Ukraine_Witness_Datasheet/Worksheet/twitter__i_army_org_status_14985682186334617612022-03-01T14:38:30.171781.png" TargetMode="External"/><Relationship Id="rId5645" Type="http://schemas.openxmlformats.org/officeDocument/2006/relationships/hyperlink" Target="https://bellingcat-archive.nyc3.cdn.digitaloceanspaces.com/Ukraine_Witness_Datasheet/Worksheet/youtube_dl__666_mancer_status_14998205850351738942022-03-04T19:25:16.496612.png" TargetMode="External"/><Relationship Id="rId6976" Type="http://schemas.openxmlformats.org/officeDocument/2006/relationships/hyperlink" Target="https://twitter.com/no_itsmyturn/status/1499660141951602688?s=21" TargetMode="External"/><Relationship Id="rId453" Type="http://schemas.openxmlformats.org/officeDocument/2006/relationships/hyperlink" Target="https://twitter.com/GirkinGirkin/status/1491421002613792768" TargetMode="External"/><Relationship Id="rId4314" Type="http://schemas.openxmlformats.org/officeDocument/2006/relationships/hyperlink" Target="https://bellingcat-archive.nyc3.cdn.digitaloceanspaces.com/Ukraine_Witness_Datasheet/Worksheet/youtube_dl__MarQs___status_14986477943195648082022-03-01T14:38:59.758351.png" TargetMode="External"/><Relationship Id="rId5642" Type="http://schemas.openxmlformats.org/officeDocument/2006/relationships/hyperlink" Target="https://bellingcat-archive.nyc3.cdn.digitaloceanspaces.com/Ukraine_Witness_Datasheet/Worksheet/youtube_dl_1499787486758936577/index.html" TargetMode="External"/><Relationship Id="rId6973" Type="http://schemas.openxmlformats.org/officeDocument/2006/relationships/hyperlink" Target="https://t.me/truexanewsua/27445" TargetMode="External"/><Relationship Id="rId452" Type="http://schemas.openxmlformats.org/officeDocument/2006/relationships/hyperlink" Target="https://bellingcat-archive.nyc3.cdn.digitaloceanspaces.com/Ukraine_Witness_Datasheet/Worksheet/youtube_dl_1490682550343421954/index.html" TargetMode="External"/><Relationship Id="rId4313" Type="http://schemas.openxmlformats.org/officeDocument/2006/relationships/hyperlink" Target="https://bellingcat-archive.nyc3.cdn.digitaloceanspaces.com/Ukraine_Witness_Datasheet/Worksheet/youtube_dl_1498647794319564808.mp4" TargetMode="External"/><Relationship Id="rId5643" Type="http://schemas.openxmlformats.org/officeDocument/2006/relationships/hyperlink" Target="https://twitter.com/666_mancer/status/1499820585035173894" TargetMode="External"/><Relationship Id="rId6974" Type="http://schemas.openxmlformats.org/officeDocument/2006/relationships/hyperlink" Target="https://bellingcat-archive.nyc3.cdn.digitaloceanspaces.com/Ukraine_Witness_Datasheet/Worksheet/telegram__truexanewsua_27445.html" TargetMode="External"/><Relationship Id="rId3018" Type="http://schemas.openxmlformats.org/officeDocument/2006/relationships/hyperlink" Target="https://bellingcat-archive.nyc3.cdn.digitaloceanspaces.com/Ukraine_Witness_Datasheet/Worksheet/youtube_dl_1497195337089490945/index.html" TargetMode="External"/><Relationship Id="rId4349" Type="http://schemas.openxmlformats.org/officeDocument/2006/relationships/hyperlink" Target="https://twitter.com/christogrozev/status/1498559231141765120" TargetMode="External"/><Relationship Id="rId3017" Type="http://schemas.openxmlformats.org/officeDocument/2006/relationships/hyperlink" Target="https://bellingcat-archive.nyc3.cdn.digitaloceanspaces.com/Ukraine_Witness_Datasheet/Worksheet/youtube_dl__3TrAmvL026aJRar_status_14971953370894909452022-02-25T17:39:33.622961.png" TargetMode="External"/><Relationship Id="rId4348" Type="http://schemas.openxmlformats.org/officeDocument/2006/relationships/hyperlink" Target="https://bellingcat-archive.nyc3.cdn.digitaloceanspaces.com/Ukraine_Witness_Datasheet/Worksheet/wayback__AsamiTerajima_status_14985338916191068162022-03-01T15:14:24.459912.png" TargetMode="External"/><Relationship Id="rId5679" Type="http://schemas.openxmlformats.org/officeDocument/2006/relationships/hyperlink" Target="https://bellingcat-archive.nyc3.cdn.digitaloceanspaces.com/Ukraine_Witness_Datasheet/Worksheet/youtube_dl_1499455753282899974/index.html" TargetMode="External"/><Relationship Id="rId3019" Type="http://schemas.openxmlformats.org/officeDocument/2006/relationships/hyperlink" Target="https://twitter.com/MitchvdKlundert/status/1497201512547860483" TargetMode="External"/><Relationship Id="rId491" Type="http://schemas.openxmlformats.org/officeDocument/2006/relationships/hyperlink" Target="https://bellingcat-archive.nyc3.cdn.digitaloceanspaces.com/Ukraine_Witness_Datasheet/Worksheet/youtube_dl_1491283672359923713/index.html" TargetMode="External"/><Relationship Id="rId490" Type="http://schemas.openxmlformats.org/officeDocument/2006/relationships/hyperlink" Target="https://bellingcat-archive.nyc3.cdn.digitaloceanspaces.com/Ukraine_Witness_Datasheet/Worksheet/youtube_dl__GirkinGirkin_status_14912836723599237132022-02-25T13:13:39.326722.png" TargetMode="External"/><Relationship Id="rId489" Type="http://schemas.openxmlformats.org/officeDocument/2006/relationships/hyperlink" Target="https://bellingcat-archive.nyc3.cdn.digitaloceanspaces.com/Ukraine_Witness_Datasheet/Worksheet/youtube_dl_1491283672359923713.mp4" TargetMode="External"/><Relationship Id="rId5670" Type="http://schemas.openxmlformats.org/officeDocument/2006/relationships/hyperlink" Target="https://t.me/uniannet/34755" TargetMode="External"/><Relationship Id="rId484" Type="http://schemas.openxmlformats.org/officeDocument/2006/relationships/hyperlink" Target="https://bellingcat-archive.nyc3.cdn.digitaloceanspaces.com/Ukraine_Witness_Datasheet/Worksheet/youtube_dl_1491427946468618249.mp4" TargetMode="External"/><Relationship Id="rId3010" Type="http://schemas.openxmlformats.org/officeDocument/2006/relationships/hyperlink" Target="https://t.me/nexta_live/17178" TargetMode="External"/><Relationship Id="rId4341" Type="http://schemas.openxmlformats.org/officeDocument/2006/relationships/hyperlink" Target="https://web.archive.org/web/20220301151248/https://www.facebook.com/login/?next=https%3A%2F%2Fwww.facebook.com%2Fstory.php%3Fstory_fbid%3D1388217971693967%26id%3D102113453637765" TargetMode="External"/><Relationship Id="rId5673" Type="http://schemas.openxmlformats.org/officeDocument/2006/relationships/hyperlink" Target="https://bellingcat-archive.nyc3.cdn.digitaloceanspaces.com/Ukraine_Witness_Datasheet/Worksheet/youtube_dl_1499355556045328386.mp4" TargetMode="External"/><Relationship Id="rId483" Type="http://schemas.openxmlformats.org/officeDocument/2006/relationships/hyperlink" Target="https://twitter.com/gfusfus/status/1491432541479333893" TargetMode="External"/><Relationship Id="rId4340" Type="http://schemas.openxmlformats.org/officeDocument/2006/relationships/hyperlink" Target="https://www.facebook.com/story.php?story_fbid=1388217971693967&amp;id=102113453637765" TargetMode="External"/><Relationship Id="rId5674" Type="http://schemas.openxmlformats.org/officeDocument/2006/relationships/hyperlink" Target="https://bellingcat-archive.nyc3.cdn.digitaloceanspaces.com/Ukraine_Witness_Datasheet/Worksheet/youtube_dl__Ukropo4kA_status_14993555560453283862022-03-05T08:35:11.550522.png" TargetMode="External"/><Relationship Id="rId482" Type="http://schemas.openxmlformats.org/officeDocument/2006/relationships/hyperlink" Target="https://twitter.com/4emberlen/status/1491427946468618249" TargetMode="External"/><Relationship Id="rId3012" Type="http://schemas.openxmlformats.org/officeDocument/2006/relationships/hyperlink" Target="https://bellingcat-archive.nyc3.cdn.digitaloceanspaces.com/Ukraine_Witness_Datasheet/Worksheet/telegram__nexta_live_171782022-02-25T17:39:08.432931.png" TargetMode="External"/><Relationship Id="rId4343" Type="http://schemas.openxmlformats.org/officeDocument/2006/relationships/hyperlink" Target="https://twitter.com/Yevheniuss/status/1498308560580657152?fbclid=IwAR09eCY1kaEMQPdwuzo5vSK9x58qKsctlEISOGVj40oDbUC3WvKZK0k08hg" TargetMode="External"/><Relationship Id="rId5671" Type="http://schemas.openxmlformats.org/officeDocument/2006/relationships/hyperlink" Target="https://twitter.com/Ukropo4kA/status/1499355556045328386" TargetMode="External"/><Relationship Id="rId481" Type="http://schemas.openxmlformats.org/officeDocument/2006/relationships/hyperlink" Target="https://bellingcat-archive.nyc3.cdn.digitaloceanspaces.com/Ukraine_Witness_Datasheet/Worksheet/youtube_dl_1491366702676066309/index.html" TargetMode="External"/><Relationship Id="rId3011" Type="http://schemas.openxmlformats.org/officeDocument/2006/relationships/hyperlink" Target="https://bellingcat-archive.nyc3.cdn.digitaloceanspaces.com/Ukraine_Witness_Datasheet/Worksheet/telegram_8000c86923.mp4" TargetMode="External"/><Relationship Id="rId4342" Type="http://schemas.openxmlformats.org/officeDocument/2006/relationships/hyperlink" Target="https://bellingcat-archive.nyc3.cdn.digitaloceanspaces.com/Ukraine_Witness_Datasheet/Worksheet/wayback__story.php2022-03-01T15:12:53.227505.png" TargetMode="External"/><Relationship Id="rId5672" Type="http://schemas.openxmlformats.org/officeDocument/2006/relationships/hyperlink" Target="https://twitter.com/L_ThinkTank/status/1499348154130616321" TargetMode="External"/><Relationship Id="rId488" Type="http://schemas.openxmlformats.org/officeDocument/2006/relationships/hyperlink" Target="https://twitter.com/gfusfus/status/1491376295850426370" TargetMode="External"/><Relationship Id="rId3014" Type="http://schemas.openxmlformats.org/officeDocument/2006/relationships/hyperlink" Target="https://t.me/nexta_live/17178" TargetMode="External"/><Relationship Id="rId4345" Type="http://schemas.openxmlformats.org/officeDocument/2006/relationships/hyperlink" Target="https://bellingcat-archive.nyc3.cdn.digitaloceanspaces.com/Ukraine_Witness_Datasheet/Worksheet/twitter__Yevheniuss_status_14983085605806571522022-03-01T15:13:07.597590.png" TargetMode="External"/><Relationship Id="rId5677" Type="http://schemas.openxmlformats.org/officeDocument/2006/relationships/hyperlink" Target="https://bellingcat-archive.nyc3.cdn.digitaloceanspaces.com/Ukraine_Witness_Datasheet/Worksheet/youtube_dl_1499455753282899974.mp4" TargetMode="External"/><Relationship Id="rId487" Type="http://schemas.openxmlformats.org/officeDocument/2006/relationships/hyperlink" Target="https://twitter.com/GirkinGirkin/status/1491283672359923713" TargetMode="External"/><Relationship Id="rId3013" Type="http://schemas.openxmlformats.org/officeDocument/2006/relationships/hyperlink" Target="https://bellingcat-archive.nyc3.cdn.digitaloceanspaces.com/Ukraine_Witness_Datasheet/Worksheet/telegram_8000c86923/index.html" TargetMode="External"/><Relationship Id="rId4344" Type="http://schemas.openxmlformats.org/officeDocument/2006/relationships/hyperlink" Target="https://bellingcat-archive.nyc3.cdn.digitaloceanspaces.com/Ukraine_Witness_Datasheet/Worksheet/twitter__Yevheniuss_status_1498308560580657152.html" TargetMode="External"/><Relationship Id="rId5678" Type="http://schemas.openxmlformats.org/officeDocument/2006/relationships/hyperlink" Target="https://bellingcat-archive.nyc3.cdn.digitaloceanspaces.com/Ukraine_Witness_Datasheet/Worksheet/youtube_dl__InnaSovsun_status_14994557532828999742022-03-05T08:35:24.167395.png" TargetMode="External"/><Relationship Id="rId486" Type="http://schemas.openxmlformats.org/officeDocument/2006/relationships/hyperlink" Target="https://bellingcat-archive.nyc3.cdn.digitaloceanspaces.com/Ukraine_Witness_Datasheet/Worksheet/youtube_dl_1491427946468618249/index.html" TargetMode="External"/><Relationship Id="rId3016" Type="http://schemas.openxmlformats.org/officeDocument/2006/relationships/hyperlink" Target="https://bellingcat-archive.nyc3.cdn.digitaloceanspaces.com/Ukraine_Witness_Datasheet/Worksheet/youtube_dl_1497195337089490945.mp4" TargetMode="External"/><Relationship Id="rId4347" Type="http://schemas.openxmlformats.org/officeDocument/2006/relationships/hyperlink" Target="https://web.archive.org/web/20220301151401/https://twitter.com/AsamiTerajima/status/1498533891619106816" TargetMode="External"/><Relationship Id="rId5675" Type="http://schemas.openxmlformats.org/officeDocument/2006/relationships/hyperlink" Target="https://bellingcat-archive.nyc3.cdn.digitaloceanspaces.com/Ukraine_Witness_Datasheet/Worksheet/youtube_dl_1499355556045328386/index.html" TargetMode="External"/><Relationship Id="rId485" Type="http://schemas.openxmlformats.org/officeDocument/2006/relationships/hyperlink" Target="https://bellingcat-archive.nyc3.cdn.digitaloceanspaces.com/Ukraine_Witness_Datasheet/Worksheet/youtube_dl__4emberlen_status_14914279464686182492022-02-25T13:13:21.122138.png" TargetMode="External"/><Relationship Id="rId3015" Type="http://schemas.openxmlformats.org/officeDocument/2006/relationships/hyperlink" Target="https://twitter.com/3TrAmvL026aJRar/status/1497195337089490945?t=tQNd4lD7kqscdr9rDf2ybg&amp;s=19" TargetMode="External"/><Relationship Id="rId4346" Type="http://schemas.openxmlformats.org/officeDocument/2006/relationships/hyperlink" Target="https://twitter.com/AsamiTerajima/status/1498533891619106816" TargetMode="External"/><Relationship Id="rId5676" Type="http://schemas.openxmlformats.org/officeDocument/2006/relationships/hyperlink" Target="https://twitter.com/InnaSovsun/status/1499455753282899974?s=20&amp;t=Wh5EKtipOmCbQoH-oB2OJQ" TargetMode="External"/><Relationship Id="rId3007" Type="http://schemas.openxmlformats.org/officeDocument/2006/relationships/hyperlink" Target="https://bellingcat-archive.nyc3.cdn.digitaloceanspaces.com/Ukraine_Witness_Datasheet/Worksheet/youtube_dl_1-Ci0TkU7g1P2IcoIyfZGQ7bW3I3Mvpy6.mp4" TargetMode="External"/><Relationship Id="rId4338" Type="http://schemas.openxmlformats.org/officeDocument/2006/relationships/hyperlink" Target="https://web.archive.org/web/20220301151216/https://www.facebook.com/login/?next=https%3A%2F%2Fwww.facebook.com%2Fmagomedovandrei%2Fposts%2F7086923728048526" TargetMode="External"/><Relationship Id="rId3006" Type="http://schemas.openxmlformats.org/officeDocument/2006/relationships/hyperlink" Target="https://drive.google.com/file/d/1-Ci0TkU7g1P2IcoIyfZGQ7bW3I3Mvpy6/view?usp=sharing" TargetMode="External"/><Relationship Id="rId4337" Type="http://schemas.openxmlformats.org/officeDocument/2006/relationships/hyperlink" Target="https://www.facebook.com/magomedovandrei/posts/7086923728048526" TargetMode="External"/><Relationship Id="rId3009" Type="http://schemas.openxmlformats.org/officeDocument/2006/relationships/hyperlink" Target="https://bellingcat-archive.nyc3.cdn.digitaloceanspaces.com/Ukraine_Witness_Datasheet/Worksheet/youtube_dl_1-Ci0TkU7g1P2IcoIyfZGQ7bW3I3Mvpy6/index.html" TargetMode="External"/><Relationship Id="rId5668" Type="http://schemas.openxmlformats.org/officeDocument/2006/relationships/hyperlink" Target="https://bellingcat-archive.nyc3.cdn.digitaloceanspaces.com/Ukraine_Witness_Datasheet/Worksheet/telegram__uniannet_347552022-03-05T08:30:09.371278.png" TargetMode="External"/><Relationship Id="rId6999" Type="http://schemas.openxmlformats.org/officeDocument/2006/relationships/hyperlink" Target="https://bellingcat-archive.nyc3.cdn.digitaloceanspaces.com/Ukraine_Witness_Datasheet/Worksheet/twitter__nexta_tv_status_14997614103598448642022-03-08T09:14:32.462327.png" TargetMode="External"/><Relationship Id="rId3008" Type="http://schemas.openxmlformats.org/officeDocument/2006/relationships/hyperlink" Target="https://bellingcat-archive.nyc3.cdn.digitaloceanspaces.com/Ukraine_Witness_Datasheet/Worksheet/youtube_dl__file_d_1-Ci0TkU7g1P2IcoIyfZGQ7bW3I3Mvpy6_view2022-02-25T17:38:30.229187.png" TargetMode="External"/><Relationship Id="rId4339" Type="http://schemas.openxmlformats.org/officeDocument/2006/relationships/hyperlink" Target="https://bellingcat-archive.nyc3.cdn.digitaloceanspaces.com/Ukraine_Witness_Datasheet/Worksheet/wayback__magomedovandrei_posts_70869237280485262022-03-01T15:12:24.813230.png" TargetMode="External"/><Relationship Id="rId5669" Type="http://schemas.openxmlformats.org/officeDocument/2006/relationships/hyperlink" Target="https://bellingcat-archive.nyc3.cdn.digitaloceanspaces.com/Ukraine_Witness_Datasheet/Worksheet/telegram_6b19088f23/index.html" TargetMode="External"/><Relationship Id="rId480" Type="http://schemas.openxmlformats.org/officeDocument/2006/relationships/hyperlink" Target="https://bellingcat-archive.nyc3.cdn.digitaloceanspaces.com/Ukraine_Witness_Datasheet/Worksheet/youtube_dl__4emberlen_status_14913667026760663092022-02-25T13:13:00.840840.png" TargetMode="External"/><Relationship Id="rId479" Type="http://schemas.openxmlformats.org/officeDocument/2006/relationships/hyperlink" Target="https://bellingcat-archive.nyc3.cdn.digitaloceanspaces.com/Ukraine_Witness_Datasheet/Worksheet/youtube_dl_1491366702676066309.mp4" TargetMode="External"/><Relationship Id="rId478" Type="http://schemas.openxmlformats.org/officeDocument/2006/relationships/hyperlink" Target="https://twitter.com/gfusfus/status/1491433525534662658" TargetMode="External"/><Relationship Id="rId6990" Type="http://schemas.openxmlformats.org/officeDocument/2006/relationships/hyperlink" Target="https://bellingcat-archive.nyc3.cdn.digitaloceanspaces.com/Ukraine_Witness_Datasheet/Worksheet/telegram__livekharkov_288782022-03-08T09:13:31.258708.png" TargetMode="External"/><Relationship Id="rId473" Type="http://schemas.openxmlformats.org/officeDocument/2006/relationships/hyperlink" Target="https://twitter.com/herooftheday10/status/1491549484798644224" TargetMode="External"/><Relationship Id="rId4330" Type="http://schemas.openxmlformats.org/officeDocument/2006/relationships/hyperlink" Target="https://twitter.com/ohsendit/status/1498394646350860290" TargetMode="External"/><Relationship Id="rId5662" Type="http://schemas.openxmlformats.org/officeDocument/2006/relationships/hyperlink" Target="https://twitter.com/RALee85/status/1499969151619715073" TargetMode="External"/><Relationship Id="rId6993" Type="http://schemas.openxmlformats.org/officeDocument/2006/relationships/hyperlink" Target="https://bellingcat-archive.nyc3.cdn.digitaloceanspaces.com/Ukraine_Witness_Datasheet/Worksheet/telegram__livekharkov_288782022-03-08T09:13:49.927674.png" TargetMode="External"/><Relationship Id="rId472" Type="http://schemas.openxmlformats.org/officeDocument/2006/relationships/hyperlink" Target="https://bellingcat-archive.nyc3.cdn.digitaloceanspaces.com/Ukraine_Witness_Datasheet/Worksheet/youtube_dl_1491374811553333250/index.html" TargetMode="External"/><Relationship Id="rId5663" Type="http://schemas.openxmlformats.org/officeDocument/2006/relationships/hyperlink" Target="https://bellingcat-archive.nyc3.cdn.digitaloceanspaces.com/Ukraine_Witness_Datasheet/Worksheet/youtube_dl_1499967573735227402.mp4" TargetMode="External"/><Relationship Id="rId6994" Type="http://schemas.openxmlformats.org/officeDocument/2006/relationships/hyperlink" Target="https://t.me/dsns_telegram/4258" TargetMode="External"/><Relationship Id="rId471" Type="http://schemas.openxmlformats.org/officeDocument/2006/relationships/hyperlink" Target="https://bellingcat-archive.nyc3.cdn.digitaloceanspaces.com/Ukraine_Witness_Datasheet/Worksheet/youtube_dl__MarQs___status_14913748115533332502022-02-25T13:10:59.610383.png" TargetMode="External"/><Relationship Id="rId3001" Type="http://schemas.openxmlformats.org/officeDocument/2006/relationships/hyperlink" Target="https://bellingcat-archive.nyc3.cdn.digitaloceanspaces.com/Ukraine_Witness_Datasheet/Worksheet/youtube_dl_1kgiqZGTtI_BoJvXf0w3LRJRZBalvcRri/index.html" TargetMode="External"/><Relationship Id="rId4332" Type="http://schemas.openxmlformats.org/officeDocument/2006/relationships/hyperlink" Target="https://bellingcat-archive.nyc3.cdn.digitaloceanspaces.com/Ukraine_Witness_Datasheet/Worksheet/youtube_dl__XyKyiv_status_14983930050274754612022-03-01T15:11:10.076210.png" TargetMode="External"/><Relationship Id="rId5660" Type="http://schemas.openxmlformats.org/officeDocument/2006/relationships/hyperlink" Target="https://bellingcat-archive.nyc3.cdn.digitaloceanspaces.com/Ukraine_Witness_Datasheet/Worksheet/twitter__RALee85_status_1499855040328130561.html" TargetMode="External"/><Relationship Id="rId6991" Type="http://schemas.openxmlformats.org/officeDocument/2006/relationships/hyperlink" Target="https://t.me/livekharkov/28878" TargetMode="External"/><Relationship Id="rId470" Type="http://schemas.openxmlformats.org/officeDocument/2006/relationships/hyperlink" Target="https://bellingcat-archive.nyc3.cdn.digitaloceanspaces.com/Ukraine_Witness_Datasheet/Worksheet/youtube_dl_1491374811553333250.mp4" TargetMode="External"/><Relationship Id="rId3000" Type="http://schemas.openxmlformats.org/officeDocument/2006/relationships/hyperlink" Target="https://bellingcat-archive.nyc3.cdn.digitaloceanspaces.com/Ukraine_Witness_Datasheet/Worksheet/youtube_dl__file_d_1kgiqZGTtI_BoJvXf0w3LRJRZBalvcRri_view2022-02-25T17:37:47.416844.png" TargetMode="External"/><Relationship Id="rId4331" Type="http://schemas.openxmlformats.org/officeDocument/2006/relationships/hyperlink" Target="https://bellingcat-archive.nyc3.cdn.digitaloceanspaces.com/Ukraine_Witness_Datasheet/Worksheet/youtube_dl_1498393005027475461.mp4" TargetMode="External"/><Relationship Id="rId5661" Type="http://schemas.openxmlformats.org/officeDocument/2006/relationships/hyperlink" Target="https://bellingcat-archive.nyc3.cdn.digitaloceanspaces.com/Ukraine_Witness_Datasheet/Worksheet/twitter__RALee85_status_14998550403281305612022-03-04T22:00:14.623937.png" TargetMode="External"/><Relationship Id="rId6992" Type="http://schemas.openxmlformats.org/officeDocument/2006/relationships/hyperlink" Target="https://bellingcat-archive.nyc3.cdn.digitaloceanspaces.com/Ukraine_Witness_Datasheet/Worksheet/telegram__livekharkov_28878.html" TargetMode="External"/><Relationship Id="rId477" Type="http://schemas.openxmlformats.org/officeDocument/2006/relationships/hyperlink" Target="https://twitter.com/4emberlen/status/1491366702676066309" TargetMode="External"/><Relationship Id="rId3003" Type="http://schemas.openxmlformats.org/officeDocument/2006/relationships/hyperlink" Target="https://bellingcat-archive.nyc3.cdn.digitaloceanspaces.com/Ukraine_Witness_Datasheet/Worksheet/youtube_dl_14Szn69LQ5RBPoo7D7weZojuB6RhaLcC9.mp4" TargetMode="External"/><Relationship Id="rId4334" Type="http://schemas.openxmlformats.org/officeDocument/2006/relationships/hyperlink" Target="https://www.facebook.com/story.php?story_fbid=317408247086919&amp;id=100064532388988" TargetMode="External"/><Relationship Id="rId5666" Type="http://schemas.openxmlformats.org/officeDocument/2006/relationships/hyperlink" Target="https://t.me/uniannet/34755" TargetMode="External"/><Relationship Id="rId6997" Type="http://schemas.openxmlformats.org/officeDocument/2006/relationships/hyperlink" Target="https://twitter.com/nexta_tv/status/1499761410359844864" TargetMode="External"/><Relationship Id="rId476" Type="http://schemas.openxmlformats.org/officeDocument/2006/relationships/hyperlink" Target="https://bellingcat-archive.nyc3.cdn.digitaloceanspaces.com/Ukraine_Witness_Datasheet/Worksheet/wayback__herooftheday10_status_14915494847986442242022-02-25T13:12:45.801626.png" TargetMode="External"/><Relationship Id="rId3002" Type="http://schemas.openxmlformats.org/officeDocument/2006/relationships/hyperlink" Target="https://drive.google.com/file/d/14Szn69LQ5RBPoo7D7weZojuB6RhaLcC9/view?usp=sharing" TargetMode="External"/><Relationship Id="rId4333" Type="http://schemas.openxmlformats.org/officeDocument/2006/relationships/hyperlink" Target="https://bellingcat-archive.nyc3.cdn.digitaloceanspaces.com/Ukraine_Witness_Datasheet/Worksheet/youtube_dl_1498393005027475461/index.html" TargetMode="External"/><Relationship Id="rId5667" Type="http://schemas.openxmlformats.org/officeDocument/2006/relationships/hyperlink" Target="https://bellingcat-archive.nyc3.cdn.digitaloceanspaces.com/Ukraine_Witness_Datasheet/Worksheet/telegram_6b19088f23.mp4" TargetMode="External"/><Relationship Id="rId6998" Type="http://schemas.openxmlformats.org/officeDocument/2006/relationships/hyperlink" Target="https://bellingcat-archive.nyc3.cdn.digitaloceanspaces.com/Ukraine_Witness_Datasheet/Worksheet/twitter__nexta_tv_status_1499761410359844864.html" TargetMode="External"/><Relationship Id="rId475" Type="http://schemas.openxmlformats.org/officeDocument/2006/relationships/hyperlink" Target="https://web.archive.org/web/20220225131232/https://twitter.com/herooftheday10/status/1491549484798644224" TargetMode="External"/><Relationship Id="rId3005" Type="http://schemas.openxmlformats.org/officeDocument/2006/relationships/hyperlink" Target="https://bellingcat-archive.nyc3.cdn.digitaloceanspaces.com/Ukraine_Witness_Datasheet/Worksheet/youtube_dl_14Szn69LQ5RBPoo7D7weZojuB6RhaLcC9/index.html" TargetMode="External"/><Relationship Id="rId4336" Type="http://schemas.openxmlformats.org/officeDocument/2006/relationships/hyperlink" Target="https://bellingcat-archive.nyc3.cdn.digitaloceanspaces.com/Ukraine_Witness_Datasheet/Worksheet/wayback__story.php2022-03-01T15:11:56.206422.png" TargetMode="External"/><Relationship Id="rId5664" Type="http://schemas.openxmlformats.org/officeDocument/2006/relationships/hyperlink" Target="https://bellingcat-archive.nyc3.cdn.digitaloceanspaces.com/Ukraine_Witness_Datasheet/Worksheet/youtube_dl__RALee85_status_14999691516197150732022-03-05T06:35:12.044052.png" TargetMode="External"/><Relationship Id="rId6995" Type="http://schemas.openxmlformats.org/officeDocument/2006/relationships/hyperlink" Target="https://bellingcat-archive.nyc3.cdn.digitaloceanspaces.com/Ukraine_Witness_Datasheet/Worksheet/telegram__dsns_telegram_4258.html" TargetMode="External"/><Relationship Id="rId474" Type="http://schemas.openxmlformats.org/officeDocument/2006/relationships/hyperlink" Target="https://twitter.com/danvan71/status/1491572537159041028" TargetMode="External"/><Relationship Id="rId3004" Type="http://schemas.openxmlformats.org/officeDocument/2006/relationships/hyperlink" Target="https://bellingcat-archive.nyc3.cdn.digitaloceanspaces.com/Ukraine_Witness_Datasheet/Worksheet/youtube_dl__file_d_14Szn69LQ5RBPoo7D7weZojuB6RhaLcC9_view2022-02-25T17:38:10.143350.png" TargetMode="External"/><Relationship Id="rId4335" Type="http://schemas.openxmlformats.org/officeDocument/2006/relationships/hyperlink" Target="https://web.archive.org/web/20220301151147/https://www.facebook.com/login/?next=https%3A%2F%2Fwww.facebook.com%2Fstory.php%3Fstory_fbid%3D317408247086919%26id%3D100064532388988" TargetMode="External"/><Relationship Id="rId5665" Type="http://schemas.openxmlformats.org/officeDocument/2006/relationships/hyperlink" Target="https://bellingcat-archive.nyc3.cdn.digitaloceanspaces.com/Ukraine_Witness_Datasheet/Worksheet/youtube_dl_1499967573735227402/index.html" TargetMode="External"/><Relationship Id="rId6996" Type="http://schemas.openxmlformats.org/officeDocument/2006/relationships/hyperlink" Target="https://bellingcat-archive.nyc3.cdn.digitaloceanspaces.com/Ukraine_Witness_Datasheet/Worksheet/telegram__dsns_telegram_42582022-03-08T09:14:10.755795.png" TargetMode="External"/><Relationship Id="rId5615" Type="http://schemas.openxmlformats.org/officeDocument/2006/relationships/hyperlink" Target="https://bellingcat-archive.nyc3.cdn.digitaloceanspaces.com/Ukraine_Witness_Datasheet/Worksheet/twitter__ICTV_Fakty_status_14994355358190673942022-03-04T14:10:13.162965.png" TargetMode="External"/><Relationship Id="rId6946" Type="http://schemas.openxmlformats.org/officeDocument/2006/relationships/hyperlink" Target="https://bellingcat-archive.nyc3.cdn.digitaloceanspaces.com/Ukraine_Witness_Datasheet/Worksheet/telegram__livekharkov_287472022-03-08T09:08:19.823742.png" TargetMode="External"/><Relationship Id="rId5616" Type="http://schemas.openxmlformats.org/officeDocument/2006/relationships/hyperlink" Target="https://twitter.com/Ukropo4kA/status/1499745823835529228?s=20&amp;t=NlFEhZUM-w1ySXn_90k1Ww" TargetMode="External"/><Relationship Id="rId6947" Type="http://schemas.openxmlformats.org/officeDocument/2006/relationships/hyperlink" Target="https://dn.depo.ua/ukr/dn/rosiya-nakrila-smerchem-avdiivku-202203021430808" TargetMode="External"/><Relationship Id="rId5613" Type="http://schemas.openxmlformats.org/officeDocument/2006/relationships/hyperlink" Target="https://twitter.com/ICTV_Fakty/status/1499435535819067394?s=20&amp;t=Z6nKUvctyVBcN_EgbwJ3qA" TargetMode="External"/><Relationship Id="rId6944" Type="http://schemas.openxmlformats.org/officeDocument/2006/relationships/hyperlink" Target="https://t.me/livekharkov/28747" TargetMode="External"/><Relationship Id="rId5614" Type="http://schemas.openxmlformats.org/officeDocument/2006/relationships/hyperlink" Target="https://bellingcat-archive.nyc3.cdn.digitaloceanspaces.com/Ukraine_Witness_Datasheet/Worksheet/twitter__ICTV_Fakty_status_1499435535819067394.html" TargetMode="External"/><Relationship Id="rId6945" Type="http://schemas.openxmlformats.org/officeDocument/2006/relationships/hyperlink" Target="https://bellingcat-archive.nyc3.cdn.digitaloceanspaces.com/Ukraine_Witness_Datasheet/Worksheet/telegram__livekharkov_28747.html" TargetMode="External"/><Relationship Id="rId5619" Type="http://schemas.openxmlformats.org/officeDocument/2006/relationships/hyperlink" Target="https://bellingcat-archive.nyc3.cdn.digitaloceanspaces.com/Ukraine_Witness_Datasheet/Worksheet/youtube_dl_1499745823835529228/index.html" TargetMode="External"/><Relationship Id="rId5617" Type="http://schemas.openxmlformats.org/officeDocument/2006/relationships/hyperlink" Target="https://bellingcat-archive.nyc3.cdn.digitaloceanspaces.com/Ukraine_Witness_Datasheet/Worksheet/youtube_dl_1499745823835529228.mp4" TargetMode="External"/><Relationship Id="rId6948" Type="http://schemas.openxmlformats.org/officeDocument/2006/relationships/hyperlink" Target="https://twitter.com/2022Kharkiv/status/1499406991978115072?s=20&amp;t=zmjLEMnXd2HiLwb7hVzwBw" TargetMode="External"/><Relationship Id="rId5618" Type="http://schemas.openxmlformats.org/officeDocument/2006/relationships/hyperlink" Target="https://bellingcat-archive.nyc3.cdn.digitaloceanspaces.com/Ukraine_Witness_Datasheet/Worksheet/youtube_dl__Ukropo4kA_status_14997458238355292282022-03-04T14:40:14.520647.png" TargetMode="External"/><Relationship Id="rId6949" Type="http://schemas.openxmlformats.org/officeDocument/2006/relationships/hyperlink" Target="https://bellingcat-archive.nyc3.cdn.digitaloceanspaces.com/Ukraine_Witness_Datasheet/Worksheet/youtube_dl_AFMeF2GJB34.webm" TargetMode="External"/><Relationship Id="rId426" Type="http://schemas.openxmlformats.org/officeDocument/2006/relationships/hyperlink" Target="https://twitter.com/4emberlen/status/1491085146531201025" TargetMode="External"/><Relationship Id="rId425" Type="http://schemas.openxmlformats.org/officeDocument/2006/relationships/hyperlink" Target="https://bellingcat-archive.nyc3.cdn.digitaloceanspaces.com/Ukraine_Witness_Datasheet/Worksheet/youtube_dl_1490621504333230085/index.html" TargetMode="External"/><Relationship Id="rId424" Type="http://schemas.openxmlformats.org/officeDocument/2006/relationships/hyperlink" Target="https://bellingcat-archive.nyc3.cdn.digitaloceanspaces.com/Ukraine_Witness_Datasheet/Worksheet/youtube_dl__GirkinGirkin_status_14906215043332300852022-02-25T13:06:15.953747.png" TargetMode="External"/><Relationship Id="rId423" Type="http://schemas.openxmlformats.org/officeDocument/2006/relationships/hyperlink" Target="https://bellingcat-archive.nyc3.cdn.digitaloceanspaces.com/Ukraine_Witness_Datasheet/Worksheet/youtube_dl_1490621504333230085.mp4" TargetMode="External"/><Relationship Id="rId429" Type="http://schemas.openxmlformats.org/officeDocument/2006/relationships/hyperlink" Target="https://bellingcat-archive.nyc3.cdn.digitaloceanspaces.com/Ukraine_Witness_Datasheet/Worksheet/youtube_dl__4emberlen_status_14910851465312010252022-02-25T13:06:32.886062.png" TargetMode="External"/><Relationship Id="rId428" Type="http://schemas.openxmlformats.org/officeDocument/2006/relationships/hyperlink" Target="https://bellingcat-archive.nyc3.cdn.digitaloceanspaces.com/Ukraine_Witness_Datasheet/Worksheet/youtube_dl_1491085146531201025.mp4" TargetMode="External"/><Relationship Id="rId427" Type="http://schemas.openxmlformats.org/officeDocument/2006/relationships/hyperlink" Target="https://twitter.com/Michael1Sheldon/status/1491113881313636352" TargetMode="External"/><Relationship Id="rId422" Type="http://schemas.openxmlformats.org/officeDocument/2006/relationships/hyperlink" Target="https://twitter.com/GirkinGirkin/status/1490621504333230085" TargetMode="External"/><Relationship Id="rId5611" Type="http://schemas.openxmlformats.org/officeDocument/2006/relationships/hyperlink" Target="https://bellingcat-archive.nyc3.cdn.digitaloceanspaces.com/Ukraine_Witness_Datasheet/Worksheet/youtube_dl__MilitaryAgentt_status_14993874675642122282022-03-04T13:57:30.069408.png" TargetMode="External"/><Relationship Id="rId6942" Type="http://schemas.openxmlformats.org/officeDocument/2006/relationships/hyperlink" Target="https://bellingcat-archive.nyc3.cdn.digitaloceanspaces.com/Ukraine_Witness_Datasheet/Worksheet/telegram__truexanewsua_27445.html" TargetMode="External"/><Relationship Id="rId421" Type="http://schemas.openxmlformats.org/officeDocument/2006/relationships/hyperlink" Target="https://bellingcat-archive.nyc3.cdn.digitaloceanspaces.com/Ukraine_Witness_Datasheet/Worksheet/youtube_dl_1490953643029577728/index.html" TargetMode="External"/><Relationship Id="rId5612" Type="http://schemas.openxmlformats.org/officeDocument/2006/relationships/hyperlink" Target="https://bellingcat-archive.nyc3.cdn.digitaloceanspaces.com/Ukraine_Witness_Datasheet/Worksheet/youtube_dl_1499387467564212228/index.html" TargetMode="External"/><Relationship Id="rId6943" Type="http://schemas.openxmlformats.org/officeDocument/2006/relationships/hyperlink" Target="https://bellingcat-archive.nyc3.cdn.digitaloceanspaces.com/Ukraine_Witness_Datasheet/Worksheet/telegram__truexanewsua_274452022-03-08T09:08:08.783063.png" TargetMode="External"/><Relationship Id="rId420" Type="http://schemas.openxmlformats.org/officeDocument/2006/relationships/hyperlink" Target="https://bellingcat-archive.nyc3.cdn.digitaloceanspaces.com/Ukraine_Witness_Datasheet/Worksheet/youtube_dl__Michael1Sheldon_status_14909536430295777282022-02-25T13:05:58.114025.png" TargetMode="External"/><Relationship Id="rId6940" Type="http://schemas.openxmlformats.org/officeDocument/2006/relationships/hyperlink" Target="https://bellingcat-archive.nyc3.cdn.digitaloceanspaces.com/Ukraine_Witness_Datasheet/Worksheet/twitter__ua_industrial_status_14994397011529072652022-03-08T09:07:58.901388.png" TargetMode="External"/><Relationship Id="rId5610" Type="http://schemas.openxmlformats.org/officeDocument/2006/relationships/hyperlink" Target="https://bellingcat-archive.nyc3.cdn.digitaloceanspaces.com/Ukraine_Witness_Datasheet/Worksheet/youtube_dl_1499387467564212228.mp4" TargetMode="External"/><Relationship Id="rId6941" Type="http://schemas.openxmlformats.org/officeDocument/2006/relationships/hyperlink" Target="https://t.me/truexanewsua/27445" TargetMode="External"/><Relationship Id="rId5604" Type="http://schemas.openxmlformats.org/officeDocument/2006/relationships/hyperlink" Target="https://t.me/ukraina24tv/17333" TargetMode="External"/><Relationship Id="rId6935" Type="http://schemas.openxmlformats.org/officeDocument/2006/relationships/hyperlink" Target="https://twitter.com/aldin_ww/status/1498728726066081792?s=20&amp;t=rq4Qe4YpvRjFh9OsUnLssg" TargetMode="External"/><Relationship Id="rId5605" Type="http://schemas.openxmlformats.org/officeDocument/2006/relationships/hyperlink" Target="https://bellingcat-archive.nyc3.cdn.digitaloceanspaces.com/Ukraine_Witness_Datasheet/Worksheet/telegram_bf305d70d2.mp4" TargetMode="External"/><Relationship Id="rId6936" Type="http://schemas.openxmlformats.org/officeDocument/2006/relationships/hyperlink" Target="https://bellingcat-archive.nyc3.cdn.digitaloceanspaces.com/Ukraine_Witness_Datasheet/Worksheet/twitter__aldin_ww_status_1498728726066081792.html" TargetMode="External"/><Relationship Id="rId5602" Type="http://schemas.openxmlformats.org/officeDocument/2006/relationships/hyperlink" Target="https://bellingcat-archive.nyc3.cdn.digitaloceanspaces.com/Ukraine_Witness_Datasheet/Worksheet/twitter__no_itsmyturn_status_1499711951362039820.html" TargetMode="External"/><Relationship Id="rId6933" Type="http://schemas.openxmlformats.org/officeDocument/2006/relationships/hyperlink" Target="https://bellingcat-archive.nyc3.cdn.digitaloceanspaces.com/Ukraine_Witness_Datasheet/Worksheet/twitter__GirkinGirkin_status_1498637870415888394.html" TargetMode="External"/><Relationship Id="rId5603" Type="http://schemas.openxmlformats.org/officeDocument/2006/relationships/hyperlink" Target="https://bellingcat-archive.nyc3.cdn.digitaloceanspaces.com/Ukraine_Witness_Datasheet/Worksheet/twitter__no_itsmyturn_status_14997119513620398202022-03-04T13:50:31.306897.png" TargetMode="External"/><Relationship Id="rId6934" Type="http://schemas.openxmlformats.org/officeDocument/2006/relationships/hyperlink" Target="https://bellingcat-archive.nyc3.cdn.digitaloceanspaces.com/Ukraine_Witness_Datasheet/Worksheet/twitter__GirkinGirkin_status_14986378704158883942022-03-08T09:07:34.451195.png" TargetMode="External"/><Relationship Id="rId5608" Type="http://schemas.openxmlformats.org/officeDocument/2006/relationships/hyperlink" Target="https://t.me/ukraina24tv/17333" TargetMode="External"/><Relationship Id="rId6939" Type="http://schemas.openxmlformats.org/officeDocument/2006/relationships/hyperlink" Target="https://bellingcat-archive.nyc3.cdn.digitaloceanspaces.com/Ukraine_Witness_Datasheet/Worksheet/twitter__ua_industrial_status_1499439701152907265.html" TargetMode="External"/><Relationship Id="rId5609" Type="http://schemas.openxmlformats.org/officeDocument/2006/relationships/hyperlink" Target="https://twitter.com/MilitaryAgentt/status/1499387467564212228?s=20&amp;t=Z6nKUvctyVBcN_EgbwJ3qAhttps://twitter.com/MilitaryAgentt/status/1499387467564212228?s=20&amp;t=Z6nKUvctyVBcN_EgbwJ3qA" TargetMode="External"/><Relationship Id="rId5606" Type="http://schemas.openxmlformats.org/officeDocument/2006/relationships/hyperlink" Target="https://bellingcat-archive.nyc3.cdn.digitaloceanspaces.com/Ukraine_Witness_Datasheet/Worksheet/telegram__ukraina24tv_173332022-03-04T13:55:10.432135.png" TargetMode="External"/><Relationship Id="rId6937" Type="http://schemas.openxmlformats.org/officeDocument/2006/relationships/hyperlink" Target="https://bellingcat-archive.nyc3.cdn.digitaloceanspaces.com/Ukraine_Witness_Datasheet/Worksheet/twitter__aldin_ww_status_14987287260660817922022-03-08T09:07:46.161563.png" TargetMode="External"/><Relationship Id="rId5607" Type="http://schemas.openxmlformats.org/officeDocument/2006/relationships/hyperlink" Target="https://bellingcat-archive.nyc3.cdn.digitaloceanspaces.com/Ukraine_Witness_Datasheet/Worksheet/telegram_bf305d70d2/index.html" TargetMode="External"/><Relationship Id="rId6938" Type="http://schemas.openxmlformats.org/officeDocument/2006/relationships/hyperlink" Target="https://twitter.com/ua_industrial/status/1499439701152907265?s=20&amp;t=zmjLEMnXd2HiLwb7hVzwBw" TargetMode="External"/><Relationship Id="rId415" Type="http://schemas.openxmlformats.org/officeDocument/2006/relationships/hyperlink" Target="https://bellingcat-archive.nyc3.cdn.digitaloceanspaces.com/Ukraine_Witness_Datasheet/Worksheet/youtube_dl__GirkinGirkin_status_14912215877688074242022-02-25T13:05:41.141481.png" TargetMode="External"/><Relationship Id="rId414" Type="http://schemas.openxmlformats.org/officeDocument/2006/relationships/hyperlink" Target="https://bellingcat-archive.nyc3.cdn.digitaloceanspaces.com/Ukraine_Witness_Datasheet/Worksheet/youtube_dl_1491221587768807424.mp4" TargetMode="External"/><Relationship Id="rId413" Type="http://schemas.openxmlformats.org/officeDocument/2006/relationships/hyperlink" Target="https://twitter.com/Tar_Milus/status/1491237820576714752" TargetMode="External"/><Relationship Id="rId412" Type="http://schemas.openxmlformats.org/officeDocument/2006/relationships/hyperlink" Target="https://twitter.com/GirkinGirkin/status/1491221587768807424" TargetMode="External"/><Relationship Id="rId419" Type="http://schemas.openxmlformats.org/officeDocument/2006/relationships/hyperlink" Target="https://bellingcat-archive.nyc3.cdn.digitaloceanspaces.com/Ukraine_Witness_Datasheet/Worksheet/youtube_dl_1490953643029577728.mp4" TargetMode="External"/><Relationship Id="rId418" Type="http://schemas.openxmlformats.org/officeDocument/2006/relationships/hyperlink" Target="https://twitter.com/Michael1Sheldon/status/1490954073516154881" TargetMode="External"/><Relationship Id="rId417" Type="http://schemas.openxmlformats.org/officeDocument/2006/relationships/hyperlink" Target="https://twitter.com/Michael1Sheldon/status/1490953643029577728" TargetMode="External"/><Relationship Id="rId416" Type="http://schemas.openxmlformats.org/officeDocument/2006/relationships/hyperlink" Target="https://bellingcat-archive.nyc3.cdn.digitaloceanspaces.com/Ukraine_Witness_Datasheet/Worksheet/youtube_dl_1491221587768807424/index.html" TargetMode="External"/><Relationship Id="rId411" Type="http://schemas.openxmlformats.org/officeDocument/2006/relationships/hyperlink" Target="https://bellingcat-archive.nyc3.cdn.digitaloceanspaces.com/Ukraine_Witness_Datasheet/Worksheet/youtube_dl_1491113219259199492/index.html" TargetMode="External"/><Relationship Id="rId5600" Type="http://schemas.openxmlformats.org/officeDocument/2006/relationships/hyperlink" Target="https://bellingcat-archive.nyc3.cdn.digitaloceanspaces.com/Ukraine_Witness_Datasheet/Worksheet/youtube_dl_1499707927669743619/index.html" TargetMode="External"/><Relationship Id="rId6931" Type="http://schemas.openxmlformats.org/officeDocument/2006/relationships/hyperlink" Target="https://bellingcat-archive.nyc3.cdn.digitaloceanspaces.com/Ukraine_Witness_Datasheet/Worksheet/twitter__EliotHiggins_status_14987145463070146582022-03-08T09:07:22.897522.png" TargetMode="External"/><Relationship Id="rId410" Type="http://schemas.openxmlformats.org/officeDocument/2006/relationships/hyperlink" Target="https://bellingcat-archive.nyc3.cdn.digitaloceanspaces.com/Ukraine_Witness_Datasheet/Worksheet/youtube_dl__GirkinGirkin_status_14911132192591994922022-02-25T13:05:21.449285.png" TargetMode="External"/><Relationship Id="rId5601" Type="http://schemas.openxmlformats.org/officeDocument/2006/relationships/hyperlink" Target="https://twitter.com/no_itsmyturn/status/1499711951362039820" TargetMode="External"/><Relationship Id="rId6932" Type="http://schemas.openxmlformats.org/officeDocument/2006/relationships/hyperlink" Target="https://twitter.com/GirkinGirkin/status/1498637870415888394?s=20&amp;t=rq4Qe4YpvRjFh9OsUnLssg" TargetMode="External"/><Relationship Id="rId6930" Type="http://schemas.openxmlformats.org/officeDocument/2006/relationships/hyperlink" Target="https://bellingcat-archive.nyc3.cdn.digitaloceanspaces.com/Ukraine_Witness_Datasheet/Worksheet/twitter__EliotHiggins_status_1498714546307014658.html" TargetMode="External"/><Relationship Id="rId4305" Type="http://schemas.openxmlformats.org/officeDocument/2006/relationships/hyperlink" Target="https://twitter.com/BeMilInterests/status/1498644134894125064?s=20&amp;t=s22dN35Phs4QLgnbLcnRog" TargetMode="External"/><Relationship Id="rId5637" Type="http://schemas.openxmlformats.org/officeDocument/2006/relationships/hyperlink" Target="https://t.me/insiderUKR/23709" TargetMode="External"/><Relationship Id="rId6968" Type="http://schemas.openxmlformats.org/officeDocument/2006/relationships/hyperlink" Target="https://t.me/truexanewsua/28701" TargetMode="External"/><Relationship Id="rId4304" Type="http://schemas.openxmlformats.org/officeDocument/2006/relationships/hyperlink" Target="https://bellingcat-archive.nyc3.cdn.digitaloceanspaces.com/Ukraine_Witness_Datasheet/Worksheet/youtube_dl_1498531616540536836/index.html" TargetMode="External"/><Relationship Id="rId5638" Type="http://schemas.openxmlformats.org/officeDocument/2006/relationships/hyperlink" Target="https://twitter.com/markito0171/status/1499787486758936577" TargetMode="External"/><Relationship Id="rId6969" Type="http://schemas.openxmlformats.org/officeDocument/2006/relationships/hyperlink" Target="https://twitter.com/no_itsmyturn/status/1498900283010822147?s=20&amp;t=zmjLEMnXd2HiLwb7hVzwBw" TargetMode="External"/><Relationship Id="rId4307" Type="http://schemas.openxmlformats.org/officeDocument/2006/relationships/hyperlink" Target="https://bellingcat-archive.nyc3.cdn.digitaloceanspaces.com/Ukraine_Witness_Datasheet/Worksheet/youtube_dl__BeMilInterests_status_14986441348941250642022-03-01T14:38:06.447656.png" TargetMode="External"/><Relationship Id="rId5635" Type="http://schemas.openxmlformats.org/officeDocument/2006/relationships/hyperlink" Target="https://bellingcat-archive.nyc3.cdn.digitaloceanspaces.com/Ukraine_Witness_Datasheet/Worksheet/telegram__insiderUKR_237092022-03-04T16:45:09.229255.png" TargetMode="External"/><Relationship Id="rId6966" Type="http://schemas.openxmlformats.org/officeDocument/2006/relationships/hyperlink" Target="https://bellingcat-archive.nyc3.cdn.digitaloceanspaces.com/Ukraine_Witness_Datasheet/Worksheet/telegram__truexanewsua_287012022-03-08T09:10:09.042937.png" TargetMode="External"/><Relationship Id="rId4306" Type="http://schemas.openxmlformats.org/officeDocument/2006/relationships/hyperlink" Target="https://bellingcat-archive.nyc3.cdn.digitaloceanspaces.com/Ukraine_Witness_Datasheet/Worksheet/youtube_dl_1498644134894125064.mp4" TargetMode="External"/><Relationship Id="rId5636" Type="http://schemas.openxmlformats.org/officeDocument/2006/relationships/hyperlink" Target="https://bellingcat-archive.nyc3.cdn.digitaloceanspaces.com/Ukraine_Witness_Datasheet/Worksheet/telegram_d6b627e7e1/index.html" TargetMode="External"/><Relationship Id="rId6967" Type="http://schemas.openxmlformats.org/officeDocument/2006/relationships/hyperlink" Target="https://bellingcat-archive.nyc3.cdn.digitaloceanspaces.com/Ukraine_Witness_Datasheet/Worksheet/telegram_1f1c462aa3/index.html" TargetMode="External"/><Relationship Id="rId4309" Type="http://schemas.openxmlformats.org/officeDocument/2006/relationships/hyperlink" Target="https://twitter.com/i_army_org/status/1498568218633461761" TargetMode="External"/><Relationship Id="rId4308" Type="http://schemas.openxmlformats.org/officeDocument/2006/relationships/hyperlink" Target="https://bellingcat-archive.nyc3.cdn.digitaloceanspaces.com/Ukraine_Witness_Datasheet/Worksheet/youtube_dl_1498644134894125064/index.html" TargetMode="External"/><Relationship Id="rId5639" Type="http://schemas.openxmlformats.org/officeDocument/2006/relationships/hyperlink" Target="https://twitter.com/markito0171/status/1499787580816171010" TargetMode="External"/><Relationship Id="rId448" Type="http://schemas.openxmlformats.org/officeDocument/2006/relationships/hyperlink" Target="https://twitter.com/GirkinGirkin/status/1490682550343421954" TargetMode="External"/><Relationship Id="rId447" Type="http://schemas.openxmlformats.org/officeDocument/2006/relationships/hyperlink" Target="https://bellingcat-archive.nyc3.cdn.digitaloceanspaces.com/Ukraine_Witness_Datasheet/Worksheet/wayback__herooftheday10_status_14909664049502781452022-02-25T13:09:27.282925.png" TargetMode="External"/><Relationship Id="rId446" Type="http://schemas.openxmlformats.org/officeDocument/2006/relationships/hyperlink" Target="https://web.archive.org/web/20220225130910/https://twitter.com/herooftheday10/status/1490966404950278145" TargetMode="External"/><Relationship Id="rId445" Type="http://schemas.openxmlformats.org/officeDocument/2006/relationships/hyperlink" Target="https://twitter.com/COUPSURE/status/1490977225776062464" TargetMode="External"/><Relationship Id="rId449" Type="http://schemas.openxmlformats.org/officeDocument/2006/relationships/hyperlink" Target="https://twitter.com/ELINTNews/status/1490703127288467457" TargetMode="External"/><Relationship Id="rId440" Type="http://schemas.openxmlformats.org/officeDocument/2006/relationships/hyperlink" Target="https://twitter.com/GirkinGirkin/status/1491108245678993410" TargetMode="External"/><Relationship Id="rId6960" Type="http://schemas.openxmlformats.org/officeDocument/2006/relationships/hyperlink" Target="https://bellingcat-archive.nyc3.cdn.digitaloceanspaces.com/Ukraine_Witness_Datasheet/Worksheet/twitter__VolodymyrAriev_status_14994074101460336762022-03-08T09:09:46.670093.png" TargetMode="External"/><Relationship Id="rId5630" Type="http://schemas.openxmlformats.org/officeDocument/2006/relationships/hyperlink" Target="https://bellingcat-archive.nyc3.cdn.digitaloceanspaces.com/Ukraine_Witness_Datasheet/Worksheet/telegram__Pravda_Gerashchenko_19432022-03-04T15:10:10.763292.png" TargetMode="External"/><Relationship Id="rId6961" Type="http://schemas.openxmlformats.org/officeDocument/2006/relationships/hyperlink" Target="https://t.me/truexanewsua/28689" TargetMode="External"/><Relationship Id="rId444" Type="http://schemas.openxmlformats.org/officeDocument/2006/relationships/hyperlink" Target="https://twitter.com/herooftheday10/status/1490966404950278145" TargetMode="External"/><Relationship Id="rId4301" Type="http://schemas.openxmlformats.org/officeDocument/2006/relationships/hyperlink" Target="https://twitter.com/200_zoka/status/1498531616540536836" TargetMode="External"/><Relationship Id="rId5633" Type="http://schemas.openxmlformats.org/officeDocument/2006/relationships/hyperlink" Target="https://t.me/insiderUKR/23709" TargetMode="External"/><Relationship Id="rId6964" Type="http://schemas.openxmlformats.org/officeDocument/2006/relationships/hyperlink" Target="https://t.me/truexanewsua/28701" TargetMode="External"/><Relationship Id="rId443" Type="http://schemas.openxmlformats.org/officeDocument/2006/relationships/hyperlink" Target="https://bellingcat-archive.nyc3.cdn.digitaloceanspaces.com/Ukraine_Witness_Datasheet/Worksheet/youtube_dl_1491108245678993410/index.html" TargetMode="External"/><Relationship Id="rId4300" Type="http://schemas.openxmlformats.org/officeDocument/2006/relationships/hyperlink" Target="https://bellingcat-archive.nyc3.cdn.digitaloceanspaces.com/Ukraine_Witness_Datasheet/Worksheet/twitter__Polk_Azov_status_14986381949083156482022-03-01T14:37:23.574279.png" TargetMode="External"/><Relationship Id="rId5634" Type="http://schemas.openxmlformats.org/officeDocument/2006/relationships/hyperlink" Target="https://bellingcat-archive.nyc3.cdn.digitaloceanspaces.com/Ukraine_Witness_Datasheet/Worksheet/telegram_d6b627e7e1.mp4" TargetMode="External"/><Relationship Id="rId6965" Type="http://schemas.openxmlformats.org/officeDocument/2006/relationships/hyperlink" Target="https://bellingcat-archive.nyc3.cdn.digitaloceanspaces.com/Ukraine_Witness_Datasheet/Worksheet/telegram_1f1c462aa3.mp4" TargetMode="External"/><Relationship Id="rId442" Type="http://schemas.openxmlformats.org/officeDocument/2006/relationships/hyperlink" Target="https://bellingcat-archive.nyc3.cdn.digitaloceanspaces.com/Ukraine_Witness_Datasheet/Worksheet/youtube_dl__GirkinGirkin_status_14911082456789934102022-02-25T13:07:44.499913.png" TargetMode="External"/><Relationship Id="rId4303" Type="http://schemas.openxmlformats.org/officeDocument/2006/relationships/hyperlink" Target="https://bellingcat-archive.nyc3.cdn.digitaloceanspaces.com/Ukraine_Witness_Datasheet/Worksheet/youtube_dl__200_zoka_status_14985316165405368362022-03-01T14:37:42.086508.png" TargetMode="External"/><Relationship Id="rId5631" Type="http://schemas.openxmlformats.org/officeDocument/2006/relationships/hyperlink" Target="https://bellingcat-archive.nyc3.cdn.digitaloceanspaces.com/Ukraine_Witness_Datasheet/Worksheet/telegram_f6f73132f2/index.html" TargetMode="External"/><Relationship Id="rId6962" Type="http://schemas.openxmlformats.org/officeDocument/2006/relationships/hyperlink" Target="https://bellingcat-archive.nyc3.cdn.digitaloceanspaces.com/Ukraine_Witness_Datasheet/Worksheet/telegram__truexanewsua_28689.html" TargetMode="External"/><Relationship Id="rId441" Type="http://schemas.openxmlformats.org/officeDocument/2006/relationships/hyperlink" Target="https://bellingcat-archive.nyc3.cdn.digitaloceanspaces.com/Ukraine_Witness_Datasheet/Worksheet/youtube_dl_1491108245678993410.mp4" TargetMode="External"/><Relationship Id="rId4302" Type="http://schemas.openxmlformats.org/officeDocument/2006/relationships/hyperlink" Target="https://bellingcat-archive.nyc3.cdn.digitaloceanspaces.com/Ukraine_Witness_Datasheet/Worksheet/youtube_dl_1498531616540536836.mp4" TargetMode="External"/><Relationship Id="rId5632" Type="http://schemas.openxmlformats.org/officeDocument/2006/relationships/hyperlink" Target="https://t.me/Pravda_Gerashchenko/1943" TargetMode="External"/><Relationship Id="rId6963" Type="http://schemas.openxmlformats.org/officeDocument/2006/relationships/hyperlink" Target="https://bellingcat-archive.nyc3.cdn.digitaloceanspaces.com/Ukraine_Witness_Datasheet/Worksheet/telegram__truexanewsua_286892022-03-08T09:09:56.789135.png" TargetMode="External"/><Relationship Id="rId5626" Type="http://schemas.openxmlformats.org/officeDocument/2006/relationships/hyperlink" Target="https://bellingcat-archive.nyc3.cdn.digitaloceanspaces.com/Ukraine_Witness_Datasheet/Worksheet/telegram_da54f45a38/index.html" TargetMode="External"/><Relationship Id="rId6957" Type="http://schemas.openxmlformats.org/officeDocument/2006/relationships/hyperlink" Target="https://bellingcat-archive.nyc3.cdn.digitaloceanspaces.com/Ukraine_Witness_Datasheet/Worksheet/telegram__truexanewsua_277682022-03-08T09:09:36.660363.png" TargetMode="External"/><Relationship Id="rId5627" Type="http://schemas.openxmlformats.org/officeDocument/2006/relationships/hyperlink" Target="https://t.me/khersonmasternews/49658" TargetMode="External"/><Relationship Id="rId6958" Type="http://schemas.openxmlformats.org/officeDocument/2006/relationships/hyperlink" Target="https://twitter.com/VolodymyrAriev/status/1499407410146033676?s=20&amp;t=0KsL4jqcBtj7wPRFqYMmkQ" TargetMode="External"/><Relationship Id="rId5624" Type="http://schemas.openxmlformats.org/officeDocument/2006/relationships/hyperlink" Target="https://bellingcat-archive.nyc3.cdn.digitaloceanspaces.com/Ukraine_Witness_Datasheet/Worksheet/telegram_da54f45a38.mp4" TargetMode="External"/><Relationship Id="rId6955" Type="http://schemas.openxmlformats.org/officeDocument/2006/relationships/hyperlink" Target="https://t.me/truexanewsua/27768" TargetMode="External"/><Relationship Id="rId5625" Type="http://schemas.openxmlformats.org/officeDocument/2006/relationships/hyperlink" Target="https://bellingcat-archive.nyc3.cdn.digitaloceanspaces.com/Ukraine_Witness_Datasheet/Worksheet/telegram__khersonmasternews_496582022-03-04T15:00:11.054377.png" TargetMode="External"/><Relationship Id="rId6956" Type="http://schemas.openxmlformats.org/officeDocument/2006/relationships/hyperlink" Target="https://bellingcat-archive.nyc3.cdn.digitaloceanspaces.com/Ukraine_Witness_Datasheet/Worksheet/telegram__truexanewsua_27768.html" TargetMode="External"/><Relationship Id="rId5628" Type="http://schemas.openxmlformats.org/officeDocument/2006/relationships/hyperlink" Target="https://t.me/Pravda_Gerashchenko/1943" TargetMode="External"/><Relationship Id="rId6959" Type="http://schemas.openxmlformats.org/officeDocument/2006/relationships/hyperlink" Target="https://bellingcat-archive.nyc3.cdn.digitaloceanspaces.com/Ukraine_Witness_Datasheet/Worksheet/twitter__VolodymyrAriev_status_1499407410146033676.html" TargetMode="External"/><Relationship Id="rId5629" Type="http://schemas.openxmlformats.org/officeDocument/2006/relationships/hyperlink" Target="https://bellingcat-archive.nyc3.cdn.digitaloceanspaces.com/Ukraine_Witness_Datasheet/Worksheet/telegram_f6f73132f2.mp4" TargetMode="External"/><Relationship Id="rId437" Type="http://schemas.openxmlformats.org/officeDocument/2006/relationships/hyperlink" Target="https://bellingcat-archive.nyc3.cdn.digitaloceanspaces.com/Ukraine_Witness_Datasheet/Worksheet/youtube_dl_1491080325384257537.mp4" TargetMode="External"/><Relationship Id="rId436" Type="http://schemas.openxmlformats.org/officeDocument/2006/relationships/hyperlink" Target="https://twitter.com/Danspiun/status/1491116686061481984" TargetMode="External"/><Relationship Id="rId435" Type="http://schemas.openxmlformats.org/officeDocument/2006/relationships/hyperlink" Target="https://twitter.com/GirkinGirkin/status/1491080325384257537" TargetMode="External"/><Relationship Id="rId434" Type="http://schemas.openxmlformats.org/officeDocument/2006/relationships/hyperlink" Target="https://bellingcat-archive.nyc3.cdn.digitaloceanspaces.com/Ukraine_Witness_Datasheet/Worksheet/youtube_dl_1490699410489192458/index.html" TargetMode="External"/><Relationship Id="rId439" Type="http://schemas.openxmlformats.org/officeDocument/2006/relationships/hyperlink" Target="https://bellingcat-archive.nyc3.cdn.digitaloceanspaces.com/Ukraine_Witness_Datasheet/Worksheet/youtube_dl_1491080325384257537/index.html" TargetMode="External"/><Relationship Id="rId438" Type="http://schemas.openxmlformats.org/officeDocument/2006/relationships/hyperlink" Target="https://bellingcat-archive.nyc3.cdn.digitaloceanspaces.com/Ukraine_Witness_Datasheet/Worksheet/youtube_dl__GirkinGirkin_status_14910803253842575372022-02-25T13:07:19.290411.png" TargetMode="External"/><Relationship Id="rId6950" Type="http://schemas.openxmlformats.org/officeDocument/2006/relationships/hyperlink" Target="https://bellingcat-archive.nyc3.cdn.digitaloceanspaces.com/Ukraine_Witness_Datasheet/Worksheet/youtube_dl__2022Kharkiv_status_14994069919781150722022-03-08T09:08:50.215246.png" TargetMode="External"/><Relationship Id="rId433" Type="http://schemas.openxmlformats.org/officeDocument/2006/relationships/hyperlink" Target="https://bellingcat-archive.nyc3.cdn.digitaloceanspaces.com/Ukraine_Witness_Datasheet/Worksheet/youtube_dl__GirkinGirkin_status_14906994104891924582022-02-25T13:07:01.584600.png" TargetMode="External"/><Relationship Id="rId5622" Type="http://schemas.openxmlformats.org/officeDocument/2006/relationships/hyperlink" Target="https://bellingcat-archive.nyc3.cdn.digitaloceanspaces.com/Ukraine_Witness_Datasheet/Worksheet/telegram__khersonmasternews_496512022-03-04T14:50:09.569122.png" TargetMode="External"/><Relationship Id="rId6953" Type="http://schemas.openxmlformats.org/officeDocument/2006/relationships/hyperlink" Target="https://bellingcat-archive.nyc3.cdn.digitaloceanspaces.com/Ukraine_Witness_Datasheet/Worksheet/twitter__ua_zinkoviy_status_1499078357903982599.html" TargetMode="External"/><Relationship Id="rId432" Type="http://schemas.openxmlformats.org/officeDocument/2006/relationships/hyperlink" Target="https://bellingcat-archive.nyc3.cdn.digitaloceanspaces.com/Ukraine_Witness_Datasheet/Worksheet/youtube_dl_1490699410489192458.mp4" TargetMode="External"/><Relationship Id="rId5623" Type="http://schemas.openxmlformats.org/officeDocument/2006/relationships/hyperlink" Target="https://t.me/khersonmasternews/49658" TargetMode="External"/><Relationship Id="rId6954" Type="http://schemas.openxmlformats.org/officeDocument/2006/relationships/hyperlink" Target="https://bellingcat-archive.nyc3.cdn.digitaloceanspaces.com/Ukraine_Witness_Datasheet/Worksheet/twitter__ua_zinkoviy_status_14990783579039825992022-03-08T09:09:26.685159.png" TargetMode="External"/><Relationship Id="rId431" Type="http://schemas.openxmlformats.org/officeDocument/2006/relationships/hyperlink" Target="https://twitter.com/GirkinGirkin/status/1490699410489192458" TargetMode="External"/><Relationship Id="rId5620" Type="http://schemas.openxmlformats.org/officeDocument/2006/relationships/hyperlink" Target="https://t.me/khersonmasternews/49651" TargetMode="External"/><Relationship Id="rId6951" Type="http://schemas.openxmlformats.org/officeDocument/2006/relationships/hyperlink" Target="https://bellingcat-archive.nyc3.cdn.digitaloceanspaces.com/Ukraine_Witness_Datasheet/Worksheet/youtube_dl_AFMeF2GJB34/index.html" TargetMode="External"/><Relationship Id="rId430" Type="http://schemas.openxmlformats.org/officeDocument/2006/relationships/hyperlink" Target="https://bellingcat-archive.nyc3.cdn.digitaloceanspaces.com/Ukraine_Witness_Datasheet/Worksheet/youtube_dl_1491085146531201025/index.html" TargetMode="External"/><Relationship Id="rId5621" Type="http://schemas.openxmlformats.org/officeDocument/2006/relationships/hyperlink" Target="https://bellingcat-archive.nyc3.cdn.digitaloceanspaces.com/Ukraine_Witness_Datasheet/Worksheet/telegram__khersonmasternews_49651.html" TargetMode="External"/><Relationship Id="rId6952" Type="http://schemas.openxmlformats.org/officeDocument/2006/relationships/hyperlink" Target="https://twitter.com/ua_zinkoviy/status/1499078357903982599" TargetMode="External"/><Relationship Id="rId6108" Type="http://schemas.openxmlformats.org/officeDocument/2006/relationships/hyperlink" Target="https://bellingcat-archive.nyc3.cdn.digitaloceanspaces.com/Ukraine_Witness_Datasheet/Worksheet/youtube_dl_1499979799917436930/index.html" TargetMode="External"/><Relationship Id="rId6109" Type="http://schemas.openxmlformats.org/officeDocument/2006/relationships/hyperlink" Target="https://twitter.com/DmytroKuleba/status/1500080905297317889?s=20&amp;t=x_HjsNNsR-f0-UdiQRDwOg" TargetMode="External"/><Relationship Id="rId7439" Type="http://schemas.openxmlformats.org/officeDocument/2006/relationships/hyperlink" Target="https://web.archive.org/web/20220308172314/https://drive.google.com/drive/folders/19USmheED_rUzJO0RvYEZx7u6nTo91zTV?usp=sharing" TargetMode="External"/><Relationship Id="rId7430" Type="http://schemas.openxmlformats.org/officeDocument/2006/relationships/hyperlink" Target="https://drive.google.com/file/d/1cTIC9ubX7uZsp5mnJpR2KfThlfBEs3qh/view?usp=sharing" TargetMode="External"/><Relationship Id="rId6102" Type="http://schemas.openxmlformats.org/officeDocument/2006/relationships/hyperlink" Target="https://twitter.com/dkaleniuk/status/1500086309083402243" TargetMode="External"/><Relationship Id="rId7434" Type="http://schemas.openxmlformats.org/officeDocument/2006/relationships/hyperlink" Target="https://bellingcat-archive.nyc3.cdn.digitaloceanspaces.com/Ukraine_Witness_Datasheet/Worksheet/telegram_5e643253a1.mp4" TargetMode="External"/><Relationship Id="rId6103" Type="http://schemas.openxmlformats.org/officeDocument/2006/relationships/hyperlink" Target="https://bellingcat-archive.nyc3.cdn.digitaloceanspaces.com/Ukraine_Witness_Datasheet/Worksheet/twitter__dkaleniuk_status_1500086309083402243.html" TargetMode="External"/><Relationship Id="rId7433" Type="http://schemas.openxmlformats.org/officeDocument/2006/relationships/hyperlink" Target="https://t.me/voyna_novost/18307" TargetMode="External"/><Relationship Id="rId6100" Type="http://schemas.openxmlformats.org/officeDocument/2006/relationships/hyperlink" Target="https://bellingcat-archive.nyc3.cdn.digitaloceanspaces.com/Ukraine_Witness_Datasheet/Worksheet/youtube_dl__daxure_status_15001080196061634602022-03-05T15:25:14.919160.png" TargetMode="External"/><Relationship Id="rId7432" Type="http://schemas.openxmlformats.org/officeDocument/2006/relationships/hyperlink" Target="https://bellingcat-archive.nyc3.cdn.digitaloceanspaces.com/Ukraine_Witness_Datasheet/Worksheet/wayback__file_d_1cTIC9ubX7uZsp5mnJpR2KfThlfBEs3qh_view2022-03-08T17:21:52.621751.png" TargetMode="External"/><Relationship Id="rId6101" Type="http://schemas.openxmlformats.org/officeDocument/2006/relationships/hyperlink" Target="https://bellingcat-archive.nyc3.cdn.digitaloceanspaces.com/Ukraine_Witness_Datasheet/Worksheet/youtube_dl_1500108019606163460/index.html" TargetMode="External"/><Relationship Id="rId7431" Type="http://schemas.openxmlformats.org/officeDocument/2006/relationships/hyperlink" Target="https://web.archive.org/web/20220308172145/https://drive.google.com/file/d/1cTIC9ubX7uZsp5mnJpR2KfThlfBEs3qh/view?usp=sharing" TargetMode="External"/><Relationship Id="rId6106" Type="http://schemas.openxmlformats.org/officeDocument/2006/relationships/hyperlink" Target="https://bellingcat-archive.nyc3.cdn.digitaloceanspaces.com/Ukraine_Witness_Datasheet/Worksheet/youtube_dl_1499979799917436930.mp4" TargetMode="External"/><Relationship Id="rId7438" Type="http://schemas.openxmlformats.org/officeDocument/2006/relationships/hyperlink" Target="https://drive.google.com/drive/folders/19USmheED_rUzJO0RvYEZx7u6nTo91zTV?usp=sharing" TargetMode="External"/><Relationship Id="rId6107" Type="http://schemas.openxmlformats.org/officeDocument/2006/relationships/hyperlink" Target="https://bellingcat-archive.nyc3.cdn.digitaloceanspaces.com/Ukraine_Witness_Datasheet/Worksheet/youtube_dl__olex_scherba_status_14999797999174369302022-03-05T15:35:24.693804.png" TargetMode="External"/><Relationship Id="rId7437" Type="http://schemas.openxmlformats.org/officeDocument/2006/relationships/hyperlink" Target="https://t.me/voyna_novost/18307" TargetMode="External"/><Relationship Id="rId6104" Type="http://schemas.openxmlformats.org/officeDocument/2006/relationships/hyperlink" Target="https://bellingcat-archive.nyc3.cdn.digitaloceanspaces.com/Ukraine_Witness_Datasheet/Worksheet/twitter__dkaleniuk_status_15000863090834022432022-03-05T15:35:13.277748.png" TargetMode="External"/><Relationship Id="rId7436" Type="http://schemas.openxmlformats.org/officeDocument/2006/relationships/hyperlink" Target="https://bellingcat-archive.nyc3.cdn.digitaloceanspaces.com/Ukraine_Witness_Datasheet/Worksheet/telegram_5e643253a1/index.html" TargetMode="External"/><Relationship Id="rId6105" Type="http://schemas.openxmlformats.org/officeDocument/2006/relationships/hyperlink" Target="https://twitter.com/olex_scherba/status/1499979799917436930" TargetMode="External"/><Relationship Id="rId7435" Type="http://schemas.openxmlformats.org/officeDocument/2006/relationships/hyperlink" Target="https://bellingcat-archive.nyc3.cdn.digitaloceanspaces.com/Ukraine_Witness_Datasheet/Worksheet/telegram__voyna_novost_183072022-03-08T17:22:01.103713.png" TargetMode="External"/><Relationship Id="rId7429" Type="http://schemas.openxmlformats.org/officeDocument/2006/relationships/hyperlink" Target="https://t.me/truexanewsua/29481" TargetMode="External"/><Relationship Id="rId7428" Type="http://schemas.openxmlformats.org/officeDocument/2006/relationships/hyperlink" Target="https://bellingcat-archive.nyc3.cdn.digitaloceanspaces.com/Ukraine_Witness_Datasheet/Worksheet/telegram_9ce493c8df/index.html" TargetMode="External"/><Relationship Id="rId7423" Type="http://schemas.openxmlformats.org/officeDocument/2006/relationships/hyperlink" Target="https://web.archive.org/web/20220308172008/https://drive.google.com/file/d/1PjI9IJ-SgDbVtGaPQLYHucgh3ExwqHD7/view?usp=sharing" TargetMode="External"/><Relationship Id="rId7422" Type="http://schemas.openxmlformats.org/officeDocument/2006/relationships/hyperlink" Target="https://drive.google.com/file/d/1PjI9IJ-SgDbVtGaPQLYHucgh3ExwqHD7/view?usp=sharing" TargetMode="External"/><Relationship Id="rId7421" Type="http://schemas.openxmlformats.org/officeDocument/2006/relationships/hyperlink" Target="https://t.me/truexanewsua/29393" TargetMode="External"/><Relationship Id="rId7420" Type="http://schemas.openxmlformats.org/officeDocument/2006/relationships/hyperlink" Target="https://bellingcat-archive.nyc3.cdn.digitaloceanspaces.com/Ukraine_Witness_Datasheet/Worksheet/telegram_8e7b843bd8/index.html" TargetMode="External"/><Relationship Id="rId7427" Type="http://schemas.openxmlformats.org/officeDocument/2006/relationships/hyperlink" Target="https://bellingcat-archive.nyc3.cdn.digitaloceanspaces.com/Ukraine_Witness_Datasheet/Worksheet/telegram__truexanewsua_294812022-03-08T17:20:24.248677.png" TargetMode="External"/><Relationship Id="rId7426" Type="http://schemas.openxmlformats.org/officeDocument/2006/relationships/hyperlink" Target="https://bellingcat-archive.nyc3.cdn.digitaloceanspaces.com/Ukraine_Witness_Datasheet/Worksheet/telegram_9ce493c8df.mp4" TargetMode="External"/><Relationship Id="rId7425" Type="http://schemas.openxmlformats.org/officeDocument/2006/relationships/hyperlink" Target="https://t.me/truexanewsua/29481" TargetMode="External"/><Relationship Id="rId7424" Type="http://schemas.openxmlformats.org/officeDocument/2006/relationships/hyperlink" Target="https://bellingcat-archive.nyc3.cdn.digitaloceanspaces.com/Ukraine_Witness_Datasheet/Worksheet/wayback__file_d_1PjI9IJ-SgDbVtGaPQLYHucgh3ExwqHD7_view2022-03-08T17:20:15.628199.png" TargetMode="External"/><Relationship Id="rId6120" Type="http://schemas.openxmlformats.org/officeDocument/2006/relationships/hyperlink" Target="https://images.app.goo.gl/tpXnVua39C4qEFfp9" TargetMode="External"/><Relationship Id="rId7452" Type="http://schemas.openxmlformats.org/officeDocument/2006/relationships/hyperlink" Target="https://t.me/Kievskiy_dvizh_novosti/4038" TargetMode="External"/><Relationship Id="rId6121" Type="http://schemas.openxmlformats.org/officeDocument/2006/relationships/hyperlink" Target="https://www.google.com/maps/@46.637519,32.6156913,3a,75y,234.54h,94.35t/data=!3m8!1e1!3m6!1sAF1QipOB82onQErDs11pc0T655hxttyfz9I0PuWmrQNk!2e10!3e11!6shttps:%2F%2Flh5.googleusercontent.com%2Fp%2FAF1QipOB82onQErDs11pc0T655hxttyfz9I0PuWmrQNk%3Dw203-h100-k-no-pi22.413343-ya267.6694-ro-6.1150336-fo100!7i6720!8i3360" TargetMode="External"/><Relationship Id="rId7451" Type="http://schemas.openxmlformats.org/officeDocument/2006/relationships/hyperlink" Target="https://bellingcat-archive.nyc3.cdn.digitaloceanspaces.com/Ukraine_Witness_Datasheet/Worksheet/telegram__Novoeizdanie_68952022-03-08T17:25:21.217763.png" TargetMode="External"/><Relationship Id="rId7450" Type="http://schemas.openxmlformats.org/officeDocument/2006/relationships/hyperlink" Target="https://bellingcat-archive.nyc3.cdn.digitaloceanspaces.com/Ukraine_Witness_Datasheet/Worksheet/telegram__Novoeizdanie_6895.html" TargetMode="External"/><Relationship Id="rId6124" Type="http://schemas.openxmlformats.org/officeDocument/2006/relationships/hyperlink" Target="https://bellingcat-archive.nyc3.cdn.digitaloceanspaces.com/Ukraine_Witness_Datasheet/Worksheet/telegram_eb419fd102/index.html" TargetMode="External"/><Relationship Id="rId7456" Type="http://schemas.openxmlformats.org/officeDocument/2006/relationships/hyperlink" Target="https://web.archive.org/web/20220308172737/https://t.me/Kievskiy_dvizh_novosti/3688" TargetMode="External"/><Relationship Id="rId6125" Type="http://schemas.openxmlformats.org/officeDocument/2006/relationships/hyperlink" Target="https://t.me/kurilka_kahovka/1657" TargetMode="External"/><Relationship Id="rId7455" Type="http://schemas.openxmlformats.org/officeDocument/2006/relationships/hyperlink" Target="https://t.me/Kievskiy_dvizh_novosti/3688" TargetMode="External"/><Relationship Id="rId6122" Type="http://schemas.openxmlformats.org/officeDocument/2006/relationships/hyperlink" Target="https://bellingcat-archive.nyc3.cdn.digitaloceanspaces.com/Ukraine_Witness_Datasheet/Worksheet/telegram_eb419fd102.mp4" TargetMode="External"/><Relationship Id="rId7454" Type="http://schemas.openxmlformats.org/officeDocument/2006/relationships/hyperlink" Target="https://bellingcat-archive.nyc3.cdn.digitaloceanspaces.com/Ukraine_Witness_Datasheet/Worksheet/wayback__Kievskiy_dvizh_novosti_40382022-03-08T17:27:14.707379.png" TargetMode="External"/><Relationship Id="rId6123" Type="http://schemas.openxmlformats.org/officeDocument/2006/relationships/hyperlink" Target="https://bellingcat-archive.nyc3.cdn.digitaloceanspaces.com/Ukraine_Witness_Datasheet/Worksheet/telegram__kurilka_kahovka_16572022-03-05T16:30:10.218355.png" TargetMode="External"/><Relationship Id="rId7453" Type="http://schemas.openxmlformats.org/officeDocument/2006/relationships/hyperlink" Target="https://web.archive.org/web/20220308172541/https://t.me/Kievskiy_dvizh_novosti/4038" TargetMode="External"/><Relationship Id="rId6128" Type="http://schemas.openxmlformats.org/officeDocument/2006/relationships/hyperlink" Target="https://bellingcat-archive.nyc3.cdn.digitaloceanspaces.com/Ukraine_Witness_Datasheet/Worksheet/telegram__uniannet_353132022-03-05T16:55:10.602146.png" TargetMode="External"/><Relationship Id="rId6129" Type="http://schemas.openxmlformats.org/officeDocument/2006/relationships/hyperlink" Target="https://bellingcat-archive.nyc3.cdn.digitaloceanspaces.com/Ukraine_Witness_Datasheet/Worksheet/telegram_c22ac785ae/index.html" TargetMode="External"/><Relationship Id="rId7459" Type="http://schemas.openxmlformats.org/officeDocument/2006/relationships/hyperlink" Target="https://bellingcat-archive.nyc3.cdn.digitaloceanspaces.com/Ukraine_Witness_Datasheet/Worksheet/twitter__dtcdonetskua_status_1500136681508376589.html" TargetMode="External"/><Relationship Id="rId6126" Type="http://schemas.openxmlformats.org/officeDocument/2006/relationships/hyperlink" Target="https://t.me/uniannet/35313" TargetMode="External"/><Relationship Id="rId7458" Type="http://schemas.openxmlformats.org/officeDocument/2006/relationships/hyperlink" Target="https://twitter.com/dtcdonetskua/status/1500136681508376589" TargetMode="External"/><Relationship Id="rId6127" Type="http://schemas.openxmlformats.org/officeDocument/2006/relationships/hyperlink" Target="https://bellingcat-archive.nyc3.cdn.digitaloceanspaces.com/Ukraine_Witness_Datasheet/Worksheet/telegram_c22ac785ae.mp4" TargetMode="External"/><Relationship Id="rId7457" Type="http://schemas.openxmlformats.org/officeDocument/2006/relationships/hyperlink" Target="https://bellingcat-archive.nyc3.cdn.digitaloceanspaces.com/Ukraine_Witness_Datasheet/Worksheet/wayback__Kievskiy_dvizh_novosti_36882022-03-08T17:29:08.639366.png" TargetMode="External"/><Relationship Id="rId6119" Type="http://schemas.openxmlformats.org/officeDocument/2006/relationships/hyperlink" Target="https://t.me/kurilka_kahovka/1657" TargetMode="External"/><Relationship Id="rId7441" Type="http://schemas.openxmlformats.org/officeDocument/2006/relationships/hyperlink" Target="http://twitter.com/aldin_ww/status/1500126664952623112" TargetMode="External"/><Relationship Id="rId6110" Type="http://schemas.openxmlformats.org/officeDocument/2006/relationships/hyperlink" Target="https://goo.gl/maps/GvvXuRMSMYcYDFiu5" TargetMode="External"/><Relationship Id="rId7440" Type="http://schemas.openxmlformats.org/officeDocument/2006/relationships/hyperlink" Target="https://bellingcat-archive.nyc3.cdn.digitaloceanspaces.com/Ukraine_Witness_Datasheet/Worksheet/wayback__drive_folders_19USmheED_rUzJO0RvYEZx7u6nTo91zTV2022-03-08T17:23:23.036511.png" TargetMode="External"/><Relationship Id="rId6113" Type="http://schemas.openxmlformats.org/officeDocument/2006/relationships/hyperlink" Target="https://bellingcat-archive.nyc3.cdn.digitaloceanspaces.com/Ukraine_Witness_Datasheet/Worksheet/youtube_dl_1500080905297317889/index.html" TargetMode="External"/><Relationship Id="rId7445" Type="http://schemas.openxmlformats.org/officeDocument/2006/relationships/hyperlink" Target="https://twitter.com/arthur_wrb/status/1500135392607145989?s=20&amp;t=zjpgqZq03Aj4eStg3fOByQ" TargetMode="External"/><Relationship Id="rId6114" Type="http://schemas.openxmlformats.org/officeDocument/2006/relationships/hyperlink" Target="https://twitter.com/AlexKokcharov/status/1500067828245880833?s=20&amp;t=aop54n6Kb3f2c4VE_VywGQ" TargetMode="External"/><Relationship Id="rId7444" Type="http://schemas.openxmlformats.org/officeDocument/2006/relationships/hyperlink" Target="https://bellingcat-archive.nyc3.cdn.digitaloceanspaces.com/Ukraine_Witness_Datasheet/Worksheet/wayback_22_03_05_world_russia-ukraine_videos-show-what-appear-to-be-russian-backed-forces-firing-at-protesters2022-03-08T17:24:41.279116.png" TargetMode="External"/><Relationship Id="rId6111" Type="http://schemas.openxmlformats.org/officeDocument/2006/relationships/hyperlink" Target="https://bellingcat-archive.nyc3.cdn.digitaloceanspaces.com/Ukraine_Witness_Datasheet/Worksheet/youtube_dl_1500080905297317889.mp4" TargetMode="External"/><Relationship Id="rId7443" Type="http://schemas.openxmlformats.org/officeDocument/2006/relationships/hyperlink" Target="https://web.archive.org/web/20220308172420/https://www.nytimes.com/live/2022/03/05/world/russia-ukraine/videos-show-what-appear-to-be-russian-backed-forces-firing-at-protesters" TargetMode="External"/><Relationship Id="rId6112" Type="http://schemas.openxmlformats.org/officeDocument/2006/relationships/hyperlink" Target="https://bellingcat-archive.nyc3.cdn.digitaloceanspaces.com/Ukraine_Witness_Datasheet/Worksheet/youtube_dl__DmytroKuleba_status_15000809052973178892022-03-05T15:50:11.598831.png" TargetMode="External"/><Relationship Id="rId7442" Type="http://schemas.openxmlformats.org/officeDocument/2006/relationships/hyperlink" Target="https://www.nytimes.com/live/2022/03/05/world/russia-ukraine/videos-show-what-appear-to-be-russian-backed-forces-firing-at-protesters" TargetMode="External"/><Relationship Id="rId6117" Type="http://schemas.openxmlformats.org/officeDocument/2006/relationships/hyperlink" Target="https://bellingcat-archive.nyc3.cdn.digitaloceanspaces.com/Ukraine_Witness_Datasheet/Worksheet/youtube_dl__AlexKokcharov_status_15000678282458808332022-03-05T16:25:13.696881.png" TargetMode="External"/><Relationship Id="rId7449" Type="http://schemas.openxmlformats.org/officeDocument/2006/relationships/hyperlink" Target="https://t.me/Novoeizdanie/6895" TargetMode="External"/><Relationship Id="rId6118" Type="http://schemas.openxmlformats.org/officeDocument/2006/relationships/hyperlink" Target="https://bellingcat-archive.nyc3.cdn.digitaloceanspaces.com/Ukraine_Witness_Datasheet/Worksheet/youtube_dl_1500067828245880833/index.html" TargetMode="External"/><Relationship Id="rId7448" Type="http://schemas.openxmlformats.org/officeDocument/2006/relationships/hyperlink" Target="https://bellingcat-archive.nyc3.cdn.digitaloceanspaces.com/Ukraine_Witness_Datasheet/Worksheet/youtube_dl_1500135392607145989/index.html" TargetMode="External"/><Relationship Id="rId6115" Type="http://schemas.openxmlformats.org/officeDocument/2006/relationships/hyperlink" Target="https://goo.gl/maps/GvvXuRMSMYcYDFiu5" TargetMode="External"/><Relationship Id="rId7447" Type="http://schemas.openxmlformats.org/officeDocument/2006/relationships/hyperlink" Target="https://bellingcat-archive.nyc3.cdn.digitaloceanspaces.com/Ukraine_Witness_Datasheet/Worksheet/youtube_dl__arthur_wrb_status_15001353926071459892022-03-08T17:24:57.273251.png" TargetMode="External"/><Relationship Id="rId6116" Type="http://schemas.openxmlformats.org/officeDocument/2006/relationships/hyperlink" Target="https://bellingcat-archive.nyc3.cdn.digitaloceanspaces.com/Ukraine_Witness_Datasheet/Worksheet/youtube_dl_1500067828245880833.mp4" TargetMode="External"/><Relationship Id="rId7446" Type="http://schemas.openxmlformats.org/officeDocument/2006/relationships/hyperlink" Target="https://bellingcat-archive.nyc3.cdn.digitaloceanspaces.com/Ukraine_Witness_Datasheet/Worksheet/youtube_dl_1500135392607145989.mp4" TargetMode="External"/><Relationship Id="rId1" Type="http://schemas.openxmlformats.org/officeDocument/2006/relationships/hyperlink" Target="https://twitter.com/MotolkoHelp/status/1484436102295523329" TargetMode="External"/><Relationship Id="rId2" Type="http://schemas.openxmlformats.org/officeDocument/2006/relationships/hyperlink" Target="https://www.google.com/maps/@52.3493033,30.3925194,3a,75y,71.41h,89.23t/data=!3m8!1e1!3m6!1sAF1QipMKUqHENONJR2PKcqtzkGq4eOtSlHxlMEN_15Kp!2e10!3e11!6shttps:%2F%2Flh5.googleusercontent.com%2Fp%2FAF1QipMKUqHENONJR2PKcqtzkGq4eOtSlHxlMEN_15Kp%3Dw203-h100-k-no-pi-0-ya153.74431-ro-0-fo100!7i10240!8i5120" TargetMode="External"/><Relationship Id="rId3" Type="http://schemas.openxmlformats.org/officeDocument/2006/relationships/hyperlink" Target="https://bellingcat-archive.nyc3.cdn.digitaloceanspaces.com/ukraine_witness_test/Worksheet/yotube_dl_1484436102295523329.mp4" TargetMode="External"/><Relationship Id="rId4" Type="http://schemas.openxmlformats.org/officeDocument/2006/relationships/hyperlink" Target="https://bellingcat-archive.nyc3.cdn.digitaloceanspaces.com/ukraine_witness_test/Worksheet/yotube_dl__MotolkoHelp_status_14844361022955233292022-02-25T10:18:36.152225.png" TargetMode="External"/><Relationship Id="rId9" Type="http://schemas.openxmlformats.org/officeDocument/2006/relationships/hyperlink" Target="https://bellingcat-archive.nyc3.cdn.digitaloceanspaces.com/ukraine_witness_test3/Worksheet/twitter__MotolkoHelp_status_14844464757739601922022-02-25T11:12:15.757919.png" TargetMode="External"/><Relationship Id="rId5" Type="http://schemas.openxmlformats.org/officeDocument/2006/relationships/hyperlink" Target="https://bellingcat-archive.nyc3.cdn.digitaloceanspaces.com/ukraine_witness_test/Worksheet/yotube_dl_1484436102295523329/index.html" TargetMode="External"/><Relationship Id="rId6" Type="http://schemas.openxmlformats.org/officeDocument/2006/relationships/hyperlink" Target="https://twitter.com/MotolkoHelp/status/1484446475773960192" TargetMode="External"/><Relationship Id="rId7" Type="http://schemas.openxmlformats.org/officeDocument/2006/relationships/hyperlink" Target="https://www.google.com/maps/place/%D0%9F%D0%B0%D1%80%D0%B0%D0%B2%D0%BE%D0%B7/@53.3037857,28.6360932,3a,75y,90t/data=!3m8!1e2!3m6!1sAF1QipMFlcnxFSgTvrYBO4mx7pIfJ1jvrX1paYNNUO-6!2e10!3e12!6shttps:%2F%2Flh5.googleusercontent.com%2Fp%2FAF1QipMFlcnxFSgTvrYBO4mx7pIfJ1jvrX1paYNNUO-6%3Dw203-h134-k-no!7i1192!8i791!4m13!1m7!3m6!1s0x0:0x50e62924144110f7!2zNTPCsDE4JzEyLjIiTiAyOMKwMzgnMTIuOCJF!3b1!8m2!3d53.303394!4d28.636886!3m4!1s0x46d756b64cff3ca5:0xc4ad8603358013ed!8m2!3d53.3035897!4d28.6359323" TargetMode="External"/><Relationship Id="rId8" Type="http://schemas.openxmlformats.org/officeDocument/2006/relationships/hyperlink" Target="https://bellingcat-archive.nyc3.cdn.digitaloceanspaces.com/ukraine_witness_test3/Worksheet/twitter__MotolkoHelp_status_1484446475773960192.html" TargetMode="External"/><Relationship Id="rId7419" Type="http://schemas.openxmlformats.org/officeDocument/2006/relationships/hyperlink" Target="https://bellingcat-archive.nyc3.cdn.digitaloceanspaces.com/Ukraine_Witness_Datasheet/Worksheet/telegram__truexanewsua_293932022-03-08T17:19:03.986591.png" TargetMode="External"/><Relationship Id="rId7418" Type="http://schemas.openxmlformats.org/officeDocument/2006/relationships/hyperlink" Target="https://bellingcat-archive.nyc3.cdn.digitaloceanspaces.com/Ukraine_Witness_Datasheet/Worksheet/telegram_8e7b843bd8.mp4" TargetMode="External"/><Relationship Id="rId7417" Type="http://schemas.openxmlformats.org/officeDocument/2006/relationships/hyperlink" Target="https://t.me/truexanewsua/29393" TargetMode="External"/><Relationship Id="rId7412" Type="http://schemas.openxmlformats.org/officeDocument/2006/relationships/hyperlink" Target="https://bellingcat-archive.nyc3.cdn.digitaloceanspaces.com/Ukraine_Witness_Datasheet/Worksheet/telegram_3cce1348b6/index.html" TargetMode="External"/><Relationship Id="rId7411" Type="http://schemas.openxmlformats.org/officeDocument/2006/relationships/hyperlink" Target="https://bellingcat-archive.nyc3.cdn.digitaloceanspaces.com/Ukraine_Witness_Datasheet/Worksheet/telegram__truexanewsua_293132022-03-08T17:18:09.284412.png" TargetMode="External"/><Relationship Id="rId7410" Type="http://schemas.openxmlformats.org/officeDocument/2006/relationships/hyperlink" Target="https://bellingcat-archive.nyc3.cdn.digitaloceanspaces.com/Ukraine_Witness_Datasheet/Worksheet/telegram_3cce1348b6.mp4" TargetMode="External"/><Relationship Id="rId7416" Type="http://schemas.openxmlformats.org/officeDocument/2006/relationships/hyperlink" Target="https://bellingcat-archive.nyc3.cdn.digitaloceanspaces.com/Ukraine_Witness_Datasheet/Worksheet/wayback__drive_folders_1Sk1Qa_Mdkc2_saKMDB1i6ZDLe0WG9klB2022-03-08T17:18:54.569461.png" TargetMode="External"/><Relationship Id="rId7415" Type="http://schemas.openxmlformats.org/officeDocument/2006/relationships/hyperlink" Target="https://web.archive.org/web/20220308171846/https://drive.google.com/drive/folders/1Sk1Qa_Mdkc2_saKMDB1i6ZDLe0WG9klB?usp=sharing" TargetMode="External"/><Relationship Id="rId7414" Type="http://schemas.openxmlformats.org/officeDocument/2006/relationships/hyperlink" Target="https://drive.google.com/drive/folders/1Sk1Qa_Mdkc2_saKMDB1i6ZDLe0WG9klB?usp=sharing" TargetMode="External"/><Relationship Id="rId7413" Type="http://schemas.openxmlformats.org/officeDocument/2006/relationships/hyperlink" Target="https://t.me/truexanewsua/29313" TargetMode="External"/><Relationship Id="rId7409" Type="http://schemas.openxmlformats.org/officeDocument/2006/relationships/hyperlink" Target="https://t.me/truexanewsua/29313" TargetMode="External"/><Relationship Id="rId7408" Type="http://schemas.openxmlformats.org/officeDocument/2006/relationships/hyperlink" Target="https://bellingcat-archive.nyc3.cdn.digitaloceanspaces.com/Ukraine_Witness_Datasheet/Worksheet/wayback__drive_folders_16_pS1Mlo_VFCRykZq9677W0YNZWf9HhS2022-03-08T17:17:59.832271.png" TargetMode="External"/><Relationship Id="rId7407" Type="http://schemas.openxmlformats.org/officeDocument/2006/relationships/hyperlink" Target="https://web.archive.org/web/20220308171741/https://drive.google.com/drive/folders/16_pS1Mlo_VFCRykZq9677W0YNZWf9HhS?usp=sharing" TargetMode="External"/><Relationship Id="rId7406" Type="http://schemas.openxmlformats.org/officeDocument/2006/relationships/hyperlink" Target="https://drive.google.com/drive/folders/16_pS1Mlo_VFCRykZq9677W0YNZWf9HhS?usp=sharing" TargetMode="External"/><Relationship Id="rId7401" Type="http://schemas.openxmlformats.org/officeDocument/2006/relationships/hyperlink" Target="https://web.archive.org/web/20220308171643/https://drive.google.com/file/d/14BBF9OwpusanlTfjvw9DQU0hfIMDfguD/view?usp=sharing" TargetMode="External"/><Relationship Id="rId7400" Type="http://schemas.openxmlformats.org/officeDocument/2006/relationships/hyperlink" Target="https://drive.google.com/file/d/14BBF9OwpusanlTfjvw9DQU0hfIMDfguD/view?usp=sharing" TargetMode="External"/><Relationship Id="rId7405" Type="http://schemas.openxmlformats.org/officeDocument/2006/relationships/hyperlink" Target="https://bellingcat-archive.nyc3.cdn.digitaloceanspaces.com/Ukraine_Witness_Datasheet/Worksheet/telegram__truexanewsua_294322022-03-08T17:17:11.545923.png" TargetMode="External"/><Relationship Id="rId7404" Type="http://schemas.openxmlformats.org/officeDocument/2006/relationships/hyperlink" Target="https://bellingcat-archive.nyc3.cdn.digitaloceanspaces.com/Ukraine_Witness_Datasheet/Worksheet/telegram__truexanewsua_29432.html" TargetMode="External"/><Relationship Id="rId7403" Type="http://schemas.openxmlformats.org/officeDocument/2006/relationships/hyperlink" Target="https://t.me/truexanewsua/29432" TargetMode="External"/><Relationship Id="rId7402" Type="http://schemas.openxmlformats.org/officeDocument/2006/relationships/hyperlink" Target="https://bellingcat-archive.nyc3.cdn.digitaloceanspaces.com/Ukraine_Witness_Datasheet/Worksheet/wayback__file_d_14BBF9OwpusanlTfjvw9DQU0hfIMDfguD_view2022-03-08T17:17:02.849078.png" TargetMode="External"/><Relationship Id="rId3911" Type="http://schemas.openxmlformats.org/officeDocument/2006/relationships/hyperlink" Target="https://bellingcat-archive.nyc3.cdn.digitaloceanspaces.com/Ukraine_Witness_Datasheet/Worksheet/telegram_c2adfed16b/index.html" TargetMode="External"/><Relationship Id="rId3910" Type="http://schemas.openxmlformats.org/officeDocument/2006/relationships/hyperlink" Target="https://bellingcat-archive.nyc3.cdn.digitaloceanspaces.com/Ukraine_Witness_Datasheet/Worksheet/telegram__nexta_live_184202022-02-28T11:01:46.486897.png" TargetMode="External"/><Relationship Id="rId3913" Type="http://schemas.openxmlformats.org/officeDocument/2006/relationships/hyperlink" Target="https://twitter.com/markito0171/status/1498231111964672003" TargetMode="External"/><Relationship Id="rId3912" Type="http://schemas.openxmlformats.org/officeDocument/2006/relationships/hyperlink" Target="https://t.me/nexta_live/18420" TargetMode="External"/><Relationship Id="rId3915" Type="http://schemas.openxmlformats.org/officeDocument/2006/relationships/hyperlink" Target="https://bellingcat-archive.nyc3.cdn.digitaloceanspaces.com/Ukraine_Witness_Datasheet/Worksheet/youtube_dl__markito0171_status_14982311119646720032022-02-28T11:02:48.366242.png" TargetMode="External"/><Relationship Id="rId3914" Type="http://schemas.openxmlformats.org/officeDocument/2006/relationships/hyperlink" Target="https://bellingcat-archive.nyc3.cdn.digitaloceanspaces.com/Ukraine_Witness_Datasheet/Worksheet/youtube_dl_1498231111964672003.mp4" TargetMode="External"/><Relationship Id="rId3917" Type="http://schemas.openxmlformats.org/officeDocument/2006/relationships/hyperlink" Target="https://twitter.com/Nelson_Serg/status/1497971946235088899" TargetMode="External"/><Relationship Id="rId3916" Type="http://schemas.openxmlformats.org/officeDocument/2006/relationships/hyperlink" Target="https://bellingcat-archive.nyc3.cdn.digitaloceanspaces.com/Ukraine_Witness_Datasheet/Worksheet/youtube_dl_1498231111964672003/index.html" TargetMode="External"/><Relationship Id="rId3919" Type="http://schemas.openxmlformats.org/officeDocument/2006/relationships/hyperlink" Target="https://bellingcat-archive.nyc3.cdn.digitaloceanspaces.com/Ukraine_Witness_Datasheet/Worksheet/youtube_dl__Nelson_Serg_status_14979719462350888992022-02-28T11:03:14.570499.png" TargetMode="External"/><Relationship Id="rId3918" Type="http://schemas.openxmlformats.org/officeDocument/2006/relationships/hyperlink" Target="https://bellingcat-archive.nyc3.cdn.digitaloceanspaces.com/Ukraine_Witness_Datasheet/Worksheet/youtube_dl_1497971946235088899.mp4" TargetMode="External"/><Relationship Id="rId6190" Type="http://schemas.openxmlformats.org/officeDocument/2006/relationships/hyperlink" Target="https://twitter.com/no_itsmyturn/status/1500367314759434242?s=20&amp;t=EFbQ5pLkTaAre99oLfUTqA" TargetMode="External"/><Relationship Id="rId6182" Type="http://schemas.openxmlformats.org/officeDocument/2006/relationships/hyperlink" Target="https://twitter.com/bradyafr/status/1500174549387784196" TargetMode="External"/><Relationship Id="rId6183" Type="http://schemas.openxmlformats.org/officeDocument/2006/relationships/hyperlink" Target="https://bellingcat-archive.nyc3.cdn.digitaloceanspaces.com/Ukraine_Witness_Datasheet/Worksheet/youtube_dl_1500170938243076101.mp4" TargetMode="External"/><Relationship Id="rId6180" Type="http://schemas.openxmlformats.org/officeDocument/2006/relationships/hyperlink" Target="https://bellingcat-archive.nyc3.cdn.digitaloceanspaces.com/Ukraine_Witness_Datasheet/Worksheet/youtube_dl_1500192445430181897/index.html" TargetMode="External"/><Relationship Id="rId6181" Type="http://schemas.openxmlformats.org/officeDocument/2006/relationships/hyperlink" Target="https://twitter.com/NotWoofers/status/1500170938243076101" TargetMode="External"/><Relationship Id="rId6186" Type="http://schemas.openxmlformats.org/officeDocument/2006/relationships/hyperlink" Target="https://twitter.com/Militarylandnet/status/1499734408819003395" TargetMode="External"/><Relationship Id="rId6187" Type="http://schemas.openxmlformats.org/officeDocument/2006/relationships/hyperlink" Target="https://bellingcat-archive.nyc3.cdn.digitaloceanspaces.com/Ukraine_Witness_Datasheet/Worksheet/youtube_dl_1499734408819003395.mp4" TargetMode="External"/><Relationship Id="rId6184" Type="http://schemas.openxmlformats.org/officeDocument/2006/relationships/hyperlink" Target="https://bellingcat-archive.nyc3.cdn.digitaloceanspaces.com/Ukraine_Witness_Datasheet/Worksheet/youtube_dl__NotWoofers_status_15001709382430761012022-03-05T21:10:32.023898.png" TargetMode="External"/><Relationship Id="rId6185" Type="http://schemas.openxmlformats.org/officeDocument/2006/relationships/hyperlink" Target="https://bellingcat-archive.nyc3.cdn.digitaloceanspaces.com/Ukraine_Witness_Datasheet/Worksheet/youtube_dl_1500170938243076101/index.html" TargetMode="External"/><Relationship Id="rId6188" Type="http://schemas.openxmlformats.org/officeDocument/2006/relationships/hyperlink" Target="https://bellingcat-archive.nyc3.cdn.digitaloceanspaces.com/Ukraine_Witness_Datasheet/Worksheet/youtube_dl__Militarylandnet_status_14997344088190033952022-03-06T03:05:12.935306.png" TargetMode="External"/><Relationship Id="rId6189" Type="http://schemas.openxmlformats.org/officeDocument/2006/relationships/hyperlink" Target="https://bellingcat-archive.nyc3.cdn.digitaloceanspaces.com/Ukraine_Witness_Datasheet/Worksheet/youtube_dl_1499734408819003395/index.html" TargetMode="External"/><Relationship Id="rId3900" Type="http://schemas.openxmlformats.org/officeDocument/2006/relationships/hyperlink" Target="https://bellingcat-archive.nyc3.cdn.digitaloceanspaces.com/Ukraine_Witness_Datasheet/Worksheet/youtube_dl_1498189875023126531.mp4" TargetMode="External"/><Relationship Id="rId3902" Type="http://schemas.openxmlformats.org/officeDocument/2006/relationships/hyperlink" Target="https://bellingcat-archive.nyc3.cdn.digitaloceanspaces.com/Ukraine_Witness_Datasheet/Worksheet/youtube_dl_1498189875023126531/index.html" TargetMode="External"/><Relationship Id="rId3901" Type="http://schemas.openxmlformats.org/officeDocument/2006/relationships/hyperlink" Target="https://bellingcat-archive.nyc3.cdn.digitaloceanspaces.com/Ukraine_Witness_Datasheet/Worksheet/youtube_dl__no_itsmyturn_status_14981898750231265312022-02-28T11:00:29.589445.png" TargetMode="External"/><Relationship Id="rId3904" Type="http://schemas.openxmlformats.org/officeDocument/2006/relationships/hyperlink" Target="https://bellingcat-archive.nyc3.cdn.digitaloceanspaces.com/Ukraine_Witness_Datasheet/Worksheet/telegram_93740634ad.mp4" TargetMode="External"/><Relationship Id="rId3903" Type="http://schemas.openxmlformats.org/officeDocument/2006/relationships/hyperlink" Target="https://t.me/nexta_live/18419" TargetMode="External"/><Relationship Id="rId3906" Type="http://schemas.openxmlformats.org/officeDocument/2006/relationships/hyperlink" Target="https://bellingcat-archive.nyc3.cdn.digitaloceanspaces.com/Ukraine_Witness_Datasheet/Worksheet/telegram_93740634ad/index.html" TargetMode="External"/><Relationship Id="rId3905" Type="http://schemas.openxmlformats.org/officeDocument/2006/relationships/hyperlink" Target="https://bellingcat-archive.nyc3.cdn.digitaloceanspaces.com/Ukraine_Witness_Datasheet/Worksheet/telegram__nexta_live_184192022-02-28T11:00:46.657093.png" TargetMode="External"/><Relationship Id="rId3908" Type="http://schemas.openxmlformats.org/officeDocument/2006/relationships/hyperlink" Target="https://t.me/nexta_live/18420" TargetMode="External"/><Relationship Id="rId3907" Type="http://schemas.openxmlformats.org/officeDocument/2006/relationships/hyperlink" Target="https://t.me/nexta_live/18419" TargetMode="External"/><Relationship Id="rId3909" Type="http://schemas.openxmlformats.org/officeDocument/2006/relationships/hyperlink" Target="https://bellingcat-archive.nyc3.cdn.digitaloceanspaces.com/Ukraine_Witness_Datasheet/Worksheet/telegram_c2adfed16b.mp4" TargetMode="External"/><Relationship Id="rId6171" Type="http://schemas.openxmlformats.org/officeDocument/2006/relationships/hyperlink" Target="https://bellingcat-archive.nyc3.cdn.digitaloceanspaces.com/Ukraine_Witness_Datasheet/Worksheet/youtube_dl_1500172208584417283/index.html" TargetMode="External"/><Relationship Id="rId6172" Type="http://schemas.openxmlformats.org/officeDocument/2006/relationships/hyperlink" Target="https://twitter.com/Militarylandnet/status/1500139357658832897" TargetMode="External"/><Relationship Id="rId6170" Type="http://schemas.openxmlformats.org/officeDocument/2006/relationships/hyperlink" Target="https://bellingcat-archive.nyc3.cdn.digitaloceanspaces.com/Ukraine_Witness_Datasheet/Worksheet/youtube_dl__OsintTv_status_15001722085844172832022-03-05T18:40:12.847194.png" TargetMode="External"/><Relationship Id="rId6175" Type="http://schemas.openxmlformats.org/officeDocument/2006/relationships/hyperlink" Target="https://bellingcat-archive.nyc3.cdn.digitaloceanspaces.com/Ukraine_Witness_Datasheet/Worksheet/twitter__Militarylandnet_status_15001393576588328972022-03-05T20:55:13.603897.png" TargetMode="External"/><Relationship Id="rId6176" Type="http://schemas.openxmlformats.org/officeDocument/2006/relationships/hyperlink" Target="https://twitter.com/GirkinGirkin/status/1500192445430181897" TargetMode="External"/><Relationship Id="rId6173" Type="http://schemas.openxmlformats.org/officeDocument/2006/relationships/hyperlink" Target="https://twitter.com/alexwolte/status/1500145287934918656" TargetMode="External"/><Relationship Id="rId6174" Type="http://schemas.openxmlformats.org/officeDocument/2006/relationships/hyperlink" Target="https://bellingcat-archive.nyc3.cdn.digitaloceanspaces.com/Ukraine_Witness_Datasheet/Worksheet/twitter__Militarylandnet_status_1500139357658832897.html" TargetMode="External"/><Relationship Id="rId6179" Type="http://schemas.openxmlformats.org/officeDocument/2006/relationships/hyperlink" Target="https://bellingcat-archive.nyc3.cdn.digitaloceanspaces.com/Ukraine_Witness_Datasheet/Worksheet/youtube_dl__GirkinGirkin_status_15001924454301818972022-03-05T21:10:16.291769.png" TargetMode="External"/><Relationship Id="rId6177" Type="http://schemas.openxmlformats.org/officeDocument/2006/relationships/hyperlink" Target="https://twitter.com/zcjbrooker/status/1500198800597651463" TargetMode="External"/><Relationship Id="rId6178" Type="http://schemas.openxmlformats.org/officeDocument/2006/relationships/hyperlink" Target="https://bellingcat-archive.nyc3.cdn.digitaloceanspaces.com/Ukraine_Witness_Datasheet/Worksheet/youtube_dl_1500192445430181897.mp4" TargetMode="External"/><Relationship Id="rId3931" Type="http://schemas.openxmlformats.org/officeDocument/2006/relationships/hyperlink" Target="https://bellingcat-archive.nyc3.cdn.digitaloceanspaces.com/Ukraine_Witness_Datasheet/Worksheet/telegram_2378eb9765.mp4" TargetMode="External"/><Relationship Id="rId2600" Type="http://schemas.openxmlformats.org/officeDocument/2006/relationships/hyperlink" Target="https://twitter.com/Michael1Sheldon/status/1496986762698182656" TargetMode="External"/><Relationship Id="rId3930" Type="http://schemas.openxmlformats.org/officeDocument/2006/relationships/hyperlink" Target="https://t.me/nexta_live/18417" TargetMode="External"/><Relationship Id="rId2601" Type="http://schemas.openxmlformats.org/officeDocument/2006/relationships/hyperlink" Target="https://bellingcat-archive.nyc3.cdn.digitaloceanspaces.com/ukraine_witness_test/Worksheet/yotube_dl_ywUryvex00w.webm" TargetMode="External"/><Relationship Id="rId3933" Type="http://schemas.openxmlformats.org/officeDocument/2006/relationships/hyperlink" Target="https://bellingcat-archive.nyc3.cdn.digitaloceanspaces.com/Ukraine_Witness_Datasheet/Worksheet/telegram_2378eb9765/index.html" TargetMode="External"/><Relationship Id="rId2602" Type="http://schemas.openxmlformats.org/officeDocument/2006/relationships/hyperlink" Target="https://bellingcat-archive.nyc3.cdn.digitaloceanspaces.com/ukraine_witness_test/Worksheet/yotube_dl__watch2022-02-25T12:06:50.198817.png" TargetMode="External"/><Relationship Id="rId3932" Type="http://schemas.openxmlformats.org/officeDocument/2006/relationships/hyperlink" Target="https://bellingcat-archive.nyc3.cdn.digitaloceanspaces.com/Ukraine_Witness_Datasheet/Worksheet/telegram__nexta_live_184172022-02-28T11:04:19.740749.png" TargetMode="External"/><Relationship Id="rId2603" Type="http://schemas.openxmlformats.org/officeDocument/2006/relationships/hyperlink" Target="https://bellingcat-archive.nyc3.cdn.digitaloceanspaces.com/ukraine_witness_test/Worksheet/yotube_dl_ywUryvex00w/index.html" TargetMode="External"/><Relationship Id="rId3935" Type="http://schemas.openxmlformats.org/officeDocument/2006/relationships/hyperlink" Target="https://twitter.com/kemal_115/status/1497886223238635522" TargetMode="External"/><Relationship Id="rId2604" Type="http://schemas.openxmlformats.org/officeDocument/2006/relationships/hyperlink" Target="https://twitter.com/N_Waters89/status/1496846533085564929" TargetMode="External"/><Relationship Id="rId3934" Type="http://schemas.openxmlformats.org/officeDocument/2006/relationships/hyperlink" Target="https://t.me/nexta_live/18417" TargetMode="External"/><Relationship Id="rId2605" Type="http://schemas.openxmlformats.org/officeDocument/2006/relationships/hyperlink" Target="https://bellingcat-archive.nyc3.cdn.digitaloceanspaces.com/ukraine_witness_test/Worksheet/yotube_dl_1496846533085564929.mp4" TargetMode="External"/><Relationship Id="rId3937" Type="http://schemas.openxmlformats.org/officeDocument/2006/relationships/hyperlink" Target="https://bellingcat-archive.nyc3.cdn.digitaloceanspaces.com/Ukraine_Witness_Datasheet/Worksheet/youtube_dl_1497886223238635522.mp4" TargetMode="External"/><Relationship Id="rId2606" Type="http://schemas.openxmlformats.org/officeDocument/2006/relationships/hyperlink" Target="https://bellingcat-archive.nyc3.cdn.digitaloceanspaces.com/ukraine_witness_test/Worksheet/yotube_dl__N_Waters89_status_14968465330855649292022-02-25T12:06:32.018397.png" TargetMode="External"/><Relationship Id="rId3936" Type="http://schemas.openxmlformats.org/officeDocument/2006/relationships/hyperlink" Target="https://twitter.com/bobmoretti/status/1498112674646740992" TargetMode="External"/><Relationship Id="rId808" Type="http://schemas.openxmlformats.org/officeDocument/2006/relationships/hyperlink" Target="https://bellingcat-archive.nyc3.cdn.digitaloceanspaces.com/Ukraine_Witness_Datasheet/Worksheet/youtube_dl_1491773819412963335/index.html" TargetMode="External"/><Relationship Id="rId2607" Type="http://schemas.openxmlformats.org/officeDocument/2006/relationships/hyperlink" Target="https://bellingcat-archive.nyc3.cdn.digitaloceanspaces.com/ukraine_witness_test/Worksheet/yotube_dl_1496846533085564929/index.html" TargetMode="External"/><Relationship Id="rId3939" Type="http://schemas.openxmlformats.org/officeDocument/2006/relationships/hyperlink" Target="https://bellingcat-archive.nyc3.cdn.digitaloceanspaces.com/Ukraine_Witness_Datasheet/Worksheet/youtube_dl_1497886223238635522/index.html" TargetMode="External"/><Relationship Id="rId807" Type="http://schemas.openxmlformats.org/officeDocument/2006/relationships/hyperlink" Target="https://bellingcat-archive.nyc3.cdn.digitaloceanspaces.com/Ukraine_Witness_Datasheet/Worksheet/youtube_dl__4emberlen_status_14917738194129633352022-02-25T13:36:33.507961.png" TargetMode="External"/><Relationship Id="rId2608" Type="http://schemas.openxmlformats.org/officeDocument/2006/relationships/hyperlink" Target="https://twitter.com/AlexKhrebet/status/1497123956318523392" TargetMode="External"/><Relationship Id="rId3938" Type="http://schemas.openxmlformats.org/officeDocument/2006/relationships/hyperlink" Target="https://bellingcat-archive.nyc3.cdn.digitaloceanspaces.com/Ukraine_Witness_Datasheet/Worksheet/youtube_dl__kemal_115_status_14978862232386355222022-02-28T11:04:58.802812.png" TargetMode="External"/><Relationship Id="rId806" Type="http://schemas.openxmlformats.org/officeDocument/2006/relationships/hyperlink" Target="https://bellingcat-archive.nyc3.cdn.digitaloceanspaces.com/Ukraine_Witness_Datasheet/Worksheet/youtube_dl_1491773819412963335.mp4" TargetMode="External"/><Relationship Id="rId2609" Type="http://schemas.openxmlformats.org/officeDocument/2006/relationships/hyperlink" Target="https://bellingcat-archive.nyc3.cdn.digitaloceanspaces.com/ukraine_witness_test/Worksheet/yotube_dl_1497123956318523392.mp4" TargetMode="External"/><Relationship Id="rId805" Type="http://schemas.openxmlformats.org/officeDocument/2006/relationships/hyperlink" Target="https://twitter.com/gfusfus/status/1491787693050589196" TargetMode="External"/><Relationship Id="rId809" Type="http://schemas.openxmlformats.org/officeDocument/2006/relationships/hyperlink" Target="https://twitter.com/4emberlen/status/1491574171624742914" TargetMode="External"/><Relationship Id="rId800" Type="http://schemas.openxmlformats.org/officeDocument/2006/relationships/hyperlink" Target="https://twitter.com/gfusfus/status/1491799139331440641" TargetMode="External"/><Relationship Id="rId804" Type="http://schemas.openxmlformats.org/officeDocument/2006/relationships/hyperlink" Target="https://twitter.com/4emberlen/status/1491773819412963335" TargetMode="External"/><Relationship Id="rId803" Type="http://schemas.openxmlformats.org/officeDocument/2006/relationships/hyperlink" Target="https://bellingcat-archive.nyc3.cdn.digitaloceanspaces.com/Ukraine_Witness_Datasheet/Worksheet/youtube_dl_1491636860749324292/index.html" TargetMode="External"/><Relationship Id="rId802" Type="http://schemas.openxmlformats.org/officeDocument/2006/relationships/hyperlink" Target="https://bellingcat-archive.nyc3.cdn.digitaloceanspaces.com/Ukraine_Witness_Datasheet/Worksheet/youtube_dl__GirkinGirkin_status_14916368607493242922022-02-25T13:36:14.449250.png" TargetMode="External"/><Relationship Id="rId801" Type="http://schemas.openxmlformats.org/officeDocument/2006/relationships/hyperlink" Target="https://bellingcat-archive.nyc3.cdn.digitaloceanspaces.com/Ukraine_Witness_Datasheet/Worksheet/youtube_dl_1491636860749324292.mp4" TargetMode="External"/><Relationship Id="rId3920" Type="http://schemas.openxmlformats.org/officeDocument/2006/relationships/hyperlink" Target="https://bellingcat-archive.nyc3.cdn.digitaloceanspaces.com/Ukraine_Witness_Datasheet/Worksheet/youtube_dl_1497971946235088899/index.html" TargetMode="External"/><Relationship Id="rId3922" Type="http://schemas.openxmlformats.org/officeDocument/2006/relationships/hyperlink" Target="https://bellingcat-archive.nyc3.cdn.digitaloceanspaces.com/Ukraine_Witness_Datasheet/Worksheet/youtube_dl_1497976393162018827.mp4" TargetMode="External"/><Relationship Id="rId3921" Type="http://schemas.openxmlformats.org/officeDocument/2006/relationships/hyperlink" Target="https://twitter.com/nexta_tv/status/1497976393162018827" TargetMode="External"/><Relationship Id="rId3924" Type="http://schemas.openxmlformats.org/officeDocument/2006/relationships/hyperlink" Target="https://bellingcat-archive.nyc3.cdn.digitaloceanspaces.com/Ukraine_Witness_Datasheet/Worksheet/youtube_dl_1497976393162018827/index.html" TargetMode="External"/><Relationship Id="rId3923" Type="http://schemas.openxmlformats.org/officeDocument/2006/relationships/hyperlink" Target="https://bellingcat-archive.nyc3.cdn.digitaloceanspaces.com/Ukraine_Witness_Datasheet/Worksheet/youtube_dl__nexta_tv_status_14979763931620188272022-02-28T11:03:34.372281.png" TargetMode="External"/><Relationship Id="rId3926" Type="http://schemas.openxmlformats.org/officeDocument/2006/relationships/hyperlink" Target="https://twitter.com/ToasterIntel/status/1498234630352216065?s=20&amp;t=hPeTGdT6yh4vweQVyZdGVA" TargetMode="External"/><Relationship Id="rId3925" Type="http://schemas.openxmlformats.org/officeDocument/2006/relationships/hyperlink" Target="https://twitter.com/Osinttechnical/status/1498234139551715329?s=20&amp;t=hPeTGdT6yh4vweQVyZdGVA" TargetMode="External"/><Relationship Id="rId3928" Type="http://schemas.openxmlformats.org/officeDocument/2006/relationships/hyperlink" Target="https://bellingcat-archive.nyc3.cdn.digitaloceanspaces.com/Ukraine_Witness_Datasheet/Worksheet/youtube_dl__Osinttechnical_status_14982341395517153292022-02-28T11:03:57.847643.png" TargetMode="External"/><Relationship Id="rId3927" Type="http://schemas.openxmlformats.org/officeDocument/2006/relationships/hyperlink" Target="https://bellingcat-archive.nyc3.cdn.digitaloceanspaces.com/Ukraine_Witness_Datasheet/Worksheet/youtube_dl_1498234139551715329.mp4" TargetMode="External"/><Relationship Id="rId3929" Type="http://schemas.openxmlformats.org/officeDocument/2006/relationships/hyperlink" Target="https://bellingcat-archive.nyc3.cdn.digitaloceanspaces.com/Ukraine_Witness_Datasheet/Worksheet/youtube_dl_1498234139551715329/index.html" TargetMode="External"/><Relationship Id="rId6193" Type="http://schemas.openxmlformats.org/officeDocument/2006/relationships/hyperlink" Target="https://bellingcat-archive.nyc3.cdn.digitaloceanspaces.com/Ukraine_Witness_Datasheet/Worksheet/youtube_dl_1500367314759434242/index.html" TargetMode="External"/><Relationship Id="rId6194" Type="http://schemas.openxmlformats.org/officeDocument/2006/relationships/hyperlink" Target="https://twitter.com/no_itsmyturn/status/1500364144838598659?s=20&amp;t=EFbQ5pLkTaAre99oLfUTqA" TargetMode="External"/><Relationship Id="rId6191" Type="http://schemas.openxmlformats.org/officeDocument/2006/relationships/hyperlink" Target="https://bellingcat-archive.nyc3.cdn.digitaloceanspaces.com/Ukraine_Witness_Datasheet/Worksheet/youtube_dl_1500367314759434242.mp4" TargetMode="External"/><Relationship Id="rId6192" Type="http://schemas.openxmlformats.org/officeDocument/2006/relationships/hyperlink" Target="https://bellingcat-archive.nyc3.cdn.digitaloceanspaces.com/Ukraine_Witness_Datasheet/Worksheet/youtube_dl__no_itsmyturn_status_15003673147594342422022-03-06T09:05:12.775338.png" TargetMode="External"/><Relationship Id="rId6197" Type="http://schemas.openxmlformats.org/officeDocument/2006/relationships/hyperlink" Target="https://twitter.com/no_itsmyturn/status/1500362350108495873?s=20&amp;t=EFbQ5pLkTaAre99oLfUTqA" TargetMode="External"/><Relationship Id="rId6198" Type="http://schemas.openxmlformats.org/officeDocument/2006/relationships/hyperlink" Target="https://bellingcat-archive.nyc3.cdn.digitaloceanspaces.com/Ukraine_Witness_Datasheet/Worksheet/twitter__no_itsmyturn_status_1500362350108495873.html" TargetMode="External"/><Relationship Id="rId6195" Type="http://schemas.openxmlformats.org/officeDocument/2006/relationships/hyperlink" Target="https://bellingcat-archive.nyc3.cdn.digitaloceanspaces.com/Ukraine_Witness_Datasheet/Worksheet/twitter__no_itsmyturn_status_1500364144838598659.html" TargetMode="External"/><Relationship Id="rId6196" Type="http://schemas.openxmlformats.org/officeDocument/2006/relationships/hyperlink" Target="https://bellingcat-archive.nyc3.cdn.digitaloceanspaces.com/Ukraine_Witness_Datasheet/Worksheet/twitter__no_itsmyturn_status_15003641448385986592022-03-06T09:05:30.476818.png" TargetMode="External"/><Relationship Id="rId6199" Type="http://schemas.openxmlformats.org/officeDocument/2006/relationships/hyperlink" Target="https://bellingcat-archive.nyc3.cdn.digitaloceanspaces.com/Ukraine_Witness_Datasheet/Worksheet/twitter__no_itsmyturn_status_15003623501084958732022-03-06T09:05:41.804962.png" TargetMode="External"/><Relationship Id="rId7470" Type="http://schemas.openxmlformats.org/officeDocument/2006/relationships/hyperlink" Target="https://bellingcat-archive.nyc3.cdn.digitaloceanspaces.com/Ukraine_Witness_Datasheet/Worksheet/wayback__Kievskiy_dvizh_novosti_36702022-03-08T17:33:45.130161.png" TargetMode="External"/><Relationship Id="rId6142" Type="http://schemas.openxmlformats.org/officeDocument/2006/relationships/hyperlink" Target="https://bellingcat-archive.nyc3.cdn.digitaloceanspaces.com/Ukraine_Witness_Datasheet/Worksheet/twitter__dtcdonetskua_status_14994809604291420162022-03-05T17:05:30.767795.png" TargetMode="External"/><Relationship Id="rId7474" Type="http://schemas.openxmlformats.org/officeDocument/2006/relationships/hyperlink" Target="https://twitter.com/HromadskeRadio/status/1500194946917273601/photo/3" TargetMode="External"/><Relationship Id="rId6143" Type="http://schemas.openxmlformats.org/officeDocument/2006/relationships/hyperlink" Target="https://www.youtube.com/shorts/sKSlC9SOd5I" TargetMode="External"/><Relationship Id="rId7473" Type="http://schemas.openxmlformats.org/officeDocument/2006/relationships/hyperlink" Target="https://bellingcat-archive.nyc3.cdn.digitaloceanspaces.com/Ukraine_Witness_Datasheet/Worksheet/wayback__Kievskiy_dvizh_novosti_36692022-03-08T17:36:03.879438.png" TargetMode="External"/><Relationship Id="rId6140" Type="http://schemas.openxmlformats.org/officeDocument/2006/relationships/hyperlink" Target="https://twitter.com/Oleksa_UA66/status/1499439853121032194" TargetMode="External"/><Relationship Id="rId7472" Type="http://schemas.openxmlformats.org/officeDocument/2006/relationships/hyperlink" Target="https://web.archive.org/web/20220308173431/https://t.me/Kievskiy_dvizh_novosti/3669" TargetMode="External"/><Relationship Id="rId6141" Type="http://schemas.openxmlformats.org/officeDocument/2006/relationships/hyperlink" Target="https://bellingcat-archive.nyc3.cdn.digitaloceanspaces.com/Ukraine_Witness_Datasheet/Worksheet/twitter__dtcdonetskua_status_1499480960429142016.html" TargetMode="External"/><Relationship Id="rId7471" Type="http://schemas.openxmlformats.org/officeDocument/2006/relationships/hyperlink" Target="https://t.me/Kievskiy_dvizh_novosti/3669" TargetMode="External"/><Relationship Id="rId6146" Type="http://schemas.openxmlformats.org/officeDocument/2006/relationships/hyperlink" Target="https://bellingcat-archive.nyc3.cdn.digitaloceanspaces.com/Ukraine_Witness_Datasheet/Worksheet/youtube_dl__6hiVCh1sP6k2022-03-05T17:10:19.088229.png" TargetMode="External"/><Relationship Id="rId7478" Type="http://schemas.openxmlformats.org/officeDocument/2006/relationships/hyperlink" Target="https://bellingcat-archive.nyc3.cdn.digitaloceanspaces.com/Ukraine_Witness_Datasheet/Worksheet/telegram__truexanewsua_29198.html" TargetMode="External"/><Relationship Id="rId6147" Type="http://schemas.openxmlformats.org/officeDocument/2006/relationships/hyperlink" Target="https://bellingcat-archive.nyc3.cdn.digitaloceanspaces.com/Ukraine_Witness_Datasheet/Worksheet/youtube_dl_6hiVCh1sP6k/index.html" TargetMode="External"/><Relationship Id="rId7477" Type="http://schemas.openxmlformats.org/officeDocument/2006/relationships/hyperlink" Target="https://t.me/truexanewsua/29198" TargetMode="External"/><Relationship Id="rId6144" Type="http://schemas.openxmlformats.org/officeDocument/2006/relationships/hyperlink" Target="https://www.google.com/maps/place/Heroiv+Dnipra+St,+12,+Kyiv,+Ukraine,+02000/@50.5182413,30.4890825,17z/data=!3m1!4b1!4m5!3m4!1s0x40d4d2698b6fdad7:0xb63d45f305207fca!8m2!3d50.5182413!4d30.4912712" TargetMode="External"/><Relationship Id="rId7476" Type="http://schemas.openxmlformats.org/officeDocument/2006/relationships/hyperlink" Target="https://bellingcat-archive.nyc3.cdn.digitaloceanspaces.com/Ukraine_Witness_Datasheet/Worksheet/twitter__HromadskeRadio_status_1500194946917273601_photo_32022-03-08T17:36:18.270958.png" TargetMode="External"/><Relationship Id="rId6145" Type="http://schemas.openxmlformats.org/officeDocument/2006/relationships/hyperlink" Target="https://bellingcat-archive.nyc3.cdn.digitaloceanspaces.com/Ukraine_Witness_Datasheet/Worksheet/youtube_dl_6hiVCh1sP6k.webm" TargetMode="External"/><Relationship Id="rId7475" Type="http://schemas.openxmlformats.org/officeDocument/2006/relationships/hyperlink" Target="https://bellingcat-archive.nyc3.cdn.digitaloceanspaces.com/Ukraine_Witness_Datasheet/Worksheet/twitter__HromadskeRadio_status_1500194946917273601_photo_3.html" TargetMode="External"/><Relationship Id="rId6148" Type="http://schemas.openxmlformats.org/officeDocument/2006/relationships/hyperlink" Target="https://twitter.com/BackAndAlive/status/1499459468639223815" TargetMode="External"/><Relationship Id="rId6149" Type="http://schemas.openxmlformats.org/officeDocument/2006/relationships/hyperlink" Target="https://www.google.com/maps/@50.565379,30.2708128,3a,75y,61.88h,94.75t/data=!3m6!1e1!3m4!1sSy_4xOPClYOr1orPWHShNA!2e0!7i13312!8i6656" TargetMode="External"/><Relationship Id="rId7479" Type="http://schemas.openxmlformats.org/officeDocument/2006/relationships/hyperlink" Target="https://bellingcat-archive.nyc3.cdn.digitaloceanspaces.com/Ukraine_Witness_Datasheet/Worksheet/telegram__truexanewsua_291982022-03-08T17:36:27.790513.png" TargetMode="External"/><Relationship Id="rId6131" Type="http://schemas.openxmlformats.org/officeDocument/2006/relationships/hyperlink" Target="https://twitter.com/AlexKokcharov/status/1500028423879733252?s=20&amp;t=HOpUqVBNhnBbbeXe8KYPsw" TargetMode="External"/><Relationship Id="rId7463" Type="http://schemas.openxmlformats.org/officeDocument/2006/relationships/hyperlink" Target="https://bellingcat-archive.nyc3.cdn.digitaloceanspaces.com/Ukraine_Witness_Datasheet/Worksheet/wayback__photo_2022-03-08T17:29:39.356577.png" TargetMode="External"/><Relationship Id="rId6132" Type="http://schemas.openxmlformats.org/officeDocument/2006/relationships/hyperlink" Target="https://www.google.com/search?q=kherson+svobody&amp;rlz=1C1GCEV_enDE890DE890&amp;sxsrf=APq-WBuzFONLNFMCoJmGo4L-vrafB8fbVQ:1646499960793&amp;source=lnms&amp;tbm=isch&amp;sa=X&amp;ved=2ahUKEwiY-KOquq_2AhULSPEDHfKlC-EQ_AUoAnoECAEQBA&amp;biw=1600&amp;bih=722&amp;dpr=1.2" TargetMode="External"/><Relationship Id="rId7462" Type="http://schemas.openxmlformats.org/officeDocument/2006/relationships/hyperlink" Target="https://web.archive.org/web/20220308172934/https://www.facebook.com/photo/?fbid=326150029552893&amp;set=pcb.326150199552876" TargetMode="External"/><Relationship Id="rId7461" Type="http://schemas.openxmlformats.org/officeDocument/2006/relationships/hyperlink" Target="https://www.facebook.com/photo/?fbid=326150029552893&amp;set=pcb.326150199552876" TargetMode="External"/><Relationship Id="rId6130" Type="http://schemas.openxmlformats.org/officeDocument/2006/relationships/hyperlink" Target="https://t.me/uniannet/35313" TargetMode="External"/><Relationship Id="rId7460" Type="http://schemas.openxmlformats.org/officeDocument/2006/relationships/hyperlink" Target="https://bellingcat-archive.nyc3.cdn.digitaloceanspaces.com/Ukraine_Witness_Datasheet/Worksheet/twitter__dtcdonetskua_status_15001366815083765892022-03-08T17:29:21.157463.png" TargetMode="External"/><Relationship Id="rId6135" Type="http://schemas.openxmlformats.org/officeDocument/2006/relationships/hyperlink" Target="https://bellingcat-archive.nyc3.cdn.digitaloceanspaces.com/Ukraine_Witness_Datasheet/Worksheet/youtube_dl_1500028423879733252/index.html" TargetMode="External"/><Relationship Id="rId7467" Type="http://schemas.openxmlformats.org/officeDocument/2006/relationships/hyperlink" Target="https://t.me/Kievskiy_dvizh_novosti/3716" TargetMode="External"/><Relationship Id="rId6136" Type="http://schemas.openxmlformats.org/officeDocument/2006/relationships/hyperlink" Target="https://twitter.com/AlexandruC4/status/1500145959375884289" TargetMode="External"/><Relationship Id="rId7466" Type="http://schemas.openxmlformats.org/officeDocument/2006/relationships/hyperlink" Target="https://bellingcat-archive.nyc3.cdn.digitaloceanspaces.com/Ukraine_Witness_Datasheet/Worksheet/twitter__Armia_fm_status_14998043817970933802022-03-08T17:29:52.440595.png" TargetMode="External"/><Relationship Id="rId6133" Type="http://schemas.openxmlformats.org/officeDocument/2006/relationships/hyperlink" Target="https://bellingcat-archive.nyc3.cdn.digitaloceanspaces.com/Ukraine_Witness_Datasheet/Worksheet/youtube_dl_1500028423879733252.mp4" TargetMode="External"/><Relationship Id="rId7465" Type="http://schemas.openxmlformats.org/officeDocument/2006/relationships/hyperlink" Target="https://bellingcat-archive.nyc3.cdn.digitaloceanspaces.com/Ukraine_Witness_Datasheet/Worksheet/twitter__Armia_fm_status_1499804381797093380.html" TargetMode="External"/><Relationship Id="rId6134" Type="http://schemas.openxmlformats.org/officeDocument/2006/relationships/hyperlink" Target="https://bellingcat-archive.nyc3.cdn.digitaloceanspaces.com/Ukraine_Witness_Datasheet/Worksheet/youtube_dl__AlexKokcharov_status_15000284238797332522022-03-05T17:05:13.570496.png" TargetMode="External"/><Relationship Id="rId7464" Type="http://schemas.openxmlformats.org/officeDocument/2006/relationships/hyperlink" Target="https://twitter.com/Armia_fm/status/1499804381797093380?s=20&amp;t=jUjlCq30cWzevD6Kd7sa4A" TargetMode="External"/><Relationship Id="rId6139" Type="http://schemas.openxmlformats.org/officeDocument/2006/relationships/hyperlink" Target="https://twitter.com/dtcdonetskua/status/1499480960429142016" TargetMode="External"/><Relationship Id="rId6137" Type="http://schemas.openxmlformats.org/officeDocument/2006/relationships/hyperlink" Target="https://bellingcat-archive.nyc3.cdn.digitaloceanspaces.com/Ukraine_Witness_Datasheet/Worksheet/twitter__AlexandruC4_status_1500145959375884289.html" TargetMode="External"/><Relationship Id="rId7469" Type="http://schemas.openxmlformats.org/officeDocument/2006/relationships/hyperlink" Target="https://web.archive.org/web/20220308173209/https://t.me/Kievskiy_dvizh_novosti/3670" TargetMode="External"/><Relationship Id="rId6138" Type="http://schemas.openxmlformats.org/officeDocument/2006/relationships/hyperlink" Target="https://bellingcat-archive.nyc3.cdn.digitaloceanspaces.com/Ukraine_Witness_Datasheet/Worksheet/twitter__AlexandruC4_status_15001459593758842892022-03-05T16:40:12.917801.png" TargetMode="External"/><Relationship Id="rId7468" Type="http://schemas.openxmlformats.org/officeDocument/2006/relationships/hyperlink" Target="https://t.me/Kievskiy_dvizh_novosti/3670" TargetMode="External"/><Relationship Id="rId6160" Type="http://schemas.openxmlformats.org/officeDocument/2006/relationships/hyperlink" Target="https://bellingcat-archive.nyc3.cdn.digitaloceanspaces.com/Ukraine_Witness_Datasheet/Worksheet/youtube_dl__christogrozev_status_15001668153763676162022-03-05T18:20:12.900655.png" TargetMode="External"/><Relationship Id="rId7492" Type="http://schemas.openxmlformats.org/officeDocument/2006/relationships/hyperlink" Target="https://t.me/truexanewsua/30188" TargetMode="External"/><Relationship Id="rId6161" Type="http://schemas.openxmlformats.org/officeDocument/2006/relationships/hyperlink" Target="https://bellingcat-archive.nyc3.cdn.digitaloceanspaces.com/Ukraine_Witness_Datasheet/Worksheet/youtube_dl_1500166815376367616/index.html" TargetMode="External"/><Relationship Id="rId7491" Type="http://schemas.openxmlformats.org/officeDocument/2006/relationships/hyperlink" Target="https://bellingcat-archive.nyc3.cdn.digitaloceanspaces.com/Ukraine_Witness_Datasheet/Worksheet/wayback__drive_folders_1qj3LG50psDewqNORpS9-YIIsqAM55AL82022-03-08T17:39:24.787808.png" TargetMode="External"/><Relationship Id="rId7490" Type="http://schemas.openxmlformats.org/officeDocument/2006/relationships/hyperlink" Target="https://web.archive.org/web/20220308173916/https://drive.google.com/drive/folders/1qj3LG50psDewqNORpS9-YIIsqAM55AL8?usp=sharing" TargetMode="External"/><Relationship Id="rId6164" Type="http://schemas.openxmlformats.org/officeDocument/2006/relationships/hyperlink" Target="https://bellingcat-archive.nyc3.cdn.digitaloceanspaces.com/Ukraine_Witness_Datasheet/Worksheet/youtube_dl_LQzs5HJuPnQ.webm" TargetMode="External"/><Relationship Id="rId7496" Type="http://schemas.openxmlformats.org/officeDocument/2006/relationships/hyperlink" Target="https://web.archive.org/web/20220308173953/https://drive.google.com/drive/folders/1UuS8K_IFNvMi6WecF8ooXvFQEWiBSciK?usp=sharing" TargetMode="External"/><Relationship Id="rId6165" Type="http://schemas.openxmlformats.org/officeDocument/2006/relationships/hyperlink" Target="https://bellingcat-archive.nyc3.cdn.digitaloceanspaces.com/Ukraine_Witness_Datasheet/Worksheet/youtube_dl__LQzs5HJuPnQ2022-03-05T18:25:15.743826.png" TargetMode="External"/><Relationship Id="rId7495" Type="http://schemas.openxmlformats.org/officeDocument/2006/relationships/hyperlink" Target="https://drive.google.com/drive/folders/1UuS8K_IFNvMi6WecF8ooXvFQEWiBSciK?usp=sharing" TargetMode="External"/><Relationship Id="rId6162" Type="http://schemas.openxmlformats.org/officeDocument/2006/relationships/hyperlink" Target="https://youtu.be/LQzs5HJuPnQ" TargetMode="External"/><Relationship Id="rId7494" Type="http://schemas.openxmlformats.org/officeDocument/2006/relationships/hyperlink" Target="https://bellingcat-archive.nyc3.cdn.digitaloceanspaces.com/Ukraine_Witness_Datasheet/Worksheet/telegram__truexanewsua_301882022-03-08T17:39:34.095781.png" TargetMode="External"/><Relationship Id="rId6163" Type="http://schemas.openxmlformats.org/officeDocument/2006/relationships/hyperlink" Target="https://www.google.com/maps/place/Iwankiw,+Oblast+Kiew,+Ukraine,+07204/@50.9352692,29.8785658,14z/data=!4m13!1m7!3m6!1s0x472afca0b3831225:0xdc314274b8274099!2sIwankiw,+Oblast+Kiew,+Ukraine,+07204!3b1!8m2!3d50.9337376!4d29.9006139!3m4!1s0x472afca0b3831225:0xdc314274b8274099!8m2!3d50.9337376!4d29.9006139?hl=de" TargetMode="External"/><Relationship Id="rId7493" Type="http://schemas.openxmlformats.org/officeDocument/2006/relationships/hyperlink" Target="https://bellingcat-archive.nyc3.cdn.digitaloceanspaces.com/Ukraine_Witness_Datasheet/Worksheet/telegram__truexanewsua_30188.html" TargetMode="External"/><Relationship Id="rId6168" Type="http://schemas.openxmlformats.org/officeDocument/2006/relationships/hyperlink" Target="https://www.google.ie/maps/dir/Palace+of+Culture+and+Technology,+Myru+Square,+Kramatorsk,+Donetsk+Oblast,+Ukraine/Aeroport+Kramators%CA%B9k,+Donetsk+Oblast,+Ukraine/@48.7217081,37.5822246,6051m/data=!3m2!1e3!4b1!4m13!4m12!1m5!1m1!1s0x40df970483202ee3:0xf0b6f98e6c1e07d9!2m2!1d37.586391!2d48.738402!1m5!1m1!1s0x40df97ac798b548b:0x819768615331e99c!2m2!1d37.6284158!2d48.7048401" TargetMode="External"/><Relationship Id="rId6169" Type="http://schemas.openxmlformats.org/officeDocument/2006/relationships/hyperlink" Target="https://bellingcat-archive.nyc3.cdn.digitaloceanspaces.com/Ukraine_Witness_Datasheet/Worksheet/youtube_dl_1500172208584417283.mp4" TargetMode="External"/><Relationship Id="rId7499" Type="http://schemas.openxmlformats.org/officeDocument/2006/relationships/hyperlink" Target="https://bellingcat-archive.nyc3.cdn.digitaloceanspaces.com/Ukraine_Witness_Datasheet/Worksheet/telegram_2648785b6d.mp4" TargetMode="External"/><Relationship Id="rId6166" Type="http://schemas.openxmlformats.org/officeDocument/2006/relationships/hyperlink" Target="https://bellingcat-archive.nyc3.cdn.digitaloceanspaces.com/Ukraine_Witness_Datasheet/Worksheet/youtube_dl_LQzs5HJuPnQ/index.html" TargetMode="External"/><Relationship Id="rId7498" Type="http://schemas.openxmlformats.org/officeDocument/2006/relationships/hyperlink" Target="https://t.me/truexanewsua/30200" TargetMode="External"/><Relationship Id="rId6167" Type="http://schemas.openxmlformats.org/officeDocument/2006/relationships/hyperlink" Target="https://twitter.com/OsintTv/status/1500172208584417283" TargetMode="External"/><Relationship Id="rId7497" Type="http://schemas.openxmlformats.org/officeDocument/2006/relationships/hyperlink" Target="https://bellingcat-archive.nyc3.cdn.digitaloceanspaces.com/Ukraine_Witness_Datasheet/Worksheet/wayback__drive_folders_1UuS8K_IFNvMi6WecF8ooXvFQEWiBSciK2022-03-08T17:40:03.033786.png" TargetMode="External"/><Relationship Id="rId7481" Type="http://schemas.openxmlformats.org/officeDocument/2006/relationships/hyperlink" Target="https://bellingcat-archive.nyc3.cdn.digitaloceanspaces.com/Ukraine_Witness_Datasheet/Worksheet/telegram__truexanewsua_29344.html" TargetMode="External"/><Relationship Id="rId6150" Type="http://schemas.openxmlformats.org/officeDocument/2006/relationships/hyperlink" Target="https://bellingcat-archive.nyc3.cdn.digitaloceanspaces.com/Ukraine_Witness_Datasheet/Worksheet/youtube_dl_1499459468639223815.mp4" TargetMode="External"/><Relationship Id="rId7480" Type="http://schemas.openxmlformats.org/officeDocument/2006/relationships/hyperlink" Target="https://t.me/truexanewsua/29344" TargetMode="External"/><Relationship Id="rId6153" Type="http://schemas.openxmlformats.org/officeDocument/2006/relationships/hyperlink" Target="https://youtu.be/XeNReBistO0" TargetMode="External"/><Relationship Id="rId7485" Type="http://schemas.openxmlformats.org/officeDocument/2006/relationships/hyperlink" Target="https://bellingcat-archive.nyc3.cdn.digitaloceanspaces.com/Ukraine_Witness_Datasheet/Worksheet/wayback__drive_folders_1wNxlZNhTodNrIgPIhMrEjWDf811xdtOm2022-03-08T17:37:08.467637.png" TargetMode="External"/><Relationship Id="rId6154" Type="http://schemas.openxmlformats.org/officeDocument/2006/relationships/hyperlink" Target="https://bellingcat-archive.nyc3.cdn.digitaloceanspaces.com/Ukraine_Witness_Datasheet/Worksheet/youtube_dl_XeNReBistO0.webm" TargetMode="External"/><Relationship Id="rId7484" Type="http://schemas.openxmlformats.org/officeDocument/2006/relationships/hyperlink" Target="https://web.archive.org/web/20220308173655/https://drive.google.com/drive/folders/1wNxlZNhTodNrIgPIhMrEjWDf811xdtOm?usp=sharing" TargetMode="External"/><Relationship Id="rId6151" Type="http://schemas.openxmlformats.org/officeDocument/2006/relationships/hyperlink" Target="https://bellingcat-archive.nyc3.cdn.digitaloceanspaces.com/Ukraine_Witness_Datasheet/Worksheet/youtube_dl__BackAndAlive_status_14994594686392238152022-03-05T17:35:14.352595.png" TargetMode="External"/><Relationship Id="rId7483" Type="http://schemas.openxmlformats.org/officeDocument/2006/relationships/hyperlink" Target="https://drive.google.com/drive/folders/1wNxlZNhTodNrIgPIhMrEjWDf811xdtOm?usp=sharing" TargetMode="External"/><Relationship Id="rId6152" Type="http://schemas.openxmlformats.org/officeDocument/2006/relationships/hyperlink" Target="https://bellingcat-archive.nyc3.cdn.digitaloceanspaces.com/Ukraine_Witness_Datasheet/Worksheet/youtube_dl_1499459468639223815/index.html" TargetMode="External"/><Relationship Id="rId7482" Type="http://schemas.openxmlformats.org/officeDocument/2006/relationships/hyperlink" Target="https://bellingcat-archive.nyc3.cdn.digitaloceanspaces.com/Ukraine_Witness_Datasheet/Worksheet/telegram__truexanewsua_293442022-03-08T17:36:36.820152.png" TargetMode="External"/><Relationship Id="rId6157" Type="http://schemas.openxmlformats.org/officeDocument/2006/relationships/hyperlink" Target="https://twitter.com/christogrozev/status/1500166815376367616" TargetMode="External"/><Relationship Id="rId7489" Type="http://schemas.openxmlformats.org/officeDocument/2006/relationships/hyperlink" Target="https://drive.google.com/drive/folders/1qj3LG50psDewqNORpS9-YIIsqAM55AL8?usp=sharing" TargetMode="External"/><Relationship Id="rId6158" Type="http://schemas.openxmlformats.org/officeDocument/2006/relationships/hyperlink" Target="https://twitter.com/L_Team10/status/1500161636350533633" TargetMode="External"/><Relationship Id="rId7488" Type="http://schemas.openxmlformats.org/officeDocument/2006/relationships/hyperlink" Target="https://bellingcat-archive.nyc3.cdn.digitaloceanspaces.com/Ukraine_Witness_Datasheet/Worksheet/wayback__c_1248149892_81512022-03-08T17:39:02.340961.png" TargetMode="External"/><Relationship Id="rId6155" Type="http://schemas.openxmlformats.org/officeDocument/2006/relationships/hyperlink" Target="https://bellingcat-archive.nyc3.cdn.digitaloceanspaces.com/Ukraine_Witness_Datasheet/Worksheet/youtube_dl__XeNReBistO02022-03-05T18:10:16.994251.png" TargetMode="External"/><Relationship Id="rId7487" Type="http://schemas.openxmlformats.org/officeDocument/2006/relationships/hyperlink" Target="https://web.archive.org/web/20220308173728/https://t.me/c/1248149892/8151" TargetMode="External"/><Relationship Id="rId6156" Type="http://schemas.openxmlformats.org/officeDocument/2006/relationships/hyperlink" Target="https://bellingcat-archive.nyc3.cdn.digitaloceanspaces.com/Ukraine_Witness_Datasheet/Worksheet/youtube_dl_XeNReBistO0/index.html" TargetMode="External"/><Relationship Id="rId7486" Type="http://schemas.openxmlformats.org/officeDocument/2006/relationships/hyperlink" Target="https://t.me/c/1248149892/8151" TargetMode="External"/><Relationship Id="rId6159" Type="http://schemas.openxmlformats.org/officeDocument/2006/relationships/hyperlink" Target="https://bellingcat-archive.nyc3.cdn.digitaloceanspaces.com/Ukraine_Witness_Datasheet/Worksheet/youtube_dl_1500166815376367616.mp4" TargetMode="External"/><Relationship Id="rId1334" Type="http://schemas.openxmlformats.org/officeDocument/2006/relationships/hyperlink" Target="https://twitter.com/breakinglv/status/1493680048234287119" TargetMode="External"/><Relationship Id="rId2665" Type="http://schemas.openxmlformats.org/officeDocument/2006/relationships/hyperlink" Target="https://bellingcat-archive.nyc3.cdn.digitaloceanspaces.com/ukraine_witness_test/Worksheet/yotube_dl__GirkinGirkin_status_14971128676188897282022-02-25T12:02:10.777900.png" TargetMode="External"/><Relationship Id="rId3997" Type="http://schemas.openxmlformats.org/officeDocument/2006/relationships/hyperlink" Target="https://bellingcat-archive.nyc3.cdn.digitaloceanspaces.com/Ukraine_Witness_Datasheet/Worksheet/telegram__nexta_live_184592022-02-28T12:06:18.352057.png" TargetMode="External"/><Relationship Id="rId1335" Type="http://schemas.openxmlformats.org/officeDocument/2006/relationships/hyperlink" Target="https://twitter.com/gfusfus/status/1493685589329289218" TargetMode="External"/><Relationship Id="rId2666" Type="http://schemas.openxmlformats.org/officeDocument/2006/relationships/hyperlink" Target="https://bellingcat-archive.nyc3.cdn.digitaloceanspaces.com/ukraine_witness_test/Worksheet/yotube_dl_1497112867618889728/index.html" TargetMode="External"/><Relationship Id="rId3996" Type="http://schemas.openxmlformats.org/officeDocument/2006/relationships/hyperlink" Target="https://bellingcat-archive.nyc3.cdn.digitaloceanspaces.com/Ukraine_Witness_Datasheet/Worksheet/telegram__nexta_live_18459.html" TargetMode="External"/><Relationship Id="rId1336" Type="http://schemas.openxmlformats.org/officeDocument/2006/relationships/hyperlink" Target="https://bellingcat-archive.nyc3.cdn.digitaloceanspaces.com/Ukraine_Witness_Datasheet/Worksheet/youtube_dl_1493680048234287119.mp4" TargetMode="External"/><Relationship Id="rId2667" Type="http://schemas.openxmlformats.org/officeDocument/2006/relationships/hyperlink" Target="https://twitter.com/GirkinGirkin/status/1496992981349453829" TargetMode="External"/><Relationship Id="rId3999" Type="http://schemas.openxmlformats.org/officeDocument/2006/relationships/hyperlink" Target="https://bellingcat-archive.nyc3.cdn.digitaloceanspaces.com/Ukraine_Witness_Datasheet/Worksheet/telegram__suspilnekharkiv_8209.html" TargetMode="External"/><Relationship Id="rId1337" Type="http://schemas.openxmlformats.org/officeDocument/2006/relationships/hyperlink" Target="https://bellingcat-archive.nyc3.cdn.digitaloceanspaces.com/Ukraine_Witness_Datasheet/Worksheet/youtube_dl__breakinglv_status_14936800482342871192022-02-25T14:32:52.692376.png" TargetMode="External"/><Relationship Id="rId2668" Type="http://schemas.openxmlformats.org/officeDocument/2006/relationships/hyperlink" Target="https://twitter.com/jimmyarturopaiz/status/1497005280961478662" TargetMode="External"/><Relationship Id="rId3998" Type="http://schemas.openxmlformats.org/officeDocument/2006/relationships/hyperlink" Target="https://t.me/suspilnekharkiv/8209" TargetMode="External"/><Relationship Id="rId1338" Type="http://schemas.openxmlformats.org/officeDocument/2006/relationships/hyperlink" Target="https://bellingcat-archive.nyc3.cdn.digitaloceanspaces.com/Ukraine_Witness_Datasheet/Worksheet/youtube_dl_1493680048234287119/index.html" TargetMode="External"/><Relationship Id="rId2669" Type="http://schemas.openxmlformats.org/officeDocument/2006/relationships/hyperlink" Target="https://bellingcat-archive.nyc3.cdn.digitaloceanspaces.com/ukraine_witness_test/Worksheet/yotube_dl_1496992981349453829.mp4" TargetMode="External"/><Relationship Id="rId1339" Type="http://schemas.openxmlformats.org/officeDocument/2006/relationships/hyperlink" Target="https://twitter.com/Michael1Sheldon/status/1493801932363911171" TargetMode="External"/><Relationship Id="rId745" Type="http://schemas.openxmlformats.org/officeDocument/2006/relationships/hyperlink" Target="https://bellingcat-archive.nyc3.cdn.digitaloceanspaces.com/Ukraine_Witness_Datasheet/Worksheet/youtube_dl_1491470174523957263/index.html" TargetMode="External"/><Relationship Id="rId744" Type="http://schemas.openxmlformats.org/officeDocument/2006/relationships/hyperlink" Target="https://bellingcat-archive.nyc3.cdn.digitaloceanspaces.com/Ukraine_Witness_Datasheet/Worksheet/youtube_dl__GirkinGirkin_status_14914701745239572632022-02-25T13:30:49.905157.png" TargetMode="External"/><Relationship Id="rId743" Type="http://schemas.openxmlformats.org/officeDocument/2006/relationships/hyperlink" Target="https://bellingcat-archive.nyc3.cdn.digitaloceanspaces.com/Ukraine_Witness_Datasheet/Worksheet/youtube_dl_1491470174523957263.mp4" TargetMode="External"/><Relationship Id="rId742" Type="http://schemas.openxmlformats.org/officeDocument/2006/relationships/hyperlink" Target="https://twitter.com/il_kanguru/status/1491519543835037701" TargetMode="External"/><Relationship Id="rId749" Type="http://schemas.openxmlformats.org/officeDocument/2006/relationships/hyperlink" Target="https://bellingcat-archive.nyc3.cdn.digitaloceanspaces.com/Ukraine_Witness_Datasheet/Worksheet/wayback__herooftheday10_status_14913284642928271362022-02-25T13:32:33.718984.png" TargetMode="External"/><Relationship Id="rId748" Type="http://schemas.openxmlformats.org/officeDocument/2006/relationships/hyperlink" Target="https://web.archive.org/web/20220225133224/https://twitter.com/herooftheday10/status/1491328464292827136" TargetMode="External"/><Relationship Id="rId747" Type="http://schemas.openxmlformats.org/officeDocument/2006/relationships/hyperlink" Target="https://twitter.com/danvan71/status/1491524323307315201" TargetMode="External"/><Relationship Id="rId746" Type="http://schemas.openxmlformats.org/officeDocument/2006/relationships/hyperlink" Target="https://twitter.com/herooftheday10/status/1491328464292827136" TargetMode="External"/><Relationship Id="rId3991" Type="http://schemas.openxmlformats.org/officeDocument/2006/relationships/hyperlink" Target="https://twitter.com/Osinttechnical/status/1498234139551715329?s=20&amp;t=xONXT0up_fFJZ4Ur2NHXwA" TargetMode="External"/><Relationship Id="rId2660" Type="http://schemas.openxmlformats.org/officeDocument/2006/relationships/hyperlink" Target="https://bellingcat-archive.nyc3.cdn.digitaloceanspaces.com/ukraine_witness_test/Worksheet/yotube_dl__no_itsmyturn_status_14971364120465448962022-02-25T12:02:41.816340.png" TargetMode="External"/><Relationship Id="rId3990" Type="http://schemas.openxmlformats.org/officeDocument/2006/relationships/hyperlink" Target="https://bellingcat-archive.nyc3.cdn.digitaloceanspaces.com/Ukraine_Witness_Datasheet/Worksheet/youtube_dl_1498238338859425792/index.html" TargetMode="External"/><Relationship Id="rId741" Type="http://schemas.openxmlformats.org/officeDocument/2006/relationships/hyperlink" Target="https://twitter.com/GirkinGirkin/status/1491470174523957263" TargetMode="External"/><Relationship Id="rId1330" Type="http://schemas.openxmlformats.org/officeDocument/2006/relationships/hyperlink" Target="https://www.tiktok.com/@traktorplus/video/7064560617033567490?_t=8PtXNWu87u3&amp;_r=1" TargetMode="External"/><Relationship Id="rId2661" Type="http://schemas.openxmlformats.org/officeDocument/2006/relationships/hyperlink" Target="https://bellingcat-archive.nyc3.cdn.digitaloceanspaces.com/ukraine_witness_test/Worksheet/yotube_dl_1497136412046544896/index.html" TargetMode="External"/><Relationship Id="rId3993" Type="http://schemas.openxmlformats.org/officeDocument/2006/relationships/hyperlink" Target="https://bellingcat-archive.nyc3.cdn.digitaloceanspaces.com/Ukraine_Witness_Datasheet/Worksheet/youtube_dl__Osinttechnical_status_14982341395517153292022-02-28T11:54:04.901422.png" TargetMode="External"/><Relationship Id="rId740" Type="http://schemas.openxmlformats.org/officeDocument/2006/relationships/hyperlink" Target="https://bellingcat-archive.nyc3.cdn.digitaloceanspaces.com/Ukraine_Witness_Datasheet/Worksheet/wayback__herooftheday10_status_14913190454714900482022-02-25T13:30:35.200605.png" TargetMode="External"/><Relationship Id="rId1331" Type="http://schemas.openxmlformats.org/officeDocument/2006/relationships/hyperlink" Target="https://bellingcat-archive.nyc3.cdn.digitaloceanspaces.com/Ukraine_Witness_Datasheet/Worksheet/tiktok_7064560617033567490.mp4" TargetMode="External"/><Relationship Id="rId2662" Type="http://schemas.openxmlformats.org/officeDocument/2006/relationships/hyperlink" Target="https://twitter.com/GirkinGirkin/status/1497112867618889728" TargetMode="External"/><Relationship Id="rId3992" Type="http://schemas.openxmlformats.org/officeDocument/2006/relationships/hyperlink" Target="https://bellingcat-archive.nyc3.cdn.digitaloceanspaces.com/Ukraine_Witness_Datasheet/Worksheet/youtube_dl_1498234139551715329.mp4" TargetMode="External"/><Relationship Id="rId1332" Type="http://schemas.openxmlformats.org/officeDocument/2006/relationships/hyperlink" Target="https://bellingcat-archive.nyc3.cdn.digitaloceanspaces.com/Ukraine_Witness_Datasheet/Worksheet/tiktok__@traktorplus_video_70645606170335674902022-02-25T14:32:34.688901.png" TargetMode="External"/><Relationship Id="rId2663" Type="http://schemas.openxmlformats.org/officeDocument/2006/relationships/hyperlink" Target="https://twitter.com/SignalPanel/status/1497115970871062528" TargetMode="External"/><Relationship Id="rId3995" Type="http://schemas.openxmlformats.org/officeDocument/2006/relationships/hyperlink" Target="https://t.me/nexta_live/18459" TargetMode="External"/><Relationship Id="rId1333" Type="http://schemas.openxmlformats.org/officeDocument/2006/relationships/hyperlink" Target="https://bellingcat-archive.nyc3.cdn.digitaloceanspaces.com/Ukraine_Witness_Datasheet/Worksheet/tiktok_7064560617033567490/index.html" TargetMode="External"/><Relationship Id="rId2664" Type="http://schemas.openxmlformats.org/officeDocument/2006/relationships/hyperlink" Target="https://bellingcat-archive.nyc3.cdn.digitaloceanspaces.com/ukraine_witness_test/Worksheet/yotube_dl_1497112867618889728.mp4" TargetMode="External"/><Relationship Id="rId3994" Type="http://schemas.openxmlformats.org/officeDocument/2006/relationships/hyperlink" Target="https://bellingcat-archive.nyc3.cdn.digitaloceanspaces.com/Ukraine_Witness_Datasheet/Worksheet/youtube_dl_1498234139551715329/index.html" TargetMode="External"/><Relationship Id="rId1323" Type="http://schemas.openxmlformats.org/officeDocument/2006/relationships/hyperlink" Target="https://bellingcat-archive.nyc3.cdn.digitaloceanspaces.com/Ukraine_Witness_Datasheet/Worksheet/youtube_dl__watch2022-02-28T11:51:43.287623.png" TargetMode="External"/><Relationship Id="rId2654" Type="http://schemas.openxmlformats.org/officeDocument/2006/relationships/hyperlink" Target="https://twitter.com/Bachodolidze/status/1497140092896432129?s=20&amp;t=7nIoG_IDIBkYU9qKRJYrKQ" TargetMode="External"/><Relationship Id="rId3986" Type="http://schemas.openxmlformats.org/officeDocument/2006/relationships/hyperlink" Target="https://bellingcat-archive.nyc3.cdn.digitaloceanspaces.com/Ukraine_Witness_Datasheet/Worksheet/twitter__whicard5_status_14979327136129597512022-02-28T11:53:31.307474.png" TargetMode="External"/><Relationship Id="rId1324" Type="http://schemas.openxmlformats.org/officeDocument/2006/relationships/hyperlink" Target="https://bellingcat-archive.nyc3.cdn.digitaloceanspaces.com/Ukraine_Witness_Datasheet/Worksheet/youtube_dl_G1ro0qi-Wnw/index.html" TargetMode="External"/><Relationship Id="rId2655" Type="http://schemas.openxmlformats.org/officeDocument/2006/relationships/hyperlink" Target="https://bellingcat-archive.nyc3.cdn.digitaloceanspaces.com/ukraine_witness_test/Worksheet/yotube_dl_1497140092896432129.mp4" TargetMode="External"/><Relationship Id="rId3985" Type="http://schemas.openxmlformats.org/officeDocument/2006/relationships/hyperlink" Target="https://bellingcat-archive.nyc3.cdn.digitaloceanspaces.com/Ukraine_Witness_Datasheet/Worksheet/twitter__whicard5_status_1497932713612959751.html" TargetMode="External"/><Relationship Id="rId1325" Type="http://schemas.openxmlformats.org/officeDocument/2006/relationships/hyperlink" Target="https://twitter.com/Idzanagi4/status/1493060690197766148" TargetMode="External"/><Relationship Id="rId2656" Type="http://schemas.openxmlformats.org/officeDocument/2006/relationships/hyperlink" Target="https://bellingcat-archive.nyc3.cdn.digitaloceanspaces.com/ukraine_witness_test/Worksheet/yotube_dl__Bachodolidze_status_14971400928964321292022-02-25T12:03:03.915953.png" TargetMode="External"/><Relationship Id="rId3988" Type="http://schemas.openxmlformats.org/officeDocument/2006/relationships/hyperlink" Target="https://bellingcat-archive.nyc3.cdn.digitaloceanspaces.com/Ukraine_Witness_Datasheet/Worksheet/youtube_dl_1498238338859425792.mp4" TargetMode="External"/><Relationship Id="rId1326" Type="http://schemas.openxmlformats.org/officeDocument/2006/relationships/hyperlink" Target="https://twitter.com/MilitaryEmpire/status/1493307886449135616" TargetMode="External"/><Relationship Id="rId2657" Type="http://schemas.openxmlformats.org/officeDocument/2006/relationships/hyperlink" Target="https://bellingcat-archive.nyc3.cdn.digitaloceanspaces.com/ukraine_witness_test/Worksheet/yotube_dl_1497140092896432129/index.html" TargetMode="External"/><Relationship Id="rId3987" Type="http://schemas.openxmlformats.org/officeDocument/2006/relationships/hyperlink" Target="https://twitter.com/momchil_ivanov1/status/1498238338859425792?s=20&amp;t=zKf3Nb7bCgUn-dgAFPWdRg" TargetMode="External"/><Relationship Id="rId1327" Type="http://schemas.openxmlformats.org/officeDocument/2006/relationships/hyperlink" Target="https://bellingcat-archive.nyc3.cdn.digitaloceanspaces.com/Ukraine_Witness_Datasheet/Worksheet/youtube_dl_1493060690197766148.mp4" TargetMode="External"/><Relationship Id="rId2658" Type="http://schemas.openxmlformats.org/officeDocument/2006/relationships/hyperlink" Target="https://twitter.com/no_itsmyturn/status/1497136412046544896" TargetMode="External"/><Relationship Id="rId1328" Type="http://schemas.openxmlformats.org/officeDocument/2006/relationships/hyperlink" Target="https://bellingcat-archive.nyc3.cdn.digitaloceanspaces.com/Ukraine_Witness_Datasheet/Worksheet/youtube_dl__Idzanagi4_status_14930606901977661482022-02-25T14:32:06.034202.png" TargetMode="External"/><Relationship Id="rId2659" Type="http://schemas.openxmlformats.org/officeDocument/2006/relationships/hyperlink" Target="https://bellingcat-archive.nyc3.cdn.digitaloceanspaces.com/ukraine_witness_test/Worksheet/yotube_dl_1497136412046544896.mp4" TargetMode="External"/><Relationship Id="rId3989" Type="http://schemas.openxmlformats.org/officeDocument/2006/relationships/hyperlink" Target="https://bellingcat-archive.nyc3.cdn.digitaloceanspaces.com/Ukraine_Witness_Datasheet/Worksheet/youtube_dl__momchil_ivanov1_status_14982383388594257922022-02-28T11:53:45.666995.png" TargetMode="External"/><Relationship Id="rId1329" Type="http://schemas.openxmlformats.org/officeDocument/2006/relationships/hyperlink" Target="https://bellingcat-archive.nyc3.cdn.digitaloceanspaces.com/Ukraine_Witness_Datasheet/Worksheet/youtube_dl_1493060690197766148/index.html" TargetMode="External"/><Relationship Id="rId739" Type="http://schemas.openxmlformats.org/officeDocument/2006/relationships/hyperlink" Target="https://web.archive.org/web/20220225133021/https://twitter.com/herooftheday10/status/1491319045471490048" TargetMode="External"/><Relationship Id="rId734" Type="http://schemas.openxmlformats.org/officeDocument/2006/relationships/hyperlink" Target="https://bellingcat-archive.nyc3.cdn.digitaloceanspaces.com/Ukraine_Witness_Datasheet/Worksheet/youtube_dl_1488937592666173448.mp4" TargetMode="External"/><Relationship Id="rId733" Type="http://schemas.openxmlformats.org/officeDocument/2006/relationships/hyperlink" Target="https://twitter.com/gfusfus/status/1488967242326974471" TargetMode="External"/><Relationship Id="rId732" Type="http://schemas.openxmlformats.org/officeDocument/2006/relationships/hyperlink" Target="https://twitter.com/GirkinGirkin/status/1488937592666173448" TargetMode="External"/><Relationship Id="rId731" Type="http://schemas.openxmlformats.org/officeDocument/2006/relationships/hyperlink" Target="https://bellingcat-archive.nyc3.cdn.digitaloceanspaces.com/Ukraine_Witness_Datasheet/Worksheet/youtube_dl_1489095352376610817/index.html" TargetMode="External"/><Relationship Id="rId738" Type="http://schemas.openxmlformats.org/officeDocument/2006/relationships/hyperlink" Target="https://twitter.com/danvan71/status/1491345775766683649" TargetMode="External"/><Relationship Id="rId737" Type="http://schemas.openxmlformats.org/officeDocument/2006/relationships/hyperlink" Target="https://twitter.com/herooftheday10/status/1491319045471490048" TargetMode="External"/><Relationship Id="rId736" Type="http://schemas.openxmlformats.org/officeDocument/2006/relationships/hyperlink" Target="https://bellingcat-archive.nyc3.cdn.digitaloceanspaces.com/Ukraine_Witness_Datasheet/Worksheet/youtube_dl_1488937592666173448/index.html" TargetMode="External"/><Relationship Id="rId735" Type="http://schemas.openxmlformats.org/officeDocument/2006/relationships/hyperlink" Target="https://bellingcat-archive.nyc3.cdn.digitaloceanspaces.com/Ukraine_Witness_Datasheet/Worksheet/youtube_dl__GirkinGirkin_status_14889375926661734482022-02-25T13:28:51.379967.png" TargetMode="External"/><Relationship Id="rId3980" Type="http://schemas.openxmlformats.org/officeDocument/2006/relationships/hyperlink" Target="https://bellingcat-archive.nyc3.cdn.digitaloceanspaces.com/Ukraine_Witness_Datasheet/Worksheet/telegram_d57cb6089f.mp4" TargetMode="External"/><Relationship Id="rId730" Type="http://schemas.openxmlformats.org/officeDocument/2006/relationships/hyperlink" Target="https://bellingcat-archive.nyc3.cdn.digitaloceanspaces.com/Ukraine_Witness_Datasheet/Worksheet/youtube_dl__GirkinGirkin_status_14890953523766108172022-02-25T13:28:28.813677.png" TargetMode="External"/><Relationship Id="rId2650" Type="http://schemas.openxmlformats.org/officeDocument/2006/relationships/hyperlink" Target="https://twitter.com/Danspiun/status/1496994434109653000" TargetMode="External"/><Relationship Id="rId3982" Type="http://schemas.openxmlformats.org/officeDocument/2006/relationships/hyperlink" Target="https://bellingcat-archive.nyc3.cdn.digitaloceanspaces.com/Ukraine_Witness_Datasheet/Worksheet/telegram_d57cb6089f/index.html" TargetMode="External"/><Relationship Id="rId1320" Type="http://schemas.openxmlformats.org/officeDocument/2006/relationships/hyperlink" Target="https://www.youtube.com/watch?v=G1ro0qi-Wnw&amp;feature=youtu.be" TargetMode="External"/><Relationship Id="rId2651" Type="http://schemas.openxmlformats.org/officeDocument/2006/relationships/hyperlink" Target="https://bellingcat-archive.nyc3.cdn.digitaloceanspaces.com/ukraine_witness_test/Worksheet/yotube_dl_1496933410950025217.mp4" TargetMode="External"/><Relationship Id="rId3981" Type="http://schemas.openxmlformats.org/officeDocument/2006/relationships/hyperlink" Target="https://bellingcat-archive.nyc3.cdn.digitaloceanspaces.com/Ukraine_Witness_Datasheet/Worksheet/telegram__Pravda_Gerashchenko_8832022-02-28T11:52:52.496041.png" TargetMode="External"/><Relationship Id="rId1321" Type="http://schemas.openxmlformats.org/officeDocument/2006/relationships/hyperlink" Target="https://twitter.com/Idzanagi4/status/1493048637185798144" TargetMode="External"/><Relationship Id="rId2652" Type="http://schemas.openxmlformats.org/officeDocument/2006/relationships/hyperlink" Target="https://bellingcat-archive.nyc3.cdn.digitaloceanspaces.com/ukraine_witness_test/Worksheet/yotube_dl__200_zoka_status_14969334109500252172022-02-25T12:03:21.435154.png" TargetMode="External"/><Relationship Id="rId3984" Type="http://schemas.openxmlformats.org/officeDocument/2006/relationships/hyperlink" Target="https://twitter.com/whicard5/status/1497932713612959751?s=20&amp;t=xONXT0up_fFJZ4Ur2NHXwA" TargetMode="External"/><Relationship Id="rId1322" Type="http://schemas.openxmlformats.org/officeDocument/2006/relationships/hyperlink" Target="https://bellingcat-archive.nyc3.cdn.digitaloceanspaces.com/Ukraine_Witness_Datasheet/Worksheet/youtube_dl_G1ro0qi-Wnw.webm" TargetMode="External"/><Relationship Id="rId2653" Type="http://schemas.openxmlformats.org/officeDocument/2006/relationships/hyperlink" Target="https://bellingcat-archive.nyc3.cdn.digitaloceanspaces.com/ukraine_witness_test/Worksheet/yotube_dl_1496933410950025217/index.html" TargetMode="External"/><Relationship Id="rId3983" Type="http://schemas.openxmlformats.org/officeDocument/2006/relationships/hyperlink" Target="https://t.me/Pravda_Gerashchenko/883" TargetMode="External"/><Relationship Id="rId1356" Type="http://schemas.openxmlformats.org/officeDocument/2006/relationships/hyperlink" Target="https://bellingcat-archive.nyc3.cdn.digitaloceanspaces.com/Ukraine_Witness_Datasheet/Worksheet/youtube_dl_1492837289055207427.mp4" TargetMode="External"/><Relationship Id="rId2687" Type="http://schemas.openxmlformats.org/officeDocument/2006/relationships/hyperlink" Target="https://bellingcat-archive.nyc3.cdn.digitaloceanspaces.com/ukraine_witness_test/Worksheet/twitter__IAPonomarenko_status_1497128097140858901_photo_12022-02-25T11:58:07.189650.png" TargetMode="External"/><Relationship Id="rId1357" Type="http://schemas.openxmlformats.org/officeDocument/2006/relationships/hyperlink" Target="https://bellingcat-archive.nyc3.cdn.digitaloceanspaces.com/Ukraine_Witness_Datasheet/Worksheet/youtube_dl__4emberlen_status_14928372890552074272022-02-25T14:34:01.120302.png" TargetMode="External"/><Relationship Id="rId2688" Type="http://schemas.openxmlformats.org/officeDocument/2006/relationships/hyperlink" Target="https://twitter.com/CITeam_en/status/1497179839245262883" TargetMode="External"/><Relationship Id="rId1358" Type="http://schemas.openxmlformats.org/officeDocument/2006/relationships/hyperlink" Target="https://bellingcat-archive.nyc3.cdn.digitaloceanspaces.com/Ukraine_Witness_Datasheet/Worksheet/youtube_dl_1492837289055207427/index.html" TargetMode="External"/><Relationship Id="rId2689" Type="http://schemas.openxmlformats.org/officeDocument/2006/relationships/hyperlink" Target="https://bellingcat-archive.nyc3.cdn.digitaloceanspaces.com/Ukraine_Witness_Datasheet/Worksheet/youtube_dl_1497179839245262883.mp4" TargetMode="External"/><Relationship Id="rId1359" Type="http://schemas.openxmlformats.org/officeDocument/2006/relationships/hyperlink" Target="https://twitter.com/4emberlen/status/1493540727174963202" TargetMode="External"/><Relationship Id="rId767" Type="http://schemas.openxmlformats.org/officeDocument/2006/relationships/hyperlink" Target="https://bellingcat-archive.nyc3.cdn.digitaloceanspaces.com/Ukraine_Witness_Datasheet/Worksheet/youtube_dl__4emberlen_status_14917998763754946682022-02-25T13:33:53.129213.png" TargetMode="External"/><Relationship Id="rId766" Type="http://schemas.openxmlformats.org/officeDocument/2006/relationships/hyperlink" Target="https://bellingcat-archive.nyc3.cdn.digitaloceanspaces.com/Ukraine_Witness_Datasheet/Worksheet/youtube_dl_1491799876375494668.mp4" TargetMode="External"/><Relationship Id="rId765" Type="http://schemas.openxmlformats.org/officeDocument/2006/relationships/hyperlink" Target="https://twitter.com/gfusfus/status/1491930771963195395" TargetMode="External"/><Relationship Id="rId764" Type="http://schemas.openxmlformats.org/officeDocument/2006/relationships/hyperlink" Target="https://twitter.com/4emberlen/status/1491799876375494668" TargetMode="External"/><Relationship Id="rId769" Type="http://schemas.openxmlformats.org/officeDocument/2006/relationships/hyperlink" Target="https://twitter.com/4emberlen/status/1491909373458890759" TargetMode="External"/><Relationship Id="rId768" Type="http://schemas.openxmlformats.org/officeDocument/2006/relationships/hyperlink" Target="https://bellingcat-archive.nyc3.cdn.digitaloceanspaces.com/Ukraine_Witness_Datasheet/Worksheet/youtube_dl_1491799876375494668/index.html" TargetMode="External"/><Relationship Id="rId2680" Type="http://schemas.openxmlformats.org/officeDocument/2006/relationships/hyperlink" Target="https://bellingcat-archive.nyc3.cdn.digitaloceanspaces.com/ukraine_witness_test/Worksheet/wayback__detail_fotograf%C3%ADa-de-noticias_tanks-move-across-the-town-of-armyansk-northern-fotograf%C3%ADa-de-noticias_12387283592022-02-25T11:57:34.243161.png" TargetMode="External"/><Relationship Id="rId1350" Type="http://schemas.openxmlformats.org/officeDocument/2006/relationships/hyperlink" Target="https://twitter.com/COUPSURE/status/1493573204404846594" TargetMode="External"/><Relationship Id="rId2681" Type="http://schemas.openxmlformats.org/officeDocument/2006/relationships/hyperlink" Target="https://twitter.com/ralee85/status/1497158075723264001?s=21" TargetMode="External"/><Relationship Id="rId1351" Type="http://schemas.openxmlformats.org/officeDocument/2006/relationships/hyperlink" Target="https://bellingcat-archive.nyc3.cdn.digitaloceanspaces.com/Ukraine_Witness_Datasheet/Worksheet/youtube_dl_1493245936830660610.mp4" TargetMode="External"/><Relationship Id="rId2682" Type="http://schemas.openxmlformats.org/officeDocument/2006/relationships/hyperlink" Target="https://bellingcat-archive.nyc3.cdn.digitaloceanspaces.com/ukraine_witness_test/Worksheet/yotube_dl_1497158075723264001.mp4" TargetMode="External"/><Relationship Id="rId763" Type="http://schemas.openxmlformats.org/officeDocument/2006/relationships/hyperlink" Target="https://bellingcat-archive.nyc3.cdn.digitaloceanspaces.com/Ukraine_Witness_Datasheet/Worksheet/youtube_dl_1491912736799956992/index.html" TargetMode="External"/><Relationship Id="rId1352" Type="http://schemas.openxmlformats.org/officeDocument/2006/relationships/hyperlink" Target="https://bellingcat-archive.nyc3.cdn.digitaloceanspaces.com/Ukraine_Witness_Datasheet/Worksheet/youtube_dl__4emberlen_status_14932459368306606102022-02-25T14:33:44.895048.png" TargetMode="External"/><Relationship Id="rId2683" Type="http://schemas.openxmlformats.org/officeDocument/2006/relationships/hyperlink" Target="https://bellingcat-archive.nyc3.cdn.digitaloceanspaces.com/ukraine_witness_test/Worksheet/yotube_dl__ralee85_status_14971580757232640012022-02-25T11:55:13.556473.png" TargetMode="External"/><Relationship Id="rId762" Type="http://schemas.openxmlformats.org/officeDocument/2006/relationships/hyperlink" Target="https://bellingcat-archive.nyc3.cdn.digitaloceanspaces.com/Ukraine_Witness_Datasheet/Worksheet/youtube_dl__4emberlen_status_14919127367999569922022-02-25T13:33:31.529560.png" TargetMode="External"/><Relationship Id="rId1353" Type="http://schemas.openxmlformats.org/officeDocument/2006/relationships/hyperlink" Target="https://bellingcat-archive.nyc3.cdn.digitaloceanspaces.com/Ukraine_Witness_Datasheet/Worksheet/youtube_dl_1493245936830660610/index.html" TargetMode="External"/><Relationship Id="rId2684" Type="http://schemas.openxmlformats.org/officeDocument/2006/relationships/hyperlink" Target="https://bellingcat-archive.nyc3.cdn.digitaloceanspaces.com/ukraine_witness_test/Worksheet/yotube_dl_1497158075723264001/index.html" TargetMode="External"/><Relationship Id="rId761" Type="http://schemas.openxmlformats.org/officeDocument/2006/relationships/hyperlink" Target="https://bellingcat-archive.nyc3.cdn.digitaloceanspaces.com/Ukraine_Witness_Datasheet/Worksheet/youtube_dl_1491912736799956992.mp4" TargetMode="External"/><Relationship Id="rId1354" Type="http://schemas.openxmlformats.org/officeDocument/2006/relationships/hyperlink" Target="https://twitter.com/4emberlen/status/1492837289055207427" TargetMode="External"/><Relationship Id="rId2685" Type="http://schemas.openxmlformats.org/officeDocument/2006/relationships/hyperlink" Target="https://twitter.com/IAPonomarenko/status/1497128097140858901/photo/1" TargetMode="External"/><Relationship Id="rId760" Type="http://schemas.openxmlformats.org/officeDocument/2006/relationships/hyperlink" Target="https://twitter.com/gfusfus/status/1491946850093522956" TargetMode="External"/><Relationship Id="rId1355" Type="http://schemas.openxmlformats.org/officeDocument/2006/relationships/hyperlink" Target="https://twitter.com/Danspiun/status/1493648997864685574" TargetMode="External"/><Relationship Id="rId2686" Type="http://schemas.openxmlformats.org/officeDocument/2006/relationships/hyperlink" Target="https://bellingcat-archive.nyc3.cdn.digitaloceanspaces.com/ukraine_witness_test/Worksheet/twitter__IAPonomarenko_status_1497128097140858901_photo_1.html" TargetMode="External"/><Relationship Id="rId1345" Type="http://schemas.openxmlformats.org/officeDocument/2006/relationships/hyperlink" Target="https://twitter.com/Michael1Sheldon/status/1493721035803348992" TargetMode="External"/><Relationship Id="rId2676" Type="http://schemas.openxmlformats.org/officeDocument/2006/relationships/hyperlink" Target="https://web.archive.org/web/20220225115923/https://www.gettyimages.es/detail/fotograf%C3%ADa-de-noticias/column-of-military-vehicles-approaches-the-fotograf%C3%ADa-de-noticias/1238725698?adppopup=true" TargetMode="External"/><Relationship Id="rId1346" Type="http://schemas.openxmlformats.org/officeDocument/2006/relationships/hyperlink" Target="https://bellingcat-archive.nyc3.cdn.digitaloceanspaces.com/Ukraine_Witness_Datasheet/Worksheet/youtube_dl_1493720746392272899.mp4" TargetMode="External"/><Relationship Id="rId2677" Type="http://schemas.openxmlformats.org/officeDocument/2006/relationships/hyperlink" Target="https://bellingcat-archive.nyc3.cdn.digitaloceanspaces.com/ukraine_witness_test/Worksheet/wayback__detail_fotograf%C3%ADa-de-noticias_column-of-military-vehicles-approaches-the-fotograf%C3%ADa-de-noticias_12387256982022-02-25T11:59:37.645985.png" TargetMode="External"/><Relationship Id="rId1347" Type="http://schemas.openxmlformats.org/officeDocument/2006/relationships/hyperlink" Target="https://bellingcat-archive.nyc3.cdn.digitaloceanspaces.com/Ukraine_Witness_Datasheet/Worksheet/youtube_dl__Michael1Sheldon_status_14937207463922728992022-02-25T14:33:28.728854.png" TargetMode="External"/><Relationship Id="rId2678" Type="http://schemas.openxmlformats.org/officeDocument/2006/relationships/hyperlink" Target="https://www.gettyimages.es/detail/fotograf%C3%ADa-de-noticias/tanks-move-across-the-town-of-armyansk-northern-fotograf%C3%ADa-de-noticias/1238728359?adppopup=true" TargetMode="External"/><Relationship Id="rId1348" Type="http://schemas.openxmlformats.org/officeDocument/2006/relationships/hyperlink" Target="https://bellingcat-archive.nyc3.cdn.digitaloceanspaces.com/Ukraine_Witness_Datasheet/Worksheet/youtube_dl_1493720746392272899/index.html" TargetMode="External"/><Relationship Id="rId2679" Type="http://schemas.openxmlformats.org/officeDocument/2006/relationships/hyperlink" Target="https://web.archive.org/web/20220225115625/https://www.gettyimages.es/detail/fotograf%C3%ADa-de-noticias/tanks-move-across-the-town-of-armyansk-northern-fotograf%C3%ADa-de-noticias/1238728359?adppopup=true" TargetMode="External"/><Relationship Id="rId1349" Type="http://schemas.openxmlformats.org/officeDocument/2006/relationships/hyperlink" Target="https://twitter.com/4emberlen/status/1493245936830660610" TargetMode="External"/><Relationship Id="rId756" Type="http://schemas.openxmlformats.org/officeDocument/2006/relationships/hyperlink" Target="https://bellingcat-archive.nyc3.cdn.digitaloceanspaces.com/Ukraine_Witness_Datasheet/Worksheet/youtube_dl_1485101678554755073.mp4" TargetMode="External"/><Relationship Id="rId755" Type="http://schemas.openxmlformats.org/officeDocument/2006/relationships/hyperlink" Target="https://twitter.com/Michael1Sheldon/status/1485101416033177603" TargetMode="External"/><Relationship Id="rId754" Type="http://schemas.openxmlformats.org/officeDocument/2006/relationships/hyperlink" Target="https://twitter.com/Michael1Sheldon/status/1485101678554755073" TargetMode="External"/><Relationship Id="rId753" Type="http://schemas.openxmlformats.org/officeDocument/2006/relationships/hyperlink" Target="https://bellingcat-archive.nyc3.cdn.digitaloceanspaces.com/Ukraine_Witness_Datasheet/Worksheet/youtube_dl_1491578786319581184/index.html" TargetMode="External"/><Relationship Id="rId759" Type="http://schemas.openxmlformats.org/officeDocument/2006/relationships/hyperlink" Target="https://twitter.com/4emberlen/status/1491912736799956992" TargetMode="External"/><Relationship Id="rId758" Type="http://schemas.openxmlformats.org/officeDocument/2006/relationships/hyperlink" Target="https://bellingcat-archive.nyc3.cdn.digitaloceanspaces.com/Ukraine_Witness_Datasheet/Worksheet/youtube_dl_1485101678554755073/index.html" TargetMode="External"/><Relationship Id="rId757" Type="http://schemas.openxmlformats.org/officeDocument/2006/relationships/hyperlink" Target="https://bellingcat-archive.nyc3.cdn.digitaloceanspaces.com/Ukraine_Witness_Datasheet/Worksheet/youtube_dl__Michael1Sheldon_status_14851016785547550732022-02-25T13:33:06.165809.png" TargetMode="External"/><Relationship Id="rId2670" Type="http://schemas.openxmlformats.org/officeDocument/2006/relationships/hyperlink" Target="https://bellingcat-archive.nyc3.cdn.digitaloceanspaces.com/ukraine_witness_test/Worksheet/yotube_dl__GirkinGirkin_status_14969929813494538292022-02-25T12:01:54.161700.png" TargetMode="External"/><Relationship Id="rId1340" Type="http://schemas.openxmlformats.org/officeDocument/2006/relationships/hyperlink" Target="https://twitter.com/Michael1Sheldon/status/1493802310971109377" TargetMode="External"/><Relationship Id="rId2671" Type="http://schemas.openxmlformats.org/officeDocument/2006/relationships/hyperlink" Target="https://bellingcat-archive.nyc3.cdn.digitaloceanspaces.com/ukraine_witness_test/Worksheet/yotube_dl_1496992981349453829/index.html" TargetMode="External"/><Relationship Id="rId752" Type="http://schemas.openxmlformats.org/officeDocument/2006/relationships/hyperlink" Target="https://bellingcat-archive.nyc3.cdn.digitaloceanspaces.com/Ukraine_Witness_Datasheet/Worksheet/youtube_dl__4emberlen_status_14915787863195811842022-02-25T13:32:47.799140.png" TargetMode="External"/><Relationship Id="rId1341" Type="http://schemas.openxmlformats.org/officeDocument/2006/relationships/hyperlink" Target="https://bellingcat-archive.nyc3.cdn.digitaloceanspaces.com/Ukraine_Witness_Datasheet/Worksheet/youtube_dl_1493801932363911171.mp4" TargetMode="External"/><Relationship Id="rId2672" Type="http://schemas.openxmlformats.org/officeDocument/2006/relationships/hyperlink" Target="https://t.me/vorposte/13720" TargetMode="External"/><Relationship Id="rId751" Type="http://schemas.openxmlformats.org/officeDocument/2006/relationships/hyperlink" Target="https://bellingcat-archive.nyc3.cdn.digitaloceanspaces.com/Ukraine_Witness_Datasheet/Worksheet/youtube_dl_1491578786319581184.mp4" TargetMode="External"/><Relationship Id="rId1342" Type="http://schemas.openxmlformats.org/officeDocument/2006/relationships/hyperlink" Target="https://bellingcat-archive.nyc3.cdn.digitaloceanspaces.com/Ukraine_Witness_Datasheet/Worksheet/youtube_dl__Michael1Sheldon_status_14938019323639111712022-02-25T14:33:11.317009.png" TargetMode="External"/><Relationship Id="rId2673" Type="http://schemas.openxmlformats.org/officeDocument/2006/relationships/hyperlink" Target="https://bellingcat-archive.nyc3.cdn.digitaloceanspaces.com/Ukraine_Witness_Datasheet/Worksheet/telegram__vorposte_13720.html" TargetMode="External"/><Relationship Id="rId750" Type="http://schemas.openxmlformats.org/officeDocument/2006/relationships/hyperlink" Target="https://twitter.com/4emberlen/status/1491578786319581184" TargetMode="External"/><Relationship Id="rId1343" Type="http://schemas.openxmlformats.org/officeDocument/2006/relationships/hyperlink" Target="https://bellingcat-archive.nyc3.cdn.digitaloceanspaces.com/Ukraine_Witness_Datasheet/Worksheet/youtube_dl_1493801932363911171/index.html" TargetMode="External"/><Relationship Id="rId2674" Type="http://schemas.openxmlformats.org/officeDocument/2006/relationships/hyperlink" Target="https://bellingcat-archive.nyc3.cdn.digitaloceanspaces.com/Ukraine_Witness_Datasheet/Worksheet/telegram__vorposte_137202022-02-25T20:13:11.222805.png" TargetMode="External"/><Relationship Id="rId1344" Type="http://schemas.openxmlformats.org/officeDocument/2006/relationships/hyperlink" Target="https://twitter.com/Michael1Sheldon/status/1493720746392272899" TargetMode="External"/><Relationship Id="rId2675" Type="http://schemas.openxmlformats.org/officeDocument/2006/relationships/hyperlink" Target="https://www.gettyimages.es/detail/fotograf%C3%ADa-de-noticias/column-of-military-vehicles-approaches-the-fotograf%C3%ADa-de-noticias/1238725698?adppopup=true" TargetMode="External"/><Relationship Id="rId2621" Type="http://schemas.openxmlformats.org/officeDocument/2006/relationships/hyperlink" Target="https://bellingcat-archive.nyc3.cdn.digitaloceanspaces.com/ukraine_witness_test/Worksheet/yotube_dl_1496819885539831810/index.html" TargetMode="External"/><Relationship Id="rId3953" Type="http://schemas.openxmlformats.org/officeDocument/2006/relationships/hyperlink" Target="https://twitter.com/Conflicts/status/1498236561816756224" TargetMode="External"/><Relationship Id="rId2622" Type="http://schemas.openxmlformats.org/officeDocument/2006/relationships/hyperlink" Target="https://twitter.com/andreivaitovich/status/1497004870112452613" TargetMode="External"/><Relationship Id="rId3952" Type="http://schemas.openxmlformats.org/officeDocument/2006/relationships/hyperlink" Target="https://bellingcat-archive.nyc3.cdn.digitaloceanspaces.com/Ukraine_Witness_Datasheet/Worksheet/youtube_dl_1498238338859425792/index.html" TargetMode="External"/><Relationship Id="rId2623" Type="http://schemas.openxmlformats.org/officeDocument/2006/relationships/hyperlink" Target="https://twitter.com/gfusfus/status/1497019749800284170" TargetMode="External"/><Relationship Id="rId3955" Type="http://schemas.openxmlformats.org/officeDocument/2006/relationships/hyperlink" Target="https://bellingcat-archive.nyc3.cdn.digitaloceanspaces.com/Ukraine_Witness_Datasheet/Worksheet/youtube_dl__Conflicts_status_14982365618167562242022-03-02T13:01:46.279702.png" TargetMode="External"/><Relationship Id="rId2624" Type="http://schemas.openxmlformats.org/officeDocument/2006/relationships/hyperlink" Target="https://bellingcat-archive.nyc3.cdn.digitaloceanspaces.com/ukraine_witness_test/Worksheet/yotube_dl_1497004870112452613.mp4" TargetMode="External"/><Relationship Id="rId3954" Type="http://schemas.openxmlformats.org/officeDocument/2006/relationships/hyperlink" Target="https://bellingcat-archive.nyc3.cdn.digitaloceanspaces.com/Ukraine_Witness_Datasheet/Worksheet/youtube_dl_1498236561816756224.mp4" TargetMode="External"/><Relationship Id="rId2625" Type="http://schemas.openxmlformats.org/officeDocument/2006/relationships/hyperlink" Target="https://bellingcat-archive.nyc3.cdn.digitaloceanspaces.com/ukraine_witness_test/Worksheet/yotube_dl__andreivaitovich_status_14970048701124526132022-02-25T12:05:14.856314.png" TargetMode="External"/><Relationship Id="rId3957" Type="http://schemas.openxmlformats.org/officeDocument/2006/relationships/hyperlink" Target="https://twitter.com/RALee85/status/1498246411774799874?s=20&amp;t=JugGu0SpE6DHyG0fQZDwwQ" TargetMode="External"/><Relationship Id="rId2626" Type="http://schemas.openxmlformats.org/officeDocument/2006/relationships/hyperlink" Target="https://bellingcat-archive.nyc3.cdn.digitaloceanspaces.com/ukraine_witness_test/Worksheet/yotube_dl_1497004870112452613/index.html" TargetMode="External"/><Relationship Id="rId3956" Type="http://schemas.openxmlformats.org/officeDocument/2006/relationships/hyperlink" Target="https://bellingcat-archive.nyc3.cdn.digitaloceanspaces.com/Ukraine_Witness_Datasheet/Worksheet/youtube_dl_1498236561816756224/index.html" TargetMode="External"/><Relationship Id="rId2627" Type="http://schemas.openxmlformats.org/officeDocument/2006/relationships/hyperlink" Target="https://twitter.com/RALee85/status/1497135346387148820?s=20&amp;t=HVISarK0tA1dTFzX42BCNA" TargetMode="External"/><Relationship Id="rId3959" Type="http://schemas.openxmlformats.org/officeDocument/2006/relationships/hyperlink" Target="https://bellingcat-archive.nyc3.cdn.digitaloceanspaces.com/Ukraine_Witness_Datasheet/Worksheet/youtube_dl_1498246411774799874.mp4" TargetMode="External"/><Relationship Id="rId2628" Type="http://schemas.openxmlformats.org/officeDocument/2006/relationships/hyperlink" Target="https://bellingcat-archive.nyc3.cdn.digitaloceanspaces.com/ukraine_witness_test/Worksheet/yotube_dl_1497135346387148820.mp4" TargetMode="External"/><Relationship Id="rId3958" Type="http://schemas.openxmlformats.org/officeDocument/2006/relationships/hyperlink" Target="https://twitter.com/ToasterIntel/status/1498247126593114112?s=20&amp;t=JugGu0SpE6DHyG0fQZDwwQ" TargetMode="External"/><Relationship Id="rId709" Type="http://schemas.openxmlformats.org/officeDocument/2006/relationships/hyperlink" Target="https://bellingcat-archive.nyc3.cdn.digitaloceanspaces.com/Ukraine_Witness_Datasheet/Worksheet/youtube_dl_1489308849525956616.mp4" TargetMode="External"/><Relationship Id="rId2629" Type="http://schemas.openxmlformats.org/officeDocument/2006/relationships/hyperlink" Target="https://bellingcat-archive.nyc3.cdn.digitaloceanspaces.com/ukraine_witness_test/Worksheet/yotube_dl__RALee85_status_14971353463871488202022-02-25T12:04:53.699320.png" TargetMode="External"/><Relationship Id="rId708" Type="http://schemas.openxmlformats.org/officeDocument/2006/relationships/hyperlink" Target="https://twitter.com/gfusfus/status/1489317712346202116" TargetMode="External"/><Relationship Id="rId707" Type="http://schemas.openxmlformats.org/officeDocument/2006/relationships/hyperlink" Target="https://twitter.com/MarQs__/status/1489308849525956616" TargetMode="External"/><Relationship Id="rId706" Type="http://schemas.openxmlformats.org/officeDocument/2006/relationships/hyperlink" Target="https://bellingcat-archive.nyc3.cdn.digitaloceanspaces.com/Ukraine_Witness_Datasheet/Worksheet/youtube_dl_1489077319721439235/index.html" TargetMode="External"/><Relationship Id="rId701" Type="http://schemas.openxmlformats.org/officeDocument/2006/relationships/hyperlink" Target="https://bellingcat-archive.nyc3.cdn.digitaloceanspaces.com/Ukraine_Witness_Datasheet/Worksheet/youtube_dl_1489074598352203778/index.html" TargetMode="External"/><Relationship Id="rId700" Type="http://schemas.openxmlformats.org/officeDocument/2006/relationships/hyperlink" Target="https://bellingcat-archive.nyc3.cdn.digitaloceanspaces.com/Ukraine_Witness_Datasheet/Worksheet/youtube_dl__GirkinGirkin_status_14890745983522037782022-02-25T13:26:34.602688.png" TargetMode="External"/><Relationship Id="rId705" Type="http://schemas.openxmlformats.org/officeDocument/2006/relationships/hyperlink" Target="https://bellingcat-archive.nyc3.cdn.digitaloceanspaces.com/Ukraine_Witness_Datasheet/Worksheet/youtube_dl__GirkinGirkin_status_14890773197214392352022-02-25T13:26:54.510113.png" TargetMode="External"/><Relationship Id="rId704" Type="http://schemas.openxmlformats.org/officeDocument/2006/relationships/hyperlink" Target="https://bellingcat-archive.nyc3.cdn.digitaloceanspaces.com/Ukraine_Witness_Datasheet/Worksheet/youtube_dl_1489077319721439235.mp4" TargetMode="External"/><Relationship Id="rId703" Type="http://schemas.openxmlformats.org/officeDocument/2006/relationships/hyperlink" Target="https://twitter.com/gfusfus/status/1489326731664281602" TargetMode="External"/><Relationship Id="rId702" Type="http://schemas.openxmlformats.org/officeDocument/2006/relationships/hyperlink" Target="https://twitter.com/GirkinGirkin/status/1489077319721439235" TargetMode="External"/><Relationship Id="rId3951" Type="http://schemas.openxmlformats.org/officeDocument/2006/relationships/hyperlink" Target="https://bellingcat-archive.nyc3.cdn.digitaloceanspaces.com/Ukraine_Witness_Datasheet/Worksheet/youtube_dl__momchil_ivanov1_status_14982383388594257922022-02-28T11:05:52.476805.png" TargetMode="External"/><Relationship Id="rId2620" Type="http://schemas.openxmlformats.org/officeDocument/2006/relationships/hyperlink" Target="https://bellingcat-archive.nyc3.cdn.digitaloceanspaces.com/ukraine_witness_test/Worksheet/yotube_dl__200_zoka_status_14968198855398318102022-02-25T12:05:35.162718.png" TargetMode="External"/><Relationship Id="rId3950" Type="http://schemas.openxmlformats.org/officeDocument/2006/relationships/hyperlink" Target="https://bellingcat-archive.nyc3.cdn.digitaloceanspaces.com/Ukraine_Witness_Datasheet/Worksheet/youtube_dl_1498238338859425792.mp4" TargetMode="External"/><Relationship Id="rId2610" Type="http://schemas.openxmlformats.org/officeDocument/2006/relationships/hyperlink" Target="https://bellingcat-archive.nyc3.cdn.digitaloceanspaces.com/ukraine_witness_test/Worksheet/yotube_dl__AlexKhrebet_status_14971239563185233922022-02-25T12:06:15.136581.png" TargetMode="External"/><Relationship Id="rId3942" Type="http://schemas.openxmlformats.org/officeDocument/2006/relationships/hyperlink" Target="https://bellingcat-archive.nyc3.cdn.digitaloceanspaces.com/Ukraine_Witness_Datasheet/Worksheet/youtube_dl_1498046850766671881.mp4" TargetMode="External"/><Relationship Id="rId2611" Type="http://schemas.openxmlformats.org/officeDocument/2006/relationships/hyperlink" Target="https://bellingcat-archive.nyc3.cdn.digitaloceanspaces.com/ukraine_witness_test/Worksheet/yotube_dl_1497123956318523392/index.html" TargetMode="External"/><Relationship Id="rId3941" Type="http://schemas.openxmlformats.org/officeDocument/2006/relationships/hyperlink" Target="https://twitter.com/Michael1Sheldon/status/1498152348165754882" TargetMode="External"/><Relationship Id="rId2612" Type="http://schemas.openxmlformats.org/officeDocument/2006/relationships/hyperlink" Target="https://twitter.com/NatashaBertrand/status/1496849053824471041" TargetMode="External"/><Relationship Id="rId3944" Type="http://schemas.openxmlformats.org/officeDocument/2006/relationships/hyperlink" Target="https://bellingcat-archive.nyc3.cdn.digitaloceanspaces.com/Ukraine_Witness_Datasheet/Worksheet/youtube_dl_1498046850766671881/index.html" TargetMode="External"/><Relationship Id="rId2613" Type="http://schemas.openxmlformats.org/officeDocument/2006/relationships/hyperlink" Target="https://twitter.com/AnalystMick/status/1496891234799218688" TargetMode="External"/><Relationship Id="rId3943" Type="http://schemas.openxmlformats.org/officeDocument/2006/relationships/hyperlink" Target="https://bellingcat-archive.nyc3.cdn.digitaloceanspaces.com/Ukraine_Witness_Datasheet/Worksheet/youtube_dl__Michael1Sheldon_status_14980468507666718812022-02-28T11:05:20.926063.png" TargetMode="External"/><Relationship Id="rId2614" Type="http://schemas.openxmlformats.org/officeDocument/2006/relationships/hyperlink" Target="https://bellingcat-archive.nyc3.cdn.digitaloceanspaces.com/ukraine_witness_test/Worksheet/yotube_dl_1496849053824471041.mp4" TargetMode="External"/><Relationship Id="rId3946" Type="http://schemas.openxmlformats.org/officeDocument/2006/relationships/hyperlink" Target="https://bellingcat-archive.nyc3.cdn.digitaloceanspaces.com/Ukraine_Witness_Datasheet/Worksheet/youtube_dl_1498222205901185029.mp4" TargetMode="External"/><Relationship Id="rId2615" Type="http://schemas.openxmlformats.org/officeDocument/2006/relationships/hyperlink" Target="https://bellingcat-archive.nyc3.cdn.digitaloceanspaces.com/ukraine_witness_test/Worksheet/yotube_dl__NatashaBertrand_status_14968490538244710412022-02-25T12:05:53.491217.png" TargetMode="External"/><Relationship Id="rId3945" Type="http://schemas.openxmlformats.org/officeDocument/2006/relationships/hyperlink" Target="https://twitter.com/michaelh992/status/1498222205901185029" TargetMode="External"/><Relationship Id="rId2616" Type="http://schemas.openxmlformats.org/officeDocument/2006/relationships/hyperlink" Target="https://bellingcat-archive.nyc3.cdn.digitaloceanspaces.com/ukraine_witness_test/Worksheet/yotube_dl_1496849053824471041/index.html" TargetMode="External"/><Relationship Id="rId3948" Type="http://schemas.openxmlformats.org/officeDocument/2006/relationships/hyperlink" Target="https://bellingcat-archive.nyc3.cdn.digitaloceanspaces.com/Ukraine_Witness_Datasheet/Worksheet/youtube_dl_1498222205901185029/index.html" TargetMode="External"/><Relationship Id="rId2617" Type="http://schemas.openxmlformats.org/officeDocument/2006/relationships/hyperlink" Target="https://twitter.com/200_zoka/status/1496819885539831810" TargetMode="External"/><Relationship Id="rId3947" Type="http://schemas.openxmlformats.org/officeDocument/2006/relationships/hyperlink" Target="https://bellingcat-archive.nyc3.cdn.digitaloceanspaces.com/Ukraine_Witness_Datasheet/Worksheet/youtube_dl__michaelh992_status_14982222059011850292022-02-28T11:05:37.675461.png" TargetMode="External"/><Relationship Id="rId2618" Type="http://schemas.openxmlformats.org/officeDocument/2006/relationships/hyperlink" Target="https://twitter.com/Danspiun/status/1497002375667666944" TargetMode="External"/><Relationship Id="rId2619" Type="http://schemas.openxmlformats.org/officeDocument/2006/relationships/hyperlink" Target="https://bellingcat-archive.nyc3.cdn.digitaloceanspaces.com/ukraine_witness_test/Worksheet/yotube_dl_1496819885539831810.mp4" TargetMode="External"/><Relationship Id="rId3949" Type="http://schemas.openxmlformats.org/officeDocument/2006/relationships/hyperlink" Target="https://twitter.com/momchil_ivanov1/status/1498238338859425792?s=20&amp;t=zKf3Nb7bCgUn-dgAFPWdRg" TargetMode="External"/><Relationship Id="rId3940" Type="http://schemas.openxmlformats.org/officeDocument/2006/relationships/hyperlink" Target="https://twitter.com/Michael1Sheldon/status/1498046850766671881" TargetMode="External"/><Relationship Id="rId1312" Type="http://schemas.openxmlformats.org/officeDocument/2006/relationships/hyperlink" Target="https://drive.google.com/file/d/1EYVs1LEweGFa4HeTSE7dh92J_XQHn8d6/view?usp=sharing" TargetMode="External"/><Relationship Id="rId2643" Type="http://schemas.openxmlformats.org/officeDocument/2006/relationships/hyperlink" Target="https://bellingcat-archive.nyc3.cdn.digitaloceanspaces.com/ukraine_witness_test/Worksheet/twitter__IdeologyWars_status_14970392452776427522022-02-25T12:04:07.238389.png" TargetMode="External"/><Relationship Id="rId3975" Type="http://schemas.openxmlformats.org/officeDocument/2006/relationships/hyperlink" Target="https://bellingcat-archive.nyc3.cdn.digitaloceanspaces.com/Ukraine_Witness_Datasheet/Worksheet/telegram_a306f32284.mp4" TargetMode="External"/><Relationship Id="rId1313" Type="http://schemas.openxmlformats.org/officeDocument/2006/relationships/hyperlink" Target="https://web.archive.org/web/20220225143024/https://accounts.google.com/_/bscframe" TargetMode="External"/><Relationship Id="rId2644" Type="http://schemas.openxmlformats.org/officeDocument/2006/relationships/hyperlink" Target="https://twitter.com/RALee85/status/1496977994019082244" TargetMode="External"/><Relationship Id="rId3974" Type="http://schemas.openxmlformats.org/officeDocument/2006/relationships/hyperlink" Target="https://t.me/nexta_live/18441" TargetMode="External"/><Relationship Id="rId1314" Type="http://schemas.openxmlformats.org/officeDocument/2006/relationships/hyperlink" Target="https://bellingcat-archive.nyc3.cdn.digitaloceanspaces.com/Ukraine_Witness_Datasheet/Worksheet/wayback__file_d_1EYVs1LEweGFa4HeTSE7dh92J_XQHn8d6_view2022-02-25T14:30:29.914449.png" TargetMode="External"/><Relationship Id="rId2645" Type="http://schemas.openxmlformats.org/officeDocument/2006/relationships/hyperlink" Target="https://twitter.com/Danspiun/status/1496982553571569668" TargetMode="External"/><Relationship Id="rId3977" Type="http://schemas.openxmlformats.org/officeDocument/2006/relationships/hyperlink" Target="https://bellingcat-archive.nyc3.cdn.digitaloceanspaces.com/Ukraine_Witness_Datasheet/Worksheet/telegram_a306f32284/index.html" TargetMode="External"/><Relationship Id="rId1315" Type="http://schemas.openxmlformats.org/officeDocument/2006/relationships/hyperlink" Target="https://twitter.com/GirkinGirkin/status/1493296620053618690" TargetMode="External"/><Relationship Id="rId2646" Type="http://schemas.openxmlformats.org/officeDocument/2006/relationships/hyperlink" Target="https://bellingcat-archive.nyc3.cdn.digitaloceanspaces.com/ukraine_witness_test/Worksheet/yotube_dl_1496975560634945537.mp4" TargetMode="External"/><Relationship Id="rId3976" Type="http://schemas.openxmlformats.org/officeDocument/2006/relationships/hyperlink" Target="https://bellingcat-archive.nyc3.cdn.digitaloceanspaces.com/Ukraine_Witness_Datasheet/Worksheet/telegram__nexta_live_184412022-02-28T11:52:21.778845.png" TargetMode="External"/><Relationship Id="rId1316" Type="http://schemas.openxmlformats.org/officeDocument/2006/relationships/hyperlink" Target="https://twitter.com/MilitaryEmpire/status/1493307886449135616" TargetMode="External"/><Relationship Id="rId2647" Type="http://schemas.openxmlformats.org/officeDocument/2006/relationships/hyperlink" Target="https://bellingcat-archive.nyc3.cdn.digitaloceanspaces.com/ukraine_witness_test/Worksheet/yotube_dl__RALee85_status_14969779940190822442022-02-25T12:03:46.833095.png" TargetMode="External"/><Relationship Id="rId3979" Type="http://schemas.openxmlformats.org/officeDocument/2006/relationships/hyperlink" Target="https://t.me/Pravda_Gerashchenko/883" TargetMode="External"/><Relationship Id="rId1317" Type="http://schemas.openxmlformats.org/officeDocument/2006/relationships/hyperlink" Target="https://bellingcat-archive.nyc3.cdn.digitaloceanspaces.com/Ukraine_Witness_Datasheet/Worksheet/youtube_dl_1493296620053618690.mp4" TargetMode="External"/><Relationship Id="rId2648" Type="http://schemas.openxmlformats.org/officeDocument/2006/relationships/hyperlink" Target="https://bellingcat-archive.nyc3.cdn.digitaloceanspaces.com/ukraine_witness_test/Worksheet/yotube_dl_1496975560634945537/index.html" TargetMode="External"/><Relationship Id="rId3978" Type="http://schemas.openxmlformats.org/officeDocument/2006/relationships/hyperlink" Target="https://t.me/nexta_live/18441" TargetMode="External"/><Relationship Id="rId1318" Type="http://schemas.openxmlformats.org/officeDocument/2006/relationships/hyperlink" Target="https://bellingcat-archive.nyc3.cdn.digitaloceanspaces.com/Ukraine_Witness_Datasheet/Worksheet/youtube_dl__GirkinGirkin_status_14932966200536186902022-02-25T14:30:44.297135.png" TargetMode="External"/><Relationship Id="rId2649" Type="http://schemas.openxmlformats.org/officeDocument/2006/relationships/hyperlink" Target="https://twitter.com/200_zoka/status/1496933410950025217" TargetMode="External"/><Relationship Id="rId1319" Type="http://schemas.openxmlformats.org/officeDocument/2006/relationships/hyperlink" Target="https://bellingcat-archive.nyc3.cdn.digitaloceanspaces.com/Ukraine_Witness_Datasheet/Worksheet/youtube_dl_1493296620053618690/index.html" TargetMode="External"/><Relationship Id="rId729" Type="http://schemas.openxmlformats.org/officeDocument/2006/relationships/hyperlink" Target="https://bellingcat-archive.nyc3.cdn.digitaloceanspaces.com/Ukraine_Witness_Datasheet/Worksheet/youtube_dl_1489095352376610817.mp4" TargetMode="External"/><Relationship Id="rId728" Type="http://schemas.openxmlformats.org/officeDocument/2006/relationships/hyperlink" Target="https://twitter.com/gfusfus/status/1489210272610930690" TargetMode="External"/><Relationship Id="rId723" Type="http://schemas.openxmlformats.org/officeDocument/2006/relationships/hyperlink" Target="https://twitter.com/gfusfus/status/1489254127653646345" TargetMode="External"/><Relationship Id="rId722" Type="http://schemas.openxmlformats.org/officeDocument/2006/relationships/hyperlink" Target="https://twitter.com/MotolkoHelp/status/1489140479627345921" TargetMode="External"/><Relationship Id="rId721" Type="http://schemas.openxmlformats.org/officeDocument/2006/relationships/hyperlink" Target="https://bellingcat-archive.nyc3.cdn.digitaloceanspaces.com/Ukraine_Witness_Datasheet/Worksheet/youtube_dl_1489251957587922955/index.html" TargetMode="External"/><Relationship Id="rId720" Type="http://schemas.openxmlformats.org/officeDocument/2006/relationships/hyperlink" Target="https://bellingcat-archive.nyc3.cdn.digitaloceanspaces.com/Ukraine_Witness_Datasheet/Worksheet/youtube_dl__GirkinGirkin_status_14892519575879229552022-02-25T13:27:53.005387.png" TargetMode="External"/><Relationship Id="rId727" Type="http://schemas.openxmlformats.org/officeDocument/2006/relationships/hyperlink" Target="https://twitter.com/GirkinGirkin/status/1489095352376610817" TargetMode="External"/><Relationship Id="rId726" Type="http://schemas.openxmlformats.org/officeDocument/2006/relationships/hyperlink" Target="https://bellingcat-archive.nyc3.cdn.digitaloceanspaces.com/Ukraine_Witness_Datasheet/Worksheet/youtube_dl_1489140479627345921/index.html" TargetMode="External"/><Relationship Id="rId725" Type="http://schemas.openxmlformats.org/officeDocument/2006/relationships/hyperlink" Target="https://bellingcat-archive.nyc3.cdn.digitaloceanspaces.com/Ukraine_Witness_Datasheet/Worksheet/youtube_dl__MotolkoHelp_status_14891404796273459212022-02-25T13:28:10.039018.png" TargetMode="External"/><Relationship Id="rId724" Type="http://schemas.openxmlformats.org/officeDocument/2006/relationships/hyperlink" Target="https://bellingcat-archive.nyc3.cdn.digitaloceanspaces.com/Ukraine_Witness_Datasheet/Worksheet/youtube_dl_1489140479627345921.mp4" TargetMode="External"/><Relationship Id="rId3971" Type="http://schemas.openxmlformats.org/officeDocument/2006/relationships/hyperlink" Target="https://bellingcat-archive.nyc3.cdn.digitaloceanspaces.com/Ukraine_Witness_Datasheet/Worksheet/youtube_dl_1498252747291992064.mp4" TargetMode="External"/><Relationship Id="rId2640" Type="http://schemas.openxmlformats.org/officeDocument/2006/relationships/hyperlink" Target="https://twitter.com/IdeologyWars/status/1497039245277642752" TargetMode="External"/><Relationship Id="rId3970" Type="http://schemas.openxmlformats.org/officeDocument/2006/relationships/hyperlink" Target="https://twitter.com/no_itsmyturn/status/1498252747291992064?s=20&amp;t=4YeqDcyVEcMQANtSUDeR-A" TargetMode="External"/><Relationship Id="rId1310" Type="http://schemas.openxmlformats.org/officeDocument/2006/relationships/hyperlink" Target="https://web.archive.org/web/20220225142838/https://accounts.google.com/_/bscframe" TargetMode="External"/><Relationship Id="rId2641" Type="http://schemas.openxmlformats.org/officeDocument/2006/relationships/hyperlink" Target="https://twitter.com/ohsendit/status/1497043772617670656" TargetMode="External"/><Relationship Id="rId3973" Type="http://schemas.openxmlformats.org/officeDocument/2006/relationships/hyperlink" Target="https://bellingcat-archive.nyc3.cdn.digitaloceanspaces.com/Ukraine_Witness_Datasheet/Worksheet/youtube_dl_1498252747291992064/index.html" TargetMode="External"/><Relationship Id="rId1311" Type="http://schemas.openxmlformats.org/officeDocument/2006/relationships/hyperlink" Target="https://bellingcat-archive.nyc3.cdn.digitaloceanspaces.com/Ukraine_Witness_Datasheet/Worksheet/wayback__file_d_1iW-l1H1sKLyrRjeNYBlWLYBO7FQBw0Jq_view2022-02-25T14:28:47.494171.png" TargetMode="External"/><Relationship Id="rId2642" Type="http://schemas.openxmlformats.org/officeDocument/2006/relationships/hyperlink" Target="https://bellingcat-archive.nyc3.cdn.digitaloceanspaces.com/ukraine_witness_test/Worksheet/twitter__IdeologyWars_status_1497039245277642752.html" TargetMode="External"/><Relationship Id="rId3972" Type="http://schemas.openxmlformats.org/officeDocument/2006/relationships/hyperlink" Target="https://bellingcat-archive.nyc3.cdn.digitaloceanspaces.com/Ukraine_Witness_Datasheet/Worksheet/youtube_dl__no_itsmyturn_status_14982527472919920642022-02-28T11:52:05.408836.png" TargetMode="External"/><Relationship Id="rId1301" Type="http://schemas.openxmlformats.org/officeDocument/2006/relationships/hyperlink" Target="https://bellingcat-archive.nyc3.cdn.digitaloceanspaces.com/Ukraine_Witness_Datasheet/Worksheet/youtube_dl_1492765937568821249.mp4" TargetMode="External"/><Relationship Id="rId2632" Type="http://schemas.openxmlformats.org/officeDocument/2006/relationships/hyperlink" Target="https://twitter.com/gfusfus/status/1497055290193334272" TargetMode="External"/><Relationship Id="rId3964" Type="http://schemas.openxmlformats.org/officeDocument/2006/relationships/hyperlink" Target="https://bellingcat-archive.nyc3.cdn.digitaloceanspaces.com/Ukraine_Witness_Datasheet/Worksheet/youtube_dl__nexta_tv_status_14979474568851701822022-02-28T11:07:11.873261.png" TargetMode="External"/><Relationship Id="rId1302" Type="http://schemas.openxmlformats.org/officeDocument/2006/relationships/hyperlink" Target="https://bellingcat-archive.nyc3.cdn.digitaloceanspaces.com/Ukraine_Witness_Datasheet/Worksheet/youtube_dl__GirkinGirkin_status_14927659375688212492022-02-25T14:27:16.621568.png" TargetMode="External"/><Relationship Id="rId2633" Type="http://schemas.openxmlformats.org/officeDocument/2006/relationships/hyperlink" Target="https://bellingcat-archive.nyc3.cdn.digitaloceanspaces.com/ukraine_witness_test/Worksheet/twitter__Archer83Able_status_1497045708788011008.html" TargetMode="External"/><Relationship Id="rId3963" Type="http://schemas.openxmlformats.org/officeDocument/2006/relationships/hyperlink" Target="https://bellingcat-archive.nyc3.cdn.digitaloceanspaces.com/Ukraine_Witness_Datasheet/Worksheet/youtube_dl_1497947456885170182.mp4" TargetMode="External"/><Relationship Id="rId1303" Type="http://schemas.openxmlformats.org/officeDocument/2006/relationships/hyperlink" Target="https://bellingcat-archive.nyc3.cdn.digitaloceanspaces.com/Ukraine_Witness_Datasheet/Worksheet/youtube_dl_1492765937568821249/index.html" TargetMode="External"/><Relationship Id="rId2634" Type="http://schemas.openxmlformats.org/officeDocument/2006/relationships/hyperlink" Target="https://bellingcat-archive.nyc3.cdn.digitaloceanspaces.com/ukraine_witness_test/Worksheet/twitter__Archer83Able_status_14970457087880110082022-02-25T12:04:38.245309.png" TargetMode="External"/><Relationship Id="rId3966" Type="http://schemas.openxmlformats.org/officeDocument/2006/relationships/hyperlink" Target="https://twitter.com/RALee85/status/1498223091968839680" TargetMode="External"/><Relationship Id="rId1304" Type="http://schemas.openxmlformats.org/officeDocument/2006/relationships/hyperlink" Target="https://twitter.com/4emberlen/status/1492540764961792012" TargetMode="External"/><Relationship Id="rId2635" Type="http://schemas.openxmlformats.org/officeDocument/2006/relationships/hyperlink" Target="https://twitter.com/IdeologyWars/status/1497038963067875328" TargetMode="External"/><Relationship Id="rId3965" Type="http://schemas.openxmlformats.org/officeDocument/2006/relationships/hyperlink" Target="https://bellingcat-archive.nyc3.cdn.digitaloceanspaces.com/Ukraine_Witness_Datasheet/Worksheet/youtube_dl_1497947456885170182/index.html" TargetMode="External"/><Relationship Id="rId1305" Type="http://schemas.openxmlformats.org/officeDocument/2006/relationships/hyperlink" Target="https://twitter.com/Danspiun/status/1493305084616269829" TargetMode="External"/><Relationship Id="rId2636" Type="http://schemas.openxmlformats.org/officeDocument/2006/relationships/hyperlink" Target="https://twitter.com/ohsendit/status/1497045128338452492" TargetMode="External"/><Relationship Id="rId3968" Type="http://schemas.openxmlformats.org/officeDocument/2006/relationships/hyperlink" Target="https://bellingcat-archive.nyc3.cdn.digitaloceanspaces.com/Ukraine_Witness_Datasheet/Worksheet/youtube_dl__RALee85_status_14982230919688396802022-02-28T11:47:59.321234.png" TargetMode="External"/><Relationship Id="rId1306" Type="http://schemas.openxmlformats.org/officeDocument/2006/relationships/hyperlink" Target="https://bellingcat-archive.nyc3.cdn.digitaloceanspaces.com/Ukraine_Witness_Datasheet/Worksheet/youtube_dl_1492540764961792012.mp4" TargetMode="External"/><Relationship Id="rId2637" Type="http://schemas.openxmlformats.org/officeDocument/2006/relationships/hyperlink" Target="https://bellingcat-archive.nyc3.cdn.digitaloceanspaces.com/ukraine_witness_test/Worksheet/yotube_dl_1497038963067875328.mp4" TargetMode="External"/><Relationship Id="rId3967" Type="http://schemas.openxmlformats.org/officeDocument/2006/relationships/hyperlink" Target="https://bellingcat-archive.nyc3.cdn.digitaloceanspaces.com/Ukraine_Witness_Datasheet/Worksheet/youtube_dl_1498223091968839680.mp4" TargetMode="External"/><Relationship Id="rId1307" Type="http://schemas.openxmlformats.org/officeDocument/2006/relationships/hyperlink" Target="https://bellingcat-archive.nyc3.cdn.digitaloceanspaces.com/Ukraine_Witness_Datasheet/Worksheet/youtube_dl__4emberlen_status_14925407649617920122022-02-25T14:27:32.607909.png" TargetMode="External"/><Relationship Id="rId2638" Type="http://schemas.openxmlformats.org/officeDocument/2006/relationships/hyperlink" Target="https://bellingcat-archive.nyc3.cdn.digitaloceanspaces.com/ukraine_witness_test/Worksheet/yotube_dl__IdeologyWars_status_14970389630678753282022-02-25T12:04:20.560360.png" TargetMode="External"/><Relationship Id="rId1308" Type="http://schemas.openxmlformats.org/officeDocument/2006/relationships/hyperlink" Target="https://bellingcat-archive.nyc3.cdn.digitaloceanspaces.com/Ukraine_Witness_Datasheet/Worksheet/youtube_dl_1492540764961792012/index.html" TargetMode="External"/><Relationship Id="rId2639" Type="http://schemas.openxmlformats.org/officeDocument/2006/relationships/hyperlink" Target="https://bellingcat-archive.nyc3.cdn.digitaloceanspaces.com/ukraine_witness_test/Worksheet/yotube_dl_1497038963067875328/index.html" TargetMode="External"/><Relationship Id="rId3969" Type="http://schemas.openxmlformats.org/officeDocument/2006/relationships/hyperlink" Target="https://bellingcat-archive.nyc3.cdn.digitaloceanspaces.com/Ukraine_Witness_Datasheet/Worksheet/youtube_dl_1498223091968839680/index.html" TargetMode="External"/><Relationship Id="rId1309" Type="http://schemas.openxmlformats.org/officeDocument/2006/relationships/hyperlink" Target="https://drive.google.com/file/d/1iW-l1H1sKLyrRjeNYBlWLYBO7FQBw0Jq/view?usp=sharing" TargetMode="External"/><Relationship Id="rId719" Type="http://schemas.openxmlformats.org/officeDocument/2006/relationships/hyperlink" Target="https://bellingcat-archive.nyc3.cdn.digitaloceanspaces.com/Ukraine_Witness_Datasheet/Worksheet/youtube_dl_1489251957587922955.mp4" TargetMode="External"/><Relationship Id="rId718" Type="http://schemas.openxmlformats.org/officeDocument/2006/relationships/hyperlink" Target="https://twitter.com/gfusfus/status/1489258469941080069" TargetMode="External"/><Relationship Id="rId717" Type="http://schemas.openxmlformats.org/officeDocument/2006/relationships/hyperlink" Target="https://twitter.com/GirkinGirkin/status/1489251957587922955" TargetMode="External"/><Relationship Id="rId712" Type="http://schemas.openxmlformats.org/officeDocument/2006/relationships/hyperlink" Target="https://twitter.com/GirkinGirkin/status/1489295152459964422" TargetMode="External"/><Relationship Id="rId711" Type="http://schemas.openxmlformats.org/officeDocument/2006/relationships/hyperlink" Target="https://bellingcat-archive.nyc3.cdn.digitaloceanspaces.com/Ukraine_Witness_Datasheet/Worksheet/youtube_dl_1489308849525956616/index.html" TargetMode="External"/><Relationship Id="rId710" Type="http://schemas.openxmlformats.org/officeDocument/2006/relationships/hyperlink" Target="https://bellingcat-archive.nyc3.cdn.digitaloceanspaces.com/Ukraine_Witness_Datasheet/Worksheet/youtube_dl__MarQs___status_14893088495259566162022-02-25T13:27:16.178111.png" TargetMode="External"/><Relationship Id="rId716" Type="http://schemas.openxmlformats.org/officeDocument/2006/relationships/hyperlink" Target="https://bellingcat-archive.nyc3.cdn.digitaloceanspaces.com/Ukraine_Witness_Datasheet/Worksheet/youtube_dl_1489295152459964422/index.html" TargetMode="External"/><Relationship Id="rId715" Type="http://schemas.openxmlformats.org/officeDocument/2006/relationships/hyperlink" Target="https://bellingcat-archive.nyc3.cdn.digitaloceanspaces.com/Ukraine_Witness_Datasheet/Worksheet/youtube_dl__GirkinGirkin_status_14892951524599644222022-02-25T13:27:36.373427.png" TargetMode="External"/><Relationship Id="rId714" Type="http://schemas.openxmlformats.org/officeDocument/2006/relationships/hyperlink" Target="https://bellingcat-archive.nyc3.cdn.digitaloceanspaces.com/Ukraine_Witness_Datasheet/Worksheet/youtube_dl_1489295152459964422.mp4" TargetMode="External"/><Relationship Id="rId713" Type="http://schemas.openxmlformats.org/officeDocument/2006/relationships/hyperlink" Target="https://twitter.com/gfusfus/status/1489305861147267078" TargetMode="External"/><Relationship Id="rId3960" Type="http://schemas.openxmlformats.org/officeDocument/2006/relationships/hyperlink" Target="https://bellingcat-archive.nyc3.cdn.digitaloceanspaces.com/Ukraine_Witness_Datasheet/Worksheet/youtube_dl__RALee85_status_14982464117747998742022-02-28T11:06:08.193372.png" TargetMode="External"/><Relationship Id="rId2630" Type="http://schemas.openxmlformats.org/officeDocument/2006/relationships/hyperlink" Target="https://bellingcat-archive.nyc3.cdn.digitaloceanspaces.com/ukraine_witness_test/Worksheet/yotube_dl_1497135346387148820/index.html" TargetMode="External"/><Relationship Id="rId3962" Type="http://schemas.openxmlformats.org/officeDocument/2006/relationships/hyperlink" Target="https://twitter.com/nexta_tv/status/1497947456885170182" TargetMode="External"/><Relationship Id="rId1300" Type="http://schemas.openxmlformats.org/officeDocument/2006/relationships/hyperlink" Target="https://twitter.com/Danspiun/status/1493311110040236034" TargetMode="External"/><Relationship Id="rId2631" Type="http://schemas.openxmlformats.org/officeDocument/2006/relationships/hyperlink" Target="https://twitter.com/Archer83Able/status/1497045708788011008" TargetMode="External"/><Relationship Id="rId3961" Type="http://schemas.openxmlformats.org/officeDocument/2006/relationships/hyperlink" Target="https://bellingcat-archive.nyc3.cdn.digitaloceanspaces.com/Ukraine_Witness_Datasheet/Worksheet/youtube_dl_1498246411774799874/index.html" TargetMode="External"/><Relationship Id="rId1378" Type="http://schemas.openxmlformats.org/officeDocument/2006/relationships/hyperlink" Target="https://bellingcat-archive.nyc3.cdn.digitaloceanspaces.com/Ukraine_Witness_Datasheet/Worksheet/youtube_dl_1493531282134945796/index.html" TargetMode="External"/><Relationship Id="rId1379" Type="http://schemas.openxmlformats.org/officeDocument/2006/relationships/hyperlink" Target="https://www.tiktok.com/@kocenko_marina/video/7064987689652718850?is_from_webapp=1&amp;sender_device=pc&amp;web_id6921390078750344710" TargetMode="External"/><Relationship Id="rId789" Type="http://schemas.openxmlformats.org/officeDocument/2006/relationships/hyperlink" Target="https://twitter.com/GirkinGirkin/status/1491473813036486657" TargetMode="External"/><Relationship Id="rId788" Type="http://schemas.openxmlformats.org/officeDocument/2006/relationships/hyperlink" Target="https://bellingcat-archive.nyc3.cdn.digitaloceanspaces.com/Ukraine_Witness_Datasheet/Worksheet/youtube_dl_1491800220308410368/index.html" TargetMode="External"/><Relationship Id="rId787" Type="http://schemas.openxmlformats.org/officeDocument/2006/relationships/hyperlink" Target="https://bellingcat-archive.nyc3.cdn.digitaloceanspaces.com/Ukraine_Witness_Datasheet/Worksheet/youtube_dl__4emberlen_status_14918002203084103682022-02-25T13:35:17.948702.png" TargetMode="External"/><Relationship Id="rId786" Type="http://schemas.openxmlformats.org/officeDocument/2006/relationships/hyperlink" Target="https://bellingcat-archive.nyc3.cdn.digitaloceanspaces.com/Ukraine_Witness_Datasheet/Worksheet/youtube_dl_1491800220308410368.mp4" TargetMode="External"/><Relationship Id="rId781" Type="http://schemas.openxmlformats.org/officeDocument/2006/relationships/hyperlink" Target="https://bellingcat-archive.nyc3.cdn.digitaloceanspaces.com/Ukraine_Witness_Datasheet/Worksheet/youtube_dl_1491793384083574794.mp4" TargetMode="External"/><Relationship Id="rId1370" Type="http://schemas.openxmlformats.org/officeDocument/2006/relationships/hyperlink" Target="https://twitter.com/norskdrue/status/1493659857249083393" TargetMode="External"/><Relationship Id="rId780" Type="http://schemas.openxmlformats.org/officeDocument/2006/relationships/hyperlink" Target="https://twitter.com/gfusfus/status/1491861640664567813" TargetMode="External"/><Relationship Id="rId1371" Type="http://schemas.openxmlformats.org/officeDocument/2006/relationships/hyperlink" Target="https://bellingcat-archive.nyc3.cdn.digitaloceanspaces.com/Ukraine_Witness_Datasheet/Worksheet/youtube_dl_1493658749529202689.mp4" TargetMode="External"/><Relationship Id="rId1372" Type="http://schemas.openxmlformats.org/officeDocument/2006/relationships/hyperlink" Target="https://bellingcat-archive.nyc3.cdn.digitaloceanspaces.com/Ukraine_Witness_Datasheet/Worksheet/youtube_dl__GirkinGirkin_status_14936587495292026892022-02-25T14:34:09.889680.png" TargetMode="External"/><Relationship Id="rId1373" Type="http://schemas.openxmlformats.org/officeDocument/2006/relationships/hyperlink" Target="https://bellingcat-archive.nyc3.cdn.digitaloceanspaces.com/Ukraine_Witness_Datasheet/Worksheet/youtube_dl_1493658749529202689/index.html" TargetMode="External"/><Relationship Id="rId785" Type="http://schemas.openxmlformats.org/officeDocument/2006/relationships/hyperlink" Target="https://twitter.com/gfusfus/status/1491846815867711494" TargetMode="External"/><Relationship Id="rId1374" Type="http://schemas.openxmlformats.org/officeDocument/2006/relationships/hyperlink" Target="https://twitter.com/GirkinGirkin/status/1493531282134945796" TargetMode="External"/><Relationship Id="rId784" Type="http://schemas.openxmlformats.org/officeDocument/2006/relationships/hyperlink" Target="https://twitter.com/4emberlen/status/1491800220308410368" TargetMode="External"/><Relationship Id="rId1375" Type="http://schemas.openxmlformats.org/officeDocument/2006/relationships/hyperlink" Target="https://twitter.com/Tar_Milus/status/1493552432877645825" TargetMode="External"/><Relationship Id="rId783" Type="http://schemas.openxmlformats.org/officeDocument/2006/relationships/hyperlink" Target="https://bellingcat-archive.nyc3.cdn.digitaloceanspaces.com/Ukraine_Witness_Datasheet/Worksheet/youtube_dl_1491793384083574794/index.html" TargetMode="External"/><Relationship Id="rId1376" Type="http://schemas.openxmlformats.org/officeDocument/2006/relationships/hyperlink" Target="https://bellingcat-archive.nyc3.cdn.digitaloceanspaces.com/Ukraine_Witness_Datasheet/Worksheet/youtube_dl_1493531282134945796.mp4" TargetMode="External"/><Relationship Id="rId782" Type="http://schemas.openxmlformats.org/officeDocument/2006/relationships/hyperlink" Target="https://bellingcat-archive.nyc3.cdn.digitaloceanspaces.com/Ukraine_Witness_Datasheet/Worksheet/youtube_dl__4emberlen_status_14917933840835747942022-02-25T13:34:56.613803.png" TargetMode="External"/><Relationship Id="rId1377" Type="http://schemas.openxmlformats.org/officeDocument/2006/relationships/hyperlink" Target="https://bellingcat-archive.nyc3.cdn.digitaloceanspaces.com/Ukraine_Witness_Datasheet/Worksheet/youtube_dl__GirkinGirkin_status_14935312821349457962022-02-25T14:33:52.052443.png" TargetMode="External"/><Relationship Id="rId1367" Type="http://schemas.openxmlformats.org/officeDocument/2006/relationships/hyperlink" Target="https://bellingcat-archive.nyc3.cdn.digitaloceanspaces.com/Ukraine_Witness_Datasheet/Worksheet/youtube_dl__Idzanagi4_status_14936252843184496712022-02-25T14:36:09.751867.png" TargetMode="External"/><Relationship Id="rId2698" Type="http://schemas.openxmlformats.org/officeDocument/2006/relationships/hyperlink" Target="https://bellingcat-archive.nyc3.cdn.digitaloceanspaces.com/Ukraine_Witness_Datasheet/Worksheet/telegram_b1525a0818.mp4" TargetMode="External"/><Relationship Id="rId1368" Type="http://schemas.openxmlformats.org/officeDocument/2006/relationships/hyperlink" Target="https://bellingcat-archive.nyc3.cdn.digitaloceanspaces.com/Ukraine_Witness_Datasheet/Worksheet/youtube_dl_1493625284318449671/index.html" TargetMode="External"/><Relationship Id="rId2699" Type="http://schemas.openxmlformats.org/officeDocument/2006/relationships/hyperlink" Target="https://bellingcat-archive.nyc3.cdn.digitaloceanspaces.com/Ukraine_Witness_Datasheet/Worksheet/telegram__bbbreaking_1164032022-02-25T14:57:47.321330.png" TargetMode="External"/><Relationship Id="rId1369" Type="http://schemas.openxmlformats.org/officeDocument/2006/relationships/hyperlink" Target="https://twitter.com/GirkinGirkin/status/1493658749529202689" TargetMode="External"/><Relationship Id="rId778" Type="http://schemas.openxmlformats.org/officeDocument/2006/relationships/hyperlink" Target="https://bellingcat-archive.nyc3.cdn.digitaloceanspaces.com/Ukraine_Witness_Datasheet/Worksheet/youtube_dl_1491815082074034182/index.html" TargetMode="External"/><Relationship Id="rId777" Type="http://schemas.openxmlformats.org/officeDocument/2006/relationships/hyperlink" Target="https://bellingcat-archive.nyc3.cdn.digitaloceanspaces.com/Ukraine_Witness_Datasheet/Worksheet/youtube_dl__Idzanagi4_status_14918150820740341822022-02-25T13:34:31.133394.png" TargetMode="External"/><Relationship Id="rId776" Type="http://schemas.openxmlformats.org/officeDocument/2006/relationships/hyperlink" Target="https://bellingcat-archive.nyc3.cdn.digitaloceanspaces.com/Ukraine_Witness_Datasheet/Worksheet/youtube_dl_1491815082074034182.mp4" TargetMode="External"/><Relationship Id="rId775" Type="http://schemas.openxmlformats.org/officeDocument/2006/relationships/hyperlink" Target="https://twitter.com/gfusfus/status/1491904311735066627" TargetMode="External"/><Relationship Id="rId779" Type="http://schemas.openxmlformats.org/officeDocument/2006/relationships/hyperlink" Target="https://twitter.com/4emberlen/status/1491793384083574794" TargetMode="External"/><Relationship Id="rId770" Type="http://schemas.openxmlformats.org/officeDocument/2006/relationships/hyperlink" Target="https://twitter.com/gfusfus/status/1491912853795786753" TargetMode="External"/><Relationship Id="rId2690" Type="http://schemas.openxmlformats.org/officeDocument/2006/relationships/hyperlink" Target="https://bellingcat-archive.nyc3.cdn.digitaloceanspaces.com/Ukraine_Witness_Datasheet/Worksheet/youtube_dl__CITeam_en_status_14971798392452628832022-02-25T14:57:12.325485.png" TargetMode="External"/><Relationship Id="rId1360" Type="http://schemas.openxmlformats.org/officeDocument/2006/relationships/hyperlink" Target="https://twitter.com/Danspiun/status/1493639141275410433" TargetMode="External"/><Relationship Id="rId2691" Type="http://schemas.openxmlformats.org/officeDocument/2006/relationships/hyperlink" Target="https://bellingcat-archive.nyc3.cdn.digitaloceanspaces.com/Ukraine_Witness_Datasheet/Worksheet/youtube_dl_1497179839245262883/index.html" TargetMode="External"/><Relationship Id="rId1361" Type="http://schemas.openxmlformats.org/officeDocument/2006/relationships/hyperlink" Target="https://bellingcat-archive.nyc3.cdn.digitaloceanspaces.com/Ukraine_Witness_Datasheet/Worksheet/youtube_dl_1493540727174963202.mp4" TargetMode="External"/><Relationship Id="rId2692" Type="http://schemas.openxmlformats.org/officeDocument/2006/relationships/hyperlink" Target="https://t.me/bbbreaking/116412" TargetMode="External"/><Relationship Id="rId1362" Type="http://schemas.openxmlformats.org/officeDocument/2006/relationships/hyperlink" Target="https://bellingcat-archive.nyc3.cdn.digitaloceanspaces.com/Ukraine_Witness_Datasheet/Worksheet/youtube_dl__4emberlen_status_14935407271749632022022-02-25T14:34:19.068423.png" TargetMode="External"/><Relationship Id="rId2693" Type="http://schemas.openxmlformats.org/officeDocument/2006/relationships/hyperlink" Target="https://bellingcat-archive.nyc3.cdn.digitaloceanspaces.com/Ukraine_Witness_Datasheet/Worksheet/telegram_851b236b49.mp4" TargetMode="External"/><Relationship Id="rId774" Type="http://schemas.openxmlformats.org/officeDocument/2006/relationships/hyperlink" Target="https://twitter.com/Idzanagi4/status/1491815082074034182" TargetMode="External"/><Relationship Id="rId1363" Type="http://schemas.openxmlformats.org/officeDocument/2006/relationships/hyperlink" Target="https://bellingcat-archive.nyc3.cdn.digitaloceanspaces.com/Ukraine_Witness_Datasheet/Worksheet/youtube_dl_1493540727174963202/index.html" TargetMode="External"/><Relationship Id="rId2694" Type="http://schemas.openxmlformats.org/officeDocument/2006/relationships/hyperlink" Target="https://bellingcat-archive.nyc3.cdn.digitaloceanspaces.com/Ukraine_Witness_Datasheet/Worksheet/telegram__bbbreaking_1164122022-02-25T14:57:29.803121.png" TargetMode="External"/><Relationship Id="rId773" Type="http://schemas.openxmlformats.org/officeDocument/2006/relationships/hyperlink" Target="https://bellingcat-archive.nyc3.cdn.digitaloceanspaces.com/Ukraine_Witness_Datasheet/Worksheet/youtube_dl_1491909373458890759/index.html" TargetMode="External"/><Relationship Id="rId1364" Type="http://schemas.openxmlformats.org/officeDocument/2006/relationships/hyperlink" Target="https://twitter.com/Idzanagi4/status/1493625284318449671" TargetMode="External"/><Relationship Id="rId2695" Type="http://schemas.openxmlformats.org/officeDocument/2006/relationships/hyperlink" Target="https://bellingcat-archive.nyc3.cdn.digitaloceanspaces.com/Ukraine_Witness_Datasheet/Worksheet/telegram_851b236b49/index.html" TargetMode="External"/><Relationship Id="rId772" Type="http://schemas.openxmlformats.org/officeDocument/2006/relationships/hyperlink" Target="https://bellingcat-archive.nyc3.cdn.digitaloceanspaces.com/Ukraine_Witness_Datasheet/Worksheet/youtube_dl__4emberlen_status_14919093734588907592022-02-25T13:34:12.548323.png" TargetMode="External"/><Relationship Id="rId1365" Type="http://schemas.openxmlformats.org/officeDocument/2006/relationships/hyperlink" Target="https://twitter.com/Idzanagi4/status/1493625284318449671" TargetMode="External"/><Relationship Id="rId2696" Type="http://schemas.openxmlformats.org/officeDocument/2006/relationships/hyperlink" Target="https://t.me/bbbreaking/116412" TargetMode="External"/><Relationship Id="rId771" Type="http://schemas.openxmlformats.org/officeDocument/2006/relationships/hyperlink" Target="https://bellingcat-archive.nyc3.cdn.digitaloceanspaces.com/Ukraine_Witness_Datasheet/Worksheet/youtube_dl_1491909373458890759.mp4" TargetMode="External"/><Relationship Id="rId1366" Type="http://schemas.openxmlformats.org/officeDocument/2006/relationships/hyperlink" Target="https://bellingcat-archive.nyc3.cdn.digitaloceanspaces.com/Ukraine_Witness_Datasheet/Worksheet/youtube_dl_1493625284318449671.mp4" TargetMode="External"/><Relationship Id="rId2697" Type="http://schemas.openxmlformats.org/officeDocument/2006/relationships/hyperlink" Target="https://t.me/bbbreaking/116403" TargetMode="External"/><Relationship Id="rId1390" Type="http://schemas.openxmlformats.org/officeDocument/2006/relationships/hyperlink" Target="https://twitter.com/JC_Monitoring/status/1493708913857994758" TargetMode="External"/><Relationship Id="rId1391" Type="http://schemas.openxmlformats.org/officeDocument/2006/relationships/hyperlink" Target="https://bellingcat-archive.nyc3.cdn.digitaloceanspaces.com/Ukraine_Witness_Datasheet/Worksheet/youtube_dl_1493708688481304586.mp4" TargetMode="External"/><Relationship Id="rId1392" Type="http://schemas.openxmlformats.org/officeDocument/2006/relationships/hyperlink" Target="https://bellingcat-archive.nyc3.cdn.digitaloceanspaces.com/Ukraine_Witness_Datasheet/Worksheet/youtube_dl__JC_Monitoring_status_14937086884813045862022-02-25T14:32:54.785187.png" TargetMode="External"/><Relationship Id="rId1393" Type="http://schemas.openxmlformats.org/officeDocument/2006/relationships/hyperlink" Target="https://bellingcat-archive.nyc3.cdn.digitaloceanspaces.com/Ukraine_Witness_Datasheet/Worksheet/youtube_dl_1493708688481304586/index.html" TargetMode="External"/><Relationship Id="rId1394" Type="http://schemas.openxmlformats.org/officeDocument/2006/relationships/hyperlink" Target="https://twitter.com/JC_Monitoring/status/1493725297879003139" TargetMode="External"/><Relationship Id="rId1395" Type="http://schemas.openxmlformats.org/officeDocument/2006/relationships/hyperlink" Target="https://twitter.com/JC_Monitoring/status/1493725821722415106" TargetMode="External"/><Relationship Id="rId1396" Type="http://schemas.openxmlformats.org/officeDocument/2006/relationships/hyperlink" Target="https://bellingcat-archive.nyc3.cdn.digitaloceanspaces.com/Ukraine_Witness_Datasheet/Worksheet/youtube_dl_1493725297879003139.mp4" TargetMode="External"/><Relationship Id="rId1397" Type="http://schemas.openxmlformats.org/officeDocument/2006/relationships/hyperlink" Target="https://bellingcat-archive.nyc3.cdn.digitaloceanspaces.com/Ukraine_Witness_Datasheet/Worksheet/youtube_dl__JC_Monitoring_status_14937252978790031392022-02-25T14:32:37.748740.png" TargetMode="External"/><Relationship Id="rId1398" Type="http://schemas.openxmlformats.org/officeDocument/2006/relationships/hyperlink" Target="https://bellingcat-archive.nyc3.cdn.digitaloceanspaces.com/Ukraine_Witness_Datasheet/Worksheet/youtube_dl_1493725297879003139/index.html" TargetMode="External"/><Relationship Id="rId1399" Type="http://schemas.openxmlformats.org/officeDocument/2006/relationships/hyperlink" Target="https://twitter.com/JC_Monitoring/status/1493729688920887307" TargetMode="External"/><Relationship Id="rId1389" Type="http://schemas.openxmlformats.org/officeDocument/2006/relationships/hyperlink" Target="https://twitter.com/JC_Monitoring/status/1493708688481304586" TargetMode="External"/><Relationship Id="rId799" Type="http://schemas.openxmlformats.org/officeDocument/2006/relationships/hyperlink" Target="https://twitter.com/GirkinGirkin/status/1491636860749324292" TargetMode="External"/><Relationship Id="rId798" Type="http://schemas.openxmlformats.org/officeDocument/2006/relationships/hyperlink" Target="https://bellingcat-archive.nyc3.cdn.digitaloceanspaces.com/Ukraine_Witness_Datasheet/Worksheet/youtube_dl_1491778098265833472/index.html" TargetMode="External"/><Relationship Id="rId797" Type="http://schemas.openxmlformats.org/officeDocument/2006/relationships/hyperlink" Target="https://bellingcat-archive.nyc3.cdn.digitaloceanspaces.com/Ukraine_Witness_Datasheet/Worksheet/youtube_dl__4emberlen_status_14917780982658334722022-02-25T13:35:54.541376.png" TargetMode="External"/><Relationship Id="rId1380" Type="http://schemas.openxmlformats.org/officeDocument/2006/relationships/hyperlink" Target="https://twitter.com/danvan71/status/1493699603614642182" TargetMode="External"/><Relationship Id="rId792" Type="http://schemas.openxmlformats.org/officeDocument/2006/relationships/hyperlink" Target="https://bellingcat-archive.nyc3.cdn.digitaloceanspaces.com/Ukraine_Witness_Datasheet/Worksheet/youtube_dl__GirkinGirkin_status_14914738130364866572022-02-25T13:35:35.304795.png" TargetMode="External"/><Relationship Id="rId1381" Type="http://schemas.openxmlformats.org/officeDocument/2006/relationships/hyperlink" Target="https://bellingcat-archive.nyc3.cdn.digitaloceanspaces.com/Ukraine_Witness_Datasheet/Worksheet/tiktok_7064987689652718850.mp4" TargetMode="External"/><Relationship Id="rId791" Type="http://schemas.openxmlformats.org/officeDocument/2006/relationships/hyperlink" Target="https://bellingcat-archive.nyc3.cdn.digitaloceanspaces.com/Ukraine_Witness_Datasheet/Worksheet/youtube_dl_1491473813036486657.mp4" TargetMode="External"/><Relationship Id="rId1382" Type="http://schemas.openxmlformats.org/officeDocument/2006/relationships/hyperlink" Target="https://bellingcat-archive.nyc3.cdn.digitaloceanspaces.com/Ukraine_Witness_Datasheet/Worksheet/tiktok__@kocenko_marina_video_70649876896527188502022-02-25T14:33:37.697932.png" TargetMode="External"/><Relationship Id="rId790" Type="http://schemas.openxmlformats.org/officeDocument/2006/relationships/hyperlink" Target="https://twitter.com/gfusfus/status/1491821529344184327" TargetMode="External"/><Relationship Id="rId1383" Type="http://schemas.openxmlformats.org/officeDocument/2006/relationships/hyperlink" Target="https://bellingcat-archive.nyc3.cdn.digitaloceanspaces.com/Ukraine_Witness_Datasheet/Worksheet/tiktok_7064987689652718850/index.html" TargetMode="External"/><Relationship Id="rId1384" Type="http://schemas.openxmlformats.org/officeDocument/2006/relationships/hyperlink" Target="https://twitter.com/GirkinGirkin/status/1493531939126534146" TargetMode="External"/><Relationship Id="rId796" Type="http://schemas.openxmlformats.org/officeDocument/2006/relationships/hyperlink" Target="https://bellingcat-archive.nyc3.cdn.digitaloceanspaces.com/Ukraine_Witness_Datasheet/Worksheet/youtube_dl_1491778098265833472.mp4" TargetMode="External"/><Relationship Id="rId1385" Type="http://schemas.openxmlformats.org/officeDocument/2006/relationships/hyperlink" Target="https://twitter.com/MilitaryEmpire/status/1493533272072142850" TargetMode="External"/><Relationship Id="rId795" Type="http://schemas.openxmlformats.org/officeDocument/2006/relationships/hyperlink" Target="https://twitter.com/gfusfus/status/1491805552850046978" TargetMode="External"/><Relationship Id="rId1386" Type="http://schemas.openxmlformats.org/officeDocument/2006/relationships/hyperlink" Target="https://bellingcat-archive.nyc3.cdn.digitaloceanspaces.com/Ukraine_Witness_Datasheet/Worksheet/youtube_dl_1493531939126534146.mp4" TargetMode="External"/><Relationship Id="rId794" Type="http://schemas.openxmlformats.org/officeDocument/2006/relationships/hyperlink" Target="https://twitter.com/4emberlen/status/1491778098265833472" TargetMode="External"/><Relationship Id="rId1387" Type="http://schemas.openxmlformats.org/officeDocument/2006/relationships/hyperlink" Target="https://bellingcat-archive.nyc3.cdn.digitaloceanspaces.com/Ukraine_Witness_Datasheet/Worksheet/youtube_dl__GirkinGirkin_status_14935319391265341462022-02-25T14:33:13.087929.png" TargetMode="External"/><Relationship Id="rId793" Type="http://schemas.openxmlformats.org/officeDocument/2006/relationships/hyperlink" Target="https://bellingcat-archive.nyc3.cdn.digitaloceanspaces.com/Ukraine_Witness_Datasheet/Worksheet/youtube_dl_1491473813036486657/index.html" TargetMode="External"/><Relationship Id="rId1388" Type="http://schemas.openxmlformats.org/officeDocument/2006/relationships/hyperlink" Target="https://bellingcat-archive.nyc3.cdn.digitaloceanspaces.com/Ukraine_Witness_Datasheet/Worksheet/youtube_dl_1493531939126534146/index.html" TargetMode="External"/><Relationship Id="rId6229" Type="http://schemas.openxmlformats.org/officeDocument/2006/relationships/hyperlink" Target="https://bellingcat-archive.nyc3.cdn.digitaloceanspaces.com/Ukraine_Witness_Datasheet/Worksheet/youtube_dl__clashreport_status_15003778456753111052022-03-06T09:10:13.378542.png" TargetMode="External"/><Relationship Id="rId7551" Type="http://schemas.openxmlformats.org/officeDocument/2006/relationships/hyperlink" Target="https://twitter.com/KyivIndependent/status/1501218105342763020" TargetMode="External"/><Relationship Id="rId6220" Type="http://schemas.openxmlformats.org/officeDocument/2006/relationships/hyperlink" Target="https://bellingcat-archive.nyc3.cdn.digitaloceanspaces.com/Ukraine_Witness_Datasheet/Worksheet/youtube_dl_1500371547462283269.mp4" TargetMode="External"/><Relationship Id="rId7550" Type="http://schemas.openxmlformats.org/officeDocument/2006/relationships/hyperlink" Target="https://t.me/nexta_live/20560" TargetMode="External"/><Relationship Id="rId6223" Type="http://schemas.openxmlformats.org/officeDocument/2006/relationships/hyperlink" Target="https://twitter.com/no_itsmyturn/status/1500374495877644288?s=20&amp;t=EFbQ5pLkTaAre99oLfUTqA" TargetMode="External"/><Relationship Id="rId7555" Type="http://schemas.openxmlformats.org/officeDocument/2006/relationships/hyperlink" Target="https://bellingcat-archive.nyc3.cdn.digitaloceanspaces.com/Ukraine_Witness_Datasheet/Worksheet/twitter__fedinlaw_status_1500558669175472140.html" TargetMode="External"/><Relationship Id="rId6224" Type="http://schemas.openxmlformats.org/officeDocument/2006/relationships/hyperlink" Target="https://bellingcat-archive.nyc3.cdn.digitaloceanspaces.com/Ukraine_Witness_Datasheet/Worksheet/youtube_dl_1500374495877644288.mp4" TargetMode="External"/><Relationship Id="rId7554" Type="http://schemas.openxmlformats.org/officeDocument/2006/relationships/hyperlink" Target="https://twitter.com/fedinlaw/status/1500558669175472140" TargetMode="External"/><Relationship Id="rId6221" Type="http://schemas.openxmlformats.org/officeDocument/2006/relationships/hyperlink" Target="https://bellingcat-archive.nyc3.cdn.digitaloceanspaces.com/Ukraine_Witness_Datasheet/Worksheet/youtube_dl__no_itsmyturn_status_15003715474622832692022-03-06T09:07:20.116704.png" TargetMode="External"/><Relationship Id="rId7553" Type="http://schemas.openxmlformats.org/officeDocument/2006/relationships/hyperlink" Target="https://bellingcat-archive.nyc3.cdn.digitaloceanspaces.com/Ukraine_Witness_Datasheet/Worksheet/twitter__KyivIndependent_status_15012181053427630202022-03-08T17:49:52.986071.png" TargetMode="External"/><Relationship Id="rId6222" Type="http://schemas.openxmlformats.org/officeDocument/2006/relationships/hyperlink" Target="https://bellingcat-archive.nyc3.cdn.digitaloceanspaces.com/Ukraine_Witness_Datasheet/Worksheet/youtube_dl_1500371547462283269/index.html" TargetMode="External"/><Relationship Id="rId7552" Type="http://schemas.openxmlformats.org/officeDocument/2006/relationships/hyperlink" Target="https://bellingcat-archive.nyc3.cdn.digitaloceanspaces.com/Ukraine_Witness_Datasheet/Worksheet/twitter__KyivIndependent_status_1501218105342763020.html" TargetMode="External"/><Relationship Id="rId6227" Type="http://schemas.openxmlformats.org/officeDocument/2006/relationships/hyperlink" Target="https://twitter.com/clashreport/status/1500377845675311105?s=20&amp;t=EFbQ5pLkTaAre99oLfUTqA" TargetMode="External"/><Relationship Id="rId7559" Type="http://schemas.openxmlformats.org/officeDocument/2006/relationships/hyperlink" Target="https://bellingcat-archive.nyc3.cdn.digitaloceanspaces.com/Ukraine_Witness_Datasheet/Worksheet/youtube_dl__RALee85_status_15012787922995650592022-03-08T19:50:15.295882.png" TargetMode="External"/><Relationship Id="rId6228" Type="http://schemas.openxmlformats.org/officeDocument/2006/relationships/hyperlink" Target="https://bellingcat-archive.nyc3.cdn.digitaloceanspaces.com/Ukraine_Witness_Datasheet/Worksheet/youtube_dl_1500377845675311105.mp4" TargetMode="External"/><Relationship Id="rId7558" Type="http://schemas.openxmlformats.org/officeDocument/2006/relationships/hyperlink" Target="https://bellingcat-archive.nyc3.cdn.digitaloceanspaces.com/Ukraine_Witness_Datasheet/Worksheet/youtube_dl_1501278792299565059.mp4" TargetMode="External"/><Relationship Id="rId6225" Type="http://schemas.openxmlformats.org/officeDocument/2006/relationships/hyperlink" Target="https://bellingcat-archive.nyc3.cdn.digitaloceanspaces.com/Ukraine_Witness_Datasheet/Worksheet/youtube_dl__no_itsmyturn_status_15003744958776442882022-03-06T09:07:34.926996.png" TargetMode="External"/><Relationship Id="rId7557" Type="http://schemas.openxmlformats.org/officeDocument/2006/relationships/hyperlink" Target="https://twitter.com/RALee85/status/1501278792299565059" TargetMode="External"/><Relationship Id="rId6226" Type="http://schemas.openxmlformats.org/officeDocument/2006/relationships/hyperlink" Target="https://bellingcat-archive.nyc3.cdn.digitaloceanspaces.com/Ukraine_Witness_Datasheet/Worksheet/youtube_dl_1500374495877644288/index.html" TargetMode="External"/><Relationship Id="rId7556" Type="http://schemas.openxmlformats.org/officeDocument/2006/relationships/hyperlink" Target="https://bellingcat-archive.nyc3.cdn.digitaloceanspaces.com/Ukraine_Witness_Datasheet/Worksheet/twitter__fedinlaw_status_15005586691754721402022-03-08T18:20:15.556661.png" TargetMode="External"/><Relationship Id="rId6218" Type="http://schemas.openxmlformats.org/officeDocument/2006/relationships/hyperlink" Target="https://bellingcat-archive.nyc3.cdn.digitaloceanspaces.com/Ukraine_Witness_Datasheet/Worksheet/youtube_dl_1500370931918725120/index.html" TargetMode="External"/><Relationship Id="rId6219" Type="http://schemas.openxmlformats.org/officeDocument/2006/relationships/hyperlink" Target="https://twitter.com/no_itsmyturn/status/1500371547462283269?s=20&amp;t=EFbQ5pLkTaAre99oLfUTqA" TargetMode="External"/><Relationship Id="rId7549" Type="http://schemas.openxmlformats.org/officeDocument/2006/relationships/hyperlink" Target="https://bellingcat-archive.nyc3.cdn.digitaloceanspaces.com/Ukraine_Witness_Datasheet/Worksheet/telegram_8db9a026d3/index.html" TargetMode="External"/><Relationship Id="rId7540" Type="http://schemas.openxmlformats.org/officeDocument/2006/relationships/hyperlink" Target="https://bellingcat-archive.nyc3.cdn.digitaloceanspaces.com/Ukraine_Witness_Datasheet/Worksheet/wayback__drive_folders_12E8md2kJQ1JvQmZiwj5hiir5NDTEyEMH2022-03-08T17:46:59.526960.png" TargetMode="External"/><Relationship Id="rId6212" Type="http://schemas.openxmlformats.org/officeDocument/2006/relationships/hyperlink" Target="https://bellingcat-archive.nyc3.cdn.digitaloceanspaces.com/Ukraine_Witness_Datasheet/Worksheet/youtube_dl_1500370828038483971.mp4" TargetMode="External"/><Relationship Id="rId7544" Type="http://schemas.openxmlformats.org/officeDocument/2006/relationships/hyperlink" Target="https://bellingcat-archive.nyc3.cdn.digitaloceanspaces.com/Ukraine_Witness_Datasheet/Worksheet/youtube_dl__okupanti-zrujnuvali-shche-tri-hrami_n1268522022-03-08T17:47:23.903797.png" TargetMode="External"/><Relationship Id="rId6213" Type="http://schemas.openxmlformats.org/officeDocument/2006/relationships/hyperlink" Target="https://bellingcat-archive.nyc3.cdn.digitaloceanspaces.com/Ukraine_Witness_Datasheet/Worksheet/youtube_dl__no_itsmyturn_status_15003708280384839712022-03-06T09:06:36.966086.png" TargetMode="External"/><Relationship Id="rId7543" Type="http://schemas.openxmlformats.org/officeDocument/2006/relationships/hyperlink" Target="https://bellingcat-archive.nyc3.cdn.digitaloceanspaces.com/Ukraine_Witness_Datasheet/Worksheet/youtube_dl_2fQJ-fFrIvU.webm" TargetMode="External"/><Relationship Id="rId6210" Type="http://schemas.openxmlformats.org/officeDocument/2006/relationships/hyperlink" Target="https://bellingcat-archive.nyc3.cdn.digitaloceanspaces.com/Ukraine_Witness_Datasheet/Worksheet/youtube_dl_1500367636231860226/index.html" TargetMode="External"/><Relationship Id="rId7542" Type="http://schemas.openxmlformats.org/officeDocument/2006/relationships/hyperlink" Target="https://risu.ua/okupanti-zrujnuvali-shche-tri-hrami_n126852" TargetMode="External"/><Relationship Id="rId6211" Type="http://schemas.openxmlformats.org/officeDocument/2006/relationships/hyperlink" Target="https://twitter.com/no_itsmyturn/status/1500370828038483971?s=20&amp;t=EFbQ5pLkTaAre99oLfUTqA" TargetMode="External"/><Relationship Id="rId7541" Type="http://schemas.openxmlformats.org/officeDocument/2006/relationships/hyperlink" Target="https://www.facebook.com/vladmoroko/posts/4791700574200793" TargetMode="External"/><Relationship Id="rId6216" Type="http://schemas.openxmlformats.org/officeDocument/2006/relationships/hyperlink" Target="https://bellingcat-archive.nyc3.cdn.digitaloceanspaces.com/Ukraine_Witness_Datasheet/Worksheet/youtube_dl_1500370931918725120.mp4" TargetMode="External"/><Relationship Id="rId7548" Type="http://schemas.openxmlformats.org/officeDocument/2006/relationships/hyperlink" Target="https://bellingcat-archive.nyc3.cdn.digitaloceanspaces.com/Ukraine_Witness_Datasheet/Worksheet/telegram__nexta_live_205602022-03-08T17:47:49.657190.png" TargetMode="External"/><Relationship Id="rId6217" Type="http://schemas.openxmlformats.org/officeDocument/2006/relationships/hyperlink" Target="https://bellingcat-archive.nyc3.cdn.digitaloceanspaces.com/Ukraine_Witness_Datasheet/Worksheet/youtube_dl__no_itsmyturn_status_15003709319187251202022-03-06T09:06:53.717118.png" TargetMode="External"/><Relationship Id="rId7547" Type="http://schemas.openxmlformats.org/officeDocument/2006/relationships/hyperlink" Target="https://bellingcat-archive.nyc3.cdn.digitaloceanspaces.com/Ukraine_Witness_Datasheet/Worksheet/telegram_8db9a026d3.mp4" TargetMode="External"/><Relationship Id="rId6214" Type="http://schemas.openxmlformats.org/officeDocument/2006/relationships/hyperlink" Target="https://bellingcat-archive.nyc3.cdn.digitaloceanspaces.com/Ukraine_Witness_Datasheet/Worksheet/youtube_dl_1500370828038483971/index.html" TargetMode="External"/><Relationship Id="rId7546" Type="http://schemas.openxmlformats.org/officeDocument/2006/relationships/hyperlink" Target="https://t.me/nexta_live/20560" TargetMode="External"/><Relationship Id="rId6215" Type="http://schemas.openxmlformats.org/officeDocument/2006/relationships/hyperlink" Target="https://twitter.com/no_itsmyturn/status/1500370931918725120?s=20&amp;t=EFbQ5pLkTaAre99oLfUTqA" TargetMode="External"/><Relationship Id="rId7545" Type="http://schemas.openxmlformats.org/officeDocument/2006/relationships/hyperlink" Target="https://bellingcat-archive.nyc3.cdn.digitaloceanspaces.com/Ukraine_Witness_Datasheet/Worksheet/youtube_dl_2fQJ-fFrIvU/index.html" TargetMode="External"/><Relationship Id="rId6241" Type="http://schemas.openxmlformats.org/officeDocument/2006/relationships/hyperlink" Target="https://bellingcat-archive.nyc3.cdn.digitaloceanspaces.com/Ukraine_Witness_Datasheet/Worksheet/twitter__Liveuamap_status_1500390742556090368.html" TargetMode="External"/><Relationship Id="rId7573" Type="http://schemas.openxmlformats.org/officeDocument/2006/relationships/hyperlink" Target="https://bellingcat-archive.nyc3.cdn.digitaloceanspaces.com/Ukraine_Witness_Datasheet/Worksheet/youtube_dl_89wxodrwgrl81.mp4" TargetMode="External"/><Relationship Id="rId6242" Type="http://schemas.openxmlformats.org/officeDocument/2006/relationships/hyperlink" Target="https://bellingcat-archive.nyc3.cdn.digitaloceanspaces.com/Ukraine_Witness_Datasheet/Worksheet/twitter__Liveuamap_status_15003907425560903682022-03-06T10:10:15.299194.png" TargetMode="External"/><Relationship Id="rId7572" Type="http://schemas.openxmlformats.org/officeDocument/2006/relationships/hyperlink" Target="https://www.reddit.com/r/CombatFootage/comments/t7y9wb/president_zelensky_confirmed_that_the_8_ballistic/?utm_source=share&amp;utm_medium=mweb" TargetMode="External"/><Relationship Id="rId7571" Type="http://schemas.openxmlformats.org/officeDocument/2006/relationships/hyperlink" Target="https://bellingcat-archive.nyc3.cdn.digitaloceanspaces.com/Ukraine_Witness_Datasheet/Worksheet/youtube_dl_1500521169610588169/index.html" TargetMode="External"/><Relationship Id="rId6240" Type="http://schemas.openxmlformats.org/officeDocument/2006/relationships/hyperlink" Target="https://twitter.com/COUPSURE/status/1500403573636616194?s=20&amp;t=5yjC-idJ2L8iLidjJBrb3w" TargetMode="External"/><Relationship Id="rId7570" Type="http://schemas.openxmlformats.org/officeDocument/2006/relationships/hyperlink" Target="https://bellingcat-archive.nyc3.cdn.digitaloceanspaces.com/Ukraine_Witness_Datasheet/Worksheet/youtube_dl__Sabados7_status_15005373512270356562022-03-08T23:05:13.053713.png" TargetMode="External"/><Relationship Id="rId6245" Type="http://schemas.openxmlformats.org/officeDocument/2006/relationships/hyperlink" Target="https://bellingcat-archive.nyc3.cdn.digitaloceanspaces.com/Ukraine_Witness_Datasheet/Worksheet/youtube_dl__no_itsmyturn_status_15003709319187251202022-03-06T10:10:26.139599.png" TargetMode="External"/><Relationship Id="rId7577" Type="http://schemas.openxmlformats.org/officeDocument/2006/relationships/hyperlink" Target="https://bellingcat-archive.nyc3.cdn.digitaloceanspaces.com/Ukraine_Witness_Datasheet/Worksheet/telegram_9c8446229d.mp4" TargetMode="External"/><Relationship Id="rId6246" Type="http://schemas.openxmlformats.org/officeDocument/2006/relationships/hyperlink" Target="https://bellingcat-archive.nyc3.cdn.digitaloceanspaces.com/Ukraine_Witness_Datasheet/Worksheet/youtube_dl_1500370931918725120/index.html" TargetMode="External"/><Relationship Id="rId7576" Type="http://schemas.openxmlformats.org/officeDocument/2006/relationships/hyperlink" Target="https://t.me/truexanewsua/30440" TargetMode="External"/><Relationship Id="rId6243" Type="http://schemas.openxmlformats.org/officeDocument/2006/relationships/hyperlink" Target="https://twitter.com/no_itsmyturn/status/1500370931918725120?s=20&amp;t=EFbQ5pLkTaAre99oLfUTqA" TargetMode="External"/><Relationship Id="rId7575" Type="http://schemas.openxmlformats.org/officeDocument/2006/relationships/hyperlink" Target="https://bellingcat-archive.nyc3.cdn.digitaloceanspaces.com/Ukraine_Witness_Datasheet/Worksheet/youtube_dl_89wxodrwgrl81/index.html" TargetMode="External"/><Relationship Id="rId6244" Type="http://schemas.openxmlformats.org/officeDocument/2006/relationships/hyperlink" Target="https://bellingcat-archive.nyc3.cdn.digitaloceanspaces.com/Ukraine_Witness_Datasheet/Worksheet/youtube_dl_1500370931918725120.mp4" TargetMode="External"/><Relationship Id="rId7574" Type="http://schemas.openxmlformats.org/officeDocument/2006/relationships/hyperlink" Target="https://bellingcat-archive.nyc3.cdn.digitaloceanspaces.com/Ukraine_Witness_Datasheet/Worksheet/youtube_dl__r_CombatFootage_comments_t7y9wb_president_zelensky_confirmed_that_the_8_ballistic_2022-03-08T23:05:32.162058.png" TargetMode="External"/><Relationship Id="rId6249" Type="http://schemas.openxmlformats.org/officeDocument/2006/relationships/hyperlink" Target="https://bellingcat-archive.nyc3.cdn.digitaloceanspaces.com/Ukraine_Witness_Datasheet/Worksheet/youtube_dl__markito0171_status_15004078251887288332022-03-06T10:15:12.241767.png" TargetMode="External"/><Relationship Id="rId6247" Type="http://schemas.openxmlformats.org/officeDocument/2006/relationships/hyperlink" Target="https://twitter.com/markito0171/status/1500407825188728833?s=20&amp;t=5yjC-idJ2L8iLidjJBrb3w" TargetMode="External"/><Relationship Id="rId7579" Type="http://schemas.openxmlformats.org/officeDocument/2006/relationships/hyperlink" Target="https://bellingcat-archive.nyc3.cdn.digitaloceanspaces.com/Ukraine_Witness_Datasheet/Worksheet/telegram_9c8446229d/index.html" TargetMode="External"/><Relationship Id="rId6248" Type="http://schemas.openxmlformats.org/officeDocument/2006/relationships/hyperlink" Target="https://bellingcat-archive.nyc3.cdn.digitaloceanspaces.com/Ukraine_Witness_Datasheet/Worksheet/youtube_dl_1500407825188728833.mp4" TargetMode="External"/><Relationship Id="rId7578" Type="http://schemas.openxmlformats.org/officeDocument/2006/relationships/hyperlink" Target="https://bellingcat-archive.nyc3.cdn.digitaloceanspaces.com/Ukraine_Witness_Datasheet/Worksheet/telegram__truexanewsua_304402022-03-08T23:05:48.758698.png" TargetMode="External"/><Relationship Id="rId6230" Type="http://schemas.openxmlformats.org/officeDocument/2006/relationships/hyperlink" Target="https://bellingcat-archive.nyc3.cdn.digitaloceanspaces.com/Ukraine_Witness_Datasheet/Worksheet/youtube_dl_1500377845675311105/index.html" TargetMode="External"/><Relationship Id="rId7562" Type="http://schemas.openxmlformats.org/officeDocument/2006/relationships/hyperlink" Target="https://bellingcat-archive.nyc3.cdn.digitaloceanspaces.com/Ukraine_Witness_Datasheet/Worksheet/telegram__milinfolive_78236.html" TargetMode="External"/><Relationship Id="rId6231" Type="http://schemas.openxmlformats.org/officeDocument/2006/relationships/hyperlink" Target="https://twitter.com/christogrozev/status/1500040680059641856?s=20&amp;t=EFbQ5pLkTaAre99oLfUTqA" TargetMode="External"/><Relationship Id="rId7561" Type="http://schemas.openxmlformats.org/officeDocument/2006/relationships/hyperlink" Target="https://t.me/milinfolive/78236" TargetMode="External"/><Relationship Id="rId7560" Type="http://schemas.openxmlformats.org/officeDocument/2006/relationships/hyperlink" Target="https://bellingcat-archive.nyc3.cdn.digitaloceanspaces.com/Ukraine_Witness_Datasheet/Worksheet/youtube_dl_1501278792299565059/index.html" TargetMode="External"/><Relationship Id="rId6234" Type="http://schemas.openxmlformats.org/officeDocument/2006/relationships/hyperlink" Target="https://bellingcat-archive.nyc3.cdn.digitaloceanspaces.com/Ukraine_Witness_Datasheet/Worksheet/youtube_dl_1500040680059641856/index.html" TargetMode="External"/><Relationship Id="rId7566" Type="http://schemas.openxmlformats.org/officeDocument/2006/relationships/hyperlink" Target="https://bellingcat-archive.nyc3.cdn.digitaloceanspaces.com/Ukraine_Witness_Datasheet/Worksheet/youtube_dl__RALee85_status_15013021201669242922022-03-08T21:50:15.553383.png" TargetMode="External"/><Relationship Id="rId6235" Type="http://schemas.openxmlformats.org/officeDocument/2006/relationships/hyperlink" Target="https://twitter.com/no_itsmyturn/status/1500370931918725120?s=20&amp;t=EFbQ5pLkTaAre99oLfUTqA" TargetMode="External"/><Relationship Id="rId7565" Type="http://schemas.openxmlformats.org/officeDocument/2006/relationships/hyperlink" Target="https://bellingcat-archive.nyc3.cdn.digitaloceanspaces.com/Ukraine_Witness_Datasheet/Worksheet/youtube_dl_1501302120166924292.mp4" TargetMode="External"/><Relationship Id="rId6232" Type="http://schemas.openxmlformats.org/officeDocument/2006/relationships/hyperlink" Target="https://bellingcat-archive.nyc3.cdn.digitaloceanspaces.com/Ukraine_Witness_Datasheet/Worksheet/youtube_dl_1500040680059641856.mp4" TargetMode="External"/><Relationship Id="rId7564" Type="http://schemas.openxmlformats.org/officeDocument/2006/relationships/hyperlink" Target="https://twitter.com/RALee85/status/1501302120166924292" TargetMode="External"/><Relationship Id="rId6233" Type="http://schemas.openxmlformats.org/officeDocument/2006/relationships/hyperlink" Target="https://bellingcat-archive.nyc3.cdn.digitaloceanspaces.com/Ukraine_Witness_Datasheet/Worksheet/youtube_dl__christogrozev_status_15000406800596418562022-03-06T09:10:28.106152.png" TargetMode="External"/><Relationship Id="rId7563" Type="http://schemas.openxmlformats.org/officeDocument/2006/relationships/hyperlink" Target="https://bellingcat-archive.nyc3.cdn.digitaloceanspaces.com/Ukraine_Witness_Datasheet/Worksheet/telegram__milinfolive_782362022-03-08T20:15:11.486948.png" TargetMode="External"/><Relationship Id="rId6238" Type="http://schemas.openxmlformats.org/officeDocument/2006/relationships/hyperlink" Target="https://bellingcat-archive.nyc3.cdn.digitaloceanspaces.com/Ukraine_Witness_Datasheet/Worksheet/youtube_dl_1500370931918725120/index.html" TargetMode="External"/><Relationship Id="rId6239" Type="http://schemas.openxmlformats.org/officeDocument/2006/relationships/hyperlink" Target="https://twitter.com/Liveuamap/status/1500390742556090368?s=20&amp;t=5yjC-idJ2L8iLidjJBrb3w" TargetMode="External"/><Relationship Id="rId7569" Type="http://schemas.openxmlformats.org/officeDocument/2006/relationships/hyperlink" Target="https://bellingcat-archive.nyc3.cdn.digitaloceanspaces.com/Ukraine_Witness_Datasheet/Worksheet/youtube_dl_1500521169610588169.mp4" TargetMode="External"/><Relationship Id="rId6236" Type="http://schemas.openxmlformats.org/officeDocument/2006/relationships/hyperlink" Target="https://bellingcat-archive.nyc3.cdn.digitaloceanspaces.com/Ukraine_Witness_Datasheet/Worksheet/youtube_dl_1500370931918725120.mp4" TargetMode="External"/><Relationship Id="rId7568" Type="http://schemas.openxmlformats.org/officeDocument/2006/relationships/hyperlink" Target="https://twitter.com/Sabados7/status/1500537351227035656?s=20&amp;t=GDPGMwJ7XCqdrRTz4z_dzQ" TargetMode="External"/><Relationship Id="rId6237" Type="http://schemas.openxmlformats.org/officeDocument/2006/relationships/hyperlink" Target="https://bellingcat-archive.nyc3.cdn.digitaloceanspaces.com/Ukraine_Witness_Datasheet/Worksheet/youtube_dl__no_itsmyturn_status_15003709319187251202022-03-06T10:05:11.891951.png" TargetMode="External"/><Relationship Id="rId7567" Type="http://schemas.openxmlformats.org/officeDocument/2006/relationships/hyperlink" Target="https://bellingcat-archive.nyc3.cdn.digitaloceanspaces.com/Ukraine_Witness_Datasheet/Worksheet/youtube_dl_1501302120166924292/index.html" TargetMode="External"/><Relationship Id="rId7519" Type="http://schemas.openxmlformats.org/officeDocument/2006/relationships/hyperlink" Target="https://web.archive.org/web/20220308174419/https://drive.google.com/file/d/18FIrf2JSrqsVnfzK3x1hvqIstPwVFbdI/view?usp=sharing" TargetMode="External"/><Relationship Id="rId7518" Type="http://schemas.openxmlformats.org/officeDocument/2006/relationships/hyperlink" Target="https://drive.google.com/file/d/18FIrf2JSrqsVnfzK3x1hvqIstPwVFbdI/view?usp=sharing" TargetMode="External"/><Relationship Id="rId7517" Type="http://schemas.openxmlformats.org/officeDocument/2006/relationships/hyperlink" Target="https://t.me/truexanewsua/29944" TargetMode="External"/><Relationship Id="rId7516" Type="http://schemas.openxmlformats.org/officeDocument/2006/relationships/hyperlink" Target="https://bellingcat-archive.nyc3.cdn.digitaloceanspaces.com/Ukraine_Witness_Datasheet/Worksheet/telegram_0e721957a2/index.html" TargetMode="External"/><Relationship Id="rId7511" Type="http://schemas.openxmlformats.org/officeDocument/2006/relationships/hyperlink" Target="https://bellingcat-archive.nyc3.cdn.digitaloceanspaces.com/Ukraine_Witness_Datasheet/Worksheet/youtube_dl__bura_tinko_status_14988997465215877132022-03-08T17:42:14.708878.png" TargetMode="External"/><Relationship Id="rId7510" Type="http://schemas.openxmlformats.org/officeDocument/2006/relationships/hyperlink" Target="https://bellingcat-archive.nyc3.cdn.digitaloceanspaces.com/Ukraine_Witness_Datasheet/Worksheet/youtube_dl_1498899746521587713.mp4" TargetMode="External"/><Relationship Id="rId7515" Type="http://schemas.openxmlformats.org/officeDocument/2006/relationships/hyperlink" Target="https://bellingcat-archive.nyc3.cdn.digitaloceanspaces.com/Ukraine_Witness_Datasheet/Worksheet/telegram__truexanewsua_299442022-03-08T17:42:33.705183.png" TargetMode="External"/><Relationship Id="rId7514" Type="http://schemas.openxmlformats.org/officeDocument/2006/relationships/hyperlink" Target="https://bellingcat-archive.nyc3.cdn.digitaloceanspaces.com/Ukraine_Witness_Datasheet/Worksheet/telegram_0e721957a2.mp4" TargetMode="External"/><Relationship Id="rId7513" Type="http://schemas.openxmlformats.org/officeDocument/2006/relationships/hyperlink" Target="https://t.me/truexanewsua/29944" TargetMode="External"/><Relationship Id="rId7512" Type="http://schemas.openxmlformats.org/officeDocument/2006/relationships/hyperlink" Target="https://bellingcat-archive.nyc3.cdn.digitaloceanspaces.com/Ukraine_Witness_Datasheet/Worksheet/youtube_dl_1498899746521587713/index.html" TargetMode="External"/><Relationship Id="rId7508" Type="http://schemas.openxmlformats.org/officeDocument/2006/relationships/hyperlink" Target="https://bellingcat-archive.nyc3.cdn.digitaloceanspaces.com/Ukraine_Witness_Datasheet/Worksheet/wayback__drive_folders_1rr5GLMz3bBBRjtn38gcgjtwjLjjxdZs32022-03-08T17:41:36.423119.png" TargetMode="External"/><Relationship Id="rId7507" Type="http://schemas.openxmlformats.org/officeDocument/2006/relationships/hyperlink" Target="https://web.archive.org/web/20220308174127/https://drive.google.com/drive/folders/1rr5GLMz3bBBRjtn38gcgjtwjLjjxdZs3?usp=sharing" TargetMode="External"/><Relationship Id="rId7506" Type="http://schemas.openxmlformats.org/officeDocument/2006/relationships/hyperlink" Target="https://drive.google.com/drive/folders/1rr5GLMz3bBBRjtn38gcgjtwjLjjxdZs3?usp=sharing" TargetMode="External"/><Relationship Id="rId7505" Type="http://schemas.openxmlformats.org/officeDocument/2006/relationships/hyperlink" Target="https://bellingcat-archive.nyc3.cdn.digitaloceanspaces.com/Ukraine_Witness_Datasheet/Worksheet/wayback__file_d_1jEN0ICaraxi_OmcKmDR_Mj1ZNUTgv7EE_view2022-03-08T17:41:16.255787.png" TargetMode="External"/><Relationship Id="rId7509" Type="http://schemas.openxmlformats.org/officeDocument/2006/relationships/hyperlink" Target="https://twitter.com/bura_tinko/status/1498899746521587713" TargetMode="External"/><Relationship Id="rId7500" Type="http://schemas.openxmlformats.org/officeDocument/2006/relationships/hyperlink" Target="https://bellingcat-archive.nyc3.cdn.digitaloceanspaces.com/Ukraine_Witness_Datasheet/Worksheet/telegram__truexanewsua_302002022-03-08T17:40:12.264475.png" TargetMode="External"/><Relationship Id="rId7504" Type="http://schemas.openxmlformats.org/officeDocument/2006/relationships/hyperlink" Target="https://web.archive.org/web/20220308174108/https://drive.google.com/file/d/1jEN0ICaraxi_OmcKmDR_Mj1ZNUTgv7EE/view?usp=sharing" TargetMode="External"/><Relationship Id="rId7503" Type="http://schemas.openxmlformats.org/officeDocument/2006/relationships/hyperlink" Target="https://drive.google.com/file/d/1jEN0ICaraxi_OmcKmDR_Mj1ZNUTgv7EE/view?usp=sharing" TargetMode="External"/><Relationship Id="rId7502" Type="http://schemas.openxmlformats.org/officeDocument/2006/relationships/hyperlink" Target="https://t.me/truexanewsua/30200" TargetMode="External"/><Relationship Id="rId7501" Type="http://schemas.openxmlformats.org/officeDocument/2006/relationships/hyperlink" Target="https://bellingcat-archive.nyc3.cdn.digitaloceanspaces.com/Ukraine_Witness_Datasheet/Worksheet/telegram_2648785b6d/index.html" TargetMode="External"/><Relationship Id="rId6209" Type="http://schemas.openxmlformats.org/officeDocument/2006/relationships/hyperlink" Target="https://bellingcat-archive.nyc3.cdn.digitaloceanspaces.com/Ukraine_Witness_Datasheet/Worksheet/youtube_dl__no_itsmyturn_status_15003676362318602262022-03-06T09:06:20.792530.png" TargetMode="External"/><Relationship Id="rId6207" Type="http://schemas.openxmlformats.org/officeDocument/2006/relationships/hyperlink" Target="https://twitter.com/no_itsmyturn/status/1500367636231860226?s=20&amp;t=EFbQ5pLkTaAre99oLfUTqA" TargetMode="External"/><Relationship Id="rId7539" Type="http://schemas.openxmlformats.org/officeDocument/2006/relationships/hyperlink" Target="https://web.archive.org/web/20220308174652/https://drive.google.com/drive/folders/12E8md2kJQ1JvQmZiwj5hiir5NDTEyEMH?usp=sharing" TargetMode="External"/><Relationship Id="rId6208" Type="http://schemas.openxmlformats.org/officeDocument/2006/relationships/hyperlink" Target="https://bellingcat-archive.nyc3.cdn.digitaloceanspaces.com/Ukraine_Witness_Datasheet/Worksheet/youtube_dl_1500367636231860226.mp4" TargetMode="External"/><Relationship Id="rId7538" Type="http://schemas.openxmlformats.org/officeDocument/2006/relationships/hyperlink" Target="https://drive.google.com/drive/folders/12E8md2kJQ1JvQmZiwj5hiir5NDTEyEMH?usp=sharing" TargetMode="External"/><Relationship Id="rId6201" Type="http://schemas.openxmlformats.org/officeDocument/2006/relationships/hyperlink" Target="https://bellingcat-archive.nyc3.cdn.digitaloceanspaces.com/Ukraine_Witness_Datasheet/Worksheet/youtube_dl_1500357342566756353.mp4" TargetMode="External"/><Relationship Id="rId7533" Type="http://schemas.openxmlformats.org/officeDocument/2006/relationships/hyperlink" Target="https://bellingcat-archive.nyc3.cdn.digitaloceanspaces.com/Ukraine_Witness_Datasheet/Worksheet/telegram_5c1e3a11e5/index.html" TargetMode="External"/><Relationship Id="rId6202" Type="http://schemas.openxmlformats.org/officeDocument/2006/relationships/hyperlink" Target="https://bellingcat-archive.nyc3.cdn.digitaloceanspaces.com/Ukraine_Witness_Datasheet/Worksheet/youtube_dl__no_itsmyturn_status_15003573425667563532022-03-06T09:05:53.696899.png" TargetMode="External"/><Relationship Id="rId7532" Type="http://schemas.openxmlformats.org/officeDocument/2006/relationships/hyperlink" Target="https://bellingcat-archive.nyc3.cdn.digitaloceanspaces.com/Ukraine_Witness_Datasheet/Worksheet/telegram__truexanewsua_305342022-03-08T17:45:37.911693.png" TargetMode="External"/><Relationship Id="rId7531" Type="http://schemas.openxmlformats.org/officeDocument/2006/relationships/hyperlink" Target="https://bellingcat-archive.nyc3.cdn.digitaloceanspaces.com/Ukraine_Witness_Datasheet/Worksheet/telegram_5c1e3a11e5.mp4" TargetMode="External"/><Relationship Id="rId6200" Type="http://schemas.openxmlformats.org/officeDocument/2006/relationships/hyperlink" Target="https://twitter.com/no_itsmyturn/status/1500357342566756353?s=20&amp;t=EFbQ5pLkTaAre99oLfUTqA" TargetMode="External"/><Relationship Id="rId7530" Type="http://schemas.openxmlformats.org/officeDocument/2006/relationships/hyperlink" Target="https://t.me/truexanewsua/30534" TargetMode="External"/><Relationship Id="rId6205" Type="http://schemas.openxmlformats.org/officeDocument/2006/relationships/hyperlink" Target="https://bellingcat-archive.nyc3.cdn.digitaloceanspaces.com/Ukraine_Witness_Datasheet/Worksheet/twitter__no_itsmyturn_status_1500361630248542208.html" TargetMode="External"/><Relationship Id="rId7537" Type="http://schemas.openxmlformats.org/officeDocument/2006/relationships/hyperlink" Target="https://bellingcat-archive.nyc3.cdn.digitaloceanspaces.com/Ukraine_Witness_Datasheet/Worksheet/telegram__truexanewsua_304802022-03-08T17:46:36.697781.png" TargetMode="External"/><Relationship Id="rId6206" Type="http://schemas.openxmlformats.org/officeDocument/2006/relationships/hyperlink" Target="https://bellingcat-archive.nyc3.cdn.digitaloceanspaces.com/Ukraine_Witness_Datasheet/Worksheet/twitter__no_itsmyturn_status_15003616302485422082022-03-06T09:06:09.013917.png" TargetMode="External"/><Relationship Id="rId7536" Type="http://schemas.openxmlformats.org/officeDocument/2006/relationships/hyperlink" Target="https://bellingcat-archive.nyc3.cdn.digitaloceanspaces.com/Ukraine_Witness_Datasheet/Worksheet/telegram__truexanewsua_30480.html" TargetMode="External"/><Relationship Id="rId6203" Type="http://schemas.openxmlformats.org/officeDocument/2006/relationships/hyperlink" Target="https://bellingcat-archive.nyc3.cdn.digitaloceanspaces.com/Ukraine_Witness_Datasheet/Worksheet/youtube_dl_1500357342566756353/index.html" TargetMode="External"/><Relationship Id="rId7535" Type="http://schemas.openxmlformats.org/officeDocument/2006/relationships/hyperlink" Target="https://t.me/truexanewsua/30480" TargetMode="External"/><Relationship Id="rId6204" Type="http://schemas.openxmlformats.org/officeDocument/2006/relationships/hyperlink" Target="https://twitter.com/no_itsmyturn/status/1500361630248542208?s=20&amp;t=EFbQ5pLkTaAre99oLfUTqA" TargetMode="External"/><Relationship Id="rId7534" Type="http://schemas.openxmlformats.org/officeDocument/2006/relationships/hyperlink" Target="https://t.me/truexanewsua/30534" TargetMode="External"/><Relationship Id="rId7529" Type="http://schemas.openxmlformats.org/officeDocument/2006/relationships/hyperlink" Target="https://bellingcat-archive.nyc3.cdn.digitaloceanspaces.com/Ukraine_Witness_Datasheet/Worksheet/wayback__file_d_1jv7FFvvQodflBkEWEDYJeaTzJO0zeezd_view2022-03-08T17:45:28.521882.png" TargetMode="External"/><Relationship Id="rId7528" Type="http://schemas.openxmlformats.org/officeDocument/2006/relationships/hyperlink" Target="https://web.archive.org/web/20220308174519/https://drive.google.com/file/d/1jv7FFvvQodflBkEWEDYJeaTzJO0zeezd/view?usp=sharing" TargetMode="External"/><Relationship Id="rId7527" Type="http://schemas.openxmlformats.org/officeDocument/2006/relationships/hyperlink" Target="https://drive.google.com/file/d/1jv7FFvvQodflBkEWEDYJeaTzJO0zeezd/view?usp=sharing" TargetMode="External"/><Relationship Id="rId7522" Type="http://schemas.openxmlformats.org/officeDocument/2006/relationships/hyperlink" Target="https://web.archive.org/web/20220308174440/https://drive.google.com/file/d/1Tj1fvhc4Ij1i94VT3smx1nA-4GOwtjxv/view?usp=sharing" TargetMode="External"/><Relationship Id="rId7521" Type="http://schemas.openxmlformats.org/officeDocument/2006/relationships/hyperlink" Target="https://drive.google.com/file/d/1Tj1fvhc4Ij1i94VT3smx1nA-4GOwtjxv/view?usp=sharing" TargetMode="External"/><Relationship Id="rId7520" Type="http://schemas.openxmlformats.org/officeDocument/2006/relationships/hyperlink" Target="https://bellingcat-archive.nyc3.cdn.digitaloceanspaces.com/Ukraine_Witness_Datasheet/Worksheet/wayback__file_d_18FIrf2JSrqsVnfzK3x1hvqIstPwVFbdI_view2022-03-08T17:44:28.844854.png" TargetMode="External"/><Relationship Id="rId7526" Type="http://schemas.openxmlformats.org/officeDocument/2006/relationships/hyperlink" Target="https://bellingcat-archive.nyc3.cdn.digitaloceanspaces.com/Ukraine_Witness_Datasheet/Worksheet/telegram__operativnoZSU_118142022-03-08T17:44:53.252851.png" TargetMode="External"/><Relationship Id="rId7525" Type="http://schemas.openxmlformats.org/officeDocument/2006/relationships/hyperlink" Target="https://bellingcat-archive.nyc3.cdn.digitaloceanspaces.com/Ukraine_Witness_Datasheet/Worksheet/telegram__operativnoZSU_11814.html" TargetMode="External"/><Relationship Id="rId7524" Type="http://schemas.openxmlformats.org/officeDocument/2006/relationships/hyperlink" Target="https://t.me/operativnoZSU/11814" TargetMode="External"/><Relationship Id="rId7523" Type="http://schemas.openxmlformats.org/officeDocument/2006/relationships/hyperlink" Target="https://bellingcat-archive.nyc3.cdn.digitaloceanspaces.com/Ukraine_Witness_Datasheet/Worksheet/wayback__file_d_1Tj1fvhc4Ij1i94VT3smx1nA-4GOwtjxv_view2022-03-08T17:44:45.181504.png" TargetMode="External"/><Relationship Id="rId2700" Type="http://schemas.openxmlformats.org/officeDocument/2006/relationships/hyperlink" Target="https://bellingcat-archive.nyc3.cdn.digitaloceanspaces.com/Ukraine_Witness_Datasheet/Worksheet/telegram_b1525a0818/index.html" TargetMode="External"/><Relationship Id="rId2701" Type="http://schemas.openxmlformats.org/officeDocument/2006/relationships/hyperlink" Target="https://t.me/bbbreaking/116403" TargetMode="External"/><Relationship Id="rId2702" Type="http://schemas.openxmlformats.org/officeDocument/2006/relationships/hyperlink" Target="https://twitter.com/200_zoka/status/1497177588925612035" TargetMode="External"/><Relationship Id="rId2703" Type="http://schemas.openxmlformats.org/officeDocument/2006/relationships/hyperlink" Target="https://bellingcat-archive.nyc3.cdn.digitaloceanspaces.com/Ukraine_Witness_Datasheet/Worksheet/twitter__200_zoka_status_1497177588925612035.html" TargetMode="External"/><Relationship Id="rId2704" Type="http://schemas.openxmlformats.org/officeDocument/2006/relationships/hyperlink" Target="https://bellingcat-archive.nyc3.cdn.digitaloceanspaces.com/Ukraine_Witness_Datasheet/Worksheet/twitter__200_zoka_status_14971775889256120352022-02-25T14:49:15.497074.png" TargetMode="External"/><Relationship Id="rId2705" Type="http://schemas.openxmlformats.org/officeDocument/2006/relationships/hyperlink" Target="https://twitter.com/YWNReporter/status/1497190358173818907" TargetMode="External"/><Relationship Id="rId2706" Type="http://schemas.openxmlformats.org/officeDocument/2006/relationships/hyperlink" Target="https://bellingcat-archive.nyc3.cdn.digitaloceanspaces.com/Ukraine_Witness_Datasheet/Worksheet/youtube_dl_1497190358173818907.mp4" TargetMode="External"/><Relationship Id="rId2707" Type="http://schemas.openxmlformats.org/officeDocument/2006/relationships/hyperlink" Target="https://bellingcat-archive.nyc3.cdn.digitaloceanspaces.com/Ukraine_Witness_Datasheet/Worksheet/youtube_dl__YWNReporter_status_14971903581738189072022-02-25T14:49:29.406590.png" TargetMode="External"/><Relationship Id="rId2708" Type="http://schemas.openxmlformats.org/officeDocument/2006/relationships/hyperlink" Target="https://bellingcat-archive.nyc3.cdn.digitaloceanspaces.com/Ukraine_Witness_Datasheet/Worksheet/youtube_dl_1497190358173818907/index.html" TargetMode="External"/><Relationship Id="rId2709" Type="http://schemas.openxmlformats.org/officeDocument/2006/relationships/hyperlink" Target="https://2ch.hk/wm/src/3786765/16457811796811.mp4" TargetMode="External"/><Relationship Id="rId6292" Type="http://schemas.openxmlformats.org/officeDocument/2006/relationships/hyperlink" Target="https://bellingcat-archive.nyc3.cdn.digitaloceanspaces.com/Ukraine_Witness_Datasheet/Worksheet/youtube_dl__nexta_tv_status_15003731718950789122022-03-06T14:05:29.072422.png" TargetMode="External"/><Relationship Id="rId6293" Type="http://schemas.openxmlformats.org/officeDocument/2006/relationships/hyperlink" Target="https://bellingcat-archive.nyc3.cdn.digitaloceanspaces.com/Ukraine_Witness_Datasheet/Worksheet/youtube_dl_1500373171895078912/index.html" TargetMode="External"/><Relationship Id="rId6290" Type="http://schemas.openxmlformats.org/officeDocument/2006/relationships/hyperlink" Target="https://twitter.com/nexta_tv/status/1500373171895078912" TargetMode="External"/><Relationship Id="rId6291" Type="http://schemas.openxmlformats.org/officeDocument/2006/relationships/hyperlink" Target="https://bellingcat-archive.nyc3.cdn.digitaloceanspaces.com/Ukraine_Witness_Datasheet/Worksheet/youtube_dl_1500373171895078912.mp4" TargetMode="External"/><Relationship Id="rId6296" Type="http://schemas.openxmlformats.org/officeDocument/2006/relationships/hyperlink" Target="https://bellingcat-archive.nyc3.cdn.digitaloceanspaces.com/Ukraine_Witness_Datasheet/Worksheet/youtube_dl__no_itsmyturn_status_15003715722464337972022-03-06T14:05:46.826932.png" TargetMode="External"/><Relationship Id="rId6297" Type="http://schemas.openxmlformats.org/officeDocument/2006/relationships/hyperlink" Target="https://bellingcat-archive.nyc3.cdn.digitaloceanspaces.com/Ukraine_Witness_Datasheet/Worksheet/youtube_dl_1500371572246433797/index.html" TargetMode="External"/><Relationship Id="rId6294" Type="http://schemas.openxmlformats.org/officeDocument/2006/relationships/hyperlink" Target="https://twitter.com/no_itsmyturn/status/1500371572246433797" TargetMode="External"/><Relationship Id="rId6295" Type="http://schemas.openxmlformats.org/officeDocument/2006/relationships/hyperlink" Target="https://bellingcat-archive.nyc3.cdn.digitaloceanspaces.com/Ukraine_Witness_Datasheet/Worksheet/youtube_dl_1500371572246433797.mp4" TargetMode="External"/><Relationship Id="rId6298" Type="http://schemas.openxmlformats.org/officeDocument/2006/relationships/hyperlink" Target="https://twitter.com/RWApodcast/status/1499780277945741315?s=20&amp;t=_JBtmduakWsX07WrEoNPIQ" TargetMode="External"/><Relationship Id="rId6299" Type="http://schemas.openxmlformats.org/officeDocument/2006/relationships/hyperlink" Target="https://bellingcat-archive.nyc3.cdn.digitaloceanspaces.com/Ukraine_Witness_Datasheet/Worksheet/youtube_dl_1499780277945741315.mp4" TargetMode="External"/><Relationship Id="rId2720" Type="http://schemas.openxmlformats.org/officeDocument/2006/relationships/hyperlink" Target="https://bellingcat-archive.nyc3.cdn.digitaloceanspaces.com/Ukraine_Witness_Datasheet/Worksheet/twitter__AFPphoto_status_1496804838637768707.html" TargetMode="External"/><Relationship Id="rId2721" Type="http://schemas.openxmlformats.org/officeDocument/2006/relationships/hyperlink" Target="https://bellingcat-archive.nyc3.cdn.digitaloceanspaces.com/Ukraine_Witness_Datasheet/Worksheet/twitter__AFPphoto_status_14968048386377687072022-02-25T14:53:20.966953.png" TargetMode="External"/><Relationship Id="rId2722" Type="http://schemas.openxmlformats.org/officeDocument/2006/relationships/hyperlink" Target="https://twitter.com/NeilPHauer/status/1497196542138196000" TargetMode="External"/><Relationship Id="rId2723" Type="http://schemas.openxmlformats.org/officeDocument/2006/relationships/hyperlink" Target="https://bellingcat-archive.nyc3.cdn.digitaloceanspaces.com/Ukraine_Witness_Datasheet/Worksheet/youtube_dl_1497196542138196000.mp4" TargetMode="External"/><Relationship Id="rId2724" Type="http://schemas.openxmlformats.org/officeDocument/2006/relationships/hyperlink" Target="https://bellingcat-archive.nyc3.cdn.digitaloceanspaces.com/Ukraine_Witness_Datasheet/Worksheet/youtube_dl__NeilPHauer_status_14971965421381960002022-02-25T14:53:42.757990.png" TargetMode="External"/><Relationship Id="rId2725" Type="http://schemas.openxmlformats.org/officeDocument/2006/relationships/hyperlink" Target="https://bellingcat-archive.nyc3.cdn.digitaloceanspaces.com/Ukraine_Witness_Datasheet/Worksheet/youtube_dl_1497196542138196000/index.html" TargetMode="External"/><Relationship Id="rId2726" Type="http://schemas.openxmlformats.org/officeDocument/2006/relationships/hyperlink" Target="https://twitter.com/radiosvoboda/status/1497161995434536969?s=20&amp;t=hk63ejZ3jrJtYElaEjexNQ" TargetMode="External"/><Relationship Id="rId2727" Type="http://schemas.openxmlformats.org/officeDocument/2006/relationships/hyperlink" Target="https://bellingcat-archive.nyc3.cdn.digitaloceanspaces.com/Ukraine_Witness_Datasheet/Worksheet/youtube_dl_1497161995434536969.mp4" TargetMode="External"/><Relationship Id="rId2728" Type="http://schemas.openxmlformats.org/officeDocument/2006/relationships/hyperlink" Target="https://bellingcat-archive.nyc3.cdn.digitaloceanspaces.com/Ukraine_Witness_Datasheet/Worksheet/youtube_dl__radiosvoboda_status_14971619954345369692022-02-25T14:53:59.710092.png" TargetMode="External"/><Relationship Id="rId2729" Type="http://schemas.openxmlformats.org/officeDocument/2006/relationships/hyperlink" Target="https://bellingcat-archive.nyc3.cdn.digitaloceanspaces.com/Ukraine_Witness_Datasheet/Worksheet/youtube_dl_1497161995434536969/index.html" TargetMode="External"/><Relationship Id="rId2710" Type="http://schemas.openxmlformats.org/officeDocument/2006/relationships/hyperlink" Target="https://bellingcat-archive.nyc3.cdn.digitaloceanspaces.com/Ukraine_Witness_Datasheet/Worksheet/youtube_dl_16457811796811.mp4" TargetMode="External"/><Relationship Id="rId2711" Type="http://schemas.openxmlformats.org/officeDocument/2006/relationships/hyperlink" Target="https://bellingcat-archive.nyc3.cdn.digitaloceanspaces.com/Ukraine_Witness_Datasheet/Worksheet/youtube_dl__wm_src_3786765_16457811796811.mp42022-02-25T14:49:46.994829.png" TargetMode="External"/><Relationship Id="rId2712" Type="http://schemas.openxmlformats.org/officeDocument/2006/relationships/hyperlink" Target="https://bellingcat-archive.nyc3.cdn.digitaloceanspaces.com/Ukraine_Witness_Datasheet/Worksheet/youtube_dl_16457811796811/index.html" TargetMode="External"/><Relationship Id="rId2713" Type="http://schemas.openxmlformats.org/officeDocument/2006/relationships/hyperlink" Target="https://t.me/intelslava/20492" TargetMode="External"/><Relationship Id="rId2714" Type="http://schemas.openxmlformats.org/officeDocument/2006/relationships/hyperlink" Target="https://bellingcat-archive.nyc3.cdn.digitaloceanspaces.com/Ukraine_Witness_Datasheet/Worksheet/telegram_ac90089256.mp4" TargetMode="External"/><Relationship Id="rId2715" Type="http://schemas.openxmlformats.org/officeDocument/2006/relationships/hyperlink" Target="https://bellingcat-archive.nyc3.cdn.digitaloceanspaces.com/Ukraine_Witness_Datasheet/Worksheet/telegram__intelslava_204922022-02-25T14:53:00.062214.png" TargetMode="External"/><Relationship Id="rId2716" Type="http://schemas.openxmlformats.org/officeDocument/2006/relationships/hyperlink" Target="https://bellingcat-archive.nyc3.cdn.digitaloceanspaces.com/Ukraine_Witness_Datasheet/Worksheet/telegram_ac90089256/index.html" TargetMode="External"/><Relationship Id="rId2717" Type="http://schemas.openxmlformats.org/officeDocument/2006/relationships/hyperlink" Target="https://t.me/intelslava/20492" TargetMode="External"/><Relationship Id="rId2718" Type="http://schemas.openxmlformats.org/officeDocument/2006/relationships/hyperlink" Target="https://twitter.com/AFPphoto/status/1496804838637768707" TargetMode="External"/><Relationship Id="rId2719" Type="http://schemas.openxmlformats.org/officeDocument/2006/relationships/hyperlink" Target="https://twitter.com/PDocumentarians/status/1496731018723835907?s=20&amp;t=7X8nsZXT_9wyUVYNeKAvmA" TargetMode="External"/><Relationship Id="rId7591" Type="http://schemas.openxmlformats.org/officeDocument/2006/relationships/hyperlink" Target="https://bellingcat-archive.nyc3.cdn.digitaloceanspaces.com/Ukraine_Witness_Datasheet/Worksheet/telegram_d5e754b441.mp4" TargetMode="External"/><Relationship Id="rId6260" Type="http://schemas.openxmlformats.org/officeDocument/2006/relationships/hyperlink" Target="https://twitter.com/poppoppopkt/status/1500426250766237697?s=20&amp;t=o0NsbrIIC42fraUwy0zaYQ" TargetMode="External"/><Relationship Id="rId7590" Type="http://schemas.openxmlformats.org/officeDocument/2006/relationships/hyperlink" Target="https://t.me/rian_ru/151722" TargetMode="External"/><Relationship Id="rId6263" Type="http://schemas.openxmlformats.org/officeDocument/2006/relationships/hyperlink" Target="https://bellingcat-archive.nyc3.cdn.digitaloceanspaces.com/Ukraine_Witness_Datasheet/Worksheet/twitter__poppoppopkt_status_15004262507662376972022-03-06T11:30:12.783051.png" TargetMode="External"/><Relationship Id="rId7595" Type="http://schemas.openxmlformats.org/officeDocument/2006/relationships/hyperlink" Target="https://t.me/LIC_LPR/19779" TargetMode="External"/><Relationship Id="rId6264" Type="http://schemas.openxmlformats.org/officeDocument/2006/relationships/hyperlink" Target="https://twitter.com/michaelh992/status/1500418183076978690?s=21" TargetMode="External"/><Relationship Id="rId7594" Type="http://schemas.openxmlformats.org/officeDocument/2006/relationships/hyperlink" Target="https://t.me/rian_ru/151722" TargetMode="External"/><Relationship Id="rId6261" Type="http://schemas.openxmlformats.org/officeDocument/2006/relationships/hyperlink" Target="https://twitter.com/vnprkhzhk/status/1500427535137615875?s=20&amp;t=wAO4QslkR0KE9KKmT4omnQ" TargetMode="External"/><Relationship Id="rId7593" Type="http://schemas.openxmlformats.org/officeDocument/2006/relationships/hyperlink" Target="https://bellingcat-archive.nyc3.cdn.digitaloceanspaces.com/Ukraine_Witness_Datasheet/Worksheet/telegram_d5e754b441/index.html" TargetMode="External"/><Relationship Id="rId6262" Type="http://schemas.openxmlformats.org/officeDocument/2006/relationships/hyperlink" Target="https://bellingcat-archive.nyc3.cdn.digitaloceanspaces.com/Ukraine_Witness_Datasheet/Worksheet/twitter__poppoppopkt_status_1500426250766237697.html" TargetMode="External"/><Relationship Id="rId7592" Type="http://schemas.openxmlformats.org/officeDocument/2006/relationships/hyperlink" Target="https://bellingcat-archive.nyc3.cdn.digitaloceanspaces.com/Ukraine_Witness_Datasheet/Worksheet/telegram__rian_ru_1517222022-03-08T23:07:41.084610.png" TargetMode="External"/><Relationship Id="rId6267" Type="http://schemas.openxmlformats.org/officeDocument/2006/relationships/hyperlink" Target="https://twitter.com/COUPSURE/status/1500439455467020298?s=20&amp;t=wAO4QslkR0KE9KKmT4omnQ" TargetMode="External"/><Relationship Id="rId7599" Type="http://schemas.openxmlformats.org/officeDocument/2006/relationships/hyperlink" Target="https://t.me/LIC_LPR/19779" TargetMode="External"/><Relationship Id="rId6268" Type="http://schemas.openxmlformats.org/officeDocument/2006/relationships/hyperlink" Target="https://www.google.com/maps/place/49%C2%B013'59.1%22N+28%C2%B037'09.8%22E/@49.2507502,28.5404668,94a,35y,98.16h,72.47t/data=!3m1!1e3!4m5!3m4!1s0x0:0x56aac5c8e88f8161!8m2!3d49.2330911!4d28.619394" TargetMode="External"/><Relationship Id="rId7598" Type="http://schemas.openxmlformats.org/officeDocument/2006/relationships/hyperlink" Target="https://bellingcat-archive.nyc3.cdn.digitaloceanspaces.com/Ukraine_Witness_Datasheet/Worksheet/telegram_9cc60898af/index.html" TargetMode="External"/><Relationship Id="rId6265" Type="http://schemas.openxmlformats.org/officeDocument/2006/relationships/hyperlink" Target="https://bellingcat-archive.nyc3.cdn.digitaloceanspaces.com/Ukraine_Witness_Datasheet/Worksheet/twitter__michaelh992_status_1500418183076978690.html" TargetMode="External"/><Relationship Id="rId7597" Type="http://schemas.openxmlformats.org/officeDocument/2006/relationships/hyperlink" Target="https://bellingcat-archive.nyc3.cdn.digitaloceanspaces.com/Ukraine_Witness_Datasheet/Worksheet/telegram__LIC_LPR_197792022-03-08T23:08:00.327131.png" TargetMode="External"/><Relationship Id="rId6266" Type="http://schemas.openxmlformats.org/officeDocument/2006/relationships/hyperlink" Target="https://bellingcat-archive.nyc3.cdn.digitaloceanspaces.com/Ukraine_Witness_Datasheet/Worksheet/twitter__michaelh992_status_15004181830769786902022-03-06T11:35:12.188553.png" TargetMode="External"/><Relationship Id="rId7596" Type="http://schemas.openxmlformats.org/officeDocument/2006/relationships/hyperlink" Target="https://bellingcat-archive.nyc3.cdn.digitaloceanspaces.com/Ukraine_Witness_Datasheet/Worksheet/telegram_9cc60898af.mp4" TargetMode="External"/><Relationship Id="rId6269" Type="http://schemas.openxmlformats.org/officeDocument/2006/relationships/hyperlink" Target="https://bellingcat-archive.nyc3.cdn.digitaloceanspaces.com/Ukraine_Witness_Datasheet/Worksheet/twitter__COUPSURE_status_1500439455467020298.html" TargetMode="External"/><Relationship Id="rId7580" Type="http://schemas.openxmlformats.org/officeDocument/2006/relationships/hyperlink" Target="https://t.me/truexanewsua/30440" TargetMode="External"/><Relationship Id="rId6252" Type="http://schemas.openxmlformats.org/officeDocument/2006/relationships/hyperlink" Target="https://www.google.com/maps/place/Buzivska+School/@50.4217935,30.0456064,3a,75y,90t/data=!3m8!1e2!3m6!1sAF1QipMJJWf-ND4Q5R5HfPqBGsWzwARtDP5mqXE2zkC6!2e10!3e12!6shttps:%2F%2Flh5.googleusercontent.com%2Fp%2FAF1QipMJJWf-ND4Q5R5HfPqBGsWzwARtDP5mqXE2zkC6%3Dw152-h86-k-no!7i4032!8i2268!4m13!1m7!3m6!1s0x472b49b9c3a73731:0x92cd5b7066397896!2sBuzova,+Kyiv+Oblast,+Ukraine!3b1!8m2!3d50.4211504!4d30.0447521!3m4!1s0x472b49c97f6b21f9:0x71c944c0168cf3dd!8m2!3d50.4216686!4d30.0450322" TargetMode="External"/><Relationship Id="rId7584" Type="http://schemas.openxmlformats.org/officeDocument/2006/relationships/hyperlink" Target="https://bellingcat-archive.nyc3.cdn.digitaloceanspaces.com/Ukraine_Witness_Datasheet/Worksheet/youtube_dl_1501218905158828035/index.html" TargetMode="External"/><Relationship Id="rId6253" Type="http://schemas.openxmlformats.org/officeDocument/2006/relationships/hyperlink" Target="https://bellingcat-archive.nyc3.cdn.digitaloceanspaces.com/Ukraine_Witness_Datasheet/Worksheet/youtube_dl_1500416972667957248.mp4" TargetMode="External"/><Relationship Id="rId7583" Type="http://schemas.openxmlformats.org/officeDocument/2006/relationships/hyperlink" Target="https://bellingcat-archive.nyc3.cdn.digitaloceanspaces.com/Ukraine_Witness_Datasheet/Worksheet/youtube_dl__GirkinGirkin_status_15012189051588280352022-03-08T23:06:26.331333.png" TargetMode="External"/><Relationship Id="rId6250" Type="http://schemas.openxmlformats.org/officeDocument/2006/relationships/hyperlink" Target="https://bellingcat-archive.nyc3.cdn.digitaloceanspaces.com/Ukraine_Witness_Datasheet/Worksheet/youtube_dl_1500407825188728833/index.html" TargetMode="External"/><Relationship Id="rId7582" Type="http://schemas.openxmlformats.org/officeDocument/2006/relationships/hyperlink" Target="https://bellingcat-archive.nyc3.cdn.digitaloceanspaces.com/Ukraine_Witness_Datasheet/Worksheet/youtube_dl_1501218905158828035.mp4" TargetMode="External"/><Relationship Id="rId6251" Type="http://schemas.openxmlformats.org/officeDocument/2006/relationships/hyperlink" Target="https://twitter.com/no_itsmyturn/status/1500416972667957248?s=20&amp;t=o0NsbrIIC42fraUwy0zaYQ" TargetMode="External"/><Relationship Id="rId7581" Type="http://schemas.openxmlformats.org/officeDocument/2006/relationships/hyperlink" Target="https://twitter.com/GirkinGirkin/status/1501218905158828035?s=20&amp;t=DdGTSpGKddbJrrB9lxFJdw" TargetMode="External"/><Relationship Id="rId6256" Type="http://schemas.openxmlformats.org/officeDocument/2006/relationships/hyperlink" Target="https://twitter.com/no_itsmyturn/status/1500404603770359808?s=20&amp;t=o0NsbrIIC42fraUwy0zaYQ" TargetMode="External"/><Relationship Id="rId7588" Type="http://schemas.openxmlformats.org/officeDocument/2006/relationships/hyperlink" Target="https://bellingcat-archive.nyc3.cdn.digitaloceanspaces.com/Ukraine_Witness_Datasheet/Worksheet/telegram_df5d17c124/index.html" TargetMode="External"/><Relationship Id="rId6257" Type="http://schemas.openxmlformats.org/officeDocument/2006/relationships/hyperlink" Target="https://bellingcat-archive.nyc3.cdn.digitaloceanspaces.com/Ukraine_Witness_Datasheet/Worksheet/youtube_dl_1500404603770359808.mp4" TargetMode="External"/><Relationship Id="rId7587" Type="http://schemas.openxmlformats.org/officeDocument/2006/relationships/hyperlink" Target="https://bellingcat-archive.nyc3.cdn.digitaloceanspaces.com/Ukraine_Witness_Datasheet/Worksheet/telegram__medvedev_note_37402022-03-08T23:06:40.485490.png" TargetMode="External"/><Relationship Id="rId6254" Type="http://schemas.openxmlformats.org/officeDocument/2006/relationships/hyperlink" Target="https://bellingcat-archive.nyc3.cdn.digitaloceanspaces.com/Ukraine_Witness_Datasheet/Worksheet/youtube_dl__no_itsmyturn_status_15004169726679572482022-03-06T10:35:12.104876.png" TargetMode="External"/><Relationship Id="rId7586" Type="http://schemas.openxmlformats.org/officeDocument/2006/relationships/hyperlink" Target="https://bellingcat-archive.nyc3.cdn.digitaloceanspaces.com/Ukraine_Witness_Datasheet/Worksheet/telegram_df5d17c124.mp4" TargetMode="External"/><Relationship Id="rId6255" Type="http://schemas.openxmlformats.org/officeDocument/2006/relationships/hyperlink" Target="https://bellingcat-archive.nyc3.cdn.digitaloceanspaces.com/Ukraine_Witness_Datasheet/Worksheet/youtube_dl_1500416972667957248/index.html" TargetMode="External"/><Relationship Id="rId7585" Type="http://schemas.openxmlformats.org/officeDocument/2006/relationships/hyperlink" Target="https://t.me/medvedev_note/3740" TargetMode="External"/><Relationship Id="rId6258" Type="http://schemas.openxmlformats.org/officeDocument/2006/relationships/hyperlink" Target="https://bellingcat-archive.nyc3.cdn.digitaloceanspaces.com/Ukraine_Witness_Datasheet/Worksheet/youtube_dl__no_itsmyturn_status_15004046037703598082022-03-06T10:35:25.662970.png" TargetMode="External"/><Relationship Id="rId6259" Type="http://schemas.openxmlformats.org/officeDocument/2006/relationships/hyperlink" Target="https://bellingcat-archive.nyc3.cdn.digitaloceanspaces.com/Ukraine_Witness_Datasheet/Worksheet/youtube_dl_1500404603770359808/index.html" TargetMode="External"/><Relationship Id="rId7589" Type="http://schemas.openxmlformats.org/officeDocument/2006/relationships/hyperlink" Target="https://t.me/medvedev_note/3740" TargetMode="External"/><Relationship Id="rId6281" Type="http://schemas.openxmlformats.org/officeDocument/2006/relationships/hyperlink" Target="https://twitter.com/KyleJGlen/status/1500432948390158338?s=20&amp;t=_JBtmduakWsX07WrEoNPIQ" TargetMode="External"/><Relationship Id="rId6282" Type="http://schemas.openxmlformats.org/officeDocument/2006/relationships/hyperlink" Target="https://twitter.com/KyleJGlen/status/1500435820167241729?s=20&amp;t=_JBtmduakWsX07WrEoNPIQ" TargetMode="External"/><Relationship Id="rId6280" Type="http://schemas.openxmlformats.org/officeDocument/2006/relationships/hyperlink" Target="https://bellingcat-archive.nyc3.cdn.digitaloceanspaces.com/Ukraine_Witness_Datasheet/Worksheet/youtube_dl_1500447665024348168/index.html" TargetMode="External"/><Relationship Id="rId6285" Type="http://schemas.openxmlformats.org/officeDocument/2006/relationships/hyperlink" Target="https://bellingcat-archive.nyc3.cdn.digitaloceanspaces.com/Ukraine_Witness_Datasheet/Worksheet/youtube_dl_1500432948390158338/index.html" TargetMode="External"/><Relationship Id="rId6286" Type="http://schemas.openxmlformats.org/officeDocument/2006/relationships/hyperlink" Target="https://twitter.com/no_itsmyturn/status/1500371547462283269" TargetMode="External"/><Relationship Id="rId6283" Type="http://schemas.openxmlformats.org/officeDocument/2006/relationships/hyperlink" Target="https://bellingcat-archive.nyc3.cdn.digitaloceanspaces.com/Ukraine_Witness_Datasheet/Worksheet/youtube_dl_1500432948390158338.mp4" TargetMode="External"/><Relationship Id="rId6284" Type="http://schemas.openxmlformats.org/officeDocument/2006/relationships/hyperlink" Target="https://bellingcat-archive.nyc3.cdn.digitaloceanspaces.com/Ukraine_Witness_Datasheet/Worksheet/youtube_dl__KyleJGlen_status_15004329483901583382022-03-06T12:50:11.648423.png" TargetMode="External"/><Relationship Id="rId6289" Type="http://schemas.openxmlformats.org/officeDocument/2006/relationships/hyperlink" Target="https://bellingcat-archive.nyc3.cdn.digitaloceanspaces.com/Ukraine_Witness_Datasheet/Worksheet/youtube_dl_1500371547462283269/index.html" TargetMode="External"/><Relationship Id="rId6287" Type="http://schemas.openxmlformats.org/officeDocument/2006/relationships/hyperlink" Target="https://bellingcat-archive.nyc3.cdn.digitaloceanspaces.com/Ukraine_Witness_Datasheet/Worksheet/youtube_dl_1500371547462283269.mp4" TargetMode="External"/><Relationship Id="rId6288" Type="http://schemas.openxmlformats.org/officeDocument/2006/relationships/hyperlink" Target="https://bellingcat-archive.nyc3.cdn.digitaloceanspaces.com/Ukraine_Witness_Datasheet/Worksheet/youtube_dl__no_itsmyturn_status_15003715474622832692022-03-06T14:05:12.291130.png" TargetMode="External"/><Relationship Id="rId6270" Type="http://schemas.openxmlformats.org/officeDocument/2006/relationships/hyperlink" Target="https://bellingcat-archive.nyc3.cdn.digitaloceanspaces.com/Ukraine_Witness_Datasheet/Worksheet/twitter__COUPSURE_status_15004394554670202982022-03-06T11:55:12.363506.png" TargetMode="External"/><Relationship Id="rId6271" Type="http://schemas.openxmlformats.org/officeDocument/2006/relationships/hyperlink" Target="https://twitter.com/COUPSURE/status/1500444019326959617?s=20&amp;t=o0NsbrIIC42fraUwy0zaYQ" TargetMode="External"/><Relationship Id="rId6274" Type="http://schemas.openxmlformats.org/officeDocument/2006/relationships/hyperlink" Target="https://bellingcat-archive.nyc3.cdn.digitaloceanspaces.com/Ukraine_Witness_Datasheet/Worksheet/youtube_dl__COUPSURE_status_15004440193269596172022-03-06T12:40:14.027701.png" TargetMode="External"/><Relationship Id="rId6275" Type="http://schemas.openxmlformats.org/officeDocument/2006/relationships/hyperlink" Target="https://bellingcat-archive.nyc3.cdn.digitaloceanspaces.com/Ukraine_Witness_Datasheet/Worksheet/youtube_dl_1500444019326959617/index.html" TargetMode="External"/><Relationship Id="rId6272" Type="http://schemas.openxmlformats.org/officeDocument/2006/relationships/hyperlink" Target="https://www.google.com/maps/@49.2368735,28.5891135,3a,90y,99.74h,88.91t/data=!3m6!1e1!3m4!1s0bCjfGfzdmyEwNz1U_W9zg!2e0!7i13312!8i6656" TargetMode="External"/><Relationship Id="rId6273" Type="http://schemas.openxmlformats.org/officeDocument/2006/relationships/hyperlink" Target="https://bellingcat-archive.nyc3.cdn.digitaloceanspaces.com/Ukraine_Witness_Datasheet/Worksheet/youtube_dl_1500444019326959617.mp4" TargetMode="External"/><Relationship Id="rId6278" Type="http://schemas.openxmlformats.org/officeDocument/2006/relationships/hyperlink" Target="https://bellingcat-archive.nyc3.cdn.digitaloceanspaces.com/Ukraine_Witness_Datasheet/Worksheet/youtube_dl_1500447665024348168.mp4" TargetMode="External"/><Relationship Id="rId6279" Type="http://schemas.openxmlformats.org/officeDocument/2006/relationships/hyperlink" Target="https://bellingcat-archive.nyc3.cdn.digitaloceanspaces.com/Ukraine_Witness_Datasheet/Worksheet/youtube_dl__BackAndAlive_status_15004476650243481682022-03-06T12:45:13.495189.png" TargetMode="External"/><Relationship Id="rId6276" Type="http://schemas.openxmlformats.org/officeDocument/2006/relationships/hyperlink" Target="https://twitter.com/BackAndAlive/status/1500447665024348168?s=20&amp;t=o0NsbrIIC42fraUwy0zaYQ" TargetMode="External"/><Relationship Id="rId6277" Type="http://schemas.openxmlformats.org/officeDocument/2006/relationships/hyperlink" Target="https://twitter.com/Cen4infoRes/status/1500467690934263816" TargetMode="External"/><Relationship Id="rId1455" Type="http://schemas.openxmlformats.org/officeDocument/2006/relationships/hyperlink" Target="https://bellingcat-archive.nyc3.cdn.digitaloceanspaces.com/Ukraine_Witness_Datasheet/Worksheet/tiktok__@moto_bat31_video_70653088554077749782022-02-25T14:26:57.230777.png" TargetMode="External"/><Relationship Id="rId2786" Type="http://schemas.openxmlformats.org/officeDocument/2006/relationships/hyperlink" Target="https://bellingcat-archive.nyc3.cdn.digitaloceanspaces.com/Ukraine_Witness_Datasheet/Worksheet/youtube_dl__IntelCrab_status_14972244828296601622022-02-25T15:18:15.006507.png" TargetMode="External"/><Relationship Id="rId1456" Type="http://schemas.openxmlformats.org/officeDocument/2006/relationships/hyperlink" Target="https://bellingcat-archive.nyc3.cdn.digitaloceanspaces.com/Ukraine_Witness_Datasheet/Worksheet/tiktok_7065308855407774978/index.html" TargetMode="External"/><Relationship Id="rId2787" Type="http://schemas.openxmlformats.org/officeDocument/2006/relationships/hyperlink" Target="https://bellingcat-archive.nyc3.cdn.digitaloceanspaces.com/Ukraine_Witness_Datasheet/Worksheet/youtube_dl_1497224482829660162/index.html" TargetMode="External"/><Relationship Id="rId1457" Type="http://schemas.openxmlformats.org/officeDocument/2006/relationships/hyperlink" Target="https://www.tiktok.com/@moto_bat31/video/7065309604246228225?is_from_webapp=1&amp;sender_device=pc&amp;web_id7028892818824480262" TargetMode="External"/><Relationship Id="rId2788" Type="http://schemas.openxmlformats.org/officeDocument/2006/relationships/hyperlink" Target="https://twitter.com/mommentonews/status/1497174032894074883" TargetMode="External"/><Relationship Id="rId1458" Type="http://schemas.openxmlformats.org/officeDocument/2006/relationships/hyperlink" Target="https://bellingcat-archive.nyc3.cdn.digitaloceanspaces.com/Ukraine_Witness_Datasheet/Worksheet/tiktok_7065309604246228225.mp4" TargetMode="External"/><Relationship Id="rId2789" Type="http://schemas.openxmlformats.org/officeDocument/2006/relationships/hyperlink" Target="https://bellingcat-archive.nyc3.cdn.digitaloceanspaces.com/Ukraine_Witness_Datasheet/Worksheet/youtube_dl_1497174032894074883.mp4" TargetMode="External"/><Relationship Id="rId1459" Type="http://schemas.openxmlformats.org/officeDocument/2006/relationships/hyperlink" Target="https://bellingcat-archive.nyc3.cdn.digitaloceanspaces.com/Ukraine_Witness_Datasheet/Worksheet/tiktok__@moto_bat31_video_70653096042462282252022-02-25T14:26:27.443970.png" TargetMode="External"/><Relationship Id="rId629" Type="http://schemas.openxmlformats.org/officeDocument/2006/relationships/hyperlink" Target="https://bellingcat-archive.nyc3.cdn.digitaloceanspaces.com/Ukraine_Witness_Datasheet/Worksheet/youtube_dl_1490012932037619712.mp4" TargetMode="External"/><Relationship Id="rId624" Type="http://schemas.openxmlformats.org/officeDocument/2006/relationships/hyperlink" Target="https://bellingcat-archive.nyc3.cdn.digitaloceanspaces.com/Ukraine_Witness_Datasheet/Worksheet/youtube_dl_1490240803532386306.mp4" TargetMode="External"/><Relationship Id="rId623" Type="http://schemas.openxmlformats.org/officeDocument/2006/relationships/hyperlink" Target="https://twitter.com/gfusfus/status/1490282961656233984" TargetMode="External"/><Relationship Id="rId622" Type="http://schemas.openxmlformats.org/officeDocument/2006/relationships/hyperlink" Target="https://twitter.com/GirkinGirkin/status/1490240803532386306" TargetMode="External"/><Relationship Id="rId621" Type="http://schemas.openxmlformats.org/officeDocument/2006/relationships/hyperlink" Target="https://bellingcat-archive.nyc3.cdn.digitaloceanspaces.com/Ukraine_Witness_Datasheet/Worksheet/youtube_dl_1491479489871818753/index.html" TargetMode="External"/><Relationship Id="rId628" Type="http://schemas.openxmlformats.org/officeDocument/2006/relationships/hyperlink" Target="https://twitter.com/gfusfus/status/1490066664150519810" TargetMode="External"/><Relationship Id="rId627" Type="http://schemas.openxmlformats.org/officeDocument/2006/relationships/hyperlink" Target="https://twitter.com/theragex/status/1490012932037619712" TargetMode="External"/><Relationship Id="rId626" Type="http://schemas.openxmlformats.org/officeDocument/2006/relationships/hyperlink" Target="https://bellingcat-archive.nyc3.cdn.digitaloceanspaces.com/Ukraine_Witness_Datasheet/Worksheet/youtube_dl_1490240803532386306/index.html" TargetMode="External"/><Relationship Id="rId625" Type="http://schemas.openxmlformats.org/officeDocument/2006/relationships/hyperlink" Target="https://bellingcat-archive.nyc3.cdn.digitaloceanspaces.com/Ukraine_Witness_Datasheet/Worksheet/youtube_dl__GirkinGirkin_status_14902408035323863062022-02-25T13:21:56.799520.png" TargetMode="External"/><Relationship Id="rId2780" Type="http://schemas.openxmlformats.org/officeDocument/2006/relationships/hyperlink" Target="https://twitter.com/Snews_india/status/1497058004235350018" TargetMode="External"/><Relationship Id="rId1450" Type="http://schemas.openxmlformats.org/officeDocument/2006/relationships/hyperlink" Target="https://bellingcat-archive.nyc3.cdn.digitaloceanspaces.com/Ukraine_Witness_Datasheet/Worksheet/tiktok_7065306324585712898.mp4" TargetMode="External"/><Relationship Id="rId2781" Type="http://schemas.openxmlformats.org/officeDocument/2006/relationships/hyperlink" Target="https://bellingcat-archive.nyc3.cdn.digitaloceanspaces.com/Ukraine_Witness_Datasheet/Worksheet/youtube_dl_1497058004235350018.mp4" TargetMode="External"/><Relationship Id="rId620" Type="http://schemas.openxmlformats.org/officeDocument/2006/relationships/hyperlink" Target="https://bellingcat-archive.nyc3.cdn.digitaloceanspaces.com/Ukraine_Witness_Datasheet/Worksheet/youtube_dl__GirkinGirkin_status_14914794898718187532022-02-25T13:21:38.178018.png" TargetMode="External"/><Relationship Id="rId1451" Type="http://schemas.openxmlformats.org/officeDocument/2006/relationships/hyperlink" Target="https://bellingcat-archive.nyc3.cdn.digitaloceanspaces.com/Ukraine_Witness_Datasheet/Worksheet/tiktok__@moto_bat31_video_70653063245857128982022-02-25T14:27:31.002726.png" TargetMode="External"/><Relationship Id="rId2782" Type="http://schemas.openxmlformats.org/officeDocument/2006/relationships/hyperlink" Target="https://bellingcat-archive.nyc3.cdn.digitaloceanspaces.com/Ukraine_Witness_Datasheet/Worksheet/youtube_dl__Snews_india_status_14970580042353500182022-02-25T15:17:55.821784.png" TargetMode="External"/><Relationship Id="rId1452" Type="http://schemas.openxmlformats.org/officeDocument/2006/relationships/hyperlink" Target="https://bellingcat-archive.nyc3.cdn.digitaloceanspaces.com/Ukraine_Witness_Datasheet/Worksheet/tiktok_7065306324585712898/index.html" TargetMode="External"/><Relationship Id="rId2783" Type="http://schemas.openxmlformats.org/officeDocument/2006/relationships/hyperlink" Target="https://bellingcat-archive.nyc3.cdn.digitaloceanspaces.com/Ukraine_Witness_Datasheet/Worksheet/youtube_dl_1497058004235350018/index.html" TargetMode="External"/><Relationship Id="rId1453" Type="http://schemas.openxmlformats.org/officeDocument/2006/relationships/hyperlink" Target="https://www.tiktok.com/@moto_bat31/video/7065308855407774978?is_from_webapp=1&amp;sender_device=pc&amp;web_id7028892818824480262" TargetMode="External"/><Relationship Id="rId2784" Type="http://schemas.openxmlformats.org/officeDocument/2006/relationships/hyperlink" Target="https://twitter.com/IntelCrab/status/1497224482829660162" TargetMode="External"/><Relationship Id="rId1454" Type="http://schemas.openxmlformats.org/officeDocument/2006/relationships/hyperlink" Target="https://bellingcat-archive.nyc3.cdn.digitaloceanspaces.com/Ukraine_Witness_Datasheet/Worksheet/tiktok_7065308855407774978.mp4" TargetMode="External"/><Relationship Id="rId2785" Type="http://schemas.openxmlformats.org/officeDocument/2006/relationships/hyperlink" Target="https://bellingcat-archive.nyc3.cdn.digitaloceanspaces.com/Ukraine_Witness_Datasheet/Worksheet/youtube_dl_1497224482829660162.mp4" TargetMode="External"/><Relationship Id="rId1444" Type="http://schemas.openxmlformats.org/officeDocument/2006/relationships/hyperlink" Target="https://bellingcat-archive.nyc3.cdn.digitaloceanspaces.com/Ukraine_Witness_Datasheet/Worksheet/tiktok_7065302927874788609/index.html" TargetMode="External"/><Relationship Id="rId2775" Type="http://schemas.openxmlformats.org/officeDocument/2006/relationships/hyperlink" Target="https://twitter.com/FrancescaEbel/status/1497202001154740225?s=20&amp;t=d4GjkYoB75_9-eWvX5sCrg" TargetMode="External"/><Relationship Id="rId1445" Type="http://schemas.openxmlformats.org/officeDocument/2006/relationships/hyperlink" Target="https://www.tiktok.com/@moto_bat31/video/7065304080389852418?is_from_webapp=1&amp;sender_device=pc&amp;web_id7028892818824480262" TargetMode="External"/><Relationship Id="rId2776" Type="http://schemas.openxmlformats.org/officeDocument/2006/relationships/hyperlink" Target="https://twitter.com/briceleborgne/status/1497218877939400709?s=21" TargetMode="External"/><Relationship Id="rId1446" Type="http://schemas.openxmlformats.org/officeDocument/2006/relationships/hyperlink" Target="https://bellingcat-archive.nyc3.cdn.digitaloceanspaces.com/Ukraine_Witness_Datasheet/Worksheet/tiktok_7065304080389852418.mp4" TargetMode="External"/><Relationship Id="rId2777" Type="http://schemas.openxmlformats.org/officeDocument/2006/relationships/hyperlink" Target="https://bellingcat-archive.nyc3.cdn.digitaloceanspaces.com/Ukraine_Witness_Datasheet/Worksheet/youtube_dl_1497202001154740225.mp4" TargetMode="External"/><Relationship Id="rId1447" Type="http://schemas.openxmlformats.org/officeDocument/2006/relationships/hyperlink" Target="https://bellingcat-archive.nyc3.cdn.digitaloceanspaces.com/Ukraine_Witness_Datasheet/Worksheet/tiktok__@moto_bat31_video_70653040803898524182022-02-25T14:28:22.365388.png" TargetMode="External"/><Relationship Id="rId2778" Type="http://schemas.openxmlformats.org/officeDocument/2006/relationships/hyperlink" Target="https://bellingcat-archive.nyc3.cdn.digitaloceanspaces.com/Ukraine_Witness_Datasheet/Worksheet/youtube_dl__FrancescaEbel_status_14972020011547402252022-02-25T15:08:52.459329.png" TargetMode="External"/><Relationship Id="rId1448" Type="http://schemas.openxmlformats.org/officeDocument/2006/relationships/hyperlink" Target="https://bellingcat-archive.nyc3.cdn.digitaloceanspaces.com/Ukraine_Witness_Datasheet/Worksheet/tiktok_7065304080389852418/index.html" TargetMode="External"/><Relationship Id="rId2779" Type="http://schemas.openxmlformats.org/officeDocument/2006/relationships/hyperlink" Target="https://bellingcat-archive.nyc3.cdn.digitaloceanspaces.com/Ukraine_Witness_Datasheet/Worksheet/youtube_dl_1497202001154740225/index.html" TargetMode="External"/><Relationship Id="rId1449" Type="http://schemas.openxmlformats.org/officeDocument/2006/relationships/hyperlink" Target="https://www.tiktok.com/@moto_bat31/video/7065306324585712898?is_from_webapp=1&amp;sender_device=pc&amp;web_id7028892818824480262" TargetMode="External"/><Relationship Id="rId619" Type="http://schemas.openxmlformats.org/officeDocument/2006/relationships/hyperlink" Target="https://bellingcat-archive.nyc3.cdn.digitaloceanspaces.com/Ukraine_Witness_Datasheet/Worksheet/youtube_dl_1491479489871818753.mp4" TargetMode="External"/><Relationship Id="rId618" Type="http://schemas.openxmlformats.org/officeDocument/2006/relationships/hyperlink" Target="https://twitter.com/gfusfus/status/1491508178198089731" TargetMode="External"/><Relationship Id="rId613" Type="http://schemas.openxmlformats.org/officeDocument/2006/relationships/hyperlink" Target="https://twitter.com/gfusfus/status/1491553093808533505" TargetMode="External"/><Relationship Id="rId612" Type="http://schemas.openxmlformats.org/officeDocument/2006/relationships/hyperlink" Target="https://twitter.com/4emberlen/status/1491525567308574730" TargetMode="External"/><Relationship Id="rId611" Type="http://schemas.openxmlformats.org/officeDocument/2006/relationships/hyperlink" Target="https://bellingcat-archive.nyc3.cdn.digitaloceanspaces.com/Ukraine_Witness_Datasheet/Worksheet/youtube_dl_1491552108885286917/index.html" TargetMode="External"/><Relationship Id="rId610" Type="http://schemas.openxmlformats.org/officeDocument/2006/relationships/hyperlink" Target="https://bellingcat-archive.nyc3.cdn.digitaloceanspaces.com/Ukraine_Witness_Datasheet/Worksheet/youtube_dl__theragex_status_14915521088852869172022-02-25T13:20:58.954125.png" TargetMode="External"/><Relationship Id="rId617" Type="http://schemas.openxmlformats.org/officeDocument/2006/relationships/hyperlink" Target="https://twitter.com/GirkinGirkin/status/1491479489871818753" TargetMode="External"/><Relationship Id="rId616" Type="http://schemas.openxmlformats.org/officeDocument/2006/relationships/hyperlink" Target="https://bellingcat-archive.nyc3.cdn.digitaloceanspaces.com/Ukraine_Witness_Datasheet/Worksheet/youtube_dl_1491525567308574730/index.html" TargetMode="External"/><Relationship Id="rId615" Type="http://schemas.openxmlformats.org/officeDocument/2006/relationships/hyperlink" Target="https://bellingcat-archive.nyc3.cdn.digitaloceanspaces.com/Ukraine_Witness_Datasheet/Worksheet/youtube_dl__4emberlen_status_14915255673085747302022-02-25T13:21:18.289775.png" TargetMode="External"/><Relationship Id="rId614" Type="http://schemas.openxmlformats.org/officeDocument/2006/relationships/hyperlink" Target="https://bellingcat-archive.nyc3.cdn.digitaloceanspaces.com/Ukraine_Witness_Datasheet/Worksheet/youtube_dl_1491525567308574730.mp4" TargetMode="External"/><Relationship Id="rId2770" Type="http://schemas.openxmlformats.org/officeDocument/2006/relationships/hyperlink" Target="https://twitter.com/Kronidos/status/1497184427708981263" TargetMode="External"/><Relationship Id="rId1440" Type="http://schemas.openxmlformats.org/officeDocument/2006/relationships/hyperlink" Target="https://bellingcat-archive.nyc3.cdn.digitaloceanspaces.com/Ukraine_Witness_Datasheet/Worksheet/tiktok_7064951242409250049/index.html" TargetMode="External"/><Relationship Id="rId2771" Type="http://schemas.openxmlformats.org/officeDocument/2006/relationships/hyperlink" Target="https://twitter.com/gfusfus/status/1497217860380155905" TargetMode="External"/><Relationship Id="rId1441" Type="http://schemas.openxmlformats.org/officeDocument/2006/relationships/hyperlink" Target="https://www.tiktok.com/@moto_bat31/video/7065302927874788609?is_from_webapp=1&amp;sender_device=pc&amp;web_id7028892818824480262" TargetMode="External"/><Relationship Id="rId2772" Type="http://schemas.openxmlformats.org/officeDocument/2006/relationships/hyperlink" Target="https://bellingcat-archive.nyc3.cdn.digitaloceanspaces.com/Ukraine_Witness_Datasheet/Worksheet/youtube_dl_1497184427708981263.mp4" TargetMode="External"/><Relationship Id="rId1442" Type="http://schemas.openxmlformats.org/officeDocument/2006/relationships/hyperlink" Target="https://bellingcat-archive.nyc3.cdn.digitaloceanspaces.com/Ukraine_Witness_Datasheet/Worksheet/tiktok_7065302927874788609.mp4" TargetMode="External"/><Relationship Id="rId2773" Type="http://schemas.openxmlformats.org/officeDocument/2006/relationships/hyperlink" Target="https://bellingcat-archive.nyc3.cdn.digitaloceanspaces.com/Ukraine_Witness_Datasheet/Worksheet/youtube_dl__Kronidos_status_14971844277089812632022-02-25T15:04:50.039615.png" TargetMode="External"/><Relationship Id="rId1443" Type="http://schemas.openxmlformats.org/officeDocument/2006/relationships/hyperlink" Target="https://bellingcat-archive.nyc3.cdn.digitaloceanspaces.com/Ukraine_Witness_Datasheet/Worksheet/tiktok__@moto_bat31_video_70653029278747886092022-02-25T14:28:54.857765.png" TargetMode="External"/><Relationship Id="rId2774" Type="http://schemas.openxmlformats.org/officeDocument/2006/relationships/hyperlink" Target="https://bellingcat-archive.nyc3.cdn.digitaloceanspaces.com/Ukraine_Witness_Datasheet/Worksheet/youtube_dl_1497184427708981263/index.html" TargetMode="External"/><Relationship Id="rId1477" Type="http://schemas.openxmlformats.org/officeDocument/2006/relationships/hyperlink" Target="https://bellingcat-archive.nyc3.cdn.digitaloceanspaces.com/Ukraine_Witness_Datasheet/Worksheet/youtube_dl_1493981749533196289/index.html" TargetMode="External"/><Relationship Id="rId1478" Type="http://schemas.openxmlformats.org/officeDocument/2006/relationships/hyperlink" Target="https://twitter.com/GirkinGirkin/status/1494003211992186892" TargetMode="External"/><Relationship Id="rId1479" Type="http://schemas.openxmlformats.org/officeDocument/2006/relationships/hyperlink" Target="https://twitter.com/gfusfus/status/1494014853522018306" TargetMode="External"/><Relationship Id="rId646" Type="http://schemas.openxmlformats.org/officeDocument/2006/relationships/hyperlink" Target="https://bellingcat-archive.nyc3.cdn.digitaloceanspaces.com/Ukraine_Witness_Datasheet/Worksheet/youtube_dl_1490027718376841223/index.html" TargetMode="External"/><Relationship Id="rId645" Type="http://schemas.openxmlformats.org/officeDocument/2006/relationships/hyperlink" Target="https://bellingcat-archive.nyc3.cdn.digitaloceanspaces.com/Ukraine_Witness_Datasheet/Worksheet/youtube_dl__GirkinGirkin_status_14900277183768412232022-02-25T13:23:16.375412.png" TargetMode="External"/><Relationship Id="rId644" Type="http://schemas.openxmlformats.org/officeDocument/2006/relationships/hyperlink" Target="https://bellingcat-archive.nyc3.cdn.digitaloceanspaces.com/Ukraine_Witness_Datasheet/Worksheet/youtube_dl_1490027718376841223.mp4" TargetMode="External"/><Relationship Id="rId643" Type="http://schemas.openxmlformats.org/officeDocument/2006/relationships/hyperlink" Target="https://twitter.com/gfusfus/status/1490038040517038085" TargetMode="External"/><Relationship Id="rId649" Type="http://schemas.openxmlformats.org/officeDocument/2006/relationships/hyperlink" Target="https://bellingcat-archive.nyc3.cdn.digitaloceanspaces.com/Ukraine_Witness_Datasheet/Worksheet/youtube_dl_1490027970697830400.mp4" TargetMode="External"/><Relationship Id="rId648" Type="http://schemas.openxmlformats.org/officeDocument/2006/relationships/hyperlink" Target="https://twitter.com/gfusfus/status/1490035915682910209" TargetMode="External"/><Relationship Id="rId647" Type="http://schemas.openxmlformats.org/officeDocument/2006/relationships/hyperlink" Target="https://twitter.com/GirkinGirkin/status/1490027970697830400" TargetMode="External"/><Relationship Id="rId1470" Type="http://schemas.openxmlformats.org/officeDocument/2006/relationships/hyperlink" Target="https://bellingcat-archive.nyc3.cdn.digitaloceanspaces.com/Ukraine_Witness_Datasheet/Worksheet/tiktok_7065358572779031810.mp4" TargetMode="External"/><Relationship Id="rId1471" Type="http://schemas.openxmlformats.org/officeDocument/2006/relationships/hyperlink" Target="https://bellingcat-archive.nyc3.cdn.digitaloceanspaces.com/Ukraine_Witness_Datasheet/Worksheet/tiktok__@moto_bat31_video_70653585727790318102022-02-25T14:24:34.175205.png" TargetMode="External"/><Relationship Id="rId1472" Type="http://schemas.openxmlformats.org/officeDocument/2006/relationships/hyperlink" Target="https://bellingcat-archive.nyc3.cdn.digitaloceanspaces.com/Ukraine_Witness_Datasheet/Worksheet/tiktok_7065358572779031810/index.html" TargetMode="External"/><Relationship Id="rId642" Type="http://schemas.openxmlformats.org/officeDocument/2006/relationships/hyperlink" Target="https://twitter.com/GirkinGirkin/status/1490027718376841223" TargetMode="External"/><Relationship Id="rId1473" Type="http://schemas.openxmlformats.org/officeDocument/2006/relationships/hyperlink" Target="https://twitter.com/GirkinGirkin/status/1493981749533196289" TargetMode="External"/><Relationship Id="rId641" Type="http://schemas.openxmlformats.org/officeDocument/2006/relationships/hyperlink" Target="https://bellingcat-archive.nyc3.cdn.digitaloceanspaces.com/Ukraine_Witness_Datasheet/Worksheet/youtube_dl_1490034944579616773/index.html" TargetMode="External"/><Relationship Id="rId1474" Type="http://schemas.openxmlformats.org/officeDocument/2006/relationships/hyperlink" Target="https://twitter.com/grad_harrison/status/1494014454765391878" TargetMode="External"/><Relationship Id="rId640" Type="http://schemas.openxmlformats.org/officeDocument/2006/relationships/hyperlink" Target="https://bellingcat-archive.nyc3.cdn.digitaloceanspaces.com/Ukraine_Witness_Datasheet/Worksheet/youtube_dl__GirkinGirkin_status_14900349445796167732022-02-25T13:22:55.673109.png" TargetMode="External"/><Relationship Id="rId1475" Type="http://schemas.openxmlformats.org/officeDocument/2006/relationships/hyperlink" Target="https://bellingcat-archive.nyc3.cdn.digitaloceanspaces.com/Ukraine_Witness_Datasheet/Worksheet/youtube_dl_1493981749533196289.mp4" TargetMode="External"/><Relationship Id="rId1476" Type="http://schemas.openxmlformats.org/officeDocument/2006/relationships/hyperlink" Target="https://bellingcat-archive.nyc3.cdn.digitaloceanspaces.com/Ukraine_Witness_Datasheet/Worksheet/youtube_dl__GirkinGirkin_status_14939817495331962892022-02-25T14:24:04.535759.png" TargetMode="External"/><Relationship Id="rId1466" Type="http://schemas.openxmlformats.org/officeDocument/2006/relationships/hyperlink" Target="https://bellingcat-archive.nyc3.cdn.digitaloceanspaces.com/Ukraine_Witness_Datasheet/Worksheet/tiktok_7065315245425757441.mp4" TargetMode="External"/><Relationship Id="rId2797" Type="http://schemas.openxmlformats.org/officeDocument/2006/relationships/hyperlink" Target="https://bellingcat-archive.nyc3.cdn.digitaloceanspaces.com/Ukraine_Witness_Datasheet/Worksheet/twitter__trbrtc_status_1496947553421647878.html" TargetMode="External"/><Relationship Id="rId1467" Type="http://schemas.openxmlformats.org/officeDocument/2006/relationships/hyperlink" Target="https://bellingcat-archive.nyc3.cdn.digitaloceanspaces.com/Ukraine_Witness_Datasheet/Worksheet/tiktok__@moto_bat31_video_70653152454257574412022-02-25T14:25:13.947764.png" TargetMode="External"/><Relationship Id="rId2798" Type="http://schemas.openxmlformats.org/officeDocument/2006/relationships/hyperlink" Target="https://bellingcat-archive.nyc3.cdn.digitaloceanspaces.com/Ukraine_Witness_Datasheet/Worksheet/twitter__trbrtc_status_14969475534216478782022-02-25T15:44:49.341570.png" TargetMode="External"/><Relationship Id="rId1468" Type="http://schemas.openxmlformats.org/officeDocument/2006/relationships/hyperlink" Target="https://bellingcat-archive.nyc3.cdn.digitaloceanspaces.com/Ukraine_Witness_Datasheet/Worksheet/tiktok_7065315245425757441/index.html" TargetMode="External"/><Relationship Id="rId2799" Type="http://schemas.openxmlformats.org/officeDocument/2006/relationships/hyperlink" Target="https://twitter.com/UAWeapons/status/1497217758051717123" TargetMode="External"/><Relationship Id="rId1469" Type="http://schemas.openxmlformats.org/officeDocument/2006/relationships/hyperlink" Target="https://www.tiktok.com/@moto_bat31/video/7065358572779031810?is_from_webapp=1&amp;sender_device=pc&amp;web_id7028892818824480262" TargetMode="External"/><Relationship Id="rId635" Type="http://schemas.openxmlformats.org/officeDocument/2006/relationships/hyperlink" Target="https://bellingcat-archive.nyc3.cdn.digitaloceanspaces.com/Ukraine_Witness_Datasheet/Worksheet/youtube_dl__GirkinGirkin_status_14900459197897850982022-02-25T13:22:31.698716.png" TargetMode="External"/><Relationship Id="rId634" Type="http://schemas.openxmlformats.org/officeDocument/2006/relationships/hyperlink" Target="https://bellingcat-archive.nyc3.cdn.digitaloceanspaces.com/Ukraine_Witness_Datasheet/Worksheet/youtube_dl_1490045919789785098.mp4" TargetMode="External"/><Relationship Id="rId633" Type="http://schemas.openxmlformats.org/officeDocument/2006/relationships/hyperlink" Target="https://twitter.com/gfusfus/status/1490056592544387074" TargetMode="External"/><Relationship Id="rId632" Type="http://schemas.openxmlformats.org/officeDocument/2006/relationships/hyperlink" Target="https://twitter.com/GirkinGirkin/status/1490045919789785098" TargetMode="External"/><Relationship Id="rId639" Type="http://schemas.openxmlformats.org/officeDocument/2006/relationships/hyperlink" Target="https://bellingcat-archive.nyc3.cdn.digitaloceanspaces.com/Ukraine_Witness_Datasheet/Worksheet/youtube_dl_1490034944579616773.mp4" TargetMode="External"/><Relationship Id="rId638" Type="http://schemas.openxmlformats.org/officeDocument/2006/relationships/hyperlink" Target="https://twitter.com/gfusfus/status/1490050945509642250" TargetMode="External"/><Relationship Id="rId637" Type="http://schemas.openxmlformats.org/officeDocument/2006/relationships/hyperlink" Target="https://twitter.com/GirkinGirkin/status/1490034944579616773" TargetMode="External"/><Relationship Id="rId636" Type="http://schemas.openxmlformats.org/officeDocument/2006/relationships/hyperlink" Target="https://bellingcat-archive.nyc3.cdn.digitaloceanspaces.com/Ukraine_Witness_Datasheet/Worksheet/youtube_dl_1490045919789785098/index.html" TargetMode="External"/><Relationship Id="rId2790" Type="http://schemas.openxmlformats.org/officeDocument/2006/relationships/hyperlink" Target="https://bellingcat-archive.nyc3.cdn.digitaloceanspaces.com/Ukraine_Witness_Datasheet/Worksheet/youtube_dl__mommentonews_status_14971740328940748832022-02-25T15:44:04.433894.png" TargetMode="External"/><Relationship Id="rId1460" Type="http://schemas.openxmlformats.org/officeDocument/2006/relationships/hyperlink" Target="https://bellingcat-archive.nyc3.cdn.digitaloceanspaces.com/Ukraine_Witness_Datasheet/Worksheet/tiktok_7065309604246228225/index.html" TargetMode="External"/><Relationship Id="rId2791" Type="http://schemas.openxmlformats.org/officeDocument/2006/relationships/hyperlink" Target="https://bellingcat-archive.nyc3.cdn.digitaloceanspaces.com/Ukraine_Witness_Datasheet/Worksheet/youtube_dl_1497174032894074883/index.html" TargetMode="External"/><Relationship Id="rId1461" Type="http://schemas.openxmlformats.org/officeDocument/2006/relationships/hyperlink" Target="https://www.tiktok.com/@moto_bat31/video/7065314204504345857?is_from_webapp=1&amp;sender_device=pc&amp;web_id7028892818824480262" TargetMode="External"/><Relationship Id="rId2792" Type="http://schemas.openxmlformats.org/officeDocument/2006/relationships/hyperlink" Target="https://twitter.com/MarQs__/status/1497229423036313605" TargetMode="External"/><Relationship Id="rId631" Type="http://schemas.openxmlformats.org/officeDocument/2006/relationships/hyperlink" Target="https://bellingcat-archive.nyc3.cdn.digitaloceanspaces.com/Ukraine_Witness_Datasheet/Worksheet/youtube_dl_1490012932037619712/index.html" TargetMode="External"/><Relationship Id="rId1462" Type="http://schemas.openxmlformats.org/officeDocument/2006/relationships/hyperlink" Target="https://bellingcat-archive.nyc3.cdn.digitaloceanspaces.com/Ukraine_Witness_Datasheet/Worksheet/tiktok_7065314204504345857.mp4" TargetMode="External"/><Relationship Id="rId2793" Type="http://schemas.openxmlformats.org/officeDocument/2006/relationships/hyperlink" Target="https://bellingcat-archive.nyc3.cdn.digitaloceanspaces.com/Ukraine_Witness_Datasheet/Worksheet/youtube_dl_1497229423036313605.mp4" TargetMode="External"/><Relationship Id="rId630" Type="http://schemas.openxmlformats.org/officeDocument/2006/relationships/hyperlink" Target="https://bellingcat-archive.nyc3.cdn.digitaloceanspaces.com/Ukraine_Witness_Datasheet/Worksheet/youtube_dl__theragex_status_14900129320376197122022-02-25T13:22:13.984613.png" TargetMode="External"/><Relationship Id="rId1463" Type="http://schemas.openxmlformats.org/officeDocument/2006/relationships/hyperlink" Target="https://bellingcat-archive.nyc3.cdn.digitaloceanspaces.com/Ukraine_Witness_Datasheet/Worksheet/tiktok__@moto_bat31_video_70653142045043458572022-02-25T14:25:47.573121.png" TargetMode="External"/><Relationship Id="rId2794" Type="http://schemas.openxmlformats.org/officeDocument/2006/relationships/hyperlink" Target="https://bellingcat-archive.nyc3.cdn.digitaloceanspaces.com/Ukraine_Witness_Datasheet/Worksheet/youtube_dl__MarQs___status_14972294230363136052022-02-25T15:44:28.075295.png" TargetMode="External"/><Relationship Id="rId1464" Type="http://schemas.openxmlformats.org/officeDocument/2006/relationships/hyperlink" Target="https://bellingcat-archive.nyc3.cdn.digitaloceanspaces.com/Ukraine_Witness_Datasheet/Worksheet/tiktok_7065314204504345857/index.html" TargetMode="External"/><Relationship Id="rId2795" Type="http://schemas.openxmlformats.org/officeDocument/2006/relationships/hyperlink" Target="https://bellingcat-archive.nyc3.cdn.digitaloceanspaces.com/Ukraine_Witness_Datasheet/Worksheet/youtube_dl_1497229423036313605/index.html" TargetMode="External"/><Relationship Id="rId1465" Type="http://schemas.openxmlformats.org/officeDocument/2006/relationships/hyperlink" Target="https://www.tiktok.com/@moto_bat31/video/7065315245425757441?is_from_webapp=1&amp;sender_device=pc&amp;web_id7028892818824480262" TargetMode="External"/><Relationship Id="rId2796" Type="http://schemas.openxmlformats.org/officeDocument/2006/relationships/hyperlink" Target="https://twitter.com/trbrtc/status/1496947553421647878?s=20&amp;t=HDnQnqqLPcYoyNDJM5p4_A" TargetMode="External"/><Relationship Id="rId1411" Type="http://schemas.openxmlformats.org/officeDocument/2006/relationships/hyperlink" Target="https://bellingcat-archive.nyc3.cdn.digitaloceanspaces.com/Ukraine_Witness_Datasheet/Worksheet/youtube_dl__GirkinGirkin_status_14937949512007065602022-02-25T14:31:47.038251.png" TargetMode="External"/><Relationship Id="rId2742" Type="http://schemas.openxmlformats.org/officeDocument/2006/relationships/hyperlink" Target="https://twitter.com/futureisnottmr/status/1497216415757000705" TargetMode="External"/><Relationship Id="rId1412" Type="http://schemas.openxmlformats.org/officeDocument/2006/relationships/hyperlink" Target="https://bellingcat-archive.nyc3.cdn.digitaloceanspaces.com/Ukraine_Witness_Datasheet/Worksheet/youtube_dl_1493794951200706560/index.html" TargetMode="External"/><Relationship Id="rId2743" Type="http://schemas.openxmlformats.org/officeDocument/2006/relationships/hyperlink" Target="https://twitter.com/kromark/status/1497200925995409412" TargetMode="External"/><Relationship Id="rId1413" Type="http://schemas.openxmlformats.org/officeDocument/2006/relationships/hyperlink" Target="https://twitter.com/JC_Monitoring/status/1493738346564268032" TargetMode="External"/><Relationship Id="rId2744" Type="http://schemas.openxmlformats.org/officeDocument/2006/relationships/hyperlink" Target="https://bellingcat-archive.nyc3.cdn.digitaloceanspaces.com/Ukraine_Witness_Datasheet/Worksheet/twitter__futureisnottmr_status_1497216415757000705.html" TargetMode="External"/><Relationship Id="rId1414" Type="http://schemas.openxmlformats.org/officeDocument/2006/relationships/hyperlink" Target="https://twitter.com/JC_Monitoring/status/1493739617228664836" TargetMode="External"/><Relationship Id="rId2745" Type="http://schemas.openxmlformats.org/officeDocument/2006/relationships/hyperlink" Target="https://bellingcat-archive.nyc3.cdn.digitaloceanspaces.com/Ukraine_Witness_Datasheet/Worksheet/twitter__futureisnottmr_status_14972164157570007052022-02-25T14:55:04.366606.png" TargetMode="External"/><Relationship Id="rId1415" Type="http://schemas.openxmlformats.org/officeDocument/2006/relationships/hyperlink" Target="https://bellingcat-archive.nyc3.cdn.digitaloceanspaces.com/Ukraine_Witness_Datasheet/Worksheet/youtube_dl_1493738346564268032.mp4" TargetMode="External"/><Relationship Id="rId2746" Type="http://schemas.openxmlformats.org/officeDocument/2006/relationships/hyperlink" Target="https://twitter.com/MarQs__/status/1497208397963350016" TargetMode="External"/><Relationship Id="rId1416" Type="http://schemas.openxmlformats.org/officeDocument/2006/relationships/hyperlink" Target="https://bellingcat-archive.nyc3.cdn.digitaloceanspaces.com/Ukraine_Witness_Datasheet/Worksheet/youtube_dl__JC_Monitoring_status_14937383465642680322022-02-25T14:31:29.880776.png" TargetMode="External"/><Relationship Id="rId2747" Type="http://schemas.openxmlformats.org/officeDocument/2006/relationships/hyperlink" Target="https://bellingcat-archive.nyc3.cdn.digitaloceanspaces.com/Ukraine_Witness_Datasheet/Worksheet/youtube_dl_1497208397963350016.mp4" TargetMode="External"/><Relationship Id="rId1417" Type="http://schemas.openxmlformats.org/officeDocument/2006/relationships/hyperlink" Target="https://bellingcat-archive.nyc3.cdn.digitaloceanspaces.com/Ukraine_Witness_Datasheet/Worksheet/youtube_dl_1493738346564268032/index.html" TargetMode="External"/><Relationship Id="rId2748" Type="http://schemas.openxmlformats.org/officeDocument/2006/relationships/hyperlink" Target="https://bellingcat-archive.nyc3.cdn.digitaloceanspaces.com/Ukraine_Witness_Datasheet/Worksheet/youtube_dl__MarQs___status_14972083979633500162022-02-25T14:55:19.890173.png" TargetMode="External"/><Relationship Id="rId1418" Type="http://schemas.openxmlformats.org/officeDocument/2006/relationships/hyperlink" Target="https://twitter.com/4emberlen/status/1493370314293719046" TargetMode="External"/><Relationship Id="rId2749" Type="http://schemas.openxmlformats.org/officeDocument/2006/relationships/hyperlink" Target="https://bellingcat-archive.nyc3.cdn.digitaloceanspaces.com/Ukraine_Witness_Datasheet/Worksheet/youtube_dl_1497208397963350016/index.html" TargetMode="External"/><Relationship Id="rId1419" Type="http://schemas.openxmlformats.org/officeDocument/2006/relationships/hyperlink" Target="https://twitter.com/danvan71/status/1493396222048100352" TargetMode="External"/><Relationship Id="rId2740" Type="http://schemas.openxmlformats.org/officeDocument/2006/relationships/hyperlink" Target="https://bellingcat-archive.nyc3.cdn.digitaloceanspaces.com/Ukraine_Witness_Datasheet/Worksheet/youtube_dl__666_mancer_status_14971909143259873292022-02-25T14:54:49.282650.png" TargetMode="External"/><Relationship Id="rId1410" Type="http://schemas.openxmlformats.org/officeDocument/2006/relationships/hyperlink" Target="https://bellingcat-archive.nyc3.cdn.digitaloceanspaces.com/Ukraine_Witness_Datasheet/Worksheet/youtube_dl_1493794951200706560.mp4" TargetMode="External"/><Relationship Id="rId2741" Type="http://schemas.openxmlformats.org/officeDocument/2006/relationships/hyperlink" Target="https://bellingcat-archive.nyc3.cdn.digitaloceanspaces.com/Ukraine_Witness_Datasheet/Worksheet/youtube_dl_1497190914325987329/index.html" TargetMode="External"/><Relationship Id="rId1400" Type="http://schemas.openxmlformats.org/officeDocument/2006/relationships/hyperlink" Target="https://twitter.com/JC_Monitoring/status/1493729732021547013" TargetMode="External"/><Relationship Id="rId2731" Type="http://schemas.openxmlformats.org/officeDocument/2006/relationships/hyperlink" Target="https://bellingcat-archive.nyc3.cdn.digitaloceanspaces.com/Ukraine_Witness_Datasheet/Worksheet/youtube_dl_1497200521337208838.mp4" TargetMode="External"/><Relationship Id="rId1401" Type="http://schemas.openxmlformats.org/officeDocument/2006/relationships/hyperlink" Target="https://bellingcat-archive.nyc3.cdn.digitaloceanspaces.com/Ukraine_Witness_Datasheet/Worksheet/youtube_dl_1493729688920887307.mp4" TargetMode="External"/><Relationship Id="rId2732" Type="http://schemas.openxmlformats.org/officeDocument/2006/relationships/hyperlink" Target="https://bellingcat-archive.nyc3.cdn.digitaloceanspaces.com/Ukraine_Witness_Datasheet/Worksheet/youtube_dl__RALee85_status_14972005213372088382022-02-25T14:54:17.268841.png" TargetMode="External"/><Relationship Id="rId1402" Type="http://schemas.openxmlformats.org/officeDocument/2006/relationships/hyperlink" Target="https://bellingcat-archive.nyc3.cdn.digitaloceanspaces.com/Ukraine_Witness_Datasheet/Worksheet/youtube_dl__JC_Monitoring_status_14937296889208873072022-02-25T14:32:20.997005.png" TargetMode="External"/><Relationship Id="rId2733" Type="http://schemas.openxmlformats.org/officeDocument/2006/relationships/hyperlink" Target="https://bellingcat-archive.nyc3.cdn.digitaloceanspaces.com/Ukraine_Witness_Datasheet/Worksheet/youtube_dl_1497200521337208838/index.html" TargetMode="External"/><Relationship Id="rId1403" Type="http://schemas.openxmlformats.org/officeDocument/2006/relationships/hyperlink" Target="https://bellingcat-archive.nyc3.cdn.digitaloceanspaces.com/Ukraine_Witness_Datasheet/Worksheet/youtube_dl_1493729688920887307/index.html" TargetMode="External"/><Relationship Id="rId2734" Type="http://schemas.openxmlformats.org/officeDocument/2006/relationships/hyperlink" Target="https://twitter.com/RALee85/status/1497203581849583632" TargetMode="External"/><Relationship Id="rId1404" Type="http://schemas.openxmlformats.org/officeDocument/2006/relationships/hyperlink" Target="https://twitter.com/ChristopherJM/status/1494063690479456257" TargetMode="External"/><Relationship Id="rId2735" Type="http://schemas.openxmlformats.org/officeDocument/2006/relationships/hyperlink" Target="https://bellingcat-archive.nyc3.cdn.digitaloceanspaces.com/Ukraine_Witness_Datasheet/Worksheet/twitter__RALee85_status_1497203581849583632.html" TargetMode="External"/><Relationship Id="rId1405" Type="http://schemas.openxmlformats.org/officeDocument/2006/relationships/hyperlink" Target="https://twitter.com/IntelDoge/status/1493741564320956418" TargetMode="External"/><Relationship Id="rId2736" Type="http://schemas.openxmlformats.org/officeDocument/2006/relationships/hyperlink" Target="https://bellingcat-archive.nyc3.cdn.digitaloceanspaces.com/Ukraine_Witness_Datasheet/Worksheet/twitter__RALee85_status_14972035818495836322022-02-25T14:54:36.187300.png" TargetMode="External"/><Relationship Id="rId1406" Type="http://schemas.openxmlformats.org/officeDocument/2006/relationships/hyperlink" Target="https://bellingcat-archive.nyc3.cdn.digitaloceanspaces.com/Ukraine_Witness_Datasheet/Worksheet/twitter__ChristopherJM_status_1494063690479456257.html" TargetMode="External"/><Relationship Id="rId2737" Type="http://schemas.openxmlformats.org/officeDocument/2006/relationships/hyperlink" Target="https://twitter.com/666_mancer/status/1497190914325987329" TargetMode="External"/><Relationship Id="rId1407" Type="http://schemas.openxmlformats.org/officeDocument/2006/relationships/hyperlink" Target="https://bellingcat-archive.nyc3.cdn.digitaloceanspaces.com/Ukraine_Witness_Datasheet/Worksheet/twitter__ChristopherJM_status_14940636904794562572022-02-25T14:32:05.334450.png" TargetMode="External"/><Relationship Id="rId2738" Type="http://schemas.openxmlformats.org/officeDocument/2006/relationships/hyperlink" Target="https://twitter.com/vnprkhzhk/status/1497196218472148993" TargetMode="External"/><Relationship Id="rId1408" Type="http://schemas.openxmlformats.org/officeDocument/2006/relationships/hyperlink" Target="https://twitter.com/GirkinGirkin/status/1493794951200706560" TargetMode="External"/><Relationship Id="rId2739" Type="http://schemas.openxmlformats.org/officeDocument/2006/relationships/hyperlink" Target="https://bellingcat-archive.nyc3.cdn.digitaloceanspaces.com/Ukraine_Witness_Datasheet/Worksheet/youtube_dl_1497190914325987329.mp4" TargetMode="External"/><Relationship Id="rId1409" Type="http://schemas.openxmlformats.org/officeDocument/2006/relationships/hyperlink" Target="https://twitter.com/YaBoyHeem103/status/1493797772646141953" TargetMode="External"/><Relationship Id="rId2730" Type="http://schemas.openxmlformats.org/officeDocument/2006/relationships/hyperlink" Target="https://twitter.com/RALee85/status/1497200521337208838" TargetMode="External"/><Relationship Id="rId1433" Type="http://schemas.openxmlformats.org/officeDocument/2006/relationships/hyperlink" Target="https://twitter.com/zvalgasrytuose/status/1493927946557562880" TargetMode="External"/><Relationship Id="rId2764" Type="http://schemas.openxmlformats.org/officeDocument/2006/relationships/hyperlink" Target="https://bellingcat-archive.nyc3.cdn.digitaloceanspaces.com/Ukraine_Witness_Datasheet/Worksheet/youtube_dl_1497218488200355840.mp4" TargetMode="External"/><Relationship Id="rId1434" Type="http://schemas.openxmlformats.org/officeDocument/2006/relationships/hyperlink" Target="https://bellingcat-archive.nyc3.cdn.digitaloceanspaces.com/Ukraine_Witness_Datasheet/Worksheet/youtube_dl_1493916265408339973.mp4" TargetMode="External"/><Relationship Id="rId2765" Type="http://schemas.openxmlformats.org/officeDocument/2006/relationships/hyperlink" Target="https://bellingcat-archive.nyc3.cdn.digitaloceanspaces.com/Ukraine_Witness_Datasheet/Worksheet/youtube_dl__MarQs___status_14972184882003558402022-02-25T14:58:04.939020.png" TargetMode="External"/><Relationship Id="rId1435" Type="http://schemas.openxmlformats.org/officeDocument/2006/relationships/hyperlink" Target="https://bellingcat-archive.nyc3.cdn.digitaloceanspaces.com/Ukraine_Witness_Datasheet/Worksheet/youtube_dl__GirkinGirkin_status_14939162654083399732022-02-25T14:30:22.668321.png" TargetMode="External"/><Relationship Id="rId2766" Type="http://schemas.openxmlformats.org/officeDocument/2006/relationships/hyperlink" Target="https://bellingcat-archive.nyc3.cdn.digitaloceanspaces.com/Ukraine_Witness_Datasheet/Worksheet/youtube_dl_1497218488200355840/index.html" TargetMode="External"/><Relationship Id="rId1436" Type="http://schemas.openxmlformats.org/officeDocument/2006/relationships/hyperlink" Target="https://bellingcat-archive.nyc3.cdn.digitaloceanspaces.com/Ukraine_Witness_Datasheet/Worksheet/youtube_dl_1493916265408339973/index.html" TargetMode="External"/><Relationship Id="rId2767" Type="http://schemas.openxmlformats.org/officeDocument/2006/relationships/hyperlink" Target="https://twitter.com/KyivIndependent/status/1497082148460843036?s=20&amp;t=7X8nsZXT_9wyUVYNeKAvmA" TargetMode="External"/><Relationship Id="rId1437" Type="http://schemas.openxmlformats.org/officeDocument/2006/relationships/hyperlink" Target="https://www.tiktok.com/@moto_bat31/video/7064951242409250049?is_from_webapp=1&amp;sender_device=pc&amp;web_id7028892818824480262" TargetMode="External"/><Relationship Id="rId2768" Type="http://schemas.openxmlformats.org/officeDocument/2006/relationships/hyperlink" Target="https://bellingcat-archive.nyc3.cdn.digitaloceanspaces.com/Ukraine_Witness_Datasheet/Worksheet/twitter__KyivIndependent_status_1497082148460843036.html" TargetMode="External"/><Relationship Id="rId1438" Type="http://schemas.openxmlformats.org/officeDocument/2006/relationships/hyperlink" Target="https://bellingcat-archive.nyc3.cdn.digitaloceanspaces.com/Ukraine_Witness_Datasheet/Worksheet/tiktok_7064951242409250049.mp4" TargetMode="External"/><Relationship Id="rId2769" Type="http://schemas.openxmlformats.org/officeDocument/2006/relationships/hyperlink" Target="https://bellingcat-archive.nyc3.cdn.digitaloceanspaces.com/Ukraine_Witness_Datasheet/Worksheet/twitter__KyivIndependent_status_14970821484608430362022-02-25T15:01:22.038387.png" TargetMode="External"/><Relationship Id="rId1439" Type="http://schemas.openxmlformats.org/officeDocument/2006/relationships/hyperlink" Target="https://bellingcat-archive.nyc3.cdn.digitaloceanspaces.com/Ukraine_Witness_Datasheet/Worksheet/tiktok__@moto_bat31_video_70649512424092500492022-02-25T14:30:02.086284.png" TargetMode="External"/><Relationship Id="rId609" Type="http://schemas.openxmlformats.org/officeDocument/2006/relationships/hyperlink" Target="https://bellingcat-archive.nyc3.cdn.digitaloceanspaces.com/Ukraine_Witness_Datasheet/Worksheet/youtube_dl_1491552108885286917.mp4" TargetMode="External"/><Relationship Id="rId608" Type="http://schemas.openxmlformats.org/officeDocument/2006/relationships/hyperlink" Target="https://twitter.com/gfusfus/status/1491558200201650188" TargetMode="External"/><Relationship Id="rId607" Type="http://schemas.openxmlformats.org/officeDocument/2006/relationships/hyperlink" Target="https://twitter.com/theragex/status/1491552108885286917" TargetMode="External"/><Relationship Id="rId602" Type="http://schemas.openxmlformats.org/officeDocument/2006/relationships/hyperlink" Target="https://twitter.com/GirkinGirkin/status/1491446071003734016" TargetMode="External"/><Relationship Id="rId601" Type="http://schemas.openxmlformats.org/officeDocument/2006/relationships/hyperlink" Target="https://bellingcat-archive.nyc3.cdn.digitaloceanspaces.com/Ukraine_Witness_Datasheet/Worksheet/youtube_dl_1490310167459684357/index.html" TargetMode="External"/><Relationship Id="rId600" Type="http://schemas.openxmlformats.org/officeDocument/2006/relationships/hyperlink" Target="https://bellingcat-archive.nyc3.cdn.digitaloceanspaces.com/Ukraine_Witness_Datasheet/Worksheet/youtube_dl__GirkinGirkin_status_14903101674596843572022-02-25T13:20:23.189794.png" TargetMode="External"/><Relationship Id="rId606" Type="http://schemas.openxmlformats.org/officeDocument/2006/relationships/hyperlink" Target="https://bellingcat-archive.nyc3.cdn.digitaloceanspaces.com/Ukraine_Witness_Datasheet/Worksheet/youtube_dl_1491446071003734016/index.html" TargetMode="External"/><Relationship Id="rId605" Type="http://schemas.openxmlformats.org/officeDocument/2006/relationships/hyperlink" Target="https://bellingcat-archive.nyc3.cdn.digitaloceanspaces.com/Ukraine_Witness_Datasheet/Worksheet/youtube_dl__GirkinGirkin_status_14914460710037340162022-02-25T13:20:40.517199.png" TargetMode="External"/><Relationship Id="rId604" Type="http://schemas.openxmlformats.org/officeDocument/2006/relationships/hyperlink" Target="https://bellingcat-archive.nyc3.cdn.digitaloceanspaces.com/Ukraine_Witness_Datasheet/Worksheet/youtube_dl_1491446071003734016.mp4" TargetMode="External"/><Relationship Id="rId603" Type="http://schemas.openxmlformats.org/officeDocument/2006/relationships/hyperlink" Target="https://twitter.com/Michael1Sheldon/status/1491479120919805955" TargetMode="External"/><Relationship Id="rId2760" Type="http://schemas.openxmlformats.org/officeDocument/2006/relationships/hyperlink" Target="https://bellingcat-archive.nyc3.cdn.digitaloceanspaces.com/Ukraine_Witness_Datasheet/Worksheet/youtube_dl_1497197120566165506.mp4" TargetMode="External"/><Relationship Id="rId1430" Type="http://schemas.openxmlformats.org/officeDocument/2006/relationships/hyperlink" Target="https://bellingcat-archive.nyc3.cdn.digitaloceanspaces.com/Ukraine_Witness_Datasheet/Worksheet/youtube_dl__4emberlen_status_14938936590618992672022-02-25T14:30:41.559274.png" TargetMode="External"/><Relationship Id="rId2761" Type="http://schemas.openxmlformats.org/officeDocument/2006/relationships/hyperlink" Target="https://bellingcat-archive.nyc3.cdn.digitaloceanspaces.com/Ukraine_Witness_Datasheet/Worksheet/youtube_dl__A_Yuzhakov_status_14971971205661655062022-02-25T14:56:12.819001.png" TargetMode="External"/><Relationship Id="rId1431" Type="http://schemas.openxmlformats.org/officeDocument/2006/relationships/hyperlink" Target="https://bellingcat-archive.nyc3.cdn.digitaloceanspaces.com/Ukraine_Witness_Datasheet/Worksheet/youtube_dl_1493893659061899267/index.html" TargetMode="External"/><Relationship Id="rId2762" Type="http://schemas.openxmlformats.org/officeDocument/2006/relationships/hyperlink" Target="https://bellingcat-archive.nyc3.cdn.digitaloceanspaces.com/Ukraine_Witness_Datasheet/Worksheet/youtube_dl_1497197120566165506/index.html" TargetMode="External"/><Relationship Id="rId1432" Type="http://schemas.openxmlformats.org/officeDocument/2006/relationships/hyperlink" Target="https://twitter.com/GirkinGirkin/status/1493916265408339973" TargetMode="External"/><Relationship Id="rId2763" Type="http://schemas.openxmlformats.org/officeDocument/2006/relationships/hyperlink" Target="https://twitter.com/MarQs__/status/1497218488200355840" TargetMode="External"/><Relationship Id="rId1422" Type="http://schemas.openxmlformats.org/officeDocument/2006/relationships/hyperlink" Target="https://bellingcat-archive.nyc3.cdn.digitaloceanspaces.com/Ukraine_Witness_Datasheet/Worksheet/youtube_dl_1493370314293719046/index.html" TargetMode="External"/><Relationship Id="rId2753" Type="http://schemas.openxmlformats.org/officeDocument/2006/relationships/hyperlink" Target="https://bellingcat-archive.nyc3.cdn.digitaloceanspaces.com/Ukraine_Witness_Datasheet/Worksheet/telegram_f0f656e041/index.html" TargetMode="External"/><Relationship Id="rId1423" Type="http://schemas.openxmlformats.org/officeDocument/2006/relationships/hyperlink" Target="https://twitter.com/4emberlen/status/1493246283875864576" TargetMode="External"/><Relationship Id="rId2754" Type="http://schemas.openxmlformats.org/officeDocument/2006/relationships/hyperlink" Target="https://t.me/vorposte/13799" TargetMode="External"/><Relationship Id="rId1424" Type="http://schemas.openxmlformats.org/officeDocument/2006/relationships/hyperlink" Target="https://twitter.com/COUPSURE/status/1493279722259857413" TargetMode="External"/><Relationship Id="rId2755" Type="http://schemas.openxmlformats.org/officeDocument/2006/relationships/hyperlink" Target="https://twitter.com/KSergatskova/status/1497218877297680384" TargetMode="External"/><Relationship Id="rId1425" Type="http://schemas.openxmlformats.org/officeDocument/2006/relationships/hyperlink" Target="https://bellingcat-archive.nyc3.cdn.digitaloceanspaces.com/Ukraine_Witness_Datasheet/Worksheet/youtube_dl_1493246283875864576.mp4" TargetMode="External"/><Relationship Id="rId2756" Type="http://schemas.openxmlformats.org/officeDocument/2006/relationships/hyperlink" Target="https://bellingcat-archive.nyc3.cdn.digitaloceanspaces.com/Ukraine_Witness_Datasheet/Worksheet/youtube_dl_1497218877297680384.mp4" TargetMode="External"/><Relationship Id="rId1426" Type="http://schemas.openxmlformats.org/officeDocument/2006/relationships/hyperlink" Target="https://bellingcat-archive.nyc3.cdn.digitaloceanspaces.com/Ukraine_Witness_Datasheet/Worksheet/youtube_dl__4emberlen_status_14932462838758645762022-02-25T14:30:57.311075.png" TargetMode="External"/><Relationship Id="rId2757" Type="http://schemas.openxmlformats.org/officeDocument/2006/relationships/hyperlink" Target="https://bellingcat-archive.nyc3.cdn.digitaloceanspaces.com/Ukraine_Witness_Datasheet/Worksheet/youtube_dl__KSergatskova_status_14972188772976803842022-02-25T14:55:56.118548.png" TargetMode="External"/><Relationship Id="rId1427" Type="http://schemas.openxmlformats.org/officeDocument/2006/relationships/hyperlink" Target="https://bellingcat-archive.nyc3.cdn.digitaloceanspaces.com/Ukraine_Witness_Datasheet/Worksheet/youtube_dl_1493246283875864576/index.html" TargetMode="External"/><Relationship Id="rId2758" Type="http://schemas.openxmlformats.org/officeDocument/2006/relationships/hyperlink" Target="https://bellingcat-archive.nyc3.cdn.digitaloceanspaces.com/Ukraine_Witness_Datasheet/Worksheet/youtube_dl_1497218877297680384/index.html" TargetMode="External"/><Relationship Id="rId1428" Type="http://schemas.openxmlformats.org/officeDocument/2006/relationships/hyperlink" Target="https://twitter.com/4emberlen/status/1493893659061899267" TargetMode="External"/><Relationship Id="rId2759" Type="http://schemas.openxmlformats.org/officeDocument/2006/relationships/hyperlink" Target="https://twitter.com/A_Yuzhakov/status/1497197120566165506" TargetMode="External"/><Relationship Id="rId1429" Type="http://schemas.openxmlformats.org/officeDocument/2006/relationships/hyperlink" Target="https://bellingcat-archive.nyc3.cdn.digitaloceanspaces.com/Ukraine_Witness_Datasheet/Worksheet/youtube_dl_1493893659061899267.mp4" TargetMode="External"/><Relationship Id="rId2750" Type="http://schemas.openxmlformats.org/officeDocument/2006/relationships/hyperlink" Target="https://t.me/vorposte/13799" TargetMode="External"/><Relationship Id="rId1420" Type="http://schemas.openxmlformats.org/officeDocument/2006/relationships/hyperlink" Target="https://bellingcat-archive.nyc3.cdn.digitaloceanspaces.com/Ukraine_Witness_Datasheet/Worksheet/youtube_dl_1493370314293719046.mp4" TargetMode="External"/><Relationship Id="rId2751" Type="http://schemas.openxmlformats.org/officeDocument/2006/relationships/hyperlink" Target="https://bellingcat-archive.nyc3.cdn.digitaloceanspaces.com/Ukraine_Witness_Datasheet/Worksheet/telegram_f0f656e041.mp4" TargetMode="External"/><Relationship Id="rId1421" Type="http://schemas.openxmlformats.org/officeDocument/2006/relationships/hyperlink" Target="https://bellingcat-archive.nyc3.cdn.digitaloceanspaces.com/Ukraine_Witness_Datasheet/Worksheet/youtube_dl__4emberlen_status_14933703142937190462022-02-25T14:31:14.057487.png" TargetMode="External"/><Relationship Id="rId2752" Type="http://schemas.openxmlformats.org/officeDocument/2006/relationships/hyperlink" Target="https://bellingcat-archive.nyc3.cdn.digitaloceanspaces.com/Ukraine_Witness_Datasheet/Worksheet/telegram__vorposte_137992022-02-25T14:55:37.893143.png" TargetMode="External"/><Relationship Id="rId699" Type="http://schemas.openxmlformats.org/officeDocument/2006/relationships/hyperlink" Target="https://bellingcat-archive.nyc3.cdn.digitaloceanspaces.com/Ukraine_Witness_Datasheet/Worksheet/youtube_dl_1489074598352203778.mp4" TargetMode="External"/><Relationship Id="rId698" Type="http://schemas.openxmlformats.org/officeDocument/2006/relationships/hyperlink" Target="https://twitter.com/gfusfus/status/1489355467058995212" TargetMode="External"/><Relationship Id="rId693" Type="http://schemas.openxmlformats.org/officeDocument/2006/relationships/hyperlink" Target="https://twitter.com/gfusfus/status/1489361254783279105" TargetMode="External"/><Relationship Id="rId692" Type="http://schemas.openxmlformats.org/officeDocument/2006/relationships/hyperlink" Target="https://twitter.com/MarQs__/status/1489344683482431494" TargetMode="External"/><Relationship Id="rId691" Type="http://schemas.openxmlformats.org/officeDocument/2006/relationships/hyperlink" Target="https://bellingcat-archive.nyc3.cdn.digitaloceanspaces.com/Ukraine_Witness_Datasheet/Worksheet/youtube_dl_1489447605281120256/index.html" TargetMode="External"/><Relationship Id="rId690" Type="http://schemas.openxmlformats.org/officeDocument/2006/relationships/hyperlink" Target="https://bellingcat-archive.nyc3.cdn.digitaloceanspaces.com/Ukraine_Witness_Datasheet/Worksheet/youtube_dl__GirkinGirkin_status_14894476052811202562022-02-25T13:25:58.864289.png" TargetMode="External"/><Relationship Id="rId697" Type="http://schemas.openxmlformats.org/officeDocument/2006/relationships/hyperlink" Target="https://twitter.com/GirkinGirkin/status/1489074598352203778" TargetMode="External"/><Relationship Id="rId696" Type="http://schemas.openxmlformats.org/officeDocument/2006/relationships/hyperlink" Target="https://bellingcat-archive.nyc3.cdn.digitaloceanspaces.com/Ukraine_Witness_Datasheet/Worksheet/youtube_dl_1489344683482431494/index.html" TargetMode="External"/><Relationship Id="rId695" Type="http://schemas.openxmlformats.org/officeDocument/2006/relationships/hyperlink" Target="https://bellingcat-archive.nyc3.cdn.digitaloceanspaces.com/Ukraine_Witness_Datasheet/Worksheet/youtube_dl__MarQs___status_14893446834824314942022-02-25T13:26:17.680885.png" TargetMode="External"/><Relationship Id="rId694" Type="http://schemas.openxmlformats.org/officeDocument/2006/relationships/hyperlink" Target="https://bellingcat-archive.nyc3.cdn.digitaloceanspaces.com/Ukraine_Witness_Datasheet/Worksheet/youtube_dl_1489344683482431494.mp4" TargetMode="External"/><Relationship Id="rId7618" Type="http://schemas.openxmlformats.org/officeDocument/2006/relationships/hyperlink" Target="https://bellingcat-archive.nyc3.cdn.digitaloceanspaces.com/Ukraine_Witness_Datasheet/Worksheet/youtube_dl__no_itsmyturn_status_15008332073482321922022-03-08T23:13:22.897409.png" TargetMode="External"/><Relationship Id="rId7617" Type="http://schemas.openxmlformats.org/officeDocument/2006/relationships/hyperlink" Target="https://bellingcat-archive.nyc3.cdn.digitaloceanspaces.com/Ukraine_Witness_Datasheet/Worksheet/youtube_dl_1500833207348232192.mp4" TargetMode="External"/><Relationship Id="rId7616" Type="http://schemas.openxmlformats.org/officeDocument/2006/relationships/hyperlink" Target="https://twitter.com/no_itsmyturn/status/1500833207348232192?s=20&amp;t=8l6tS51JwKJ6JsNLeL83gw" TargetMode="External"/><Relationship Id="rId7615" Type="http://schemas.openxmlformats.org/officeDocument/2006/relationships/hyperlink" Target="https://bellingcat-archive.nyc3.cdn.digitaloceanspaces.com/Ukraine_Witness_Datasheet/Worksheet/youtube_dl_1500804490106179589/index.html" TargetMode="External"/><Relationship Id="rId7619" Type="http://schemas.openxmlformats.org/officeDocument/2006/relationships/hyperlink" Target="https://bellingcat-archive.nyc3.cdn.digitaloceanspaces.com/Ukraine_Witness_Datasheet/Worksheet/youtube_dl_1500833207348232192/index.html" TargetMode="External"/><Relationship Id="rId7610" Type="http://schemas.openxmlformats.org/officeDocument/2006/relationships/hyperlink" Target="https://web.archive.org/web/20220308231244/https://rsf.org/fr/actualites/guerre-en-ukraine-les-journalistes-risquent-leur-vie-chaque-instant" TargetMode="External"/><Relationship Id="rId7614" Type="http://schemas.openxmlformats.org/officeDocument/2006/relationships/hyperlink" Target="https://bellingcat-archive.nyc3.cdn.digitaloceanspaces.com/Ukraine_Witness_Datasheet/Worksheet/youtube_dl__GirkinGirkin_status_15008044901061795892022-03-08T23:13:08.391044.png" TargetMode="External"/><Relationship Id="rId7613" Type="http://schemas.openxmlformats.org/officeDocument/2006/relationships/hyperlink" Target="https://bellingcat-archive.nyc3.cdn.digitaloceanspaces.com/Ukraine_Witness_Datasheet/Worksheet/youtube_dl_1500804490106179589.mp4" TargetMode="External"/><Relationship Id="rId7612" Type="http://schemas.openxmlformats.org/officeDocument/2006/relationships/hyperlink" Target="https://twitter.com/GirkinGirkin/status/1500804490106179589?s=20&amp;t=RPU0dUCUzl58CQX8cvVI8A" TargetMode="External"/><Relationship Id="rId7611" Type="http://schemas.openxmlformats.org/officeDocument/2006/relationships/hyperlink" Target="https://bellingcat-archive.nyc3.cdn.digitaloceanspaces.com/Ukraine_Witness_Datasheet/Worksheet/wayback__fr_actualites_guerre-en-ukraine-les-journalistes-risquent-leur-vie-chaque-instant2022-03-08T23:12:57.926868.png" TargetMode="External"/><Relationship Id="rId7607" Type="http://schemas.openxmlformats.org/officeDocument/2006/relationships/hyperlink" Target="https://web.archive.org/web/20220308231146/https://www.instagram.com/accounts/login/?next=/p/Ca2kDMqIUfG/" TargetMode="External"/><Relationship Id="rId7606" Type="http://schemas.openxmlformats.org/officeDocument/2006/relationships/hyperlink" Target="https://www.instagram.com/p/Ca2kDMqIUfG/" TargetMode="External"/><Relationship Id="rId7605" Type="http://schemas.openxmlformats.org/officeDocument/2006/relationships/hyperlink" Target="https://bellingcat-archive.nyc3.cdn.digitaloceanspaces.com/Ukraine_Witness_Datasheet/Worksheet/wayback__2022_03_07_swiss-journalist-wounded-after-being-shot-at-by-russian-soldiers-16229092_2022-03-08T23:10:45.731283.png" TargetMode="External"/><Relationship Id="rId7604" Type="http://schemas.openxmlformats.org/officeDocument/2006/relationships/hyperlink" Target="https://web.archive.org/web/20220308230914/https://metro.co.uk/2022/03/07/swiss-journalist-wounded-after-being-shot-at-by-russian-soldiers-16229092/" TargetMode="External"/><Relationship Id="rId7609" Type="http://schemas.openxmlformats.org/officeDocument/2006/relationships/hyperlink" Target="https://rsf.org/fr/actualites/guerre-en-ukraine-les-journalistes-risquent-leur-vie-chaque-instant" TargetMode="External"/><Relationship Id="rId7608" Type="http://schemas.openxmlformats.org/officeDocument/2006/relationships/hyperlink" Target="https://bellingcat-archive.nyc3.cdn.digitaloceanspaces.com/Ukraine_Witness_Datasheet/Worksheet/wayback__p_Ca2kDMqIUfG_2022-03-08T23:11:58.269160.png" TargetMode="External"/><Relationship Id="rId7603" Type="http://schemas.openxmlformats.org/officeDocument/2006/relationships/hyperlink" Target="https://metro.co.uk/2022/03/07/swiss-journalist-wounded-after-being-shot-at-by-russian-soldiers-16229092/" TargetMode="External"/><Relationship Id="rId7602" Type="http://schemas.openxmlformats.org/officeDocument/2006/relationships/hyperlink" Target="https://bellingcat-archive.nyc3.cdn.digitaloceanspaces.com/Ukraine_Witness_Datasheet/Worksheet/twitter__hjbertschi_status_15006894221148610572022-03-08T23:08:21.165168.png" TargetMode="External"/><Relationship Id="rId7601" Type="http://schemas.openxmlformats.org/officeDocument/2006/relationships/hyperlink" Target="https://bellingcat-archive.nyc3.cdn.digitaloceanspaces.com/Ukraine_Witness_Datasheet/Worksheet/twitter__hjbertschi_status_1500689422114861057.html" TargetMode="External"/><Relationship Id="rId7600" Type="http://schemas.openxmlformats.org/officeDocument/2006/relationships/hyperlink" Target="https://twitter.com/hjbertschi/status/1500689422114861057?s=20&amp;t=Nak_DcdGk0OiNiYxIadcTg" TargetMode="External"/><Relationship Id="rId1499" Type="http://schemas.openxmlformats.org/officeDocument/2006/relationships/hyperlink" Target="https://bellingcat-archive.nyc3.cdn.digitaloceanspaces.com/Ukraine_Witness_Datasheet/Worksheet/youtube_dl_1494003211992186892.mp4" TargetMode="External"/><Relationship Id="rId668" Type="http://schemas.openxmlformats.org/officeDocument/2006/relationships/hyperlink" Target="https://twitter.com/gfusfus/status/1489903200371191812" TargetMode="External"/><Relationship Id="rId667" Type="http://schemas.openxmlformats.org/officeDocument/2006/relationships/hyperlink" Target="https://twitter.com/GirkinGirkin/status/1489896917798723584" TargetMode="External"/><Relationship Id="rId666" Type="http://schemas.openxmlformats.org/officeDocument/2006/relationships/hyperlink" Target="https://bellingcat-archive.nyc3.cdn.digitaloceanspaces.com/Ukraine_Witness_Datasheet/Worksheet/youtube_dl_1489884110743126021/index.html" TargetMode="External"/><Relationship Id="rId665" Type="http://schemas.openxmlformats.org/officeDocument/2006/relationships/hyperlink" Target="https://bellingcat-archive.nyc3.cdn.digitaloceanspaces.com/Ukraine_Witness_Datasheet/Worksheet/youtube_dl__GirkinGirkin_status_14898841107431260212022-02-25T13:24:27.595633.png" TargetMode="External"/><Relationship Id="rId669" Type="http://schemas.openxmlformats.org/officeDocument/2006/relationships/hyperlink" Target="https://bellingcat-archive.nyc3.cdn.digitaloceanspaces.com/Ukraine_Witness_Datasheet/Worksheet/youtube_dl_1489896917798723584.mp4" TargetMode="External"/><Relationship Id="rId1490" Type="http://schemas.openxmlformats.org/officeDocument/2006/relationships/hyperlink" Target="https://bellingcat-archive.nyc3.cdn.digitaloceanspaces.com/Ukraine_Witness_Datasheet/Worksheet/youtube_dl_1493972685931622402.mp4" TargetMode="External"/><Relationship Id="rId660" Type="http://schemas.openxmlformats.org/officeDocument/2006/relationships/hyperlink" Target="https://bellingcat-archive.nyc3.cdn.digitaloceanspaces.com/Ukraine_Witness_Datasheet/Worksheet/youtube_dl__GirkinGirkin_status_14898975036507176982022-02-25T13:24:10.752754.png" TargetMode="External"/><Relationship Id="rId1491" Type="http://schemas.openxmlformats.org/officeDocument/2006/relationships/hyperlink" Target="https://bellingcat-archive.nyc3.cdn.digitaloceanspaces.com/Ukraine_Witness_Datasheet/Worksheet/youtube_dl__Michael1Sheldon_status_14939726859316224022022-02-25T14:23:08.337662.png" TargetMode="External"/><Relationship Id="rId1492" Type="http://schemas.openxmlformats.org/officeDocument/2006/relationships/hyperlink" Target="https://bellingcat-archive.nyc3.cdn.digitaloceanspaces.com/Ukraine_Witness_Datasheet/Worksheet/youtube_dl_1493972685931622402/index.html" TargetMode="External"/><Relationship Id="rId1493" Type="http://schemas.openxmlformats.org/officeDocument/2006/relationships/hyperlink" Target="https://twitter.com/FitzAuden/status/1494221249698009088" TargetMode="External"/><Relationship Id="rId1494" Type="http://schemas.openxmlformats.org/officeDocument/2006/relationships/hyperlink" Target="https://bellingcat-archive.nyc3.cdn.digitaloceanspaces.com/Ukraine_Witness_Datasheet/Worksheet/youtube_dl_1494221249698009088.mp4" TargetMode="External"/><Relationship Id="rId664" Type="http://schemas.openxmlformats.org/officeDocument/2006/relationships/hyperlink" Target="https://bellingcat-archive.nyc3.cdn.digitaloceanspaces.com/Ukraine_Witness_Datasheet/Worksheet/youtube_dl_1489884110743126021.mp4" TargetMode="External"/><Relationship Id="rId1495" Type="http://schemas.openxmlformats.org/officeDocument/2006/relationships/hyperlink" Target="https://bellingcat-archive.nyc3.cdn.digitaloceanspaces.com/Ukraine_Witness_Datasheet/Worksheet/youtube_dl__FitzAuden_status_14942212496980090882022-02-25T14:22:48.549040.png" TargetMode="External"/><Relationship Id="rId663" Type="http://schemas.openxmlformats.org/officeDocument/2006/relationships/hyperlink" Target="https://twitter.com/gfusfus/status/1489908814065381378" TargetMode="External"/><Relationship Id="rId1496" Type="http://schemas.openxmlformats.org/officeDocument/2006/relationships/hyperlink" Target="https://bellingcat-archive.nyc3.cdn.digitaloceanspaces.com/Ukraine_Witness_Datasheet/Worksheet/youtube_dl_1494221249698009088/index.html" TargetMode="External"/><Relationship Id="rId662" Type="http://schemas.openxmlformats.org/officeDocument/2006/relationships/hyperlink" Target="https://twitter.com/GirkinGirkin/status/1489884110743126021" TargetMode="External"/><Relationship Id="rId1497" Type="http://schemas.openxmlformats.org/officeDocument/2006/relationships/hyperlink" Target="https://twitter.com/GirkinGirkin/status/1494003211992186892" TargetMode="External"/><Relationship Id="rId661" Type="http://schemas.openxmlformats.org/officeDocument/2006/relationships/hyperlink" Target="https://bellingcat-archive.nyc3.cdn.digitaloceanspaces.com/Ukraine_Witness_Datasheet/Worksheet/youtube_dl_1489897503650717698/index.html" TargetMode="External"/><Relationship Id="rId1498" Type="http://schemas.openxmlformats.org/officeDocument/2006/relationships/hyperlink" Target="https://twitter.com/gfusfus/status/1494014785423388679" TargetMode="External"/><Relationship Id="rId1488" Type="http://schemas.openxmlformats.org/officeDocument/2006/relationships/hyperlink" Target="https://twitter.com/Michael1Sheldon/status/1493972685931622402" TargetMode="External"/><Relationship Id="rId1489" Type="http://schemas.openxmlformats.org/officeDocument/2006/relationships/hyperlink" Target="https://twitter.com/Danspiun/status/1493997435429048320" TargetMode="External"/><Relationship Id="rId657" Type="http://schemas.openxmlformats.org/officeDocument/2006/relationships/hyperlink" Target="https://twitter.com/GirkinGirkin/status/1489897503650717698" TargetMode="External"/><Relationship Id="rId656" Type="http://schemas.openxmlformats.org/officeDocument/2006/relationships/hyperlink" Target="https://bellingcat-archive.nyc3.cdn.digitaloceanspaces.com/Ukraine_Witness_Datasheet/Worksheet/youtube_dl_1489988532475207685/index.html" TargetMode="External"/><Relationship Id="rId655" Type="http://schemas.openxmlformats.org/officeDocument/2006/relationships/hyperlink" Target="https://bellingcat-archive.nyc3.cdn.digitaloceanspaces.com/Ukraine_Witness_Datasheet/Worksheet/youtube_dl__GirkinGirkin_status_14899885324752076852022-02-25T13:23:52.276409.png" TargetMode="External"/><Relationship Id="rId654" Type="http://schemas.openxmlformats.org/officeDocument/2006/relationships/hyperlink" Target="https://bellingcat-archive.nyc3.cdn.digitaloceanspaces.com/Ukraine_Witness_Datasheet/Worksheet/youtube_dl_1489988532475207685.mp4" TargetMode="External"/><Relationship Id="rId659" Type="http://schemas.openxmlformats.org/officeDocument/2006/relationships/hyperlink" Target="https://bellingcat-archive.nyc3.cdn.digitaloceanspaces.com/Ukraine_Witness_Datasheet/Worksheet/youtube_dl_1489897503650717698.mp4" TargetMode="External"/><Relationship Id="rId658" Type="http://schemas.openxmlformats.org/officeDocument/2006/relationships/hyperlink" Target="https://twitter.com/gfusfus/status/1489971599629561857" TargetMode="External"/><Relationship Id="rId1480" Type="http://schemas.openxmlformats.org/officeDocument/2006/relationships/hyperlink" Target="https://bellingcat-archive.nyc3.cdn.digitaloceanspaces.com/Ukraine_Witness_Datasheet/Worksheet/youtube_dl_1494003211992186892.mp4" TargetMode="External"/><Relationship Id="rId1481" Type="http://schemas.openxmlformats.org/officeDocument/2006/relationships/hyperlink" Target="https://bellingcat-archive.nyc3.cdn.digitaloceanspaces.com/Ukraine_Witness_Datasheet/Worksheet/youtube_dl__GirkinGirkin_status_14940032119921868922022-02-25T14:23:43.406971.png" TargetMode="External"/><Relationship Id="rId1482" Type="http://schemas.openxmlformats.org/officeDocument/2006/relationships/hyperlink" Target="https://bellingcat-archive.nyc3.cdn.digitaloceanspaces.com/Ukraine_Witness_Datasheet/Worksheet/youtube_dl_1494003211992186892/index.html" TargetMode="External"/><Relationship Id="rId1483" Type="http://schemas.openxmlformats.org/officeDocument/2006/relationships/hyperlink" Target="https://twitter.com/GirkinGirkin/status/1494016275588296706" TargetMode="External"/><Relationship Id="rId653" Type="http://schemas.openxmlformats.org/officeDocument/2006/relationships/hyperlink" Target="https://twitter.com/gfusfus/status/1489993061639897092" TargetMode="External"/><Relationship Id="rId1484" Type="http://schemas.openxmlformats.org/officeDocument/2006/relationships/hyperlink" Target="https://twitter.com/gfusfus/status/1494021815559204871" TargetMode="External"/><Relationship Id="rId652" Type="http://schemas.openxmlformats.org/officeDocument/2006/relationships/hyperlink" Target="https://twitter.com/GirkinGirkin/status/1489988532475207685" TargetMode="External"/><Relationship Id="rId1485" Type="http://schemas.openxmlformats.org/officeDocument/2006/relationships/hyperlink" Target="https://bellingcat-archive.nyc3.cdn.digitaloceanspaces.com/Ukraine_Witness_Datasheet/Worksheet/youtube_dl_1494016275588296706.mp4" TargetMode="External"/><Relationship Id="rId651" Type="http://schemas.openxmlformats.org/officeDocument/2006/relationships/hyperlink" Target="https://bellingcat-archive.nyc3.cdn.digitaloceanspaces.com/Ukraine_Witness_Datasheet/Worksheet/youtube_dl_1490027970697830400/index.html" TargetMode="External"/><Relationship Id="rId1486" Type="http://schemas.openxmlformats.org/officeDocument/2006/relationships/hyperlink" Target="https://bellingcat-archive.nyc3.cdn.digitaloceanspaces.com/Ukraine_Witness_Datasheet/Worksheet/youtube_dl__GirkinGirkin_status_14940162755882967062022-02-25T14:23:27.470888.png" TargetMode="External"/><Relationship Id="rId650" Type="http://schemas.openxmlformats.org/officeDocument/2006/relationships/hyperlink" Target="https://bellingcat-archive.nyc3.cdn.digitaloceanspaces.com/Ukraine_Witness_Datasheet/Worksheet/youtube_dl__GirkinGirkin_status_14900279706978304002022-02-25T13:23:34.207348.png" TargetMode="External"/><Relationship Id="rId1487" Type="http://schemas.openxmlformats.org/officeDocument/2006/relationships/hyperlink" Target="https://bellingcat-archive.nyc3.cdn.digitaloceanspaces.com/Ukraine_Witness_Datasheet/Worksheet/youtube_dl_1494016275588296706/index.html" TargetMode="External"/><Relationship Id="rId689" Type="http://schemas.openxmlformats.org/officeDocument/2006/relationships/hyperlink" Target="https://bellingcat-archive.nyc3.cdn.digitaloceanspaces.com/Ukraine_Witness_Datasheet/Worksheet/youtube_dl_1489447605281120256.mp4" TargetMode="External"/><Relationship Id="rId688" Type="http://schemas.openxmlformats.org/officeDocument/2006/relationships/hyperlink" Target="https://twitter.com/gfusfus/status/1489585454919950337" TargetMode="External"/><Relationship Id="rId687" Type="http://schemas.openxmlformats.org/officeDocument/2006/relationships/hyperlink" Target="https://twitter.com/GirkinGirkin/status/1489447605281120256" TargetMode="External"/><Relationship Id="rId682" Type="http://schemas.openxmlformats.org/officeDocument/2006/relationships/hyperlink" Target="https://twitter.com/GirkinGirkin/status/1489586224872448003" TargetMode="External"/><Relationship Id="rId681" Type="http://schemas.openxmlformats.org/officeDocument/2006/relationships/hyperlink" Target="https://bellingcat-archive.nyc3.cdn.digitaloceanspaces.com/Ukraine_Witness_Datasheet/Worksheet/youtube_dl_1489658755633537030/index.html" TargetMode="External"/><Relationship Id="rId680" Type="http://schemas.openxmlformats.org/officeDocument/2006/relationships/hyperlink" Target="https://bellingcat-archive.nyc3.cdn.digitaloceanspaces.com/Ukraine_Witness_Datasheet/Worksheet/youtube_dl__GirkinGirkin_status_14896587556335370302022-02-25T13:25:21.906896.png" TargetMode="External"/><Relationship Id="rId686" Type="http://schemas.openxmlformats.org/officeDocument/2006/relationships/hyperlink" Target="https://bellingcat-archive.nyc3.cdn.digitaloceanspaces.com/Ukraine_Witness_Datasheet/Worksheet/youtube_dl_1489586224872448003/index.html" TargetMode="External"/><Relationship Id="rId685" Type="http://schemas.openxmlformats.org/officeDocument/2006/relationships/hyperlink" Target="https://bellingcat-archive.nyc3.cdn.digitaloceanspaces.com/Ukraine_Witness_Datasheet/Worksheet/youtube_dl__GirkinGirkin_status_14895862248724480032022-02-25T13:25:41.801545.png" TargetMode="External"/><Relationship Id="rId684" Type="http://schemas.openxmlformats.org/officeDocument/2006/relationships/hyperlink" Target="https://bellingcat-archive.nyc3.cdn.digitaloceanspaces.com/Ukraine_Witness_Datasheet/Worksheet/youtube_dl_1489586224872448003.mp4" TargetMode="External"/><Relationship Id="rId683" Type="http://schemas.openxmlformats.org/officeDocument/2006/relationships/hyperlink" Target="https://twitter.com/gfusfus/status/1489594448501780480" TargetMode="External"/><Relationship Id="rId679" Type="http://schemas.openxmlformats.org/officeDocument/2006/relationships/hyperlink" Target="https://bellingcat-archive.nyc3.cdn.digitaloceanspaces.com/Ukraine_Witness_Datasheet/Worksheet/youtube_dl_1489658755633537030.mp4" TargetMode="External"/><Relationship Id="rId678" Type="http://schemas.openxmlformats.org/officeDocument/2006/relationships/hyperlink" Target="https://twitter.com/gfusfus/status/1489671020344758278" TargetMode="External"/><Relationship Id="rId677" Type="http://schemas.openxmlformats.org/officeDocument/2006/relationships/hyperlink" Target="https://twitter.com/GirkinGirkin/status/1489658755633537030" TargetMode="External"/><Relationship Id="rId676" Type="http://schemas.openxmlformats.org/officeDocument/2006/relationships/hyperlink" Target="https://bellingcat-archive.nyc3.cdn.digitaloceanspaces.com/Ukraine_Witness_Datasheet/Worksheet/youtube_dl_1489663579921989635/index.html" TargetMode="External"/><Relationship Id="rId671" Type="http://schemas.openxmlformats.org/officeDocument/2006/relationships/hyperlink" Target="https://bellingcat-archive.nyc3.cdn.digitaloceanspaces.com/Ukraine_Witness_Datasheet/Worksheet/youtube_dl_1489896917798723584/index.html" TargetMode="External"/><Relationship Id="rId670" Type="http://schemas.openxmlformats.org/officeDocument/2006/relationships/hyperlink" Target="https://bellingcat-archive.nyc3.cdn.digitaloceanspaces.com/Ukraine_Witness_Datasheet/Worksheet/youtube_dl__GirkinGirkin_status_14898969177987235842022-02-25T13:24:45.444857.png" TargetMode="External"/><Relationship Id="rId675" Type="http://schemas.openxmlformats.org/officeDocument/2006/relationships/hyperlink" Target="https://bellingcat-archive.nyc3.cdn.digitaloceanspaces.com/Ukraine_Witness_Datasheet/Worksheet/youtube_dl__GirkinGirkin_status_14896635799219896352022-02-25T13:25:02.171051.png" TargetMode="External"/><Relationship Id="rId674" Type="http://schemas.openxmlformats.org/officeDocument/2006/relationships/hyperlink" Target="https://bellingcat-archive.nyc3.cdn.digitaloceanspaces.com/Ukraine_Witness_Datasheet/Worksheet/youtube_dl_1489663579921989635.mp4" TargetMode="External"/><Relationship Id="rId673" Type="http://schemas.openxmlformats.org/officeDocument/2006/relationships/hyperlink" Target="https://twitter.com/gfusfus/status/1489678075033964546" TargetMode="External"/><Relationship Id="rId672" Type="http://schemas.openxmlformats.org/officeDocument/2006/relationships/hyperlink" Target="https://twitter.com/GirkinGirkin/status/1489663579921989635" TargetMode="External"/><Relationship Id="rId5019" Type="http://schemas.openxmlformats.org/officeDocument/2006/relationships/hyperlink" Target="https://bellingcat-archive.nyc3.cdn.digitaloceanspaces.com/Ukraine_Witness_Datasheet/Worksheet/youtube_dl__RALee85_status_14990538142419681332022-03-02T16:50:11.894019.png" TargetMode="External"/><Relationship Id="rId6340" Type="http://schemas.openxmlformats.org/officeDocument/2006/relationships/hyperlink" Target="https://bellingcat-archive.nyc3.cdn.digitaloceanspaces.com/Ukraine_Witness_Datasheet/Worksheet/youtube_dl_1500464867622461443/index.html" TargetMode="External"/><Relationship Id="rId7672" Type="http://schemas.openxmlformats.org/officeDocument/2006/relationships/hyperlink" Target="https://bellingcat-archive.nyc3.cdn.digitaloceanspaces.com/Ukraine_Witness_Datasheet/Worksheet/youtube_dl_mQYvo2YyFVs/index.html" TargetMode="External"/><Relationship Id="rId5010" Type="http://schemas.openxmlformats.org/officeDocument/2006/relationships/hyperlink" Target="https://twitter.com/Tar_Milus/status/1499055732813021186" TargetMode="External"/><Relationship Id="rId6341" Type="http://schemas.openxmlformats.org/officeDocument/2006/relationships/hyperlink" Target="https://twitter.com/no_itsmyturn/status/1500465245210525696" TargetMode="External"/><Relationship Id="rId7671" Type="http://schemas.openxmlformats.org/officeDocument/2006/relationships/hyperlink" Target="https://bellingcat-archive.nyc3.cdn.digitaloceanspaces.com/Ukraine_Witness_Datasheet/Worksheet/youtube_dl__watch2022-03-09T15:00:17.115225.png" TargetMode="External"/><Relationship Id="rId7670" Type="http://schemas.openxmlformats.org/officeDocument/2006/relationships/hyperlink" Target="https://bellingcat-archive.nyc3.cdn.digitaloceanspaces.com/Ukraine_Witness_Datasheet/Worksheet/youtube_dl_mQYvo2YyFVs.mp4" TargetMode="External"/><Relationship Id="rId5013" Type="http://schemas.openxmlformats.org/officeDocument/2006/relationships/hyperlink" Target="https://bellingcat-archive.nyc3.cdn.digitaloceanspaces.com/Ukraine_Witness_Datasheet/Worksheet/youtube_dl_1499055732813021186/index.html" TargetMode="External"/><Relationship Id="rId6344" Type="http://schemas.openxmlformats.org/officeDocument/2006/relationships/hyperlink" Target="https://bellingcat-archive.nyc3.cdn.digitaloceanspaces.com/Ukraine_Witness_Datasheet/Worksheet/youtube_dl__no_itsmyturn_status_15004652452105256962022-03-06T18:25:13.336381.png" TargetMode="External"/><Relationship Id="rId7676" Type="http://schemas.openxmlformats.org/officeDocument/2006/relationships/hyperlink" Target="https://bellingcat-archive.nyc3.cdn.digitaloceanspaces.com/Ukraine_Witness_Datasheet/Worksheet/youtube_dl_1501422413485154306/index.html" TargetMode="External"/><Relationship Id="rId5014" Type="http://schemas.openxmlformats.org/officeDocument/2006/relationships/hyperlink" Target="https://web.archive.org/web/20220302163100/https://twitter.com/hashtag/Lisichansk?src=hashtag_click" TargetMode="External"/><Relationship Id="rId6345" Type="http://schemas.openxmlformats.org/officeDocument/2006/relationships/hyperlink" Target="https://bellingcat-archive.nyc3.cdn.digitaloceanspaces.com/Ukraine_Witness_Datasheet/Worksheet/youtube_dl_1500465245210525696/index.html" TargetMode="External"/><Relationship Id="rId7675" Type="http://schemas.openxmlformats.org/officeDocument/2006/relationships/hyperlink" Target="https://bellingcat-archive.nyc3.cdn.digitaloceanspaces.com/Ukraine_Witness_Datasheet/Worksheet/youtube_dl__GirkinGirkin_status_15014224134851543062022-03-09T11:05:14.182527.png" TargetMode="External"/><Relationship Id="rId5011" Type="http://schemas.openxmlformats.org/officeDocument/2006/relationships/hyperlink" Target="https://bellingcat-archive.nyc3.cdn.digitaloceanspaces.com/Ukraine_Witness_Datasheet/Worksheet/youtube_dl_1499055732813021186.mp4" TargetMode="External"/><Relationship Id="rId6342" Type="http://schemas.openxmlformats.org/officeDocument/2006/relationships/hyperlink" Target="https://twitter.com/Cen4infoRes/status/1500488064443072512" TargetMode="External"/><Relationship Id="rId7674" Type="http://schemas.openxmlformats.org/officeDocument/2006/relationships/hyperlink" Target="https://bellingcat-archive.nyc3.cdn.digitaloceanspaces.com/Ukraine_Witness_Datasheet/Worksheet/youtube_dl_1501422413485154306.mp4" TargetMode="External"/><Relationship Id="rId5012" Type="http://schemas.openxmlformats.org/officeDocument/2006/relationships/hyperlink" Target="https://bellingcat-archive.nyc3.cdn.digitaloceanspaces.com/Ukraine_Witness_Datasheet/Worksheet/youtube_dl__Tar_Milus_status_14990557328130211862022-03-02T16:21:14.623982.png" TargetMode="External"/><Relationship Id="rId6343" Type="http://schemas.openxmlformats.org/officeDocument/2006/relationships/hyperlink" Target="https://bellingcat-archive.nyc3.cdn.digitaloceanspaces.com/Ukraine_Witness_Datasheet/Worksheet/youtube_dl_1500465245210525696.mp4" TargetMode="External"/><Relationship Id="rId7673" Type="http://schemas.openxmlformats.org/officeDocument/2006/relationships/hyperlink" Target="https://twitter.com/GirkinGirkin/status/1501422413485154306?cxt=HHwWhIC92d3uj9YpAAAA" TargetMode="External"/><Relationship Id="rId5017" Type="http://schemas.openxmlformats.org/officeDocument/2006/relationships/hyperlink" Target="https://twitter.com/trbrtc/status/1499061427964981248" TargetMode="External"/><Relationship Id="rId6348" Type="http://schemas.openxmlformats.org/officeDocument/2006/relationships/hyperlink" Target="https://bellingcat-archive.nyc3.cdn.digitaloceanspaces.com/Ukraine_Witness_Datasheet/Worksheet/youtube_dl_1500458496852217862.mp4" TargetMode="External"/><Relationship Id="rId5018" Type="http://schemas.openxmlformats.org/officeDocument/2006/relationships/hyperlink" Target="https://bellingcat-archive.nyc3.cdn.digitaloceanspaces.com/Ukraine_Witness_Datasheet/Worksheet/youtube_dl_1499053814241968133.mp4" TargetMode="External"/><Relationship Id="rId6349" Type="http://schemas.openxmlformats.org/officeDocument/2006/relationships/hyperlink" Target="https://bellingcat-archive.nyc3.cdn.digitaloceanspaces.com/Ukraine_Witness_Datasheet/Worksheet/youtube_dl__AuroraIntel_status_15004584968522178622022-03-06T18:25:27.012381.png" TargetMode="External"/><Relationship Id="rId7679" Type="http://schemas.openxmlformats.org/officeDocument/2006/relationships/hyperlink" Target="https://bellingcat-archive.nyc3.cdn.digitaloceanspaces.com/Ukraine_Witness_Datasheet/Worksheet/youtube_dl__BackAndAlive_status_15004476650243481682022-03-09T11:05:28.944724.png" TargetMode="External"/><Relationship Id="rId5015" Type="http://schemas.openxmlformats.org/officeDocument/2006/relationships/hyperlink" Target="https://bellingcat-archive.nyc3.cdn.digitaloceanspaces.com/Ukraine_Witness_Datasheet/Worksheet/wayback__hashtag_Lisichansk2022-03-02T16:31:10.325248.png" TargetMode="External"/><Relationship Id="rId6346" Type="http://schemas.openxmlformats.org/officeDocument/2006/relationships/hyperlink" Target="https://twitter.com/AuroraIntel/status/1500458496852217862" TargetMode="External"/><Relationship Id="rId7678" Type="http://schemas.openxmlformats.org/officeDocument/2006/relationships/hyperlink" Target="https://bellingcat-archive.nyc3.cdn.digitaloceanspaces.com/Ukraine_Witness_Datasheet/Worksheet/youtube_dl_1500447665024348168.mp4" TargetMode="External"/><Relationship Id="rId5016" Type="http://schemas.openxmlformats.org/officeDocument/2006/relationships/hyperlink" Target="https://twitter.com/RALee85/status/1499053814241968133" TargetMode="External"/><Relationship Id="rId6347" Type="http://schemas.openxmlformats.org/officeDocument/2006/relationships/hyperlink" Target="https://twitter.com/zcjbrooker/status/1500476748147867649" TargetMode="External"/><Relationship Id="rId7677" Type="http://schemas.openxmlformats.org/officeDocument/2006/relationships/hyperlink" Target="https://twitter.com/BackAndAlive/status/1500447665024348168?s=20&amp;t=3LvW9DVNBIIQR8JNJRAflw" TargetMode="External"/><Relationship Id="rId5008" Type="http://schemas.openxmlformats.org/officeDocument/2006/relationships/hyperlink" Target="https://web.archive.org/web/20220302162051/https://twitter.com/Danspiun/status/1499053606586261505" TargetMode="External"/><Relationship Id="rId6339" Type="http://schemas.openxmlformats.org/officeDocument/2006/relationships/hyperlink" Target="https://bellingcat-archive.nyc3.cdn.digitaloceanspaces.com/Ukraine_Witness_Datasheet/Worksheet/youtube_dl__Alex93419575_status_15004648676224614432022-03-06T18:20:13.014365.png" TargetMode="External"/><Relationship Id="rId5009" Type="http://schemas.openxmlformats.org/officeDocument/2006/relationships/hyperlink" Target="https://bellingcat-archive.nyc3.cdn.digitaloceanspaces.com/Ukraine_Witness_Datasheet/Worksheet/wayback__Danspiun_status_14990536065862615052022-03-02T16:21:03.243906.png" TargetMode="External"/><Relationship Id="rId7661" Type="http://schemas.openxmlformats.org/officeDocument/2006/relationships/hyperlink" Target="https://bellingcat-archive.nyc3.cdn.digitaloceanspaces.com/Ukraine_Witness_Datasheet/Worksheet/telegram_9b8b9715e0/index.html" TargetMode="External"/><Relationship Id="rId6330" Type="http://schemas.openxmlformats.org/officeDocument/2006/relationships/hyperlink" Target="https://bellingcat-archive.nyc3.cdn.digitaloceanspaces.com/Ukraine_Witness_Datasheet/Worksheet/twitter__malonebarry_status_1500510042876952582.html" TargetMode="External"/><Relationship Id="rId7660" Type="http://schemas.openxmlformats.org/officeDocument/2006/relationships/hyperlink" Target="https://bellingcat-archive.nyc3.cdn.digitaloceanspaces.com/Ukraine_Witness_Datasheet/Worksheet/telegram__insiderUKR_246072022-03-09T12:20:11.064531.png" TargetMode="External"/><Relationship Id="rId5002" Type="http://schemas.openxmlformats.org/officeDocument/2006/relationships/hyperlink" Target="https://bellingcat-archive.nyc3.cdn.digitaloceanspaces.com/Ukraine_Witness_Datasheet/Worksheet/youtube_dl_1499053530686046210/index.html" TargetMode="External"/><Relationship Id="rId6333" Type="http://schemas.openxmlformats.org/officeDocument/2006/relationships/hyperlink" Target="https://bellingcat-archive.nyc3.cdn.digitaloceanspaces.com/Ukraine_Witness_Datasheet/Worksheet/youtube_dl_1500506280619872257.mp4" TargetMode="External"/><Relationship Id="rId7665" Type="http://schemas.openxmlformats.org/officeDocument/2006/relationships/hyperlink" Target="https://bellingcat-archive.nyc3.cdn.digitaloceanspaces.com/Ukraine_Witness_Datasheet/Worksheet/telegram__Pravda_Gerashchenko_2582.html" TargetMode="External"/><Relationship Id="rId5003" Type="http://schemas.openxmlformats.org/officeDocument/2006/relationships/hyperlink" Target="https://twitter.com/YWNReporter/status/1498943189138685952" TargetMode="External"/><Relationship Id="rId6334" Type="http://schemas.openxmlformats.org/officeDocument/2006/relationships/hyperlink" Target="https://bellingcat-archive.nyc3.cdn.digitaloceanspaces.com/Ukraine_Witness_Datasheet/Worksheet/youtube_dl__ThomasVLinge_status_15005062806198722572022-03-06T18:05:24.687068.png" TargetMode="External"/><Relationship Id="rId7664" Type="http://schemas.openxmlformats.org/officeDocument/2006/relationships/hyperlink" Target="https://www.google.com/maps/place/Spartaka+St,+3,+Sumy,+Sums'ka+oblast,+Ukraine,+40000/@50.8992103,34.7672294,17z/data=!4m5!3m4!1s0x412901a281f6c841:0xb37e34b5052f31b0!8m2!3d50.8973698!4d34.7668324" TargetMode="External"/><Relationship Id="rId5000" Type="http://schemas.openxmlformats.org/officeDocument/2006/relationships/hyperlink" Target="https://bellingcat-archive.nyc3.cdn.digitaloceanspaces.com/Ukraine_Witness_Datasheet/Worksheet/youtube_dl_1499053530686046210.mp4" TargetMode="External"/><Relationship Id="rId6331" Type="http://schemas.openxmlformats.org/officeDocument/2006/relationships/hyperlink" Target="https://bellingcat-archive.nyc3.cdn.digitaloceanspaces.com/Ukraine_Witness_Datasheet/Worksheet/twitter__malonebarry_status_15005100428769525822022-03-06T18:05:13.345926.png" TargetMode="External"/><Relationship Id="rId7663" Type="http://schemas.openxmlformats.org/officeDocument/2006/relationships/hyperlink" Target="https://t.me/Pravda_Gerashchenko/2582" TargetMode="External"/><Relationship Id="rId5001" Type="http://schemas.openxmlformats.org/officeDocument/2006/relationships/hyperlink" Target="https://bellingcat-archive.nyc3.cdn.digitaloceanspaces.com/Ukraine_Witness_Datasheet/Worksheet/youtube_dl__ua_zinkoviy_status_14990535306860462102022-03-02T16:16:08.517094.png" TargetMode="External"/><Relationship Id="rId6332" Type="http://schemas.openxmlformats.org/officeDocument/2006/relationships/hyperlink" Target="https://twitter.com/ThomasVLinge/status/1500506280619872257" TargetMode="External"/><Relationship Id="rId7662" Type="http://schemas.openxmlformats.org/officeDocument/2006/relationships/hyperlink" Target="https://t.me/insiderUKR/24607" TargetMode="External"/><Relationship Id="rId5006" Type="http://schemas.openxmlformats.org/officeDocument/2006/relationships/hyperlink" Target="https://bellingcat-archive.nyc3.cdn.digitaloceanspaces.com/Ukraine_Witness_Datasheet/Worksheet/youtube_dl_1498943189138685952/index.html" TargetMode="External"/><Relationship Id="rId6337" Type="http://schemas.openxmlformats.org/officeDocument/2006/relationships/hyperlink" Target="https://twitter.com/Cen4infoRes/status/1500489058790920200" TargetMode="External"/><Relationship Id="rId7669" Type="http://schemas.openxmlformats.org/officeDocument/2006/relationships/hyperlink" Target="https://t.me/Pravda_Gerashchenko/2582" TargetMode="External"/><Relationship Id="rId5007" Type="http://schemas.openxmlformats.org/officeDocument/2006/relationships/hyperlink" Target="https://twitter.com/Danspiun/status/1499053606586261505" TargetMode="External"/><Relationship Id="rId6338" Type="http://schemas.openxmlformats.org/officeDocument/2006/relationships/hyperlink" Target="https://bellingcat-archive.nyc3.cdn.digitaloceanspaces.com/Ukraine_Witness_Datasheet/Worksheet/youtube_dl_1500464867622461443.mp4" TargetMode="External"/><Relationship Id="rId7668" Type="http://schemas.openxmlformats.org/officeDocument/2006/relationships/hyperlink" Target="https://www.google.com/maps/place/Spartaka+St,+3,+Sumy,+Sums'ka+oblast,+Ukraine,+40000/@50.8992103,34.7672294,17z/data=!4m5!3m4!1s0x412901a281f6c841:0xb37e34b5052f31b0!8m2!3d50.8973698!4d34.7668324" TargetMode="External"/><Relationship Id="rId5004" Type="http://schemas.openxmlformats.org/officeDocument/2006/relationships/hyperlink" Target="https://bellingcat-archive.nyc3.cdn.digitaloceanspaces.com/Ukraine_Witness_Datasheet/Worksheet/youtube_dl_1498943189138685952.mp4" TargetMode="External"/><Relationship Id="rId6335" Type="http://schemas.openxmlformats.org/officeDocument/2006/relationships/hyperlink" Target="https://bellingcat-archive.nyc3.cdn.digitaloceanspaces.com/Ukraine_Witness_Datasheet/Worksheet/youtube_dl_1500506280619872257/index.html" TargetMode="External"/><Relationship Id="rId7667" Type="http://schemas.openxmlformats.org/officeDocument/2006/relationships/hyperlink" Target="https://www.youtube.com/watch?v=mQYvo2YyFVs" TargetMode="External"/><Relationship Id="rId5005" Type="http://schemas.openxmlformats.org/officeDocument/2006/relationships/hyperlink" Target="https://bellingcat-archive.nyc3.cdn.digitaloceanspaces.com/Ukraine_Witness_Datasheet/Worksheet/youtube_dl__YWNReporter_status_14989431891386859522022-03-02T16:16:24.985490.png" TargetMode="External"/><Relationship Id="rId6336" Type="http://schemas.openxmlformats.org/officeDocument/2006/relationships/hyperlink" Target="https://twitter.com/Alex93419575/status/1500464867622461443" TargetMode="External"/><Relationship Id="rId7666" Type="http://schemas.openxmlformats.org/officeDocument/2006/relationships/hyperlink" Target="https://bellingcat-archive.nyc3.cdn.digitaloceanspaces.com/Ukraine_Witness_Datasheet/Worksheet/telegram__Pravda_Gerashchenko_25822022-03-09T13:25:12.075737.png" TargetMode="External"/><Relationship Id="rId7690" Type="http://schemas.openxmlformats.org/officeDocument/2006/relationships/hyperlink" Target="https://bellingcat-archive.nyc3.cdn.digitaloceanspaces.com/Ukraine_Witness_Datasheet/Worksheet/youtube_dl__666_mancer_status_15015308093454540822022-03-09T12:15:38.184101.png" TargetMode="External"/><Relationship Id="rId5031" Type="http://schemas.openxmlformats.org/officeDocument/2006/relationships/hyperlink" Target="https://twitter.com/aldin_ww/status/1499075890176831489" TargetMode="External"/><Relationship Id="rId6362" Type="http://schemas.openxmlformats.org/officeDocument/2006/relationships/hyperlink" Target="https://bellingcat-archive.nyc3.cdn.digitaloceanspaces.com/Ukraine_Witness_Datasheet/Worksheet/youtube_dl_1500511271359287296/index.html" TargetMode="External"/><Relationship Id="rId7694" Type="http://schemas.openxmlformats.org/officeDocument/2006/relationships/hyperlink" Target="https://bellingcat-archive.nyc3.cdn.digitaloceanspaces.com/Ukraine_Witness_Datasheet/Worksheet/youtube_dl__666_mancer_status_15015311970082324492022-03-09T12:21:56.702855.png" TargetMode="External"/><Relationship Id="rId5032" Type="http://schemas.openxmlformats.org/officeDocument/2006/relationships/hyperlink" Target="https://bellingcat-archive.nyc3.cdn.digitaloceanspaces.com/Ukraine_Witness_Datasheet/Worksheet/twitter__aldin_ww_status_1499075890176831489.html" TargetMode="External"/><Relationship Id="rId6363" Type="http://schemas.openxmlformats.org/officeDocument/2006/relationships/hyperlink" Target="https://twitter.com/Caucasuswar/status/1500556123690180613" TargetMode="External"/><Relationship Id="rId7693" Type="http://schemas.openxmlformats.org/officeDocument/2006/relationships/hyperlink" Target="https://bellingcat-archive.nyc3.cdn.digitaloceanspaces.com/Ukraine_Witness_Datasheet/Worksheet/youtube_dl_1501531197008232449.mp4" TargetMode="External"/><Relationship Id="rId6360" Type="http://schemas.openxmlformats.org/officeDocument/2006/relationships/hyperlink" Target="https://bellingcat-archive.nyc3.cdn.digitaloceanspaces.com/Ukraine_Witness_Datasheet/Worksheet/youtube_dl_1500511271359287296.mp4" TargetMode="External"/><Relationship Id="rId7692" Type="http://schemas.openxmlformats.org/officeDocument/2006/relationships/hyperlink" Target="https://twitter.com/666_mancer/status/1501531197008232449" TargetMode="External"/><Relationship Id="rId5030" Type="http://schemas.openxmlformats.org/officeDocument/2006/relationships/hyperlink" Target="https://bellingcat-archive.nyc3.cdn.digitaloceanspaces.com/Ukraine_Witness_Datasheet/Worksheet/youtube_dl_1499071102873657349/index.html" TargetMode="External"/><Relationship Id="rId6361" Type="http://schemas.openxmlformats.org/officeDocument/2006/relationships/hyperlink" Target="https://bellingcat-archive.nyc3.cdn.digitaloceanspaces.com/Ukraine_Witness_Datasheet/Worksheet/youtube_dl__NotWoofers_status_15005112713592872962022-03-06T20:45:23.931134.png" TargetMode="External"/><Relationship Id="rId7691" Type="http://schemas.openxmlformats.org/officeDocument/2006/relationships/hyperlink" Target="https://bellingcat-archive.nyc3.cdn.digitaloceanspaces.com/Ukraine_Witness_Datasheet/Worksheet/youtube_dl_1501530809345454082/index.html" TargetMode="External"/><Relationship Id="rId5035" Type="http://schemas.openxmlformats.org/officeDocument/2006/relationships/hyperlink" Target="https://bellingcat-archive.nyc3.cdn.digitaloceanspaces.com/Ukraine_Witness_Datasheet/Worksheet/youtube_dl_YQBLdkt1Lew.webm" TargetMode="External"/><Relationship Id="rId6366" Type="http://schemas.openxmlformats.org/officeDocument/2006/relationships/hyperlink" Target="https://bellingcat-archive.nyc3.cdn.digitaloceanspaces.com/Ukraine_Witness_Datasheet/Worksheet/youtube_dl__Caucasuswar_status_15005561236901806132022-03-06T20:45:38.231587.png" TargetMode="External"/><Relationship Id="rId7698" Type="http://schemas.openxmlformats.org/officeDocument/2006/relationships/hyperlink" Target="https://bellingcat-archive.nyc3.cdn.digitaloceanspaces.com/Ukraine_Witness_Datasheet/Worksheet/youtube_dl__no_itsmyturn_status_15014493727138160642022-03-09T12:22:10.162089.png" TargetMode="External"/><Relationship Id="rId5036" Type="http://schemas.openxmlformats.org/officeDocument/2006/relationships/hyperlink" Target="https://bellingcat-archive.nyc3.cdn.digitaloceanspaces.com/Ukraine_Witness_Datasheet/Worksheet/youtube_dl__watch2022-03-02T20:25:17.567671.png" TargetMode="External"/><Relationship Id="rId6367" Type="http://schemas.openxmlformats.org/officeDocument/2006/relationships/hyperlink" Target="https://bellingcat-archive.nyc3.cdn.digitaloceanspaces.com/Ukraine_Witness_Datasheet/Worksheet/youtube_dl_1500556123690180613/index.html" TargetMode="External"/><Relationship Id="rId7697" Type="http://schemas.openxmlformats.org/officeDocument/2006/relationships/hyperlink" Target="https://bellingcat-archive.nyc3.cdn.digitaloceanspaces.com/Ukraine_Witness_Datasheet/Worksheet/youtube_dl_1501449372713816064.mp4" TargetMode="External"/><Relationship Id="rId5033" Type="http://schemas.openxmlformats.org/officeDocument/2006/relationships/hyperlink" Target="https://bellingcat-archive.nyc3.cdn.digitaloceanspaces.com/Ukraine_Witness_Datasheet/Worksheet/twitter__aldin_ww_status_14990758901768314892022-03-02T17:50:11.982305.png" TargetMode="External"/><Relationship Id="rId6364" Type="http://schemas.openxmlformats.org/officeDocument/2006/relationships/hyperlink" Target="https://twitter.com/gfusfus/status/1500568897740840963" TargetMode="External"/><Relationship Id="rId7696" Type="http://schemas.openxmlformats.org/officeDocument/2006/relationships/hyperlink" Target="https://twitter.com/no_itsmyturn/status/1501449372713816064" TargetMode="External"/><Relationship Id="rId5034" Type="http://schemas.openxmlformats.org/officeDocument/2006/relationships/hyperlink" Target="https://www.youtube.com/watch?v=YQBLdkt1Lew&amp;ab_channel=%D0%9C%D0%B0%D0%BA%D1%81%D0%90%D0%BD%D0%B4%D1%80%D0%B5%D0%B5%D0%B2" TargetMode="External"/><Relationship Id="rId6365" Type="http://schemas.openxmlformats.org/officeDocument/2006/relationships/hyperlink" Target="https://bellingcat-archive.nyc3.cdn.digitaloceanspaces.com/Ukraine_Witness_Datasheet/Worksheet/youtube_dl_1500556123690180613.mp4" TargetMode="External"/><Relationship Id="rId7695" Type="http://schemas.openxmlformats.org/officeDocument/2006/relationships/hyperlink" Target="https://bellingcat-archive.nyc3.cdn.digitaloceanspaces.com/Ukraine_Witness_Datasheet/Worksheet/youtube_dl_1501531197008232449/index.html" TargetMode="External"/><Relationship Id="rId5039" Type="http://schemas.openxmlformats.org/officeDocument/2006/relationships/hyperlink" Target="https://bellingcat-archive.nyc3.cdn.digitaloceanspaces.com/Ukraine_Witness_Datasheet/Worksheet/telegram_8edcfd406f.mp4" TargetMode="External"/><Relationship Id="rId5037" Type="http://schemas.openxmlformats.org/officeDocument/2006/relationships/hyperlink" Target="https://bellingcat-archive.nyc3.cdn.digitaloceanspaces.com/Ukraine_Witness_Datasheet/Worksheet/youtube_dl_YQBLdkt1Lew/index.html" TargetMode="External"/><Relationship Id="rId6368" Type="http://schemas.openxmlformats.org/officeDocument/2006/relationships/hyperlink" Target="https://twitter.com/michaelh992/status/1500499668089856002?s=21" TargetMode="External"/><Relationship Id="rId5038" Type="http://schemas.openxmlformats.org/officeDocument/2006/relationships/hyperlink" Target="https://t.me/HersonDN/2712" TargetMode="External"/><Relationship Id="rId6369" Type="http://schemas.openxmlformats.org/officeDocument/2006/relationships/hyperlink" Target="https://www.google.com/maps/place/50%C2%B039'19.8%22N+31%C2%B004'23.2%22E/@50.6548415,31.0724753,3a,75y,90t/data=!3m8!1e2!3m6!1sAF1QipMoOvvxjfLnnCWTIFXW8yda1qGg6Gu95F7mwCW3!2e10!3e12!6shttps:%2F%2Flh5.googleusercontent.com%2Fp%2FAF1QipMoOvvxjfLnnCWTIFXW8yda1qGg6Gu95F7mwCW3%3Dw360-h270-k-no!7i4000!8i3000!4m13!1m7!3m6!1s0x0:0x4f47d4734afca91d!2zNTDCsDM5JzE5LjgiTiAzMcKwMDQnMjMuMiJF!3b1!8m2!3d50.655507!4d31.073123!3m4!1s0x0:0x4f47d4734afca91d!8m2!3d50.655507!4d31.073123" TargetMode="External"/><Relationship Id="rId7699" Type="http://schemas.openxmlformats.org/officeDocument/2006/relationships/hyperlink" Target="https://bellingcat-archive.nyc3.cdn.digitaloceanspaces.com/Ukraine_Witness_Datasheet/Worksheet/youtube_dl_1501449372713816064/index.html" TargetMode="External"/><Relationship Id="rId5020" Type="http://schemas.openxmlformats.org/officeDocument/2006/relationships/hyperlink" Target="https://bellingcat-archive.nyc3.cdn.digitaloceanspaces.com/Ukraine_Witness_Datasheet/Worksheet/youtube_dl_1499053814241968133/index.html" TargetMode="External"/><Relationship Id="rId6351" Type="http://schemas.openxmlformats.org/officeDocument/2006/relationships/hyperlink" Target="https://twitter.com/novostidnua/status/1500486627398987777" TargetMode="External"/><Relationship Id="rId7683" Type="http://schemas.openxmlformats.org/officeDocument/2006/relationships/hyperlink" Target="https://bellingcat-archive.nyc3.cdn.digitaloceanspaces.com/Ukraine_Witness_Datasheet/Worksheet/telegram__dvish_alive_95622022-03-09T12:10:11.089618.png" TargetMode="External"/><Relationship Id="rId5021" Type="http://schemas.openxmlformats.org/officeDocument/2006/relationships/hyperlink" Target="https://twitter.com/200_zoka/status/1498984710239883264" TargetMode="External"/><Relationship Id="rId6352" Type="http://schemas.openxmlformats.org/officeDocument/2006/relationships/hyperlink" Target="https://bellingcat-archive.nyc3.cdn.digitaloceanspaces.com/Ukraine_Witness_Datasheet/Worksheet/twitter__novostidnua_status_1500486627398987777.html" TargetMode="External"/><Relationship Id="rId7682" Type="http://schemas.openxmlformats.org/officeDocument/2006/relationships/hyperlink" Target="https://bellingcat-archive.nyc3.cdn.digitaloceanspaces.com/Ukraine_Witness_Datasheet/Worksheet/telegram__dvish_alive_9562.html" TargetMode="External"/><Relationship Id="rId7681" Type="http://schemas.openxmlformats.org/officeDocument/2006/relationships/hyperlink" Target="https://t.me/dvish_alive/9562" TargetMode="External"/><Relationship Id="rId6350" Type="http://schemas.openxmlformats.org/officeDocument/2006/relationships/hyperlink" Target="https://bellingcat-archive.nyc3.cdn.digitaloceanspaces.com/Ukraine_Witness_Datasheet/Worksheet/youtube_dl_1500458496852217862/index.html" TargetMode="External"/><Relationship Id="rId7680" Type="http://schemas.openxmlformats.org/officeDocument/2006/relationships/hyperlink" Target="https://bellingcat-archive.nyc3.cdn.digitaloceanspaces.com/Ukraine_Witness_Datasheet/Worksheet/youtube_dl_1500447665024348168/index.html" TargetMode="External"/><Relationship Id="rId5024" Type="http://schemas.openxmlformats.org/officeDocument/2006/relationships/hyperlink" Target="https://bellingcat-archive.nyc3.cdn.digitaloceanspaces.com/Ukraine_Witness_Datasheet/Worksheet/youtube_dl__200_zoka_status_14989847102398832642022-03-02T16:55:11.717695.png" TargetMode="External"/><Relationship Id="rId6355" Type="http://schemas.openxmlformats.org/officeDocument/2006/relationships/hyperlink" Target="https://twitter.com/gfusfus/status/1500496458918866946" TargetMode="External"/><Relationship Id="rId7687" Type="http://schemas.openxmlformats.org/officeDocument/2006/relationships/hyperlink" Target="https://bellingcat-archive.nyc3.cdn.digitaloceanspaces.com/Ukraine_Witness_Datasheet/Worksheet/youtube_dl_1501449834791944192/index.html" TargetMode="External"/><Relationship Id="rId5025" Type="http://schemas.openxmlformats.org/officeDocument/2006/relationships/hyperlink" Target="https://bellingcat-archive.nyc3.cdn.digitaloceanspaces.com/Ukraine_Witness_Datasheet/Worksheet/youtube_dl_1498984710239883264/index.html" TargetMode="External"/><Relationship Id="rId6356" Type="http://schemas.openxmlformats.org/officeDocument/2006/relationships/hyperlink" Target="https://bellingcat-archive.nyc3.cdn.digitaloceanspaces.com/Ukraine_Witness_Datasheet/Worksheet/twitter__SputnikATO_status_1500491922854580225.html" TargetMode="External"/><Relationship Id="rId7686" Type="http://schemas.openxmlformats.org/officeDocument/2006/relationships/hyperlink" Target="https://bellingcat-archive.nyc3.cdn.digitaloceanspaces.com/Ukraine_Witness_Datasheet/Worksheet/youtube_dl__no_itsmyturn_status_15014498347919441922022-03-09T12:15:17.557274.png" TargetMode="External"/><Relationship Id="rId5022" Type="http://schemas.openxmlformats.org/officeDocument/2006/relationships/hyperlink" Target="https://twitter.com/OAlexanderDK/status/1498986452172038144" TargetMode="External"/><Relationship Id="rId6353" Type="http://schemas.openxmlformats.org/officeDocument/2006/relationships/hyperlink" Target="https://bellingcat-archive.nyc3.cdn.digitaloceanspaces.com/Ukraine_Witness_Datasheet/Worksheet/twitter__novostidnua_status_15004866273989877772022-03-06T18:35:16.398810.png" TargetMode="External"/><Relationship Id="rId7685" Type="http://schemas.openxmlformats.org/officeDocument/2006/relationships/hyperlink" Target="https://bellingcat-archive.nyc3.cdn.digitaloceanspaces.com/Ukraine_Witness_Datasheet/Worksheet/youtube_dl_1501449834791944192.mp4" TargetMode="External"/><Relationship Id="rId5023" Type="http://schemas.openxmlformats.org/officeDocument/2006/relationships/hyperlink" Target="https://bellingcat-archive.nyc3.cdn.digitaloceanspaces.com/Ukraine_Witness_Datasheet/Worksheet/youtube_dl_1498984710239883264.mp4" TargetMode="External"/><Relationship Id="rId6354" Type="http://schemas.openxmlformats.org/officeDocument/2006/relationships/hyperlink" Target="https://twitter.com/SputnikATO/status/1500491922854580225" TargetMode="External"/><Relationship Id="rId7684" Type="http://schemas.openxmlformats.org/officeDocument/2006/relationships/hyperlink" Target="https://twitter.com/no_itsmyturn/status/1501449834791944192" TargetMode="External"/><Relationship Id="rId5028" Type="http://schemas.openxmlformats.org/officeDocument/2006/relationships/hyperlink" Target="https://bellingcat-archive.nyc3.cdn.digitaloceanspaces.com/Ukraine_Witness_Datasheet/Worksheet/youtube_dl_1499071102873657349.mp4" TargetMode="External"/><Relationship Id="rId6359" Type="http://schemas.openxmlformats.org/officeDocument/2006/relationships/hyperlink" Target="https://twitter.com/john_marquee/status/1500513652847222785" TargetMode="External"/><Relationship Id="rId5029" Type="http://schemas.openxmlformats.org/officeDocument/2006/relationships/hyperlink" Target="https://bellingcat-archive.nyc3.cdn.digitaloceanspaces.com/Ukraine_Witness_Datasheet/Worksheet/youtube_dl__SputnikATO_status_14990711028736573492022-03-02T17:20:12.257778.png" TargetMode="External"/><Relationship Id="rId5026" Type="http://schemas.openxmlformats.org/officeDocument/2006/relationships/hyperlink" Target="https://twitter.com/SputnikATO/status/1499071102873657349" TargetMode="External"/><Relationship Id="rId6357" Type="http://schemas.openxmlformats.org/officeDocument/2006/relationships/hyperlink" Target="https://bellingcat-archive.nyc3.cdn.digitaloceanspaces.com/Ukraine_Witness_Datasheet/Worksheet/twitter__SputnikATO_status_15004919228545802252022-03-06T20:45:13.127448.png" TargetMode="External"/><Relationship Id="rId7689" Type="http://schemas.openxmlformats.org/officeDocument/2006/relationships/hyperlink" Target="https://bellingcat-archive.nyc3.cdn.digitaloceanspaces.com/Ukraine_Witness_Datasheet/Worksheet/youtube_dl_1501530809345454082.mp4" TargetMode="External"/><Relationship Id="rId5027" Type="http://schemas.openxmlformats.org/officeDocument/2006/relationships/hyperlink" Target="https://www.marinetraffic.com/en/ais/details/ships/shipid:5662725/mmsi:405000241/imo:9793832/vessel:BANGLAR_SAMRIDDHI" TargetMode="External"/><Relationship Id="rId6358" Type="http://schemas.openxmlformats.org/officeDocument/2006/relationships/hyperlink" Target="https://twitter.com/NotWoofers/status/1500511271359287296" TargetMode="External"/><Relationship Id="rId7688" Type="http://schemas.openxmlformats.org/officeDocument/2006/relationships/hyperlink" Target="https://twitter.com/666_mancer/status/1501530809345454082" TargetMode="External"/><Relationship Id="rId6308" Type="http://schemas.openxmlformats.org/officeDocument/2006/relationships/hyperlink" Target="https://www.google.com/maps/place/Akademika+Tarle+St,+2,+Kherson,+Khersons'ka+oblast,+Ukraine,+73009/@46.6780995,32.6118592,295m/data=!3m2!1e3!4b1!4m5!3m4!1s0x40c4105e12ea862d:0xbb765dffb132452a!8m2!3d46.6780995!4d32.6129535" TargetMode="External"/><Relationship Id="rId6309" Type="http://schemas.openxmlformats.org/officeDocument/2006/relationships/hyperlink" Target="https://bellingcat-archive.nyc3.cdn.digitaloceanspaces.com/Ukraine_Witness_Datasheet/Worksheet/youtube_dl_JpnqX6r6Bqc.webm" TargetMode="External"/><Relationship Id="rId7639" Type="http://schemas.openxmlformats.org/officeDocument/2006/relationships/hyperlink" Target="https://twitter.com/no_itsmyturn/status/1501491738342576131" TargetMode="External"/><Relationship Id="rId6306" Type="http://schemas.openxmlformats.org/officeDocument/2006/relationships/hyperlink" Target="https://bellingcat-archive.nyc3.cdn.digitaloceanspaces.com/Ukraine_Witness_Datasheet/Worksheet/youtube_dl_X9k-824WHTI/index.html" TargetMode="External"/><Relationship Id="rId7638" Type="http://schemas.openxmlformats.org/officeDocument/2006/relationships/hyperlink" Target="https://bellingcat-archive.nyc3.cdn.digitaloceanspaces.com/Ukraine_Witness_Datasheet/Worksheet/youtube_dl_1501504889050087428/index.html" TargetMode="External"/><Relationship Id="rId6307" Type="http://schemas.openxmlformats.org/officeDocument/2006/relationships/hyperlink" Target="https://youtube.com/shorts/JpnqX6r6Bqc?feature=share" TargetMode="External"/><Relationship Id="rId7637" Type="http://schemas.openxmlformats.org/officeDocument/2006/relationships/hyperlink" Target="https://bellingcat-archive.nyc3.cdn.digitaloceanspaces.com/Ukraine_Witness_Datasheet/Worksheet/youtube_dl__YWNReporter_status_15015048890500874282022-03-09T10:40:12.966755.png" TargetMode="External"/><Relationship Id="rId6300" Type="http://schemas.openxmlformats.org/officeDocument/2006/relationships/hyperlink" Target="https://bellingcat-archive.nyc3.cdn.digitaloceanspaces.com/Ukraine_Witness_Datasheet/Worksheet/youtube_dl__RWApodcast_status_14997802779457413152022-03-06T14:15:13.446019.png" TargetMode="External"/><Relationship Id="rId7632" Type="http://schemas.openxmlformats.org/officeDocument/2006/relationships/hyperlink" Target="https://bellingcat-archive.nyc3.cdn.digitaloceanspaces.com/Ukraine_Witness_Datasheet/Worksheet/twitter__Liveuamap_status_1501288560015527937.html" TargetMode="External"/><Relationship Id="rId6301" Type="http://schemas.openxmlformats.org/officeDocument/2006/relationships/hyperlink" Target="https://bellingcat-archive.nyc3.cdn.digitaloceanspaces.com/Ukraine_Witness_Datasheet/Worksheet/youtube_dl_1499780277945741315/index.html" TargetMode="External"/><Relationship Id="rId7631" Type="http://schemas.openxmlformats.org/officeDocument/2006/relationships/hyperlink" Target="https://twitter.com/Liveuamap/status/1501288560015527937?s=20&amp;t=JH6s1sfOxDKPD_ytllVJCA" TargetMode="External"/><Relationship Id="rId7630" Type="http://schemas.openxmlformats.org/officeDocument/2006/relationships/hyperlink" Target="https://bellingcat-archive.nyc3.cdn.digitaloceanspaces.com/Ukraine_Witness_Datasheet/Worksheet/youtube_dl_1501202129586905089/index.html" TargetMode="External"/><Relationship Id="rId6304" Type="http://schemas.openxmlformats.org/officeDocument/2006/relationships/hyperlink" Target="https://bellingcat-archive.nyc3.cdn.digitaloceanspaces.com/Ukraine_Witness_Datasheet/Worksheet/youtube_dl_X9k-824WHTI.webm" TargetMode="External"/><Relationship Id="rId7636" Type="http://schemas.openxmlformats.org/officeDocument/2006/relationships/hyperlink" Target="https://bellingcat-archive.nyc3.cdn.digitaloceanspaces.com/Ukraine_Witness_Datasheet/Worksheet/youtube_dl_1501504889050087428.mp4" TargetMode="External"/><Relationship Id="rId6305" Type="http://schemas.openxmlformats.org/officeDocument/2006/relationships/hyperlink" Target="https://bellingcat-archive.nyc3.cdn.digitaloceanspaces.com/Ukraine_Witness_Datasheet/Worksheet/youtube_dl__watch2022-03-06T15:40:17.558129.png" TargetMode="External"/><Relationship Id="rId7635" Type="http://schemas.openxmlformats.org/officeDocument/2006/relationships/hyperlink" Target="https://twitter.com/YWNReporter/status/1501504889050087428" TargetMode="External"/><Relationship Id="rId6302" Type="http://schemas.openxmlformats.org/officeDocument/2006/relationships/hyperlink" Target="https://www.youtube.com/watch?v=X9k-824WHTI" TargetMode="External"/><Relationship Id="rId7634" Type="http://schemas.openxmlformats.org/officeDocument/2006/relationships/hyperlink" Target="https://twitter.com/YWNReporter/status/1501504889050087428" TargetMode="External"/><Relationship Id="rId6303" Type="http://schemas.openxmlformats.org/officeDocument/2006/relationships/hyperlink" Target="https://www.google.com/maps/search/%D0%90%D0%BF%D1%82%D0%B5%D0%BA%D0%B0+%D0%A0%D0%B0%D0%B4%D0%B5%D0%BD%D1%81%D1%8C%D0%BA/@46.5517183,32.927316,148m/data=!3m1!1e3" TargetMode="External"/><Relationship Id="rId7633" Type="http://schemas.openxmlformats.org/officeDocument/2006/relationships/hyperlink" Target="https://bellingcat-archive.nyc3.cdn.digitaloceanspaces.com/Ukraine_Witness_Datasheet/Worksheet/twitter__Liveuamap_status_15012885600155279372022-03-09T05:05:32.391289.png" TargetMode="External"/><Relationship Id="rId7629" Type="http://schemas.openxmlformats.org/officeDocument/2006/relationships/hyperlink" Target="https://bellingcat-archive.nyc3.cdn.digitaloceanspaces.com/Ukraine_Witness_Datasheet/Worksheet/youtube_dl__EmineDzheppar_status_15012021295869050892022-03-09T05:05:13.140665.png" TargetMode="External"/><Relationship Id="rId7628" Type="http://schemas.openxmlformats.org/officeDocument/2006/relationships/hyperlink" Target="https://bellingcat-archive.nyc3.cdn.digitaloceanspaces.com/Ukraine_Witness_Datasheet/Worksheet/youtube_dl_1501202129586905089.mp4" TargetMode="External"/><Relationship Id="rId7627" Type="http://schemas.openxmlformats.org/officeDocument/2006/relationships/hyperlink" Target="https://twitter.com/EmineDzheppar/status/1501202129586905089" TargetMode="External"/><Relationship Id="rId7626" Type="http://schemas.openxmlformats.org/officeDocument/2006/relationships/hyperlink" Target="https://bellingcat-archive.nyc3.cdn.digitaloceanspaces.com/Ukraine_Witness_Datasheet/Worksheet/twitter__RALee85_status_15013301417833431042022-03-08T23:15:14.204150.png" TargetMode="External"/><Relationship Id="rId7621" Type="http://schemas.openxmlformats.org/officeDocument/2006/relationships/hyperlink" Target="https://bellingcat-archive.nyc3.cdn.digitaloceanspaces.com/Ukraine_Witness_Datasheet/Worksheet/youtube_dl_1500852898837716998.mp4" TargetMode="External"/><Relationship Id="rId7620" Type="http://schemas.openxmlformats.org/officeDocument/2006/relationships/hyperlink" Target="https://twitter.com/maria_avdv/status/1500852898837716998" TargetMode="External"/><Relationship Id="rId7625" Type="http://schemas.openxmlformats.org/officeDocument/2006/relationships/hyperlink" Target="https://bellingcat-archive.nyc3.cdn.digitaloceanspaces.com/Ukraine_Witness_Datasheet/Worksheet/twitter__RALee85_status_1501330141783343104.html" TargetMode="External"/><Relationship Id="rId7624" Type="http://schemas.openxmlformats.org/officeDocument/2006/relationships/hyperlink" Target="https://twitter.com/RALee85/status/1501330141783343104" TargetMode="External"/><Relationship Id="rId7623" Type="http://schemas.openxmlformats.org/officeDocument/2006/relationships/hyperlink" Target="https://bellingcat-archive.nyc3.cdn.digitaloceanspaces.com/Ukraine_Witness_Datasheet/Worksheet/youtube_dl_1500852898837716998/index.html" TargetMode="External"/><Relationship Id="rId7622" Type="http://schemas.openxmlformats.org/officeDocument/2006/relationships/hyperlink" Target="https://bellingcat-archive.nyc3.cdn.digitaloceanspaces.com/Ukraine_Witness_Datasheet/Worksheet/youtube_dl__maria_avdv_status_15008528988377169982022-03-08T23:13:36.999251.png" TargetMode="External"/><Relationship Id="rId6328" Type="http://schemas.openxmlformats.org/officeDocument/2006/relationships/hyperlink" Target="https://bellingcat-archive.nyc3.cdn.digitaloceanspaces.com/Ukraine_Witness_Datasheet/Worksheet/youtube_dl_1500471901877161988/index.html" TargetMode="External"/><Relationship Id="rId6329" Type="http://schemas.openxmlformats.org/officeDocument/2006/relationships/hyperlink" Target="https://twitter.com/malonebarry/status/1500510042876952582" TargetMode="External"/><Relationship Id="rId7659" Type="http://schemas.openxmlformats.org/officeDocument/2006/relationships/hyperlink" Target="https://bellingcat-archive.nyc3.cdn.digitaloceanspaces.com/Ukraine_Witness_Datasheet/Worksheet/telegram_9b8b9715e0.mp4" TargetMode="External"/><Relationship Id="rId7650" Type="http://schemas.openxmlformats.org/officeDocument/2006/relationships/hyperlink" Target="https://bellingcat-archive.nyc3.cdn.digitaloceanspaces.com/Ukraine_Witness_Datasheet/Worksheet/telegram__Pravda_Gerashchenko_25422022-03-09T11:00:30.846819.png" TargetMode="External"/><Relationship Id="rId6322" Type="http://schemas.openxmlformats.org/officeDocument/2006/relationships/hyperlink" Target="https://bellingcat-archive.nyc3.cdn.digitaloceanspaces.com/Ukraine_Witness_Datasheet/Worksheet/youtube_dl__shorts_ZTV8X8ew-wI2022-03-06T17:35:14.701693.png" TargetMode="External"/><Relationship Id="rId7654" Type="http://schemas.openxmlformats.org/officeDocument/2006/relationships/hyperlink" Target="https://www.google.de/maps/@46.9433499,32.0367294,3a,75y,246.12h,114.6t/data=!3m8!1e1!3m6!1sAF1QipPTu0tmsvyjam0c-qS_fhc4FR4fzH1CvFiH7rEj!2e10!3e11!6shttps:%2F%2Flh5.googleusercontent.com%2Fp%2FAF1QipPTu0tmsvyjam0c-qS_fhc4FR4fzH1CvFiH7rEj%3Dw203-h100-k-no-pi0-ya313.6199-ro-0-fo100!7i10240!8i5120!5m1!1e1" TargetMode="External"/><Relationship Id="rId6323" Type="http://schemas.openxmlformats.org/officeDocument/2006/relationships/hyperlink" Target="https://bellingcat-archive.nyc3.cdn.digitaloceanspaces.com/Ukraine_Witness_Datasheet/Worksheet/youtube_dl_ZTV8X8ew-wI/index.html" TargetMode="External"/><Relationship Id="rId7653" Type="http://schemas.openxmlformats.org/officeDocument/2006/relationships/hyperlink" Target="https://t.me/suspilnemykolaiv/4751" TargetMode="External"/><Relationship Id="rId6320" Type="http://schemas.openxmlformats.org/officeDocument/2006/relationships/hyperlink" Target="https://goo.gl/maps/7tAi6t6GYe4WHYcJ7" TargetMode="External"/><Relationship Id="rId7652" Type="http://schemas.openxmlformats.org/officeDocument/2006/relationships/hyperlink" Target="https://t.me/Pravda_Gerashchenko/2542" TargetMode="External"/><Relationship Id="rId6321" Type="http://schemas.openxmlformats.org/officeDocument/2006/relationships/hyperlink" Target="https://bellingcat-archive.nyc3.cdn.digitaloceanspaces.com/Ukraine_Witness_Datasheet/Worksheet/youtube_dl_ZTV8X8ew-wI.webm" TargetMode="External"/><Relationship Id="rId7651" Type="http://schemas.openxmlformats.org/officeDocument/2006/relationships/hyperlink" Target="https://bellingcat-archive.nyc3.cdn.digitaloceanspaces.com/Ukraine_Witness_Datasheet/Worksheet/telegram_e3f70ace9d/index.html" TargetMode="External"/><Relationship Id="rId6326" Type="http://schemas.openxmlformats.org/officeDocument/2006/relationships/hyperlink" Target="https://bellingcat-archive.nyc3.cdn.digitaloceanspaces.com/Ukraine_Witness_Datasheet/Worksheet/youtube_dl_1500471901877161988.mp4" TargetMode="External"/><Relationship Id="rId7658" Type="http://schemas.openxmlformats.org/officeDocument/2006/relationships/hyperlink" Target="https://www.google.de/maps/place/Ivana+Franka+St,+8,+Vasylkiv,+Kyivs'ka+oblast,+Ukraine,+08602/@50.1796404,30.3149585,17z/data=!3m1!4b1!4m5!3m4!1s0x40d4a54db13d9447:0xab086a07984ce616!8m2!3d50.1796404!4d30.3171525!5m1!1e1" TargetMode="External"/><Relationship Id="rId6327" Type="http://schemas.openxmlformats.org/officeDocument/2006/relationships/hyperlink" Target="https://bellingcat-archive.nyc3.cdn.digitaloceanspaces.com/Ukraine_Witness_Datasheet/Worksheet/youtube_dl__HalibutAngry_status_15004719018771619882022-03-06T16:05:12.515625.png" TargetMode="External"/><Relationship Id="rId7657" Type="http://schemas.openxmlformats.org/officeDocument/2006/relationships/hyperlink" Target="https://t.me/insiderUKR/24607" TargetMode="External"/><Relationship Id="rId6324" Type="http://schemas.openxmlformats.org/officeDocument/2006/relationships/hyperlink" Target="https://twitter.com/HalibutAngry/status/1500471901877161988?s=20&amp;t=YcixCgENXIyHOJmIQrtugg" TargetMode="External"/><Relationship Id="rId7656" Type="http://schemas.openxmlformats.org/officeDocument/2006/relationships/hyperlink" Target="https://bellingcat-archive.nyc3.cdn.digitaloceanspaces.com/Ukraine_Witness_Datasheet/Worksheet/telegram__suspilnemykolaiv_47512022-03-09T11:55:11.016013.png" TargetMode="External"/><Relationship Id="rId6325" Type="http://schemas.openxmlformats.org/officeDocument/2006/relationships/hyperlink" Target="https://twitter.com/zcjbrooker/status/1500476748147867649?s=20&amp;t=YcixCgENXIyHOJmIQrtugg" TargetMode="External"/><Relationship Id="rId7655" Type="http://schemas.openxmlformats.org/officeDocument/2006/relationships/hyperlink" Target="https://bellingcat-archive.nyc3.cdn.digitaloceanspaces.com/Ukraine_Witness_Datasheet/Worksheet/telegram__suspilnemykolaiv_4751.html" TargetMode="External"/><Relationship Id="rId6319" Type="http://schemas.openxmlformats.org/officeDocument/2006/relationships/hyperlink" Target="https://www.google.com/maps/place/Tavriiskyi,+Cherson,+Ukraine,+73000/@46.6692219,32.6086485,15z/data=!3m1!4b1!4m5!3m4!1s0x40c4106edc759e69:0x40296909fdcc4fc4!8m2!3d46.6692228!4d32.6174033" TargetMode="External"/><Relationship Id="rId6317" Type="http://schemas.openxmlformats.org/officeDocument/2006/relationships/hyperlink" Target="https://bellingcat-archive.nyc3.cdn.digitaloceanspaces.com/Ukraine_Witness_Datasheet/Worksheet/youtube_dl_oZLaJ0v8aLA/index.html" TargetMode="External"/><Relationship Id="rId7649" Type="http://schemas.openxmlformats.org/officeDocument/2006/relationships/hyperlink" Target="https://bellingcat-archive.nyc3.cdn.digitaloceanspaces.com/Ukraine_Witness_Datasheet/Worksheet/telegram_e3f70ace9d.mp4" TargetMode="External"/><Relationship Id="rId6318" Type="http://schemas.openxmlformats.org/officeDocument/2006/relationships/hyperlink" Target="https://youtube.com/shorts/ZTV8X8ew-wI?feature=share" TargetMode="External"/><Relationship Id="rId7648" Type="http://schemas.openxmlformats.org/officeDocument/2006/relationships/hyperlink" Target="https://www.google.de/maps/place/Tserkva+Heorhiyivs%CA%B9ka+1878R/@50.7054392,31.1239577,2182m/data=!3m1!1e3!4m13!1m7!3m6!1s0x40d53cea1cb86fcd:0xbbe68fd6bba5c14b!2sSaworytschi,+Oblast+Kiew,+Ukraine,+07424!3b1!8m2!3d50.706734!4d31.1337602!3m4!1s0x40d53ce4d8733a43:0x3f93412570d742f6!8m2!3d50.7038814!4d31.1503544!5m2!1e1!1e4" TargetMode="External"/><Relationship Id="rId6311" Type="http://schemas.openxmlformats.org/officeDocument/2006/relationships/hyperlink" Target="https://bellingcat-archive.nyc3.cdn.digitaloceanspaces.com/Ukraine_Witness_Datasheet/Worksheet/youtube_dl_JpnqX6r6Bqc/index.html" TargetMode="External"/><Relationship Id="rId7643" Type="http://schemas.openxmlformats.org/officeDocument/2006/relationships/hyperlink" Target="https://t.me/Pravda_Gerashchenko/2549" TargetMode="External"/><Relationship Id="rId6312" Type="http://schemas.openxmlformats.org/officeDocument/2006/relationships/hyperlink" Target="https://youtube.com/shorts/oZLaJ0v8aLA?feature=share" TargetMode="External"/><Relationship Id="rId7642" Type="http://schemas.openxmlformats.org/officeDocument/2006/relationships/hyperlink" Target="https://bellingcat-archive.nyc3.cdn.digitaloceanspaces.com/Ukraine_Witness_Datasheet/Worksheet/youtube_dl_1501491738342576131/index.html" TargetMode="External"/><Relationship Id="rId7641" Type="http://schemas.openxmlformats.org/officeDocument/2006/relationships/hyperlink" Target="https://bellingcat-archive.nyc3.cdn.digitaloceanspaces.com/Ukraine_Witness_Datasheet/Worksheet/youtube_dl__no_itsmyturn_status_15014917383425761312022-03-09T11:00:15.721163.png" TargetMode="External"/><Relationship Id="rId6310" Type="http://schemas.openxmlformats.org/officeDocument/2006/relationships/hyperlink" Target="https://bellingcat-archive.nyc3.cdn.digitaloceanspaces.com/Ukraine_Witness_Datasheet/Worksheet/youtube_dl__shorts_JpnqX6r6Bqc2022-03-06T16:15:14.360186.png" TargetMode="External"/><Relationship Id="rId7640" Type="http://schemas.openxmlformats.org/officeDocument/2006/relationships/hyperlink" Target="https://bellingcat-archive.nyc3.cdn.digitaloceanspaces.com/Ukraine_Witness_Datasheet/Worksheet/youtube_dl_1501491738342576131.mp4" TargetMode="External"/><Relationship Id="rId6315" Type="http://schemas.openxmlformats.org/officeDocument/2006/relationships/hyperlink" Target="https://bellingcat-archive.nyc3.cdn.digitaloceanspaces.com/Ukraine_Witness_Datasheet/Worksheet/youtube_dl_oZLaJ0v8aLA.mp4" TargetMode="External"/><Relationship Id="rId7647" Type="http://schemas.openxmlformats.org/officeDocument/2006/relationships/hyperlink" Target="https://t.me/Pravda_Gerashchenko/2542" TargetMode="External"/><Relationship Id="rId6316" Type="http://schemas.openxmlformats.org/officeDocument/2006/relationships/hyperlink" Target="https://bellingcat-archive.nyc3.cdn.digitaloceanspaces.com/Ukraine_Witness_Datasheet/Worksheet/youtube_dl__shorts_oZLaJ0v8aLA2022-03-06T17:15:14.774890.png" TargetMode="External"/><Relationship Id="rId7646" Type="http://schemas.openxmlformats.org/officeDocument/2006/relationships/hyperlink" Target="https://bellingcat-archive.nyc3.cdn.digitaloceanspaces.com/Ukraine_Witness_Datasheet/Worksheet/telegram__Pravda_Gerashchenko_25492022-03-09T10:55:09.801319.png" TargetMode="External"/><Relationship Id="rId6313" Type="http://schemas.openxmlformats.org/officeDocument/2006/relationships/hyperlink" Target="https://www.google.com/maps/place/Pans%CA%B9ki+Rozvahy/@46.6709004,32.7060206,18z/data=!4m13!1m7!3m6!1s0x40c40e357e91f91f:0x7e71b9c98248c4c0!2sPans%CA%B9ki+Rozvahy!3b1!8m2!3d46.6709013!4d32.7071149!3m4!1s0x40c40e357e91f91f:0x7e71b9c98248c4c0!8m2!3d46.6709013!4d32.7071149" TargetMode="External"/><Relationship Id="rId7645" Type="http://schemas.openxmlformats.org/officeDocument/2006/relationships/hyperlink" Target="https://bellingcat-archive.nyc3.cdn.digitaloceanspaces.com/Ukraine_Witness_Datasheet/Worksheet/telegram__Pravda_Gerashchenko_2549.html" TargetMode="External"/><Relationship Id="rId6314" Type="http://schemas.openxmlformats.org/officeDocument/2006/relationships/hyperlink" Target="https://instagram.com/panski_rozvagy?utm_medium=copy_link" TargetMode="External"/><Relationship Id="rId7644" Type="http://schemas.openxmlformats.org/officeDocument/2006/relationships/hyperlink" Target="https://www.google.de/maps/place/%D0%93%D1%83%D1%80%D1%82%D0%BE%D0%B6%D0%B8%D1%82%D0%BE%D0%BA+%D0%9D%D0%90%D0%A3+%22%D0%A5%D0%90%D0%86%22+%E2%84%968/@50.0427306,36.2803482,1106m/data=!3m1!1e3!4m9!1m2!2m1!1z0JPRg9GA0YLQvtC20LjRgtC-0Log4oSWOCDQpdCQ0IY!3m5!1s0x4127a6e3b10ead11:0xe6de782741f58653!8m2!3d50.0441899!4d36.2777107!15sCiDQk9GD0YDRgtC-0LbQuNGC0L7QuiDihJY4INCl0JDQhpIBEXN0dWRlbnRfZG9ybWl0b3J5!5m1!1e4" TargetMode="External"/><Relationship Id="rId2820" Type="http://schemas.openxmlformats.org/officeDocument/2006/relationships/hyperlink" Target="https://bellingcat-archive.nyc3.cdn.digitaloceanspaces.com/Ukraine_Witness_Datasheet/Worksheet/youtube_dl_1497224742700400648.mp4" TargetMode="External"/><Relationship Id="rId2821" Type="http://schemas.openxmlformats.org/officeDocument/2006/relationships/hyperlink" Target="https://bellingcat-archive.nyc3.cdn.digitaloceanspaces.com/Ukraine_Witness_Datasheet/Worksheet/youtube_dl__MotolkoHelp_status_14972247427004006482022-02-25T16:29:57.352675.png" TargetMode="External"/><Relationship Id="rId2822" Type="http://schemas.openxmlformats.org/officeDocument/2006/relationships/hyperlink" Target="https://bellingcat-archive.nyc3.cdn.digitaloceanspaces.com/Ukraine_Witness_Datasheet/Worksheet/youtube_dl_1497224742700400648/index.html" TargetMode="External"/><Relationship Id="rId2823" Type="http://schemas.openxmlformats.org/officeDocument/2006/relationships/hyperlink" Target="https://twitter.com/il_kanguru/status/1496999094400737280" TargetMode="External"/><Relationship Id="rId2824" Type="http://schemas.openxmlformats.org/officeDocument/2006/relationships/hyperlink" Target="https://twitter.com/il_kanguru/status/1496999094400737280" TargetMode="External"/><Relationship Id="rId2825" Type="http://schemas.openxmlformats.org/officeDocument/2006/relationships/hyperlink" Target="https://bellingcat-archive.nyc3.cdn.digitaloceanspaces.com/Ukraine_Witness_Datasheet/Worksheet/twitter__il_kanguru_status_1496999094400737280.html" TargetMode="External"/><Relationship Id="rId2826" Type="http://schemas.openxmlformats.org/officeDocument/2006/relationships/hyperlink" Target="https://bellingcat-archive.nyc3.cdn.digitaloceanspaces.com/Ukraine_Witness_Datasheet/Worksheet/twitter__il_kanguru_status_14969990944007372802022-02-25T16:30:17.784473.png" TargetMode="External"/><Relationship Id="rId2827" Type="http://schemas.openxmlformats.org/officeDocument/2006/relationships/hyperlink" Target="https://twitter.com/ua_industrial/status/1497231579524964352" TargetMode="External"/><Relationship Id="rId2828" Type="http://schemas.openxmlformats.org/officeDocument/2006/relationships/hyperlink" Target="https://twitter.com/gfusfus/status/1497244458726866946" TargetMode="External"/><Relationship Id="rId2829" Type="http://schemas.openxmlformats.org/officeDocument/2006/relationships/hyperlink" Target="https://bellingcat-archive.nyc3.cdn.digitaloceanspaces.com/Ukraine_Witness_Datasheet/Worksheet/youtube_dl_1497231579524964352.mp4" TargetMode="External"/><Relationship Id="rId5093" Type="http://schemas.openxmlformats.org/officeDocument/2006/relationships/hyperlink" Target="https://bellingcat-archive.nyc3.cdn.digitaloceanspaces.com/Ukraine_Witness_Datasheet/Worksheet/telegram_1f7c89a78a/index.html" TargetMode="External"/><Relationship Id="rId5094" Type="http://schemas.openxmlformats.org/officeDocument/2006/relationships/hyperlink" Target="https://t.me/KharkivPolitics/6914" TargetMode="External"/><Relationship Id="rId5091" Type="http://schemas.openxmlformats.org/officeDocument/2006/relationships/hyperlink" Target="https://bellingcat-archive.nyc3.cdn.digitaloceanspaces.com/Ukraine_Witness_Datasheet/Worksheet/telegram_1f7c89a78a.mp4" TargetMode="External"/><Relationship Id="rId5092" Type="http://schemas.openxmlformats.org/officeDocument/2006/relationships/hyperlink" Target="https://bellingcat-archive.nyc3.cdn.digitaloceanspaces.com/Ukraine_Witness_Datasheet/Worksheet/telegram__KharkivPolitics_69142022-03-03T08:20:09.157507.png" TargetMode="External"/><Relationship Id="rId5097" Type="http://schemas.openxmlformats.org/officeDocument/2006/relationships/hyperlink" Target="https://bellingcat-archive.nyc3.cdn.digitaloceanspaces.com/Ukraine_Witness_Datasheet/Worksheet/twitter__nexta_tv_status_14992890460734545932022-03-03T08:25:11.526439.png" TargetMode="External"/><Relationship Id="rId5098" Type="http://schemas.openxmlformats.org/officeDocument/2006/relationships/hyperlink" Target="https://twitter.com/nexta_tv/status/1499163168676974596" TargetMode="External"/><Relationship Id="rId5095" Type="http://schemas.openxmlformats.org/officeDocument/2006/relationships/hyperlink" Target="https://twitter.com/nexta_tv/status/1499289046073454593" TargetMode="External"/><Relationship Id="rId5096" Type="http://schemas.openxmlformats.org/officeDocument/2006/relationships/hyperlink" Target="https://bellingcat-archive.nyc3.cdn.digitaloceanspaces.com/Ukraine_Witness_Datasheet/Worksheet/twitter__nexta_tv_status_1499289046073454593.html" TargetMode="External"/><Relationship Id="rId5099" Type="http://schemas.openxmlformats.org/officeDocument/2006/relationships/hyperlink" Target="https://bellingcat-archive.nyc3.cdn.digitaloceanspaces.com/Ukraine_Witness_Datasheet/Worksheet/twitter__nexta_tv_status_1499163168676974596.html" TargetMode="External"/><Relationship Id="rId2810" Type="http://schemas.openxmlformats.org/officeDocument/2006/relationships/hyperlink" Target="https://twitter.com/GirkinGirkin/status/1497233420027576324" TargetMode="External"/><Relationship Id="rId2811" Type="http://schemas.openxmlformats.org/officeDocument/2006/relationships/hyperlink" Target="https://bellingcat-archive.nyc3.cdn.digitaloceanspaces.com/Ukraine_Witness_Datasheet/Worksheet/youtube_dl_1497233420027576324.mp4" TargetMode="External"/><Relationship Id="rId2812" Type="http://schemas.openxmlformats.org/officeDocument/2006/relationships/hyperlink" Target="https://bellingcat-archive.nyc3.cdn.digitaloceanspaces.com/Ukraine_Witness_Datasheet/Worksheet/youtube_dl__GirkinGirkin_status_14972334200275763242022-02-25T15:45:51.835400.png" TargetMode="External"/><Relationship Id="rId2813" Type="http://schemas.openxmlformats.org/officeDocument/2006/relationships/hyperlink" Target="https://bellingcat-archive.nyc3.cdn.digitaloceanspaces.com/Ukraine_Witness_Datasheet/Worksheet/youtube_dl_1497233420027576324/index.html" TargetMode="External"/><Relationship Id="rId2814" Type="http://schemas.openxmlformats.org/officeDocument/2006/relationships/hyperlink" Target="https://t.me/MariypolCalling/2975" TargetMode="External"/><Relationship Id="rId2815" Type="http://schemas.openxmlformats.org/officeDocument/2006/relationships/hyperlink" Target="https://bellingcat-archive.nyc3.cdn.digitaloceanspaces.com/Ukraine_Witness_Datasheet/Worksheet/telegram_102239f27b.mp4" TargetMode="External"/><Relationship Id="rId2816" Type="http://schemas.openxmlformats.org/officeDocument/2006/relationships/hyperlink" Target="https://bellingcat-archive.nyc3.cdn.digitaloceanspaces.com/Ukraine_Witness_Datasheet/Worksheet/telegram__MariypolCalling_29752022-02-25T16:02:10.444070.png" TargetMode="External"/><Relationship Id="rId2817" Type="http://schemas.openxmlformats.org/officeDocument/2006/relationships/hyperlink" Target="https://bellingcat-archive.nyc3.cdn.digitaloceanspaces.com/Ukraine_Witness_Datasheet/Worksheet/telegram_102239f27b/index.html" TargetMode="External"/><Relationship Id="rId2818" Type="http://schemas.openxmlformats.org/officeDocument/2006/relationships/hyperlink" Target="https://t.me/MariypolCalling/2975" TargetMode="External"/><Relationship Id="rId2819" Type="http://schemas.openxmlformats.org/officeDocument/2006/relationships/hyperlink" Target="https://twitter.com/MotolkoHelp/status/1497224742700400648" TargetMode="External"/><Relationship Id="rId5090" Type="http://schemas.openxmlformats.org/officeDocument/2006/relationships/hyperlink" Target="https://t.me/KharkivPolitics/6914" TargetMode="External"/><Relationship Id="rId5082" Type="http://schemas.openxmlformats.org/officeDocument/2006/relationships/hyperlink" Target="https://bellingcat-archive.nyc3.cdn.digitaloceanspaces.com/Ukraine_Witness_Datasheet/Worksheet/telegram__uniannet_345352022-03-03T08:10:09.606345.png" TargetMode="External"/><Relationship Id="rId5083" Type="http://schemas.openxmlformats.org/officeDocument/2006/relationships/hyperlink" Target="https://bellingcat-archive.nyc3.cdn.digitaloceanspaces.com/Ukraine_Witness_Datasheet/Worksheet/telegram_f5459e54d3/index.html" TargetMode="External"/><Relationship Id="rId5080" Type="http://schemas.openxmlformats.org/officeDocument/2006/relationships/hyperlink" Target="https://t.me/uniannet/34535" TargetMode="External"/><Relationship Id="rId5081" Type="http://schemas.openxmlformats.org/officeDocument/2006/relationships/hyperlink" Target="https://bellingcat-archive.nyc3.cdn.digitaloceanspaces.com/Ukraine_Witness_Datasheet/Worksheet/telegram_f5459e54d3.mp4" TargetMode="External"/><Relationship Id="rId5086" Type="http://schemas.openxmlformats.org/officeDocument/2006/relationships/hyperlink" Target="https://bellingcat-archive.nyc3.cdn.digitaloceanspaces.com/Ukraine_Witness_Datasheet/Worksheet/telegram_01756d2112.mp4" TargetMode="External"/><Relationship Id="rId5087" Type="http://schemas.openxmlformats.org/officeDocument/2006/relationships/hyperlink" Target="https://bellingcat-archive.nyc3.cdn.digitaloceanspaces.com/Ukraine_Witness_Datasheet/Worksheet/telegram__KharkivPolitics_69162022-03-03T08:11:29.614718.png" TargetMode="External"/><Relationship Id="rId5084" Type="http://schemas.openxmlformats.org/officeDocument/2006/relationships/hyperlink" Target="https://t.me/uniannet/34535" TargetMode="External"/><Relationship Id="rId5085" Type="http://schemas.openxmlformats.org/officeDocument/2006/relationships/hyperlink" Target="https://t.me/KharkivPolitics/6916" TargetMode="External"/><Relationship Id="rId5088" Type="http://schemas.openxmlformats.org/officeDocument/2006/relationships/hyperlink" Target="https://bellingcat-archive.nyc3.cdn.digitaloceanspaces.com/Ukraine_Witness_Datasheet/Worksheet/telegram_01756d2112/index.html" TargetMode="External"/><Relationship Id="rId5089" Type="http://schemas.openxmlformats.org/officeDocument/2006/relationships/hyperlink" Target="https://t.me/KharkivPolitics/6916" TargetMode="External"/><Relationship Id="rId1510" Type="http://schemas.openxmlformats.org/officeDocument/2006/relationships/hyperlink" Target="https://bellingcat-archive.nyc3.cdn.digitaloceanspaces.com/Ukraine_Witness_Datasheet/Worksheet/youtube_dl__JC_Monitoring_status_14940731052491817022022-02-25T14:21:45.704696.png" TargetMode="External"/><Relationship Id="rId2841" Type="http://schemas.openxmlformats.org/officeDocument/2006/relationships/hyperlink" Target="https://bellingcat-archive.nyc3.cdn.digitaloceanspaces.com/Ukraine_Witness_Datasheet/Worksheet/youtube_dl_1497246023055519747.mp4" TargetMode="External"/><Relationship Id="rId1511" Type="http://schemas.openxmlformats.org/officeDocument/2006/relationships/hyperlink" Target="https://bellingcat-archive.nyc3.cdn.digitaloceanspaces.com/Ukraine_Witness_Datasheet/Worksheet/youtube_dl_1494073105249181702/index.html" TargetMode="External"/><Relationship Id="rId2842" Type="http://schemas.openxmlformats.org/officeDocument/2006/relationships/hyperlink" Target="https://bellingcat-archive.nyc3.cdn.digitaloceanspaces.com/Ukraine_Witness_Datasheet/Worksheet/youtube_dl__no_itsmyturn_status_14972460230555197472022-02-25T16:48:14.937351.png" TargetMode="External"/><Relationship Id="rId1512" Type="http://schemas.openxmlformats.org/officeDocument/2006/relationships/hyperlink" Target="https://twitter.com/4emberlen/status/1494098700599271429" TargetMode="External"/><Relationship Id="rId2843" Type="http://schemas.openxmlformats.org/officeDocument/2006/relationships/hyperlink" Target="https://bellingcat-archive.nyc3.cdn.digitaloceanspaces.com/Ukraine_Witness_Datasheet/Worksheet/youtube_dl_1497246023055519747/index.html" TargetMode="External"/><Relationship Id="rId1513" Type="http://schemas.openxmlformats.org/officeDocument/2006/relationships/hyperlink" Target="https://twitter.com/danvan71/status/1494099789780328450" TargetMode="External"/><Relationship Id="rId2844" Type="http://schemas.openxmlformats.org/officeDocument/2006/relationships/hyperlink" Target="https://twitter.com/il_kanguru/status/1496999053858689024" TargetMode="External"/><Relationship Id="rId1514" Type="http://schemas.openxmlformats.org/officeDocument/2006/relationships/hyperlink" Target="https://bellingcat-archive.nyc3.cdn.digitaloceanspaces.com/Ukraine_Witness_Datasheet/Worksheet/youtube_dl_1494098700599271429.mp4" TargetMode="External"/><Relationship Id="rId2845" Type="http://schemas.openxmlformats.org/officeDocument/2006/relationships/hyperlink" Target="https://twitter.com/il_kanguru/status/1496999053858689024" TargetMode="External"/><Relationship Id="rId1515" Type="http://schemas.openxmlformats.org/officeDocument/2006/relationships/hyperlink" Target="https://bellingcat-archive.nyc3.cdn.digitaloceanspaces.com/Ukraine_Witness_Datasheet/Worksheet/youtube_dl__4emberlen_status_14940987005992714292022-02-25T14:21:27.198358.png" TargetMode="External"/><Relationship Id="rId2846" Type="http://schemas.openxmlformats.org/officeDocument/2006/relationships/hyperlink" Target="https://bellingcat-archive.nyc3.cdn.digitaloceanspaces.com/Ukraine_Witness_Datasheet/Worksheet/twitter__il_kanguru_status_1496999053858689024.html" TargetMode="External"/><Relationship Id="rId1516" Type="http://schemas.openxmlformats.org/officeDocument/2006/relationships/hyperlink" Target="https://bellingcat-archive.nyc3.cdn.digitaloceanspaces.com/Ukraine_Witness_Datasheet/Worksheet/youtube_dl_1494098700599271429/index.html" TargetMode="External"/><Relationship Id="rId2847" Type="http://schemas.openxmlformats.org/officeDocument/2006/relationships/hyperlink" Target="https://bellingcat-archive.nyc3.cdn.digitaloceanspaces.com/Ukraine_Witness_Datasheet/Worksheet/twitter__il_kanguru_status_14969990538586890242022-02-25T16:48:30.521484.png" TargetMode="External"/><Relationship Id="rId1517" Type="http://schemas.openxmlformats.org/officeDocument/2006/relationships/hyperlink" Target="https://twitter.com/Liveuamap/status/1494226702851059716" TargetMode="External"/><Relationship Id="rId2848" Type="http://schemas.openxmlformats.org/officeDocument/2006/relationships/hyperlink" Target="https://twitter.com/666_mancer/status/1497225554763857941" TargetMode="External"/><Relationship Id="rId1518" Type="http://schemas.openxmlformats.org/officeDocument/2006/relationships/hyperlink" Target="https://twitter.com/Liveuamap/status/1494230195833917440" TargetMode="External"/><Relationship Id="rId2849" Type="http://schemas.openxmlformats.org/officeDocument/2006/relationships/hyperlink" Target="https://bellingcat-archive.nyc3.cdn.digitaloceanspaces.com/Ukraine_Witness_Datasheet/Worksheet/youtube_dl_1497225554763857941.mp4" TargetMode="External"/><Relationship Id="rId1519" Type="http://schemas.openxmlformats.org/officeDocument/2006/relationships/hyperlink" Target="https://bellingcat-archive.nyc3.cdn.digitaloceanspaces.com/Ukraine_Witness_Datasheet/Worksheet/twitter__Liveuamap_status_1494226702851059716.html" TargetMode="External"/><Relationship Id="rId2840" Type="http://schemas.openxmlformats.org/officeDocument/2006/relationships/hyperlink" Target="https://twitter.com/no_itsmyturn/status/1497246023055519747" TargetMode="External"/><Relationship Id="rId2830" Type="http://schemas.openxmlformats.org/officeDocument/2006/relationships/hyperlink" Target="https://bellingcat-archive.nyc3.cdn.digitaloceanspaces.com/Ukraine_Witness_Datasheet/Worksheet/youtube_dl__ua_industrial_status_14972315795249643522022-02-25T16:30:35.192253.png" TargetMode="External"/><Relationship Id="rId1500" Type="http://schemas.openxmlformats.org/officeDocument/2006/relationships/hyperlink" Target="https://bellingcat-archive.nyc3.cdn.digitaloceanspaces.com/Ukraine_Witness_Datasheet/Worksheet/youtube_dl__GirkinGirkin_status_14940032119921868922022-02-25T14:22:27.320981.png" TargetMode="External"/><Relationship Id="rId2831" Type="http://schemas.openxmlformats.org/officeDocument/2006/relationships/hyperlink" Target="https://bellingcat-archive.nyc3.cdn.digitaloceanspaces.com/Ukraine_Witness_Datasheet/Worksheet/youtube_dl_1497231579524964352/index.html" TargetMode="External"/><Relationship Id="rId1501" Type="http://schemas.openxmlformats.org/officeDocument/2006/relationships/hyperlink" Target="https://bellingcat-archive.nyc3.cdn.digitaloceanspaces.com/Ukraine_Witness_Datasheet/Worksheet/youtube_dl_1494003211992186892/index.html" TargetMode="External"/><Relationship Id="rId2832" Type="http://schemas.openxmlformats.org/officeDocument/2006/relationships/hyperlink" Target="https://twitter.com/ragipsoylu/status/1497244475986485255" TargetMode="External"/><Relationship Id="rId1502" Type="http://schemas.openxmlformats.org/officeDocument/2006/relationships/hyperlink" Target="https://twitter.com/JC_Monitoring/status/1494068013741613060" TargetMode="External"/><Relationship Id="rId2833" Type="http://schemas.openxmlformats.org/officeDocument/2006/relationships/hyperlink" Target="https://bellingcat-archive.nyc3.cdn.digitaloceanspaces.com/Ukraine_Witness_Datasheet/Worksheet/youtube_dl_1497244475986485255.mp4" TargetMode="External"/><Relationship Id="rId1503" Type="http://schemas.openxmlformats.org/officeDocument/2006/relationships/hyperlink" Target="https://twitter.com/JC_Monitoring/status/1494068774181421059" TargetMode="External"/><Relationship Id="rId2834" Type="http://schemas.openxmlformats.org/officeDocument/2006/relationships/hyperlink" Target="https://bellingcat-archive.nyc3.cdn.digitaloceanspaces.com/Ukraine_Witness_Datasheet/Worksheet/youtube_dl__ragipsoylu_status_14972444759864852552022-02-25T16:30:53.803793.png" TargetMode="External"/><Relationship Id="rId1504" Type="http://schemas.openxmlformats.org/officeDocument/2006/relationships/hyperlink" Target="https://bellingcat-archive.nyc3.cdn.digitaloceanspaces.com/Ukraine_Witness_Datasheet/Worksheet/youtube_dl_1494068013741613060.mp4" TargetMode="External"/><Relationship Id="rId2835" Type="http://schemas.openxmlformats.org/officeDocument/2006/relationships/hyperlink" Target="https://bellingcat-archive.nyc3.cdn.digitaloceanspaces.com/Ukraine_Witness_Datasheet/Worksheet/youtube_dl_1497244475986485255/index.html" TargetMode="External"/><Relationship Id="rId1505" Type="http://schemas.openxmlformats.org/officeDocument/2006/relationships/hyperlink" Target="https://bellingcat-archive.nyc3.cdn.digitaloceanspaces.com/Ukraine_Witness_Datasheet/Worksheet/youtube_dl__JC_Monitoring_status_14940680137416130602022-02-25T14:22:06.588603.png" TargetMode="External"/><Relationship Id="rId2836" Type="http://schemas.openxmlformats.org/officeDocument/2006/relationships/hyperlink" Target="https://twitter.com/il_kanguru/status/1496999053858689024" TargetMode="External"/><Relationship Id="rId1506" Type="http://schemas.openxmlformats.org/officeDocument/2006/relationships/hyperlink" Target="https://bellingcat-archive.nyc3.cdn.digitaloceanspaces.com/Ukraine_Witness_Datasheet/Worksheet/youtube_dl_1494068013741613060/index.html" TargetMode="External"/><Relationship Id="rId2837" Type="http://schemas.openxmlformats.org/officeDocument/2006/relationships/hyperlink" Target="https://twitter.com/il_kanguru/status/1496999053858689024" TargetMode="External"/><Relationship Id="rId1507" Type="http://schemas.openxmlformats.org/officeDocument/2006/relationships/hyperlink" Target="https://twitter.com/JC_Monitoring/status/1494073105249181702" TargetMode="External"/><Relationship Id="rId2838" Type="http://schemas.openxmlformats.org/officeDocument/2006/relationships/hyperlink" Target="https://bellingcat-archive.nyc3.cdn.digitaloceanspaces.com/Ukraine_Witness_Datasheet/Worksheet/twitter__il_kanguru_status_1496999053858689024.html" TargetMode="External"/><Relationship Id="rId1508" Type="http://schemas.openxmlformats.org/officeDocument/2006/relationships/hyperlink" Target="https://twitter.com/JC_Monitoring/status/1494074863715291136" TargetMode="External"/><Relationship Id="rId2839" Type="http://schemas.openxmlformats.org/officeDocument/2006/relationships/hyperlink" Target="https://bellingcat-archive.nyc3.cdn.digitaloceanspaces.com/Ukraine_Witness_Datasheet/Worksheet/twitter__il_kanguru_status_14969990538586890242022-02-25T16:47:52.945475.png" TargetMode="External"/><Relationship Id="rId1509" Type="http://schemas.openxmlformats.org/officeDocument/2006/relationships/hyperlink" Target="https://bellingcat-archive.nyc3.cdn.digitaloceanspaces.com/Ukraine_Witness_Datasheet/Worksheet/youtube_dl_1494073105249181702.mp4" TargetMode="External"/><Relationship Id="rId6380" Type="http://schemas.openxmlformats.org/officeDocument/2006/relationships/hyperlink" Target="https://t.me/truexanewsua/30300?single" TargetMode="External"/><Relationship Id="rId5050" Type="http://schemas.openxmlformats.org/officeDocument/2006/relationships/hyperlink" Target="https://twitter.com/itsector/status/1498669362789638150" TargetMode="External"/><Relationship Id="rId6381" Type="http://schemas.openxmlformats.org/officeDocument/2006/relationships/hyperlink" Target="https://web.archive.org/web/20220306212524/https://t.me/truexanewsua/30300?single" TargetMode="External"/><Relationship Id="rId5053" Type="http://schemas.openxmlformats.org/officeDocument/2006/relationships/hyperlink" Target="https://bellingcat-archive.nyc3.cdn.digitaloceanspaces.com/Ukraine_Witness_Datasheet/Worksheet/youtube_dl__itsector_status_14986693627896381502022-03-03T07:00:19.439922.png" TargetMode="External"/><Relationship Id="rId6384" Type="http://schemas.openxmlformats.org/officeDocument/2006/relationships/hyperlink" Target="https://bellingcat-archive.nyc3.cdn.digitaloceanspaces.com/Ukraine_Witness_Datasheet/Worksheet/telegram_c20d113127.mp4" TargetMode="External"/><Relationship Id="rId5054" Type="http://schemas.openxmlformats.org/officeDocument/2006/relationships/hyperlink" Target="https://bellingcat-archive.nyc3.cdn.digitaloceanspaces.com/Ukraine_Witness_Datasheet/Worksheet/youtube_dl_1498669362789638150/index.html" TargetMode="External"/><Relationship Id="rId6385" Type="http://schemas.openxmlformats.org/officeDocument/2006/relationships/hyperlink" Target="https://bellingcat-archive.nyc3.cdn.digitaloceanspaces.com/Ukraine_Witness_Datasheet/Worksheet/telegram__truexanewsua_300992022-03-06T22:30:09.992848.png" TargetMode="External"/><Relationship Id="rId5051" Type="http://schemas.openxmlformats.org/officeDocument/2006/relationships/hyperlink" Target="https://imgur.com/a/xfqFaK9" TargetMode="External"/><Relationship Id="rId6382" Type="http://schemas.openxmlformats.org/officeDocument/2006/relationships/hyperlink" Target="https://bellingcat-archive.nyc3.cdn.digitaloceanspaces.com/Ukraine_Witness_Datasheet/Worksheet/wayback__truexanewsua_303002022-03-06T21:26:57.304496.png" TargetMode="External"/><Relationship Id="rId5052" Type="http://schemas.openxmlformats.org/officeDocument/2006/relationships/hyperlink" Target="https://bellingcat-archive.nyc3.cdn.digitaloceanspaces.com/Ukraine_Witness_Datasheet/Worksheet/youtube_dl_1498669362789638150.mp4" TargetMode="External"/><Relationship Id="rId6383" Type="http://schemas.openxmlformats.org/officeDocument/2006/relationships/hyperlink" Target="https://t.me/truexanewsua/30099" TargetMode="External"/><Relationship Id="rId5057" Type="http://schemas.openxmlformats.org/officeDocument/2006/relationships/hyperlink" Target="https://bellingcat-archive.nyc3.cdn.digitaloceanspaces.com/Ukraine_Witness_Datasheet/Worksheet/telegram__nexta_live_188842022-03-03T07:00:36.945164.png" TargetMode="External"/><Relationship Id="rId6388" Type="http://schemas.openxmlformats.org/officeDocument/2006/relationships/hyperlink" Target="https://t.me/truexanewsua/30382" TargetMode="External"/><Relationship Id="rId5058" Type="http://schemas.openxmlformats.org/officeDocument/2006/relationships/hyperlink" Target="https://bellingcat-archive.nyc3.cdn.digitaloceanspaces.com/Ukraine_Witness_Datasheet/Worksheet/telegram_8c890305b7/index.html" TargetMode="External"/><Relationship Id="rId6389" Type="http://schemas.openxmlformats.org/officeDocument/2006/relationships/hyperlink" Target="https://bellingcat-archive.nyc3.cdn.digitaloceanspaces.com/Ukraine_Witness_Datasheet/Worksheet/telegram_ab4432e840.mp4" TargetMode="External"/><Relationship Id="rId5055" Type="http://schemas.openxmlformats.org/officeDocument/2006/relationships/hyperlink" Target="https://t.me/nexta_live/18884" TargetMode="External"/><Relationship Id="rId6386" Type="http://schemas.openxmlformats.org/officeDocument/2006/relationships/hyperlink" Target="https://bellingcat-archive.nyc3.cdn.digitaloceanspaces.com/Ukraine_Witness_Datasheet/Worksheet/telegram_c20d113127/index.html" TargetMode="External"/><Relationship Id="rId5056" Type="http://schemas.openxmlformats.org/officeDocument/2006/relationships/hyperlink" Target="https://bellingcat-archive.nyc3.cdn.digitaloceanspaces.com/Ukraine_Witness_Datasheet/Worksheet/telegram_8c890305b7.mp4" TargetMode="External"/><Relationship Id="rId6387" Type="http://schemas.openxmlformats.org/officeDocument/2006/relationships/hyperlink" Target="https://t.me/truexanewsua/30099" TargetMode="External"/><Relationship Id="rId5059" Type="http://schemas.openxmlformats.org/officeDocument/2006/relationships/hyperlink" Target="https://t.me/nexta_live/18884" TargetMode="External"/><Relationship Id="rId6370" Type="http://schemas.openxmlformats.org/officeDocument/2006/relationships/hyperlink" Target="https://bellingcat-archive.nyc3.cdn.digitaloceanspaces.com/Ukraine_Witness_Datasheet/Worksheet/twitter__michaelh992_status_1500499668089856002.html" TargetMode="External"/><Relationship Id="rId5042" Type="http://schemas.openxmlformats.org/officeDocument/2006/relationships/hyperlink" Target="https://t.me/HersonDN/2712" TargetMode="External"/><Relationship Id="rId6373" Type="http://schemas.openxmlformats.org/officeDocument/2006/relationships/hyperlink" Target="https://bellingcat-archive.nyc3.cdn.digitaloceanspaces.com/Ukraine_Witness_Datasheet/Worksheet/twitter__ignis_fatum_status_1500356344196608000.html" TargetMode="External"/><Relationship Id="rId5043" Type="http://schemas.openxmlformats.org/officeDocument/2006/relationships/hyperlink" Target="https://twitter.com/GirkinGirkin/status/1499236342781382660" TargetMode="External"/><Relationship Id="rId6374" Type="http://schemas.openxmlformats.org/officeDocument/2006/relationships/hyperlink" Target="https://bellingcat-archive.nyc3.cdn.digitaloceanspaces.com/Ukraine_Witness_Datasheet/Worksheet/twitter__ignis_fatum_status_15003563441966080002022-03-06T21:00:15.789025.png" TargetMode="External"/><Relationship Id="rId5040" Type="http://schemas.openxmlformats.org/officeDocument/2006/relationships/hyperlink" Target="https://bellingcat-archive.nyc3.cdn.digitaloceanspaces.com/Ukraine_Witness_Datasheet/Worksheet/telegram__HersonDN_27122022-03-02T21:00:10.232571.png" TargetMode="External"/><Relationship Id="rId6371" Type="http://schemas.openxmlformats.org/officeDocument/2006/relationships/hyperlink" Target="https://bellingcat-archive.nyc3.cdn.digitaloceanspaces.com/Ukraine_Witness_Datasheet/Worksheet/twitter__michaelh992_status_15004996680898560022022-03-06T20:55:14.002414.png" TargetMode="External"/><Relationship Id="rId5041" Type="http://schemas.openxmlformats.org/officeDocument/2006/relationships/hyperlink" Target="https://bellingcat-archive.nyc3.cdn.digitaloceanspaces.com/Ukraine_Witness_Datasheet/Worksheet/telegram_8edcfd406f/index.html" TargetMode="External"/><Relationship Id="rId6372" Type="http://schemas.openxmlformats.org/officeDocument/2006/relationships/hyperlink" Target="https://twitter.com/ignis_fatum/status/1500356344196608000" TargetMode="External"/><Relationship Id="rId5046" Type="http://schemas.openxmlformats.org/officeDocument/2006/relationships/hyperlink" Target="https://twitter.com/GirkinGirkin/status/1499101902470062093" TargetMode="External"/><Relationship Id="rId6377" Type="http://schemas.openxmlformats.org/officeDocument/2006/relationships/hyperlink" Target="https://bellingcat-archive.nyc3.cdn.digitaloceanspaces.com/Ukraine_Witness_Datasheet/Worksheet/youtube_dl_1500140441949380611.mp4" TargetMode="External"/><Relationship Id="rId5047" Type="http://schemas.openxmlformats.org/officeDocument/2006/relationships/hyperlink" Target="https://bellingcat-archive.nyc3.cdn.digitaloceanspaces.com/Ukraine_Witness_Datasheet/Worksheet/youtube_dl_1499101902470062093.mp4" TargetMode="External"/><Relationship Id="rId6378" Type="http://schemas.openxmlformats.org/officeDocument/2006/relationships/hyperlink" Target="https://bellingcat-archive.nyc3.cdn.digitaloceanspaces.com/Ukraine_Witness_Datasheet/Worksheet/youtube_dl__IAPonomarenko_status_15001404419493806112022-03-06T21:20:14.144367.png" TargetMode="External"/><Relationship Id="rId5044" Type="http://schemas.openxmlformats.org/officeDocument/2006/relationships/hyperlink" Target="https://www.google.com/maps/@49.3776324,40.1546461,3a,75y,102.78h,84.85t/data=!3m6!1e1!3m4!1sD5hhcU110UCTDJzU65aqMw!2e0!7i13312!8i6656" TargetMode="External"/><Relationship Id="rId6375" Type="http://schemas.openxmlformats.org/officeDocument/2006/relationships/hyperlink" Target="https://twitter.com/IAPonomarenko/status/1500140441949380611" TargetMode="External"/><Relationship Id="rId5045" Type="http://schemas.openxmlformats.org/officeDocument/2006/relationships/hyperlink" Target="https://web.archive.org/web/20220303055554/https://twitter.com/GirkinGirkin/status/1499236342781382660" TargetMode="External"/><Relationship Id="rId6376" Type="http://schemas.openxmlformats.org/officeDocument/2006/relationships/hyperlink" Target="https://twitter.com/AUT_INT/status/1500141480152817667" TargetMode="External"/><Relationship Id="rId5048" Type="http://schemas.openxmlformats.org/officeDocument/2006/relationships/hyperlink" Target="https://bellingcat-archive.nyc3.cdn.digitaloceanspaces.com/Ukraine_Witness_Datasheet/Worksheet/youtube_dl__GirkinGirkin_status_14991019024700620932022-03-03T06:45:14.604714.png" TargetMode="External"/><Relationship Id="rId6379" Type="http://schemas.openxmlformats.org/officeDocument/2006/relationships/hyperlink" Target="https://bellingcat-archive.nyc3.cdn.digitaloceanspaces.com/Ukraine_Witness_Datasheet/Worksheet/youtube_dl_1500140441949380611/index.html" TargetMode="External"/><Relationship Id="rId5049" Type="http://schemas.openxmlformats.org/officeDocument/2006/relationships/hyperlink" Target="https://bellingcat-archive.nyc3.cdn.digitaloceanspaces.com/Ukraine_Witness_Datasheet/Worksheet/youtube_dl_1499101902470062093/index.html" TargetMode="External"/><Relationship Id="rId2800" Type="http://schemas.openxmlformats.org/officeDocument/2006/relationships/hyperlink" Target="https://bellingcat-archive.nyc3.cdn.digitaloceanspaces.com/Ukraine_Witness_Datasheet/Worksheet/twitter__UAWeapons_status_1497217758051717123.html" TargetMode="External"/><Relationship Id="rId2801" Type="http://schemas.openxmlformats.org/officeDocument/2006/relationships/hyperlink" Target="https://bellingcat-archive.nyc3.cdn.digitaloceanspaces.com/Ukraine_Witness_Datasheet/Worksheet/twitter__UAWeapons_status_14972177580517171232022-02-25T15:45:05.979283.png" TargetMode="External"/><Relationship Id="rId2802" Type="http://schemas.openxmlformats.org/officeDocument/2006/relationships/hyperlink" Target="https://twitter.com/poppoppopkt/status/1497228226439131136" TargetMode="External"/><Relationship Id="rId2803" Type="http://schemas.openxmlformats.org/officeDocument/2006/relationships/hyperlink" Target="https://bellingcat-archive.nyc3.cdn.digitaloceanspaces.com/Ukraine_Witness_Datasheet/Worksheet/youtube_dl_1497228226439131136.mp4" TargetMode="External"/><Relationship Id="rId2804" Type="http://schemas.openxmlformats.org/officeDocument/2006/relationships/hyperlink" Target="https://bellingcat-archive.nyc3.cdn.digitaloceanspaces.com/Ukraine_Witness_Datasheet/Worksheet/youtube_dl__poppoppopkt_status_14972282264391311362022-02-25T15:45:21.121159.png" TargetMode="External"/><Relationship Id="rId2805" Type="http://schemas.openxmlformats.org/officeDocument/2006/relationships/hyperlink" Target="https://bellingcat-archive.nyc3.cdn.digitaloceanspaces.com/Ukraine_Witness_Datasheet/Worksheet/youtube_dl_1497228226439131136/index.html" TargetMode="External"/><Relationship Id="rId2806" Type="http://schemas.openxmlformats.org/officeDocument/2006/relationships/hyperlink" Target="https://twitter.com/il_kanguru/status/1496999134162825217" TargetMode="External"/><Relationship Id="rId2807" Type="http://schemas.openxmlformats.org/officeDocument/2006/relationships/hyperlink" Target="https://twitter.com/il_kanguru/status/1496999134162825217" TargetMode="External"/><Relationship Id="rId2808" Type="http://schemas.openxmlformats.org/officeDocument/2006/relationships/hyperlink" Target="https://bellingcat-archive.nyc3.cdn.digitaloceanspaces.com/Ukraine_Witness_Datasheet/Worksheet/twitter__il_kanguru_status_1496999134162825217.html" TargetMode="External"/><Relationship Id="rId2809" Type="http://schemas.openxmlformats.org/officeDocument/2006/relationships/hyperlink" Target="https://bellingcat-archive.nyc3.cdn.digitaloceanspaces.com/Ukraine_Witness_Datasheet/Worksheet/twitter__il_kanguru_status_14969991341628252172022-02-25T15:45:35.502605.png" TargetMode="External"/><Relationship Id="rId5071" Type="http://schemas.openxmlformats.org/officeDocument/2006/relationships/hyperlink" Target="https://bellingcat-archive.nyc3.cdn.digitaloceanspaces.com/Ukraine_Witness_Datasheet/Worksheet/youtube_dl_1498641837434748930/index.html" TargetMode="External"/><Relationship Id="rId5072" Type="http://schemas.openxmlformats.org/officeDocument/2006/relationships/hyperlink" Target="https://twitter.com/Caucasuswar/status/1499288952372699138" TargetMode="External"/><Relationship Id="rId5070" Type="http://schemas.openxmlformats.org/officeDocument/2006/relationships/hyperlink" Target="https://bellingcat-archive.nyc3.cdn.digitaloceanspaces.com/Ukraine_Witness_Datasheet/Worksheet/youtube_dl__UkraineNewsLive_status_14986418374347489302022-03-03T07:01:26.620786.png" TargetMode="External"/><Relationship Id="rId5075" Type="http://schemas.openxmlformats.org/officeDocument/2006/relationships/hyperlink" Target="https://bellingcat-archive.nyc3.cdn.digitaloceanspaces.com/Ukraine_Witness_Datasheet/Worksheet/youtube_dl_1499288952372699138/index.html" TargetMode="External"/><Relationship Id="rId5076" Type="http://schemas.openxmlformats.org/officeDocument/2006/relationships/hyperlink" Target="https://twitter.com/GirkinGirkin/status/1499254338283315206" TargetMode="External"/><Relationship Id="rId5073" Type="http://schemas.openxmlformats.org/officeDocument/2006/relationships/hyperlink" Target="https://bellingcat-archive.nyc3.cdn.digitaloceanspaces.com/Ukraine_Witness_Datasheet/Worksheet/youtube_dl_1499288952372699138.mp4" TargetMode="External"/><Relationship Id="rId5074" Type="http://schemas.openxmlformats.org/officeDocument/2006/relationships/hyperlink" Target="https://bellingcat-archive.nyc3.cdn.digitaloceanspaces.com/Ukraine_Witness_Datasheet/Worksheet/youtube_dl__Caucasuswar_status_14992889523726991382022-03-03T07:55:10.788378.png" TargetMode="External"/><Relationship Id="rId5079" Type="http://schemas.openxmlformats.org/officeDocument/2006/relationships/hyperlink" Target="https://bellingcat-archive.nyc3.cdn.digitaloceanspaces.com/Ukraine_Witness_Datasheet/Worksheet/youtube_dl_1499254338283315206/index.html" TargetMode="External"/><Relationship Id="rId5077" Type="http://schemas.openxmlformats.org/officeDocument/2006/relationships/hyperlink" Target="https://bellingcat-archive.nyc3.cdn.digitaloceanspaces.com/Ukraine_Witness_Datasheet/Worksheet/youtube_dl_1499254338283315206.mp4" TargetMode="External"/><Relationship Id="rId5078" Type="http://schemas.openxmlformats.org/officeDocument/2006/relationships/hyperlink" Target="https://bellingcat-archive.nyc3.cdn.digitaloceanspaces.com/Ukraine_Witness_Datasheet/Worksheet/youtube_dl__GirkinGirkin_status_14992543382833152062022-03-03T08:05:11.755038.png" TargetMode="External"/><Relationship Id="rId5060" Type="http://schemas.openxmlformats.org/officeDocument/2006/relationships/hyperlink" Target="https://twitter.com/LatestNews315/status/1498711222463746050" TargetMode="External"/><Relationship Id="rId6391" Type="http://schemas.openxmlformats.org/officeDocument/2006/relationships/hyperlink" Target="https://bellingcat-archive.nyc3.cdn.digitaloceanspaces.com/Ukraine_Witness_Datasheet/Worksheet/telegram_ab4432e840/index.html" TargetMode="External"/><Relationship Id="rId5061" Type="http://schemas.openxmlformats.org/officeDocument/2006/relationships/hyperlink" Target="https://bellingcat-archive.nyc3.cdn.digitaloceanspaces.com/Ukraine_Witness_Datasheet/Worksheet/youtube_dl_1498711222463746050.mp4" TargetMode="External"/><Relationship Id="rId6392" Type="http://schemas.openxmlformats.org/officeDocument/2006/relationships/hyperlink" Target="https://t.me/truexanewsua/30382" TargetMode="External"/><Relationship Id="rId6390" Type="http://schemas.openxmlformats.org/officeDocument/2006/relationships/hyperlink" Target="https://bellingcat-archive.nyc3.cdn.digitaloceanspaces.com/Ukraine_Witness_Datasheet/Worksheet/telegram__truexanewsua_303822022-03-06T22:50:10.451002.png" TargetMode="External"/><Relationship Id="rId5064" Type="http://schemas.openxmlformats.org/officeDocument/2006/relationships/hyperlink" Target="https://twitter.com/ukrainiareality/status/1498643415558459403" TargetMode="External"/><Relationship Id="rId6395" Type="http://schemas.openxmlformats.org/officeDocument/2006/relationships/hyperlink" Target="https://bellingcat-archive.nyc3.cdn.digitaloceanspaces.com/Ukraine_Witness_Datasheet/Worksheet/twitter__timsoulo_status_1500729850310832128.html" TargetMode="External"/><Relationship Id="rId5065" Type="http://schemas.openxmlformats.org/officeDocument/2006/relationships/hyperlink" Target="https://bellingcat-archive.nyc3.cdn.digitaloceanspaces.com/Ukraine_Witness_Datasheet/Worksheet/youtube_dl_1498643415558459403.mp4" TargetMode="External"/><Relationship Id="rId6396" Type="http://schemas.openxmlformats.org/officeDocument/2006/relationships/hyperlink" Target="https://bellingcat-archive.nyc3.cdn.digitaloceanspaces.com/Ukraine_Witness_Datasheet/Worksheet/twitter__timsoulo_status_15007298503108321282022-03-07T08:30:13.302418.png" TargetMode="External"/><Relationship Id="rId5062" Type="http://schemas.openxmlformats.org/officeDocument/2006/relationships/hyperlink" Target="https://bellingcat-archive.nyc3.cdn.digitaloceanspaces.com/Ukraine_Witness_Datasheet/Worksheet/youtube_dl__LatestNews315_status_14987112224637460502022-03-03T07:00:52.397861.png" TargetMode="External"/><Relationship Id="rId6393" Type="http://schemas.openxmlformats.org/officeDocument/2006/relationships/hyperlink" Target="https://twitter.com/timsoulo/status/1500729850310832128?s=20&amp;t=nJkbQl0E_aMF6oAUG693ow" TargetMode="External"/><Relationship Id="rId5063" Type="http://schemas.openxmlformats.org/officeDocument/2006/relationships/hyperlink" Target="https://bellingcat-archive.nyc3.cdn.digitaloceanspaces.com/Ukraine_Witness_Datasheet/Worksheet/youtube_dl_1498711222463746050/index.html" TargetMode="External"/><Relationship Id="rId6394" Type="http://schemas.openxmlformats.org/officeDocument/2006/relationships/hyperlink" Target="https://twitter.com/NoahESchechter/status/1500747196056182784?s=20&amp;t=nJkbQl0E_aMF6oAUG693ow" TargetMode="External"/><Relationship Id="rId5068" Type="http://schemas.openxmlformats.org/officeDocument/2006/relationships/hyperlink" Target="https://twitter.com/UkraineNewsLive/status/1498641837434748930" TargetMode="External"/><Relationship Id="rId6399" Type="http://schemas.openxmlformats.org/officeDocument/2006/relationships/hyperlink" Target="https://bellingcat-archive.nyc3.cdn.digitaloceanspaces.com/Ukraine_Witness_Datasheet/Worksheet/youtube_dl__r_CombatFootage_comments_t8bwm8_civilians_weep_as_they_pass_a_destroyed_column_of_2022-03-07T09:20:13.941895.png" TargetMode="External"/><Relationship Id="rId5069" Type="http://schemas.openxmlformats.org/officeDocument/2006/relationships/hyperlink" Target="https://bellingcat-archive.nyc3.cdn.digitaloceanspaces.com/Ukraine_Witness_Datasheet/Worksheet/youtube_dl_1498641837434748930.mp4" TargetMode="External"/><Relationship Id="rId5066" Type="http://schemas.openxmlformats.org/officeDocument/2006/relationships/hyperlink" Target="https://bellingcat-archive.nyc3.cdn.digitaloceanspaces.com/Ukraine_Witness_Datasheet/Worksheet/youtube_dl__ukrainiareality_status_14986434155584594032022-03-03T07:01:11.999384.png" TargetMode="External"/><Relationship Id="rId6397" Type="http://schemas.openxmlformats.org/officeDocument/2006/relationships/hyperlink" Target="https://www.reddit.com/r/CombatFootage/comments/t8bwm8/civilians_weep_as_they_pass_a_destroyed_column_of/" TargetMode="External"/><Relationship Id="rId5067" Type="http://schemas.openxmlformats.org/officeDocument/2006/relationships/hyperlink" Target="https://bellingcat-archive.nyc3.cdn.digitaloceanspaces.com/Ukraine_Witness_Datasheet/Worksheet/youtube_dl_1498643415558459403/index.html" TargetMode="External"/><Relationship Id="rId6398" Type="http://schemas.openxmlformats.org/officeDocument/2006/relationships/hyperlink" Target="https://bellingcat-archive.nyc3.cdn.digitaloceanspaces.com/Ukraine_Witness_Datasheet/Worksheet/youtube_dl_a5jt7w3hpul81.mp4" TargetMode="External"/><Relationship Id="rId1576" Type="http://schemas.openxmlformats.org/officeDocument/2006/relationships/hyperlink" Target="https://bellingcat-archive.nyc3.cdn.digitaloceanspaces.com/Ukraine_Witness_Datasheet/Worksheet/youtube_dl_1494524170406928386.mp4" TargetMode="External"/><Relationship Id="rId1577" Type="http://schemas.openxmlformats.org/officeDocument/2006/relationships/hyperlink" Target="https://bellingcat-archive.nyc3.cdn.digitaloceanspaces.com/Ukraine_Witness_Datasheet/Worksheet/youtube_dl__GirkinGirkin_status_14945241704069283862022-02-25T14:15:31.779201.png" TargetMode="External"/><Relationship Id="rId1578" Type="http://schemas.openxmlformats.org/officeDocument/2006/relationships/hyperlink" Target="https://bellingcat-archive.nyc3.cdn.digitaloceanspaces.com/Ukraine_Witness_Datasheet/Worksheet/youtube_dl_1494524170406928386/index.html" TargetMode="External"/><Relationship Id="rId1579" Type="http://schemas.openxmlformats.org/officeDocument/2006/relationships/hyperlink" Target="https://twitter.com/GirkinGirkin/status/1494523071620911111" TargetMode="External"/><Relationship Id="rId987" Type="http://schemas.openxmlformats.org/officeDocument/2006/relationships/hyperlink" Target="https://bellingcat-archive.nyc3.cdn.digitaloceanspaces.com/Ukraine_Witness_Datasheet/Worksheet/youtube_dl_1492465543533711362/index.html" TargetMode="External"/><Relationship Id="rId986" Type="http://schemas.openxmlformats.org/officeDocument/2006/relationships/hyperlink" Target="https://bellingcat-archive.nyc3.cdn.digitaloceanspaces.com/Ukraine_Witness_Datasheet/Worksheet/youtube_dl__JC_Monitoring_status_14924655435337113622022-02-25T13:56:52.803917.png" TargetMode="External"/><Relationship Id="rId985" Type="http://schemas.openxmlformats.org/officeDocument/2006/relationships/hyperlink" Target="https://bellingcat-archive.nyc3.cdn.digitaloceanspaces.com/Ukraine_Witness_Datasheet/Worksheet/youtube_dl_1492465543533711362.mp4" TargetMode="External"/><Relationship Id="rId984" Type="http://schemas.openxmlformats.org/officeDocument/2006/relationships/hyperlink" Target="https://twitter.com/JC_Monitoring/status/1492467652580806657" TargetMode="External"/><Relationship Id="rId989" Type="http://schemas.openxmlformats.org/officeDocument/2006/relationships/hyperlink" Target="https://bellingcat-archive.nyc3.cdn.digitaloceanspaces.com/Ukraine_Witness_Datasheet/Worksheet/youtube_dl_1492871476751613952.mp4" TargetMode="External"/><Relationship Id="rId988" Type="http://schemas.openxmlformats.org/officeDocument/2006/relationships/hyperlink" Target="https://twitter.com/danvan71/status/1492871476751613952" TargetMode="External"/><Relationship Id="rId1570" Type="http://schemas.openxmlformats.org/officeDocument/2006/relationships/hyperlink" Target="https://twitter.com/ohsenty/status/1494533448622563335" TargetMode="External"/><Relationship Id="rId1571" Type="http://schemas.openxmlformats.org/officeDocument/2006/relationships/hyperlink" Target="https://bellingcat-archive.nyc3.cdn.digitaloceanspaces.com/Ukraine_Witness_Datasheet/Worksheet/youtube_dl_1494527340772220962.mp4" TargetMode="External"/><Relationship Id="rId983" Type="http://schemas.openxmlformats.org/officeDocument/2006/relationships/hyperlink" Target="https://twitter.com/JC_Monitoring/status/1492465543533711362" TargetMode="External"/><Relationship Id="rId1572" Type="http://schemas.openxmlformats.org/officeDocument/2006/relationships/hyperlink" Target="https://bellingcat-archive.nyc3.cdn.digitaloceanspaces.com/Ukraine_Witness_Datasheet/Worksheet/youtube_dl__GirkinGirkin_status_14945273407722209622022-02-25T14:15:51.914542.png" TargetMode="External"/><Relationship Id="rId982" Type="http://schemas.openxmlformats.org/officeDocument/2006/relationships/hyperlink" Target="https://bellingcat-archive.nyc3.cdn.digitaloceanspaces.com/Ukraine_Witness_Datasheet/Worksheet/youtube_dl_1492707422938533888/index.html" TargetMode="External"/><Relationship Id="rId1573" Type="http://schemas.openxmlformats.org/officeDocument/2006/relationships/hyperlink" Target="https://bellingcat-archive.nyc3.cdn.digitaloceanspaces.com/Ukraine_Witness_Datasheet/Worksheet/youtube_dl_1494527340772220962/index.html" TargetMode="External"/><Relationship Id="rId981" Type="http://schemas.openxmlformats.org/officeDocument/2006/relationships/hyperlink" Target="https://bellingcat-archive.nyc3.cdn.digitaloceanspaces.com/Ukraine_Witness_Datasheet/Worksheet/youtube_dl__GirkinGirkin_status_14927074229385338882022-02-25T13:56:35.203531.png" TargetMode="External"/><Relationship Id="rId1574" Type="http://schemas.openxmlformats.org/officeDocument/2006/relationships/hyperlink" Target="https://twitter.com/GirkinGirkin/status/1494524170406928386" TargetMode="External"/><Relationship Id="rId980" Type="http://schemas.openxmlformats.org/officeDocument/2006/relationships/hyperlink" Target="https://bellingcat-archive.nyc3.cdn.digitaloceanspaces.com/Ukraine_Witness_Datasheet/Worksheet/youtube_dl_1492707422938533888.mp4" TargetMode="External"/><Relationship Id="rId1575" Type="http://schemas.openxmlformats.org/officeDocument/2006/relationships/hyperlink" Target="https://twitter.com/ohsenty/status/1494572758948356097" TargetMode="External"/><Relationship Id="rId1565" Type="http://schemas.openxmlformats.org/officeDocument/2006/relationships/hyperlink" Target="https://twitter.com/sjtonic/status/1494563712786599936" TargetMode="External"/><Relationship Id="rId2896" Type="http://schemas.openxmlformats.org/officeDocument/2006/relationships/hyperlink" Target="https://bellingcat-archive.nyc3.cdn.digitaloceanspaces.com/Ukraine_Witness_Datasheet/Worksheet/youtube_dl_1496802928732086278/index.html" TargetMode="External"/><Relationship Id="rId1566" Type="http://schemas.openxmlformats.org/officeDocument/2006/relationships/hyperlink" Target="https://bellingcat-archive.nyc3.cdn.digitaloceanspaces.com/Ukraine_Witness_Datasheet/Worksheet/youtube_dl_1494545200999550978.mp4" TargetMode="External"/><Relationship Id="rId2897" Type="http://schemas.openxmlformats.org/officeDocument/2006/relationships/hyperlink" Target="https://twitter.com/ragipsoylu/status/1496737243255480321?s=20&amp;t=teqfp5yPtAKLW8Ri7PMI5g" TargetMode="External"/><Relationship Id="rId1567" Type="http://schemas.openxmlformats.org/officeDocument/2006/relationships/hyperlink" Target="https://bellingcat-archive.nyc3.cdn.digitaloceanspaces.com/Ukraine_Witness_Datasheet/Worksheet/youtube_dl__GirkinGirkin_status_14945452009995509782022-02-25T14:16:09.737318.png" TargetMode="External"/><Relationship Id="rId2898" Type="http://schemas.openxmlformats.org/officeDocument/2006/relationships/hyperlink" Target="https://bellingcat-archive.nyc3.cdn.digitaloceanspaces.com/Ukraine_Witness_Datasheet/Worksheet/youtube_dl_1496737243255480321.mp4" TargetMode="External"/><Relationship Id="rId1568" Type="http://schemas.openxmlformats.org/officeDocument/2006/relationships/hyperlink" Target="https://bellingcat-archive.nyc3.cdn.digitaloceanspaces.com/Ukraine_Witness_Datasheet/Worksheet/youtube_dl_1494545200999550978/index.html" TargetMode="External"/><Relationship Id="rId2899" Type="http://schemas.openxmlformats.org/officeDocument/2006/relationships/hyperlink" Target="https://bellingcat-archive.nyc3.cdn.digitaloceanspaces.com/Ukraine_Witness_Datasheet/Worksheet/youtube_dl__ragipsoylu_status_14967372432554803212022-02-25T16:52:31.084605.png" TargetMode="External"/><Relationship Id="rId1569" Type="http://schemas.openxmlformats.org/officeDocument/2006/relationships/hyperlink" Target="https://twitter.com/GirkinGirkin/status/1494527340772220962" TargetMode="External"/><Relationship Id="rId976" Type="http://schemas.openxmlformats.org/officeDocument/2006/relationships/hyperlink" Target="https://bellingcat-archive.nyc3.cdn.digitaloceanspaces.com/Ukraine_Witness_Datasheet/Worksheet/youtube_dl_1492599809320144896.mp4" TargetMode="External"/><Relationship Id="rId975" Type="http://schemas.openxmlformats.org/officeDocument/2006/relationships/hyperlink" Target="https://twitter.com/GirkinGirkin/status/1492599809320144896" TargetMode="External"/><Relationship Id="rId974" Type="http://schemas.openxmlformats.org/officeDocument/2006/relationships/hyperlink" Target="https://bellingcat-archive.nyc3.cdn.digitaloceanspaces.com/Ukraine_Witness_Datasheet/Worksheet/wayback__herooftheday10_status_14925682414489231402022-02-25T13:56:03.681219.png" TargetMode="External"/><Relationship Id="rId973" Type="http://schemas.openxmlformats.org/officeDocument/2006/relationships/hyperlink" Target="https://web.archive.org/web/20220225135551/https://twitter.com/herooftheday10/status/1492568241448923140" TargetMode="External"/><Relationship Id="rId979" Type="http://schemas.openxmlformats.org/officeDocument/2006/relationships/hyperlink" Target="https://twitter.com/GirkinGirkin/status/1492707422938533888" TargetMode="External"/><Relationship Id="rId978" Type="http://schemas.openxmlformats.org/officeDocument/2006/relationships/hyperlink" Target="https://bellingcat-archive.nyc3.cdn.digitaloceanspaces.com/Ukraine_Witness_Datasheet/Worksheet/youtube_dl_1492599809320144896/index.html" TargetMode="External"/><Relationship Id="rId977" Type="http://schemas.openxmlformats.org/officeDocument/2006/relationships/hyperlink" Target="https://bellingcat-archive.nyc3.cdn.digitaloceanspaces.com/Ukraine_Witness_Datasheet/Worksheet/youtube_dl__GirkinGirkin_status_14925998093201448962022-02-25T13:56:18.098582.png" TargetMode="External"/><Relationship Id="rId2890" Type="http://schemas.openxmlformats.org/officeDocument/2006/relationships/hyperlink" Target="https://bellingcat-archive.nyc3.cdn.digitaloceanspaces.com/Ukraine_Witness_Datasheet/Worksheet/youtube_dl_1497243193271857155.mp4" TargetMode="External"/><Relationship Id="rId1560" Type="http://schemas.openxmlformats.org/officeDocument/2006/relationships/hyperlink" Target="https://twitter.com/robbybirch/status/1494558869984628753" TargetMode="External"/><Relationship Id="rId2891" Type="http://schemas.openxmlformats.org/officeDocument/2006/relationships/hyperlink" Target="https://bellingcat-archive.nyc3.cdn.digitaloceanspaces.com/Ukraine_Witness_Datasheet/Worksheet/youtube_dl__IntelCrab_status_14972431932718571552022-02-25T16:51:55.128671.png" TargetMode="External"/><Relationship Id="rId972" Type="http://schemas.openxmlformats.org/officeDocument/2006/relationships/hyperlink" Target="https://twitter.com/herooftheday10/status/1492568241448923140" TargetMode="External"/><Relationship Id="rId1561" Type="http://schemas.openxmlformats.org/officeDocument/2006/relationships/hyperlink" Target="https://bellingcat-archive.nyc3.cdn.digitaloceanspaces.com/Ukraine_Witness_Datasheet/Worksheet/youtube_dl_1494548071006588942.mp4" TargetMode="External"/><Relationship Id="rId2892" Type="http://schemas.openxmlformats.org/officeDocument/2006/relationships/hyperlink" Target="https://bellingcat-archive.nyc3.cdn.digitaloceanspaces.com/Ukraine_Witness_Datasheet/Worksheet/youtube_dl_1497243193271857155/index.html" TargetMode="External"/><Relationship Id="rId971" Type="http://schemas.openxmlformats.org/officeDocument/2006/relationships/hyperlink" Target="https://bellingcat-archive.nyc3.cdn.digitaloceanspaces.com/Ukraine_Witness_Datasheet/Worksheet/wayback__herooftheday10_status_14925579543017594942022-02-25T13:54:26.729961.png" TargetMode="External"/><Relationship Id="rId1562" Type="http://schemas.openxmlformats.org/officeDocument/2006/relationships/hyperlink" Target="https://bellingcat-archive.nyc3.cdn.digitaloceanspaces.com/Ukraine_Witness_Datasheet/Worksheet/youtube_dl__GirkinGirkin_status_14945480710065889422022-02-25T14:16:31.728086.png" TargetMode="External"/><Relationship Id="rId2893" Type="http://schemas.openxmlformats.org/officeDocument/2006/relationships/hyperlink" Target="https://twitter.com/RALee85/status/1496802928732086278" TargetMode="External"/><Relationship Id="rId970" Type="http://schemas.openxmlformats.org/officeDocument/2006/relationships/hyperlink" Target="https://web.archive.org/web/20220225135416/https://twitter.com/herooftheday10/status/1492557954301759494" TargetMode="External"/><Relationship Id="rId1563" Type="http://schemas.openxmlformats.org/officeDocument/2006/relationships/hyperlink" Target="https://bellingcat-archive.nyc3.cdn.digitaloceanspaces.com/Ukraine_Witness_Datasheet/Worksheet/youtube_dl_1494548071006588942/index.html" TargetMode="External"/><Relationship Id="rId2894" Type="http://schemas.openxmlformats.org/officeDocument/2006/relationships/hyperlink" Target="https://bellingcat-archive.nyc3.cdn.digitaloceanspaces.com/Ukraine_Witness_Datasheet/Worksheet/youtube_dl_1496802928732086278.mp4" TargetMode="External"/><Relationship Id="rId1564" Type="http://schemas.openxmlformats.org/officeDocument/2006/relationships/hyperlink" Target="https://twitter.com/GirkinGirkin/status/1494545200999550978" TargetMode="External"/><Relationship Id="rId2895" Type="http://schemas.openxmlformats.org/officeDocument/2006/relationships/hyperlink" Target="https://bellingcat-archive.nyc3.cdn.digitaloceanspaces.com/Ukraine_Witness_Datasheet/Worksheet/youtube_dl__RALee85_status_14968029287320862782022-02-25T16:52:14.517544.png" TargetMode="External"/><Relationship Id="rId1598" Type="http://schemas.openxmlformats.org/officeDocument/2006/relationships/hyperlink" Target="https://twitter.com/GirkinGirkin/status/1494390380812554240" TargetMode="External"/><Relationship Id="rId1599" Type="http://schemas.openxmlformats.org/officeDocument/2006/relationships/hyperlink" Target="https://bellingcat-archive.nyc3.cdn.digitaloceanspaces.com/Ukraine_Witness_Datasheet/Worksheet/youtube_dl_1494390380812554240.mp4" TargetMode="External"/><Relationship Id="rId1590" Type="http://schemas.openxmlformats.org/officeDocument/2006/relationships/hyperlink" Target="https://twitter.com/ohsenty/status/1494518582641840152" TargetMode="External"/><Relationship Id="rId1591" Type="http://schemas.openxmlformats.org/officeDocument/2006/relationships/hyperlink" Target="https://bellingcat-archive.nyc3.cdn.digitaloceanspaces.com/Ukraine_Witness_Datasheet/Worksheet/youtube_dl_1494513452592812039.mp4" TargetMode="External"/><Relationship Id="rId1592" Type="http://schemas.openxmlformats.org/officeDocument/2006/relationships/hyperlink" Target="https://bellingcat-archive.nyc3.cdn.digitaloceanspaces.com/Ukraine_Witness_Datasheet/Worksheet/youtube_dl__GirkinGirkin_status_14945134525928120392022-02-25T14:14:40.432170.png" TargetMode="External"/><Relationship Id="rId1593" Type="http://schemas.openxmlformats.org/officeDocument/2006/relationships/hyperlink" Target="https://bellingcat-archive.nyc3.cdn.digitaloceanspaces.com/Ukraine_Witness_Datasheet/Worksheet/youtube_dl_1494513452592812039/index.html" TargetMode="External"/><Relationship Id="rId1594" Type="http://schemas.openxmlformats.org/officeDocument/2006/relationships/hyperlink" Target="https://twitter.com/GirkinGirkin/status/1494394926821425159" TargetMode="External"/><Relationship Id="rId1595" Type="http://schemas.openxmlformats.org/officeDocument/2006/relationships/hyperlink" Target="https://bellingcat-archive.nyc3.cdn.digitaloceanspaces.com/Ukraine_Witness_Datasheet/Worksheet/youtube_dl_1494394926821425159.mp4" TargetMode="External"/><Relationship Id="rId1596" Type="http://schemas.openxmlformats.org/officeDocument/2006/relationships/hyperlink" Target="https://bellingcat-archive.nyc3.cdn.digitaloceanspaces.com/Ukraine_Witness_Datasheet/Worksheet/youtube_dl__GirkinGirkin_status_14943949268214251592022-02-25T14:14:19.254329.png" TargetMode="External"/><Relationship Id="rId1597" Type="http://schemas.openxmlformats.org/officeDocument/2006/relationships/hyperlink" Target="https://bellingcat-archive.nyc3.cdn.digitaloceanspaces.com/Ukraine_Witness_Datasheet/Worksheet/youtube_dl_1494394926821425159/index.html" TargetMode="External"/><Relationship Id="rId1587" Type="http://schemas.openxmlformats.org/officeDocument/2006/relationships/hyperlink" Target="https://bellingcat-archive.nyc3.cdn.digitaloceanspaces.com/Ukraine_Witness_Datasheet/Worksheet/youtube_dl__GirkinGirkin_status_14945211740506276012022-02-25T14:14:56.766224.png" TargetMode="External"/><Relationship Id="rId1588" Type="http://schemas.openxmlformats.org/officeDocument/2006/relationships/hyperlink" Target="https://bellingcat-archive.nyc3.cdn.digitaloceanspaces.com/Ukraine_Witness_Datasheet/Worksheet/youtube_dl_1494521174050627601/index.html" TargetMode="External"/><Relationship Id="rId1589" Type="http://schemas.openxmlformats.org/officeDocument/2006/relationships/hyperlink" Target="https://twitter.com/GirkinGirkin/status/1494513452592812039" TargetMode="External"/><Relationship Id="rId998" Type="http://schemas.openxmlformats.org/officeDocument/2006/relationships/hyperlink" Target="https://bellingcat-archive.nyc3.cdn.digitaloceanspaces.com/Ukraine_Witness_Datasheet/Worksheet/twitter__Michael1Sheldon_status_1492886621573812233.html" TargetMode="External"/><Relationship Id="rId997" Type="http://schemas.openxmlformats.org/officeDocument/2006/relationships/hyperlink" Target="https://twitter.com/Michael1Sheldon/status/1492886012082728961" TargetMode="External"/><Relationship Id="rId996" Type="http://schemas.openxmlformats.org/officeDocument/2006/relationships/hyperlink" Target="https://twitter.com/Michael1Sheldon/status/1492886621573812233" TargetMode="External"/><Relationship Id="rId995" Type="http://schemas.openxmlformats.org/officeDocument/2006/relationships/hyperlink" Target="https://bellingcat-archive.nyc3.cdn.digitaloceanspaces.com/Ukraine_Witness_Datasheet/Worksheet/youtube_dl_1492871991082340357/index.html" TargetMode="External"/><Relationship Id="rId999" Type="http://schemas.openxmlformats.org/officeDocument/2006/relationships/hyperlink" Target="https://bellingcat-archive.nyc3.cdn.digitaloceanspaces.com/Ukraine_Witness_Datasheet/Worksheet/twitter__Michael1Sheldon_status_14928866215738122332022-02-25T13:57:47.609698.png" TargetMode="External"/><Relationship Id="rId990" Type="http://schemas.openxmlformats.org/officeDocument/2006/relationships/hyperlink" Target="https://bellingcat-archive.nyc3.cdn.digitaloceanspaces.com/Ukraine_Witness_Datasheet/Worksheet/youtube_dl__danvan71_status_14928714767516139522022-02-25T13:57:12.377380.png" TargetMode="External"/><Relationship Id="rId1580" Type="http://schemas.openxmlformats.org/officeDocument/2006/relationships/hyperlink" Target="https://twitter.com/YaBoyHeem103/status/1494541567935275029" TargetMode="External"/><Relationship Id="rId1581" Type="http://schemas.openxmlformats.org/officeDocument/2006/relationships/hyperlink" Target="https://bellingcat-archive.nyc3.cdn.digitaloceanspaces.com/Ukraine_Witness_Datasheet/Worksheet/youtube_dl_1494523071620911111.mp4" TargetMode="External"/><Relationship Id="rId1582" Type="http://schemas.openxmlformats.org/officeDocument/2006/relationships/hyperlink" Target="https://bellingcat-archive.nyc3.cdn.digitaloceanspaces.com/Ukraine_Witness_Datasheet/Worksheet/youtube_dl__GirkinGirkin_status_14945230716209111112022-02-25T14:15:14.453715.png" TargetMode="External"/><Relationship Id="rId994" Type="http://schemas.openxmlformats.org/officeDocument/2006/relationships/hyperlink" Target="https://bellingcat-archive.nyc3.cdn.digitaloceanspaces.com/Ukraine_Witness_Datasheet/Worksheet/youtube_dl__danvan71_status_14928719910823403572022-02-25T13:57:31.361096.png" TargetMode="External"/><Relationship Id="rId1583" Type="http://schemas.openxmlformats.org/officeDocument/2006/relationships/hyperlink" Target="https://bellingcat-archive.nyc3.cdn.digitaloceanspaces.com/Ukraine_Witness_Datasheet/Worksheet/youtube_dl_1494523071620911111/index.html" TargetMode="External"/><Relationship Id="rId993" Type="http://schemas.openxmlformats.org/officeDocument/2006/relationships/hyperlink" Target="https://bellingcat-archive.nyc3.cdn.digitaloceanspaces.com/Ukraine_Witness_Datasheet/Worksheet/youtube_dl_1492871991082340357.mp4" TargetMode="External"/><Relationship Id="rId1584" Type="http://schemas.openxmlformats.org/officeDocument/2006/relationships/hyperlink" Target="https://twitter.com/GirkinGirkin/status/1494521174050627601" TargetMode="External"/><Relationship Id="rId992" Type="http://schemas.openxmlformats.org/officeDocument/2006/relationships/hyperlink" Target="https://twitter.com/danvan71/status/1492871991082340357" TargetMode="External"/><Relationship Id="rId1585" Type="http://schemas.openxmlformats.org/officeDocument/2006/relationships/hyperlink" Target="https://twitter.com/ohsenty/status/1494525786883305478" TargetMode="External"/><Relationship Id="rId991" Type="http://schemas.openxmlformats.org/officeDocument/2006/relationships/hyperlink" Target="https://bellingcat-archive.nyc3.cdn.digitaloceanspaces.com/Ukraine_Witness_Datasheet/Worksheet/youtube_dl_1492871476751613952/index.html" TargetMode="External"/><Relationship Id="rId1586" Type="http://schemas.openxmlformats.org/officeDocument/2006/relationships/hyperlink" Target="https://bellingcat-archive.nyc3.cdn.digitaloceanspaces.com/Ukraine_Witness_Datasheet/Worksheet/youtube_dl_1494521174050627601.mp4" TargetMode="External"/><Relationship Id="rId1532" Type="http://schemas.openxmlformats.org/officeDocument/2006/relationships/hyperlink" Target="https://bellingcat-archive.nyc3.cdn.digitaloceanspaces.com/Ukraine_Witness_Datasheet/Worksheet/youtube_dl__Michael1Sheldon_status_14939859118346608672022-02-25T14:19:09.427267.png" TargetMode="External"/><Relationship Id="rId2863" Type="http://schemas.openxmlformats.org/officeDocument/2006/relationships/hyperlink" Target="https://bellingcat-archive.nyc3.cdn.digitaloceanspaces.com/Ukraine_Witness_Datasheet/Worksheet/youtube_dl_1496761690561683456/index.html" TargetMode="External"/><Relationship Id="rId1533" Type="http://schemas.openxmlformats.org/officeDocument/2006/relationships/hyperlink" Target="https://bellingcat-archive.nyc3.cdn.digitaloceanspaces.com/Ukraine_Witness_Datasheet/Worksheet/youtube_dl_1493985911834660867/index.html" TargetMode="External"/><Relationship Id="rId2864" Type="http://schemas.openxmlformats.org/officeDocument/2006/relationships/hyperlink" Target="https://twitter.com/AlexanderLouri4/status/1496762766316687363?s=20&amp;t=BsO19JRy9tJkk8gDatQVUg" TargetMode="External"/><Relationship Id="rId1534" Type="http://schemas.openxmlformats.org/officeDocument/2006/relationships/hyperlink" Target="https://twitter.com/GirkinGirkin/status/1492201534507175939" TargetMode="External"/><Relationship Id="rId2865" Type="http://schemas.openxmlformats.org/officeDocument/2006/relationships/hyperlink" Target="https://bellingcat-archive.nyc3.cdn.digitaloceanspaces.com/Ukraine_Witness_Datasheet/Worksheet/youtube_dl_1496762766316687363.mp4" TargetMode="External"/><Relationship Id="rId1535" Type="http://schemas.openxmlformats.org/officeDocument/2006/relationships/hyperlink" Target="https://twitter.com/Danspiun/status/1493716935791587330" TargetMode="External"/><Relationship Id="rId2866" Type="http://schemas.openxmlformats.org/officeDocument/2006/relationships/hyperlink" Target="https://bellingcat-archive.nyc3.cdn.digitaloceanspaces.com/Ukraine_Witness_Datasheet/Worksheet/youtube_dl__AlexanderLouri4_status_14967627663166873632022-02-25T16:49:53.400781.png" TargetMode="External"/><Relationship Id="rId1536" Type="http://schemas.openxmlformats.org/officeDocument/2006/relationships/hyperlink" Target="https://bellingcat-archive.nyc3.cdn.digitaloceanspaces.com/Ukraine_Witness_Datasheet/Worksheet/youtube_dl_1492201534507175939.mp4" TargetMode="External"/><Relationship Id="rId2867" Type="http://schemas.openxmlformats.org/officeDocument/2006/relationships/hyperlink" Target="https://bellingcat-archive.nyc3.cdn.digitaloceanspaces.com/Ukraine_Witness_Datasheet/Worksheet/youtube_dl_1496762766316687363/index.html" TargetMode="External"/><Relationship Id="rId1537" Type="http://schemas.openxmlformats.org/officeDocument/2006/relationships/hyperlink" Target="https://bellingcat-archive.nyc3.cdn.digitaloceanspaces.com/Ukraine_Witness_Datasheet/Worksheet/youtube_dl__GirkinGirkin_status_14922015345071759392022-02-25T14:18:50.188542.png" TargetMode="External"/><Relationship Id="rId2868" Type="http://schemas.openxmlformats.org/officeDocument/2006/relationships/hyperlink" Target="https://twitter.com/AlexanderLouri4/status/1496765032167710723?s=20&amp;t=BsO19JRy9tJkk8gDatQVUg" TargetMode="External"/><Relationship Id="rId1538" Type="http://schemas.openxmlformats.org/officeDocument/2006/relationships/hyperlink" Target="https://bellingcat-archive.nyc3.cdn.digitaloceanspaces.com/Ukraine_Witness_Datasheet/Worksheet/youtube_dl_1492201534507175939/index.html" TargetMode="External"/><Relationship Id="rId2869" Type="http://schemas.openxmlformats.org/officeDocument/2006/relationships/hyperlink" Target="https://bellingcat-archive.nyc3.cdn.digitaloceanspaces.com/Ukraine_Witness_Datasheet/Worksheet/youtube_dl_1496765032167710723.mp4" TargetMode="External"/><Relationship Id="rId1539" Type="http://schemas.openxmlformats.org/officeDocument/2006/relationships/hyperlink" Target="https://twitter.com/markito0171/status/1494239711996559362" TargetMode="External"/><Relationship Id="rId949" Type="http://schemas.openxmlformats.org/officeDocument/2006/relationships/hyperlink" Target="https://twitter.com/danvan71/status/1492285208288235522" TargetMode="External"/><Relationship Id="rId948" Type="http://schemas.openxmlformats.org/officeDocument/2006/relationships/hyperlink" Target="https://twitter.com/MotolkoHelp/status/1492198592580407297" TargetMode="External"/><Relationship Id="rId943" Type="http://schemas.openxmlformats.org/officeDocument/2006/relationships/hyperlink" Target="https://twitter.com/GirkinGirkin/status/1492301252646129664" TargetMode="External"/><Relationship Id="rId942" Type="http://schemas.openxmlformats.org/officeDocument/2006/relationships/hyperlink" Target="https://bellingcat-archive.nyc3.cdn.digitaloceanspaces.com/Ukraine_Witness_Datasheet/Worksheet/youtube_dl_1492288109454802951/index.html" TargetMode="External"/><Relationship Id="rId941" Type="http://schemas.openxmlformats.org/officeDocument/2006/relationships/hyperlink" Target="https://bellingcat-archive.nyc3.cdn.digitaloceanspaces.com/Ukraine_Witness_Datasheet/Worksheet/youtube_dl__GirkinGirkin_status_14922881094548029512022-02-25T13:49:22.301572.png" TargetMode="External"/><Relationship Id="rId940" Type="http://schemas.openxmlformats.org/officeDocument/2006/relationships/hyperlink" Target="https://bellingcat-archive.nyc3.cdn.digitaloceanspaces.com/Ukraine_Witness_Datasheet/Worksheet/youtube_dl_1492288109454802951.mp4" TargetMode="External"/><Relationship Id="rId947" Type="http://schemas.openxmlformats.org/officeDocument/2006/relationships/hyperlink" Target="https://bellingcat-archive.nyc3.cdn.digitaloceanspaces.com/Ukraine_Witness_Datasheet/Worksheet/youtube_dl_1492301252646129664/index.html" TargetMode="External"/><Relationship Id="rId946" Type="http://schemas.openxmlformats.org/officeDocument/2006/relationships/hyperlink" Target="https://bellingcat-archive.nyc3.cdn.digitaloceanspaces.com/Ukraine_Witness_Datasheet/Worksheet/youtube_dl__GirkinGirkin_status_14923012526461296642022-02-25T13:49:38.622344.png" TargetMode="External"/><Relationship Id="rId945" Type="http://schemas.openxmlformats.org/officeDocument/2006/relationships/hyperlink" Target="https://bellingcat-archive.nyc3.cdn.digitaloceanspaces.com/Ukraine_Witness_Datasheet/Worksheet/youtube_dl_1492301252646129664.mp4" TargetMode="External"/><Relationship Id="rId944" Type="http://schemas.openxmlformats.org/officeDocument/2006/relationships/hyperlink" Target="https://twitter.com/danvan71/status/1492305518840397829" TargetMode="External"/><Relationship Id="rId2860" Type="http://schemas.openxmlformats.org/officeDocument/2006/relationships/hyperlink" Target="https://twitter.com/AlexanderLouri4/status/1496761690561683456?s=20&amp;t=BsO19JRy9tJkk8gDatQVUg" TargetMode="External"/><Relationship Id="rId1530" Type="http://schemas.openxmlformats.org/officeDocument/2006/relationships/hyperlink" Target="https://twitter.com/Danspiun/status/1494011485915615232" TargetMode="External"/><Relationship Id="rId2861" Type="http://schemas.openxmlformats.org/officeDocument/2006/relationships/hyperlink" Target="https://bellingcat-archive.nyc3.cdn.digitaloceanspaces.com/Ukraine_Witness_Datasheet/Worksheet/youtube_dl_1496761690561683456.mp4" TargetMode="External"/><Relationship Id="rId1531" Type="http://schemas.openxmlformats.org/officeDocument/2006/relationships/hyperlink" Target="https://bellingcat-archive.nyc3.cdn.digitaloceanspaces.com/Ukraine_Witness_Datasheet/Worksheet/youtube_dl_1493985911834660867.mp4" TargetMode="External"/><Relationship Id="rId2862" Type="http://schemas.openxmlformats.org/officeDocument/2006/relationships/hyperlink" Target="https://bellingcat-archive.nyc3.cdn.digitaloceanspaces.com/Ukraine_Witness_Datasheet/Worksheet/youtube_dl__AlexanderLouri4_status_14967616905616834562022-02-25T16:49:36.011631.png" TargetMode="External"/><Relationship Id="rId1521" Type="http://schemas.openxmlformats.org/officeDocument/2006/relationships/hyperlink" Target="https://twitter.com/Michael1Sheldon/status/1494175756787851265" TargetMode="External"/><Relationship Id="rId2852" Type="http://schemas.openxmlformats.org/officeDocument/2006/relationships/hyperlink" Target="https://twitter.com/JimmySecUK/status/1496754882002534400?t=7h6tgRHHOKOLY9EYhMdQvg&amp;s=19" TargetMode="External"/><Relationship Id="rId1522" Type="http://schemas.openxmlformats.org/officeDocument/2006/relationships/hyperlink" Target="https://bellingcat-archive.nyc3.cdn.digitaloceanspaces.com/Ukraine_Witness_Datasheet/Worksheet/twitter__Michael1Sheldon_status_1494175756787851265.html" TargetMode="External"/><Relationship Id="rId2853" Type="http://schemas.openxmlformats.org/officeDocument/2006/relationships/hyperlink" Target="https://bellingcat-archive.nyc3.cdn.digitaloceanspaces.com/Ukraine_Witness_Datasheet/Worksheet/youtube_dl_1496754882002534400.mp4" TargetMode="External"/><Relationship Id="rId1523" Type="http://schemas.openxmlformats.org/officeDocument/2006/relationships/hyperlink" Target="https://bellingcat-archive.nyc3.cdn.digitaloceanspaces.com/Ukraine_Witness_Datasheet/Worksheet/twitter__Michael1Sheldon_status_14941757567878512652022-02-25T14:38:45.881920.png" TargetMode="External"/><Relationship Id="rId2854" Type="http://schemas.openxmlformats.org/officeDocument/2006/relationships/hyperlink" Target="https://bellingcat-archive.nyc3.cdn.digitaloceanspaces.com/Ukraine_Witness_Datasheet/Worksheet/youtube_dl__JimmySecUK_status_14967548820025344002022-02-25T16:49:00.423509.png" TargetMode="External"/><Relationship Id="rId1524" Type="http://schemas.openxmlformats.org/officeDocument/2006/relationships/hyperlink" Target="https://twitter.com/4emberlen/status/1494044493246607364" TargetMode="External"/><Relationship Id="rId2855" Type="http://schemas.openxmlformats.org/officeDocument/2006/relationships/hyperlink" Target="https://bellingcat-archive.nyc3.cdn.digitaloceanspaces.com/Ukraine_Witness_Datasheet/Worksheet/youtube_dl_1496754882002534400/index.html" TargetMode="External"/><Relationship Id="rId1525" Type="http://schemas.openxmlformats.org/officeDocument/2006/relationships/hyperlink" Target="https://twitter.com/noclador/status/1494047364935557125" TargetMode="External"/><Relationship Id="rId2856" Type="http://schemas.openxmlformats.org/officeDocument/2006/relationships/hyperlink" Target="https://twitter.com/PDocumentarians/status/1496731018723835907?s=20&amp;t=BsO19JRy9tJkk8gDatQVUg" TargetMode="External"/><Relationship Id="rId1526" Type="http://schemas.openxmlformats.org/officeDocument/2006/relationships/hyperlink" Target="https://bellingcat-archive.nyc3.cdn.digitaloceanspaces.com/Ukraine_Witness_Datasheet/Worksheet/youtube_dl_1494044493246607364.mp4" TargetMode="External"/><Relationship Id="rId2857" Type="http://schemas.openxmlformats.org/officeDocument/2006/relationships/hyperlink" Target="https://bellingcat-archive.nyc3.cdn.digitaloceanspaces.com/Ukraine_Witness_Datasheet/Worksheet/youtube_dl_1496731018723835907.mp4" TargetMode="External"/><Relationship Id="rId1527" Type="http://schemas.openxmlformats.org/officeDocument/2006/relationships/hyperlink" Target="https://bellingcat-archive.nyc3.cdn.digitaloceanspaces.com/Ukraine_Witness_Datasheet/Worksheet/youtube_dl__4emberlen_status_14940444932466073642022-02-25T14:19:26.285827.png" TargetMode="External"/><Relationship Id="rId2858" Type="http://schemas.openxmlformats.org/officeDocument/2006/relationships/hyperlink" Target="https://bellingcat-archive.nyc3.cdn.digitaloceanspaces.com/Ukraine_Witness_Datasheet/Worksheet/youtube_dl__PDocumentarians_status_14967310187238359072022-02-25T16:49:19.764428.png" TargetMode="External"/><Relationship Id="rId1528" Type="http://schemas.openxmlformats.org/officeDocument/2006/relationships/hyperlink" Target="https://bellingcat-archive.nyc3.cdn.digitaloceanspaces.com/Ukraine_Witness_Datasheet/Worksheet/youtube_dl_1494044493246607364/index.html" TargetMode="External"/><Relationship Id="rId2859" Type="http://schemas.openxmlformats.org/officeDocument/2006/relationships/hyperlink" Target="https://bellingcat-archive.nyc3.cdn.digitaloceanspaces.com/Ukraine_Witness_Datasheet/Worksheet/youtube_dl_1496731018723835907/index.html" TargetMode="External"/><Relationship Id="rId1529" Type="http://schemas.openxmlformats.org/officeDocument/2006/relationships/hyperlink" Target="https://twitter.com/Michael1Sheldon/status/1493985911834660867" TargetMode="External"/><Relationship Id="rId939" Type="http://schemas.openxmlformats.org/officeDocument/2006/relationships/hyperlink" Target="https://twitter.com/GirkinGirkin/status/1492288109454802951" TargetMode="External"/><Relationship Id="rId938" Type="http://schemas.openxmlformats.org/officeDocument/2006/relationships/hyperlink" Target="https://bellingcat-archive.nyc3.cdn.digitaloceanspaces.com/Ukraine_Witness_Datasheet/Worksheet/youtube_dl_1491875067554373641/index.html" TargetMode="External"/><Relationship Id="rId937" Type="http://schemas.openxmlformats.org/officeDocument/2006/relationships/hyperlink" Target="https://bellingcat-archive.nyc3.cdn.digitaloceanspaces.com/Ukraine_Witness_Datasheet/Worksheet/youtube_dl__4emberlen_status_14918750675543736412022-02-25T13:49:04.597190.png" TargetMode="External"/><Relationship Id="rId932" Type="http://schemas.openxmlformats.org/officeDocument/2006/relationships/hyperlink" Target="https://bellingcat-archive.nyc3.cdn.digitaloceanspaces.com/Ukraine_Witness_Datasheet/Worksheet/youtube_dl__GirkinGirkin_status_14920103071784100102022-02-25T13:48:46.547660.png" TargetMode="External"/><Relationship Id="rId931" Type="http://schemas.openxmlformats.org/officeDocument/2006/relationships/hyperlink" Target="https://bellingcat-archive.nyc3.cdn.digitaloceanspaces.com/Ukraine_Witness_Datasheet/Worksheet/youtube_dl_1492010307178410010.mp4" TargetMode="External"/><Relationship Id="rId930" Type="http://schemas.openxmlformats.org/officeDocument/2006/relationships/hyperlink" Target="https://twitter.com/GirkinGirkin/status/1492010307178410010" TargetMode="External"/><Relationship Id="rId936" Type="http://schemas.openxmlformats.org/officeDocument/2006/relationships/hyperlink" Target="https://bellingcat-archive.nyc3.cdn.digitaloceanspaces.com/Ukraine_Witness_Datasheet/Worksheet/youtube_dl_1491875067554373641.mp4" TargetMode="External"/><Relationship Id="rId935" Type="http://schemas.openxmlformats.org/officeDocument/2006/relationships/hyperlink" Target="https://twitter.com/InformNapalm/status/1492140212364976135" TargetMode="External"/><Relationship Id="rId934" Type="http://schemas.openxmlformats.org/officeDocument/2006/relationships/hyperlink" Target="https://twitter.com/4emberlen/status/1491875067554373641" TargetMode="External"/><Relationship Id="rId933" Type="http://schemas.openxmlformats.org/officeDocument/2006/relationships/hyperlink" Target="https://bellingcat-archive.nyc3.cdn.digitaloceanspaces.com/Ukraine_Witness_Datasheet/Worksheet/youtube_dl_1492010307178410010/index.html" TargetMode="External"/><Relationship Id="rId2850" Type="http://schemas.openxmlformats.org/officeDocument/2006/relationships/hyperlink" Target="https://bellingcat-archive.nyc3.cdn.digitaloceanspaces.com/Ukraine_Witness_Datasheet/Worksheet/youtube_dl__666_mancer_status_14972255547638579412022-02-25T16:48:44.192905.png" TargetMode="External"/><Relationship Id="rId1520" Type="http://schemas.openxmlformats.org/officeDocument/2006/relationships/hyperlink" Target="https://bellingcat-archive.nyc3.cdn.digitaloceanspaces.com/Ukraine_Witness_Datasheet/Worksheet/twitter__Liveuamap_status_14942267028510597162022-02-25T14:21:11.622680.png" TargetMode="External"/><Relationship Id="rId2851" Type="http://schemas.openxmlformats.org/officeDocument/2006/relationships/hyperlink" Target="https://bellingcat-archive.nyc3.cdn.digitaloceanspaces.com/Ukraine_Witness_Datasheet/Worksheet/youtube_dl_1497225554763857941/index.html" TargetMode="External"/><Relationship Id="rId1554" Type="http://schemas.openxmlformats.org/officeDocument/2006/relationships/hyperlink" Target="https://bellingcat-archive.nyc3.cdn.digitaloceanspaces.com/Ukraine_Witness_Datasheet/Worksheet/youtube_dl_1494364071189225479/index.html" TargetMode="External"/><Relationship Id="rId2885" Type="http://schemas.openxmlformats.org/officeDocument/2006/relationships/hyperlink" Target="https://twitter.com/666_mancer/status/1496868095842865154?s=20&amp;t=vjuzVkVF9AjHtNtCWTtq9Q" TargetMode="External"/><Relationship Id="rId1555" Type="http://schemas.openxmlformats.org/officeDocument/2006/relationships/hyperlink" Target="https://twitter.com/4emberlen/status/1494362768241315840" TargetMode="External"/><Relationship Id="rId2886" Type="http://schemas.openxmlformats.org/officeDocument/2006/relationships/hyperlink" Target="https://bellingcat-archive.nyc3.cdn.digitaloceanspaces.com/Ukraine_Witness_Datasheet/Worksheet/youtube_dl_1496868095842865154.mp4" TargetMode="External"/><Relationship Id="rId1556" Type="http://schemas.openxmlformats.org/officeDocument/2006/relationships/hyperlink" Target="https://bellingcat-archive.nyc3.cdn.digitaloceanspaces.com/Ukraine_Witness_Datasheet/Worksheet/youtube_dl_1494362768241315840.mp4" TargetMode="External"/><Relationship Id="rId2887" Type="http://schemas.openxmlformats.org/officeDocument/2006/relationships/hyperlink" Target="https://bellingcat-archive.nyc3.cdn.digitaloceanspaces.com/Ukraine_Witness_Datasheet/Worksheet/youtube_dl__666_mancer_status_14968680958428651542022-02-25T16:51:34.874232.png" TargetMode="External"/><Relationship Id="rId1557" Type="http://schemas.openxmlformats.org/officeDocument/2006/relationships/hyperlink" Target="https://bellingcat-archive.nyc3.cdn.digitaloceanspaces.com/Ukraine_Witness_Datasheet/Worksheet/youtube_dl__4emberlen_status_14943627682413158402022-02-25T14:16:55.781293.png" TargetMode="External"/><Relationship Id="rId2888" Type="http://schemas.openxmlformats.org/officeDocument/2006/relationships/hyperlink" Target="https://bellingcat-archive.nyc3.cdn.digitaloceanspaces.com/Ukraine_Witness_Datasheet/Worksheet/youtube_dl_1496868095842865154/index.html" TargetMode="External"/><Relationship Id="rId1558" Type="http://schemas.openxmlformats.org/officeDocument/2006/relationships/hyperlink" Target="https://bellingcat-archive.nyc3.cdn.digitaloceanspaces.com/Ukraine_Witness_Datasheet/Worksheet/youtube_dl_1494362768241315840/index.html" TargetMode="External"/><Relationship Id="rId2889" Type="http://schemas.openxmlformats.org/officeDocument/2006/relationships/hyperlink" Target="https://twitter.com/IntelCrab/status/1497243193271857155" TargetMode="External"/><Relationship Id="rId1559" Type="http://schemas.openxmlformats.org/officeDocument/2006/relationships/hyperlink" Target="https://twitter.com/GirkinGirkin/status/1494548071006588942" TargetMode="External"/><Relationship Id="rId965" Type="http://schemas.openxmlformats.org/officeDocument/2006/relationships/hyperlink" Target="https://bellingcat-archive.nyc3.cdn.digitaloceanspaces.com/Ukraine_Witness_Datasheet/Worksheet/youtube_dl_1492329377048244228.mp4" TargetMode="External"/><Relationship Id="rId964" Type="http://schemas.openxmlformats.org/officeDocument/2006/relationships/hyperlink" Target="https://twitter.com/Michael1Sheldon/status/1492330368770392073" TargetMode="External"/><Relationship Id="rId963" Type="http://schemas.openxmlformats.org/officeDocument/2006/relationships/hyperlink" Target="https://twitter.com/Michael1Sheldon/status/1492329377048244228" TargetMode="External"/><Relationship Id="rId962" Type="http://schemas.openxmlformats.org/officeDocument/2006/relationships/hyperlink" Target="https://bellingcat-archive.nyc3.cdn.digitaloceanspaces.com/Ukraine_Witness_Datasheet/Worksheet/youtube_dl_1492329248052420610/index.html" TargetMode="External"/><Relationship Id="rId969" Type="http://schemas.openxmlformats.org/officeDocument/2006/relationships/hyperlink" Target="https://twitter.com/herooftheday10/status/1492557954301759494" TargetMode="External"/><Relationship Id="rId968" Type="http://schemas.openxmlformats.org/officeDocument/2006/relationships/hyperlink" Target="https://www.tiktok.com/@r_e_g_i_o_n_5_7/video/7063819874723695873?_r=1&amp;_t=8PoNmoFB7DK&amp;is_copy_url=1&amp;is_from_webapp=v1" TargetMode="External"/><Relationship Id="rId967" Type="http://schemas.openxmlformats.org/officeDocument/2006/relationships/hyperlink" Target="https://bellingcat-archive.nyc3.cdn.digitaloceanspaces.com/Ukraine_Witness_Datasheet/Worksheet/youtube_dl_1492329377048244228/index.html" TargetMode="External"/><Relationship Id="rId966" Type="http://schemas.openxmlformats.org/officeDocument/2006/relationships/hyperlink" Target="https://bellingcat-archive.nyc3.cdn.digitaloceanspaces.com/Ukraine_Witness_Datasheet/Worksheet/youtube_dl__Michael1Sheldon_status_14923293770482442282022-02-25T13:50:57.738233.png" TargetMode="External"/><Relationship Id="rId2880" Type="http://schemas.openxmlformats.org/officeDocument/2006/relationships/hyperlink" Target="https://bellingcat-archive.nyc3.cdn.digitaloceanspaces.com/Ukraine_Witness_Datasheet/Worksheet/twitter__AFP_status_1496778152387178508.html" TargetMode="External"/><Relationship Id="rId961" Type="http://schemas.openxmlformats.org/officeDocument/2006/relationships/hyperlink" Target="https://bellingcat-archive.nyc3.cdn.digitaloceanspaces.com/Ukraine_Witness_Datasheet/Worksheet/youtube_dl__Michael1Sheldon_status_14923292480524206102022-02-25T13:50:38.656985.png" TargetMode="External"/><Relationship Id="rId1550" Type="http://schemas.openxmlformats.org/officeDocument/2006/relationships/hyperlink" Target="https://bellingcat-archive.nyc3.cdn.digitaloceanspaces.com/Ukraine_Witness_Datasheet/Worksheet/twitter__mikaellindstro2_status_14942779324449587262022-02-25T14:17:37.878679.png" TargetMode="External"/><Relationship Id="rId2881" Type="http://schemas.openxmlformats.org/officeDocument/2006/relationships/hyperlink" Target="https://bellingcat-archive.nyc3.cdn.digitaloceanspaces.com/Ukraine_Witness_Datasheet/Worksheet/twitter__AFP_status_14967781523871785082022-02-25T16:51:07.097415.png" TargetMode="External"/><Relationship Id="rId960" Type="http://schemas.openxmlformats.org/officeDocument/2006/relationships/hyperlink" Target="https://bellingcat-archive.nyc3.cdn.digitaloceanspaces.com/Ukraine_Witness_Datasheet/Worksheet/youtube_dl_1492329248052420610.mp4" TargetMode="External"/><Relationship Id="rId1551" Type="http://schemas.openxmlformats.org/officeDocument/2006/relationships/hyperlink" Target="https://twitter.com/4emberlen/status/1494364071189225479" TargetMode="External"/><Relationship Id="rId2882" Type="http://schemas.openxmlformats.org/officeDocument/2006/relationships/hyperlink" Target="https://twitter.com/Michael1Sheldon/status/1496717647089651716?s=20&amp;t=O7dC2VF4_5Ad5-fyA9Oqcg" TargetMode="External"/><Relationship Id="rId1552" Type="http://schemas.openxmlformats.org/officeDocument/2006/relationships/hyperlink" Target="https://bellingcat-archive.nyc3.cdn.digitaloceanspaces.com/Ukraine_Witness_Datasheet/Worksheet/youtube_dl_1494364071189225479.mp4" TargetMode="External"/><Relationship Id="rId2883" Type="http://schemas.openxmlformats.org/officeDocument/2006/relationships/hyperlink" Target="https://bellingcat-archive.nyc3.cdn.digitaloceanspaces.com/Ukraine_Witness_Datasheet/Worksheet/twitter__Michael1Sheldon_status_1496717647089651716.html" TargetMode="External"/><Relationship Id="rId1553" Type="http://schemas.openxmlformats.org/officeDocument/2006/relationships/hyperlink" Target="https://bellingcat-archive.nyc3.cdn.digitaloceanspaces.com/Ukraine_Witness_Datasheet/Worksheet/youtube_dl__4emberlen_status_14943640711892254792022-02-25T14:17:16.144001.png" TargetMode="External"/><Relationship Id="rId2884" Type="http://schemas.openxmlformats.org/officeDocument/2006/relationships/hyperlink" Target="https://bellingcat-archive.nyc3.cdn.digitaloceanspaces.com/Ukraine_Witness_Datasheet/Worksheet/twitter__Michael1Sheldon_status_14967176470896517162022-02-25T16:51:20.256481.png" TargetMode="External"/><Relationship Id="rId1543" Type="http://schemas.openxmlformats.org/officeDocument/2006/relationships/hyperlink" Target="https://twitter.com/KyleJGlen/status/1494258304788443136" TargetMode="External"/><Relationship Id="rId2874" Type="http://schemas.openxmlformats.org/officeDocument/2006/relationships/hyperlink" Target="https://bellingcat-archive.nyc3.cdn.digitaloceanspaces.com/Ukraine_Witness_Datasheet/Worksheet/twitter__AlexanderLouri4_status_14967834837457551412022-02-25T16:50:29.619156.png" TargetMode="External"/><Relationship Id="rId1544" Type="http://schemas.openxmlformats.org/officeDocument/2006/relationships/hyperlink" Target="https://twitter.com/zvalgasrytuose/status/1494271365578428426?s=20&amp;t=b7F5prQfvQ4DjN_lMbdPFg" TargetMode="External"/><Relationship Id="rId2875" Type="http://schemas.openxmlformats.org/officeDocument/2006/relationships/hyperlink" Target="https://twitter.com/anadoluagency/status/1496768205314007040?s=20&amp;t=Au5uUu8TJjhHwjyynyG4ww" TargetMode="External"/><Relationship Id="rId1545" Type="http://schemas.openxmlformats.org/officeDocument/2006/relationships/hyperlink" Target="https://bellingcat-archive.nyc3.cdn.digitaloceanspaces.com/Ukraine_Witness_Datasheet/Worksheet/youtube_dl_1494258304788443136.mp4" TargetMode="External"/><Relationship Id="rId2876" Type="http://schemas.openxmlformats.org/officeDocument/2006/relationships/hyperlink" Target="https://bellingcat-archive.nyc3.cdn.digitaloceanspaces.com/Ukraine_Witness_Datasheet/Worksheet/youtube_dl_1496768205314007040.mp4" TargetMode="External"/><Relationship Id="rId1546" Type="http://schemas.openxmlformats.org/officeDocument/2006/relationships/hyperlink" Target="https://bellingcat-archive.nyc3.cdn.digitaloceanspaces.com/Ukraine_Witness_Datasheet/Worksheet/youtube_dl__KyleJGlen_status_14942583047884431362022-02-25T14:17:56.889187.png" TargetMode="External"/><Relationship Id="rId2877" Type="http://schemas.openxmlformats.org/officeDocument/2006/relationships/hyperlink" Target="https://bellingcat-archive.nyc3.cdn.digitaloceanspaces.com/Ukraine_Witness_Datasheet/Worksheet/youtube_dl__anadoluagency_status_14967682053140070402022-02-25T16:50:46.590273.png" TargetMode="External"/><Relationship Id="rId1547" Type="http://schemas.openxmlformats.org/officeDocument/2006/relationships/hyperlink" Target="https://bellingcat-archive.nyc3.cdn.digitaloceanspaces.com/Ukraine_Witness_Datasheet/Worksheet/youtube_dl_1494258304788443136/index.html" TargetMode="External"/><Relationship Id="rId2878" Type="http://schemas.openxmlformats.org/officeDocument/2006/relationships/hyperlink" Target="https://bellingcat-archive.nyc3.cdn.digitaloceanspaces.com/Ukraine_Witness_Datasheet/Worksheet/youtube_dl_1496768205314007040/index.html" TargetMode="External"/><Relationship Id="rId1548" Type="http://schemas.openxmlformats.org/officeDocument/2006/relationships/hyperlink" Target="https://twitter.com/mikaellindstro2/status/1494277932444958726" TargetMode="External"/><Relationship Id="rId2879" Type="http://schemas.openxmlformats.org/officeDocument/2006/relationships/hyperlink" Target="https://twitter.com/AFP/status/1496778152387178508" TargetMode="External"/><Relationship Id="rId1549" Type="http://schemas.openxmlformats.org/officeDocument/2006/relationships/hyperlink" Target="https://bellingcat-archive.nyc3.cdn.digitaloceanspaces.com/Ukraine_Witness_Datasheet/Worksheet/twitter__mikaellindstro2_status_1494277932444958726.html" TargetMode="External"/><Relationship Id="rId959" Type="http://schemas.openxmlformats.org/officeDocument/2006/relationships/hyperlink" Target="https://twitter.com/Michael1Sheldon/status/1492330368770392073" TargetMode="External"/><Relationship Id="rId954" Type="http://schemas.openxmlformats.org/officeDocument/2006/relationships/hyperlink" Target="https://twitter.com/4emberlen/status/1491420746484416524" TargetMode="External"/><Relationship Id="rId953" Type="http://schemas.openxmlformats.org/officeDocument/2006/relationships/hyperlink" Target="https://twitter.com/4emberlen/status/1493153776341028866" TargetMode="External"/><Relationship Id="rId952" Type="http://schemas.openxmlformats.org/officeDocument/2006/relationships/hyperlink" Target="https://bellingcat-archive.nyc3.cdn.digitaloceanspaces.com/Ukraine_Witness_Datasheet/Worksheet/youtube_dl_1492198592580407297/index.html" TargetMode="External"/><Relationship Id="rId951" Type="http://schemas.openxmlformats.org/officeDocument/2006/relationships/hyperlink" Target="https://bellingcat-archive.nyc3.cdn.digitaloceanspaces.com/Ukraine_Witness_Datasheet/Worksheet/youtube_dl__MotolkoHelp_status_14921985925804072972022-02-25T13:49:54.904230.png" TargetMode="External"/><Relationship Id="rId958" Type="http://schemas.openxmlformats.org/officeDocument/2006/relationships/hyperlink" Target="https://twitter.com/Michael1Sheldon/status/1492329248052420610" TargetMode="External"/><Relationship Id="rId957" Type="http://schemas.openxmlformats.org/officeDocument/2006/relationships/hyperlink" Target="https://bellingcat-archive.nyc3.cdn.digitaloceanspaces.com/Ukraine_Witness_Datasheet/Worksheet/youtube_dl_1493153776341028866/index.html" TargetMode="External"/><Relationship Id="rId956" Type="http://schemas.openxmlformats.org/officeDocument/2006/relationships/hyperlink" Target="https://bellingcat-archive.nyc3.cdn.digitaloceanspaces.com/Ukraine_Witness_Datasheet/Worksheet/youtube_dl__4emberlen_status_14931537763410288662022-02-25T13:50:11.944761.png" TargetMode="External"/><Relationship Id="rId955" Type="http://schemas.openxmlformats.org/officeDocument/2006/relationships/hyperlink" Target="https://bellingcat-archive.nyc3.cdn.digitaloceanspaces.com/Ukraine_Witness_Datasheet/Worksheet/youtube_dl_1493153776341028866.mp4" TargetMode="External"/><Relationship Id="rId950" Type="http://schemas.openxmlformats.org/officeDocument/2006/relationships/hyperlink" Target="https://bellingcat-archive.nyc3.cdn.digitaloceanspaces.com/Ukraine_Witness_Datasheet/Worksheet/youtube_dl_1492198592580407297.mp4" TargetMode="External"/><Relationship Id="rId2870" Type="http://schemas.openxmlformats.org/officeDocument/2006/relationships/hyperlink" Target="https://bellingcat-archive.nyc3.cdn.digitaloceanspaces.com/Ukraine_Witness_Datasheet/Worksheet/youtube_dl__AlexanderLouri4_status_14967650321677107232022-02-25T16:50:10.015279.png" TargetMode="External"/><Relationship Id="rId1540" Type="http://schemas.openxmlformats.org/officeDocument/2006/relationships/hyperlink" Target="https://bellingcat-archive.nyc3.cdn.digitaloceanspaces.com/Ukraine_Witness_Datasheet/Worksheet/youtube_dl_1494239711996559362.mp4" TargetMode="External"/><Relationship Id="rId2871" Type="http://schemas.openxmlformats.org/officeDocument/2006/relationships/hyperlink" Target="https://bellingcat-archive.nyc3.cdn.digitaloceanspaces.com/Ukraine_Witness_Datasheet/Worksheet/youtube_dl_1496765032167710723/index.html" TargetMode="External"/><Relationship Id="rId1541" Type="http://schemas.openxmlformats.org/officeDocument/2006/relationships/hyperlink" Target="https://bellingcat-archive.nyc3.cdn.digitaloceanspaces.com/Ukraine_Witness_Datasheet/Worksheet/youtube_dl__markito0171_status_14942397119965593622022-02-25T14:18:27.446008.png" TargetMode="External"/><Relationship Id="rId2872" Type="http://schemas.openxmlformats.org/officeDocument/2006/relationships/hyperlink" Target="https://twitter.com/AlexanderLouri4/status/1496783483745755141?s=20&amp;t=teqfp5yPtAKLW8Ri7PMI5g" TargetMode="External"/><Relationship Id="rId1542" Type="http://schemas.openxmlformats.org/officeDocument/2006/relationships/hyperlink" Target="https://bellingcat-archive.nyc3.cdn.digitaloceanspaces.com/Ukraine_Witness_Datasheet/Worksheet/youtube_dl_1494239711996559362/index.html" TargetMode="External"/><Relationship Id="rId2873" Type="http://schemas.openxmlformats.org/officeDocument/2006/relationships/hyperlink" Target="https://bellingcat-archive.nyc3.cdn.digitaloceanspaces.com/Ukraine_Witness_Datasheet/Worksheet/twitter__AlexanderLouri4_status_1496783483745755141.html" TargetMode="External"/><Relationship Id="rId7717" Type="http://schemas.openxmlformats.org/officeDocument/2006/relationships/hyperlink" Target="https://twitter.com/no_itsmyturn/status/1501554239516155912" TargetMode="External"/><Relationship Id="rId7716" Type="http://schemas.openxmlformats.org/officeDocument/2006/relationships/hyperlink" Target="https://bellingcat-archive.nyc3.cdn.digitaloceanspaces.com/Ukraine_Witness_Datasheet/Worksheet/twitter__no_itsmyturn_status_1501543044180582403_photo_12022-03-09T13:25:32.024531.png" TargetMode="External"/><Relationship Id="rId7715" Type="http://schemas.openxmlformats.org/officeDocument/2006/relationships/hyperlink" Target="https://bellingcat-archive.nyc3.cdn.digitaloceanspaces.com/Ukraine_Witness_Datasheet/Worksheet/twitter__no_itsmyturn_status_1501543044180582403_photo_1.html" TargetMode="External"/><Relationship Id="rId7714" Type="http://schemas.openxmlformats.org/officeDocument/2006/relationships/hyperlink" Target="https://twitter.com/no_itsmyturn/status/1501543044180582403/photo/1" TargetMode="External"/><Relationship Id="rId7719" Type="http://schemas.openxmlformats.org/officeDocument/2006/relationships/hyperlink" Target="https://bellingcat-archive.nyc3.cdn.digitaloceanspaces.com/Ukraine_Witness_Datasheet/Worksheet/youtube_dl__no_itsmyturn_status_15015542395161559122022-03-09T14:10:21.952180.png" TargetMode="External"/><Relationship Id="rId7718" Type="http://schemas.openxmlformats.org/officeDocument/2006/relationships/hyperlink" Target="https://bellingcat-archive.nyc3.cdn.digitaloceanspaces.com/Ukraine_Witness_Datasheet/Worksheet/youtube_dl_1501554239516155912.mp4" TargetMode="External"/><Relationship Id="rId7713" Type="http://schemas.openxmlformats.org/officeDocument/2006/relationships/hyperlink" Target="https://bellingcat-archive.nyc3.cdn.digitaloceanspaces.com/Ukraine_Witness_Datasheet/Worksheet/twitter__no_itsmyturn_status_1501486077848469504_photo_22022-03-09T12:35:26.998806.png" TargetMode="External"/><Relationship Id="rId7712" Type="http://schemas.openxmlformats.org/officeDocument/2006/relationships/hyperlink" Target="https://bellingcat-archive.nyc3.cdn.digitaloceanspaces.com/Ukraine_Witness_Datasheet/Worksheet/twitter__no_itsmyturn_status_1501486077848469504_photo_2.html" TargetMode="External"/><Relationship Id="rId7711" Type="http://schemas.openxmlformats.org/officeDocument/2006/relationships/hyperlink" Target="https://twitter.com/no_itsmyturn/status/1501486077848469504/photo/2" TargetMode="External"/><Relationship Id="rId7710" Type="http://schemas.openxmlformats.org/officeDocument/2006/relationships/hyperlink" Target="https://bellingcat-archive.nyc3.cdn.digitaloceanspaces.com/Ukraine_Witness_Datasheet/Worksheet/twitter__no_itsmyturn_status_15014801683046604842022-03-09T12:35:14.171383.png" TargetMode="External"/><Relationship Id="rId7706" Type="http://schemas.openxmlformats.org/officeDocument/2006/relationships/hyperlink" Target="https://bellingcat-archive.nyc3.cdn.digitaloceanspaces.com/Ukraine_Witness_Datasheet/Worksheet/youtube_dl__YWNReporter_status_15015225738504683522022-03-09T12:30:30.420021.png" TargetMode="External"/><Relationship Id="rId7705" Type="http://schemas.openxmlformats.org/officeDocument/2006/relationships/hyperlink" Target="https://bellingcat-archive.nyc3.cdn.digitaloceanspaces.com/Ukraine_Witness_Datasheet/Worksheet/youtube_dl_1501522573850468352.mp4" TargetMode="External"/><Relationship Id="rId7704" Type="http://schemas.openxmlformats.org/officeDocument/2006/relationships/hyperlink" Target="https://twitter.com/YWNReporter/status/1501522573850468352" TargetMode="External"/><Relationship Id="rId7703" Type="http://schemas.openxmlformats.org/officeDocument/2006/relationships/hyperlink" Target="https://bellingcat-archive.nyc3.cdn.digitaloceanspaces.com/Ukraine_Witness_Datasheet/Worksheet/youtube_dl_1501462954075693060/index.html" TargetMode="External"/><Relationship Id="rId7709" Type="http://schemas.openxmlformats.org/officeDocument/2006/relationships/hyperlink" Target="https://bellingcat-archive.nyc3.cdn.digitaloceanspaces.com/Ukraine_Witness_Datasheet/Worksheet/twitter__no_itsmyturn_status_1501480168304660484.html" TargetMode="External"/><Relationship Id="rId7708" Type="http://schemas.openxmlformats.org/officeDocument/2006/relationships/hyperlink" Target="https://twitter.com/no_itsmyturn/status/1501480168304660484" TargetMode="External"/><Relationship Id="rId7707" Type="http://schemas.openxmlformats.org/officeDocument/2006/relationships/hyperlink" Target="https://bellingcat-archive.nyc3.cdn.digitaloceanspaces.com/Ukraine_Witness_Datasheet/Worksheet/youtube_dl_1501522573850468352/index.html" TargetMode="External"/><Relationship Id="rId7702" Type="http://schemas.openxmlformats.org/officeDocument/2006/relationships/hyperlink" Target="https://bellingcat-archive.nyc3.cdn.digitaloceanspaces.com/Ukraine_Witness_Datasheet/Worksheet/youtube_dl__no_itsmyturn_status_15014629540756930602022-03-09T12:30:15.263180.png" TargetMode="External"/><Relationship Id="rId7701" Type="http://schemas.openxmlformats.org/officeDocument/2006/relationships/hyperlink" Target="https://bellingcat-archive.nyc3.cdn.digitaloceanspaces.com/Ukraine_Witness_Datasheet/Worksheet/youtube_dl_1501462954075693060.mp4" TargetMode="External"/><Relationship Id="rId7700" Type="http://schemas.openxmlformats.org/officeDocument/2006/relationships/hyperlink" Target="https://twitter.com/no_itsmyturn/status/1501462954075693060" TargetMode="External"/><Relationship Id="rId6407" Type="http://schemas.openxmlformats.org/officeDocument/2006/relationships/hyperlink" Target="https://bellingcat-archive.nyc3.cdn.digitaloceanspaces.com/Ukraine_Witness_Datasheet/Worksheet/telegram_c7b93b534b.mp4" TargetMode="External"/><Relationship Id="rId7739" Type="http://schemas.openxmlformats.org/officeDocument/2006/relationships/hyperlink" Target="https://t.me/truexanewsua/31311" TargetMode="External"/><Relationship Id="rId6408" Type="http://schemas.openxmlformats.org/officeDocument/2006/relationships/hyperlink" Target="https://bellingcat-archive.nyc3.cdn.digitaloceanspaces.com/Ukraine_Witness_Datasheet/Worksheet/telegram__rybar_269952022-03-07T09:30:09.912749.png" TargetMode="External"/><Relationship Id="rId7738" Type="http://schemas.openxmlformats.org/officeDocument/2006/relationships/hyperlink" Target="https://bellingcat-archive.nyc3.cdn.digitaloceanspaces.com/Ukraine_Witness_Datasheet/Worksheet/wayback__photo_2022-03-09T14:23:15.503216.png" TargetMode="External"/><Relationship Id="rId6405" Type="http://schemas.openxmlformats.org/officeDocument/2006/relationships/hyperlink" Target="https://t.me/rybar/26995" TargetMode="External"/><Relationship Id="rId7737" Type="http://schemas.openxmlformats.org/officeDocument/2006/relationships/hyperlink" Target="https://web.archive.org/web/20220309142307/https://www.facebook.com/photo/?fbid=265786395730192&amp;set=pcb.265788295730002" TargetMode="External"/><Relationship Id="rId6406" Type="http://schemas.openxmlformats.org/officeDocument/2006/relationships/hyperlink" Target="https://twitter.com/marksnoeck/status/1499741714722037762/photo/1" TargetMode="External"/><Relationship Id="rId7736" Type="http://schemas.openxmlformats.org/officeDocument/2006/relationships/hyperlink" Target="https://www.facebook.com/photo/?fbid=265786395730192&amp;set=pcb.265788295730002" TargetMode="External"/><Relationship Id="rId6409" Type="http://schemas.openxmlformats.org/officeDocument/2006/relationships/hyperlink" Target="https://bellingcat-archive.nyc3.cdn.digitaloceanspaces.com/Ukraine_Witness_Datasheet/Worksheet/telegram_c7b93b534b/index.html" TargetMode="External"/><Relationship Id="rId7731" Type="http://schemas.openxmlformats.org/officeDocument/2006/relationships/hyperlink" Target="https://web.archive.org/web/20220309142207/https://www.facebook.com/login/?next=https%3A%2F%2Fwww.facebook.com%2FDSNSMYKOL%2Fposts%2F265788295730002" TargetMode="External"/><Relationship Id="rId6400" Type="http://schemas.openxmlformats.org/officeDocument/2006/relationships/hyperlink" Target="https://bellingcat-archive.nyc3.cdn.digitaloceanspaces.com/Ukraine_Witness_Datasheet/Worksheet/youtube_dl_a5jt7w3hpul81/index.html" TargetMode="External"/><Relationship Id="rId7730" Type="http://schemas.openxmlformats.org/officeDocument/2006/relationships/hyperlink" Target="https://www.facebook.com/DSNSMYKOL/posts/265788295730002" TargetMode="External"/><Relationship Id="rId6403" Type="http://schemas.openxmlformats.org/officeDocument/2006/relationships/hyperlink" Target="https://bellingcat-archive.nyc3.cdn.digitaloceanspaces.com/Ukraine_Witness_Datasheet/Worksheet/youtube_dl__r_DestroyedTanks_comments_t156rs_destroyed_ukrainian_army_convoy_with_dead_crew_2022-03-07T09:20:36.075909.png" TargetMode="External"/><Relationship Id="rId7735" Type="http://schemas.openxmlformats.org/officeDocument/2006/relationships/hyperlink" Target="https://bellingcat-archive.nyc3.cdn.digitaloceanspaces.com/Ukraine_Witness_Datasheet/Worksheet/wayback__photo_2022-03-09T14:22:55.568943.png" TargetMode="External"/><Relationship Id="rId6404" Type="http://schemas.openxmlformats.org/officeDocument/2006/relationships/hyperlink" Target="https://bellingcat-archive.nyc3.cdn.digitaloceanspaces.com/Ukraine_Witness_Datasheet/Worksheet/youtube_dl_xqfximklnzj81/index.html" TargetMode="External"/><Relationship Id="rId7734" Type="http://schemas.openxmlformats.org/officeDocument/2006/relationships/hyperlink" Target="https://web.archive.org/web/20220309142248/https://www.facebook.com/photo/?fbid=265786142396884&amp;set=pcb.265788295730002" TargetMode="External"/><Relationship Id="rId6401" Type="http://schemas.openxmlformats.org/officeDocument/2006/relationships/hyperlink" Target="https://www.reddit.com/r/DestroyedTanks/comments/t156rs/destroyed_ukrainian_army_convoy_with_dead_crew/?utm_source=share&amp;utm_medium=ios_app&amp;utm_name=iossmf" TargetMode="External"/><Relationship Id="rId7733" Type="http://schemas.openxmlformats.org/officeDocument/2006/relationships/hyperlink" Target="https://www.facebook.com/photo/?fbid=265786142396884&amp;set=pcb.265788295730002" TargetMode="External"/><Relationship Id="rId6402" Type="http://schemas.openxmlformats.org/officeDocument/2006/relationships/hyperlink" Target="https://bellingcat-archive.nyc3.cdn.digitaloceanspaces.com/Ukraine_Witness_Datasheet/Worksheet/youtube_dl_xqfximklnzj81.mp4" TargetMode="External"/><Relationship Id="rId7732" Type="http://schemas.openxmlformats.org/officeDocument/2006/relationships/hyperlink" Target="https://bellingcat-archive.nyc3.cdn.digitaloceanspaces.com/Ukraine_Witness_Datasheet/Worksheet/wayback__DSNSMYKOL_posts_2657882957300022022-03-09T14:22:23.946811.png" TargetMode="External"/><Relationship Id="rId7728" Type="http://schemas.openxmlformats.org/officeDocument/2006/relationships/hyperlink" Target="https://web.archive.org/web/20220309142148/https://www.facebook.com/photo/?fbid=265786085730223&amp;set=pcb.265788295730002" TargetMode="External"/><Relationship Id="rId7727" Type="http://schemas.openxmlformats.org/officeDocument/2006/relationships/hyperlink" Target="https://www.facebook.com/photo/?fbid=265786085730223&amp;set=pcb.265788295730002" TargetMode="External"/><Relationship Id="rId7726" Type="http://schemas.openxmlformats.org/officeDocument/2006/relationships/hyperlink" Target="https://bellingcat-archive.nyc3.cdn.digitaloceanspaces.com/Ukraine_Witness_Datasheet/Worksheet/wayback__photo_2022-03-09T14:21:08.396076.png" TargetMode="External"/><Relationship Id="rId7725" Type="http://schemas.openxmlformats.org/officeDocument/2006/relationships/hyperlink" Target="https://web.archive.org/web/20220309142100/https://www.facebook.com/photo/?fbid=265785982396900&amp;set=pcb.265788295730002" TargetMode="External"/><Relationship Id="rId7729" Type="http://schemas.openxmlformats.org/officeDocument/2006/relationships/hyperlink" Target="https://bellingcat-archive.nyc3.cdn.digitaloceanspaces.com/Ukraine_Witness_Datasheet/Worksheet/wayback__photo_2022-03-09T14:21:54.165102.png" TargetMode="External"/><Relationship Id="rId7720" Type="http://schemas.openxmlformats.org/officeDocument/2006/relationships/hyperlink" Target="https://bellingcat-archive.nyc3.cdn.digitaloceanspaces.com/Ukraine_Witness_Datasheet/Worksheet/youtube_dl_1501554239516155912/index.html" TargetMode="External"/><Relationship Id="rId7724" Type="http://schemas.openxmlformats.org/officeDocument/2006/relationships/hyperlink" Target="https://www.facebook.com/photo/?fbid=265785982396900&amp;set=pcb.265788295730002" TargetMode="External"/><Relationship Id="rId7723" Type="http://schemas.openxmlformats.org/officeDocument/2006/relationships/hyperlink" Target="https://bellingcat-archive.nyc3.cdn.digitaloceanspaces.com/Ukraine_Witness_Datasheet/Worksheet/twitter__buch10_04_status_15012290364035072062022-03-09T14:20:15.484227.png" TargetMode="External"/><Relationship Id="rId7722" Type="http://schemas.openxmlformats.org/officeDocument/2006/relationships/hyperlink" Target="https://bellingcat-archive.nyc3.cdn.digitaloceanspaces.com/Ukraine_Witness_Datasheet/Worksheet/twitter__buch10_04_status_1501229036403507206.html" TargetMode="External"/><Relationship Id="rId7721" Type="http://schemas.openxmlformats.org/officeDocument/2006/relationships/hyperlink" Target="https://twitter.com/buch10_04/status/1501229036403507206?s=20&amp;t=HIx5AnhcU81_BnyKsWT7Rw" TargetMode="External"/><Relationship Id="rId5130" Type="http://schemas.openxmlformats.org/officeDocument/2006/relationships/hyperlink" Target="https://bellingcat-archive.nyc3.cdn.digitaloceanspaces.com/Ukraine_Witness_Datasheet/Worksheet/twitter__UAWeapons_status_14993326640332226562022-03-03T11:20:12.914037.png" TargetMode="External"/><Relationship Id="rId6461" Type="http://schemas.openxmlformats.org/officeDocument/2006/relationships/hyperlink" Target="https://bellingcat-archive.nyc3.cdn.digitaloceanspaces.com/Ukraine_Witness_Datasheet/Worksheet/telegram__Pravda_Gerashchenko_23932022-03-07T16:00:10.671984.png" TargetMode="External"/><Relationship Id="rId7793" Type="http://schemas.openxmlformats.org/officeDocument/2006/relationships/hyperlink" Target="https://bellingcat-archive.nyc3.cdn.digitaloceanspaces.com/Ukraine_Witness_Datasheet/Worksheet/youtube_dl__no_itsmyturn_status_15015898377821265982022-03-09T16:25:14.267950.png" TargetMode="External"/><Relationship Id="rId5131" Type="http://schemas.openxmlformats.org/officeDocument/2006/relationships/hyperlink" Target="https://twitter.com/GirkinGirkin/status/1499303894274478086" TargetMode="External"/><Relationship Id="rId6462" Type="http://schemas.openxmlformats.org/officeDocument/2006/relationships/hyperlink" Target="https://t.me/Pravda_Gerashchenko/2333" TargetMode="External"/><Relationship Id="rId7792" Type="http://schemas.openxmlformats.org/officeDocument/2006/relationships/hyperlink" Target="https://bellingcat-archive.nyc3.cdn.digitaloceanspaces.com/Ukraine_Witness_Datasheet/Worksheet/youtube_dl_1501589837782126598.mp4" TargetMode="External"/><Relationship Id="rId7791" Type="http://schemas.openxmlformats.org/officeDocument/2006/relationships/hyperlink" Target="https://twitter.com/no_itsmyturn/status/1501589837782126598" TargetMode="External"/><Relationship Id="rId6460" Type="http://schemas.openxmlformats.org/officeDocument/2006/relationships/hyperlink" Target="https://bellingcat-archive.nyc3.cdn.digitaloceanspaces.com/Ukraine_Witness_Datasheet/Worksheet/telegram__Pravda_Gerashchenko_2393.html" TargetMode="External"/><Relationship Id="rId7790" Type="http://schemas.openxmlformats.org/officeDocument/2006/relationships/hyperlink" Target="https://t.me/Ratnik2nd/3396" TargetMode="External"/><Relationship Id="rId5134" Type="http://schemas.openxmlformats.org/officeDocument/2006/relationships/hyperlink" Target="https://bellingcat-archive.nyc3.cdn.digitaloceanspaces.com/Ukraine_Witness_Datasheet/Worksheet/youtube_dl_1499303894274478086/index.html" TargetMode="External"/><Relationship Id="rId6465" Type="http://schemas.openxmlformats.org/officeDocument/2006/relationships/hyperlink" Target="https://bellingcat-archive.nyc3.cdn.digitaloceanspaces.com/Ukraine_Witness_Datasheet/Worksheet/telegram_34ac72aa2f/index.html" TargetMode="External"/><Relationship Id="rId7797" Type="http://schemas.openxmlformats.org/officeDocument/2006/relationships/hyperlink" Target="https://bellingcat-archive.nyc3.cdn.digitaloceanspaces.com/Ukraine_Witness_Datasheet/Worksheet/youtube_dl_1500890667349909505.mp4" TargetMode="External"/><Relationship Id="rId5135" Type="http://schemas.openxmlformats.org/officeDocument/2006/relationships/hyperlink" Target="https://t.me/istorijaoruzija/38675" TargetMode="External"/><Relationship Id="rId6466" Type="http://schemas.openxmlformats.org/officeDocument/2006/relationships/hyperlink" Target="https://t.me/Pravda_Gerashchenko/2333" TargetMode="External"/><Relationship Id="rId7796" Type="http://schemas.openxmlformats.org/officeDocument/2006/relationships/hyperlink" Target="https://twitter.com/GeoConfirmed" TargetMode="External"/><Relationship Id="rId5132" Type="http://schemas.openxmlformats.org/officeDocument/2006/relationships/hyperlink" Target="https://bellingcat-archive.nyc3.cdn.digitaloceanspaces.com/Ukraine_Witness_Datasheet/Worksheet/youtube_dl_1499303894274478086.mp4" TargetMode="External"/><Relationship Id="rId6463" Type="http://schemas.openxmlformats.org/officeDocument/2006/relationships/hyperlink" Target="https://bellingcat-archive.nyc3.cdn.digitaloceanspaces.com/Ukraine_Witness_Datasheet/Worksheet/telegram_34ac72aa2f.mp4" TargetMode="External"/><Relationship Id="rId7795" Type="http://schemas.openxmlformats.org/officeDocument/2006/relationships/hyperlink" Target="https://twitter.com/TpyxaNews/status/1500890667349909505" TargetMode="External"/><Relationship Id="rId5133" Type="http://schemas.openxmlformats.org/officeDocument/2006/relationships/hyperlink" Target="https://bellingcat-archive.nyc3.cdn.digitaloceanspaces.com/Ukraine_Witness_Datasheet/Worksheet/youtube_dl__GirkinGirkin_status_14993038942744780862022-03-03T11:30:13.232738.png" TargetMode="External"/><Relationship Id="rId6464" Type="http://schemas.openxmlformats.org/officeDocument/2006/relationships/hyperlink" Target="https://bellingcat-archive.nyc3.cdn.digitaloceanspaces.com/Ukraine_Witness_Datasheet/Worksheet/telegram__Pravda_Gerashchenko_23332022-03-07T13:50:10.717944.png" TargetMode="External"/><Relationship Id="rId7794" Type="http://schemas.openxmlformats.org/officeDocument/2006/relationships/hyperlink" Target="https://bellingcat-archive.nyc3.cdn.digitaloceanspaces.com/Ukraine_Witness_Datasheet/Worksheet/youtube_dl_1501589837782126598/index.html" TargetMode="External"/><Relationship Id="rId5138" Type="http://schemas.openxmlformats.org/officeDocument/2006/relationships/hyperlink" Target="https://bellingcat-archive.nyc3.cdn.digitaloceanspaces.com/Ukraine_Witness_Datasheet/Worksheet/telegram_02687c06bf/index.html" TargetMode="External"/><Relationship Id="rId6469" Type="http://schemas.openxmlformats.org/officeDocument/2006/relationships/hyperlink" Target="https://bellingcat-archive.nyc3.cdn.digitaloceanspaces.com/Ukraine_Witness_Datasheet/Worksheet/youtube_dl__RALee85_status_15007956111462973472022-03-07T13:10:12.556231.png" TargetMode="External"/><Relationship Id="rId5139" Type="http://schemas.openxmlformats.org/officeDocument/2006/relationships/hyperlink" Target="https://t.me/istorijaoruzija/38675" TargetMode="External"/><Relationship Id="rId5136" Type="http://schemas.openxmlformats.org/officeDocument/2006/relationships/hyperlink" Target="https://bellingcat-archive.nyc3.cdn.digitaloceanspaces.com/Ukraine_Witness_Datasheet/Worksheet/telegram_02687c06bf.mp4" TargetMode="External"/><Relationship Id="rId6467" Type="http://schemas.openxmlformats.org/officeDocument/2006/relationships/hyperlink" Target="https://twitter.com/RALee85/status/1500795611146297347" TargetMode="External"/><Relationship Id="rId7799" Type="http://schemas.openxmlformats.org/officeDocument/2006/relationships/hyperlink" Target="https://bellingcat-archive.nyc3.cdn.digitaloceanspaces.com/Ukraine_Witness_Datasheet/Worksheet/youtube_dl_1500890667349909505/index.html" TargetMode="External"/><Relationship Id="rId5137" Type="http://schemas.openxmlformats.org/officeDocument/2006/relationships/hyperlink" Target="https://bellingcat-archive.nyc3.cdn.digitaloceanspaces.com/Ukraine_Witness_Datasheet/Worksheet/telegram__istorijaoruzija_386752022-03-03T12:40:09.715272.png" TargetMode="External"/><Relationship Id="rId6468" Type="http://schemas.openxmlformats.org/officeDocument/2006/relationships/hyperlink" Target="https://bellingcat-archive.nyc3.cdn.digitaloceanspaces.com/Ukraine_Witness_Datasheet/Worksheet/youtube_dl_1500795611146297347.mp4" TargetMode="External"/><Relationship Id="rId7798" Type="http://schemas.openxmlformats.org/officeDocument/2006/relationships/hyperlink" Target="https://bellingcat-archive.nyc3.cdn.digitaloceanspaces.com/Ukraine_Witness_Datasheet/Worksheet/youtube_dl__TpyxaNews_status_15008906673499095052022-03-09T16:25:32.320308.png" TargetMode="External"/><Relationship Id="rId5129" Type="http://schemas.openxmlformats.org/officeDocument/2006/relationships/hyperlink" Target="https://bellingcat-archive.nyc3.cdn.digitaloceanspaces.com/Ukraine_Witness_Datasheet/Worksheet/twitter__UAWeapons_status_1499332664033222656.html" TargetMode="External"/><Relationship Id="rId6450" Type="http://schemas.openxmlformats.org/officeDocument/2006/relationships/hyperlink" Target="https://bellingcat-archive.nyc3.cdn.digitaloceanspaces.com/Ukraine_Witness_Datasheet/Worksheet/youtube_dl_1500590657286688775.mp4" TargetMode="External"/><Relationship Id="rId7782" Type="http://schemas.openxmlformats.org/officeDocument/2006/relationships/hyperlink" Target="https://bellingcat-archive.nyc3.cdn.digitaloceanspaces.com/Ukraine_Witness_Datasheet/Worksheet/youtube_dl_1501583918583230468.mp4" TargetMode="External"/><Relationship Id="rId5120" Type="http://schemas.openxmlformats.org/officeDocument/2006/relationships/hyperlink" Target="https://bellingcat-archive.nyc3.cdn.digitaloceanspaces.com/Ukraine_Witness_Datasheet/Worksheet/twitter__YWNReporter_status_14993304817284997192022-03-03T10:50:12.469024.png" TargetMode="External"/><Relationship Id="rId6451" Type="http://schemas.openxmlformats.org/officeDocument/2006/relationships/hyperlink" Target="https://bellingcat-archive.nyc3.cdn.digitaloceanspaces.com/Ukraine_Witness_Datasheet/Worksheet/youtube_dl__RALee85_status_15005906572866887752022-03-07T13:30:12.213259.png" TargetMode="External"/><Relationship Id="rId7781" Type="http://schemas.openxmlformats.org/officeDocument/2006/relationships/hyperlink" Target="https://twitter.com/Conflicts/status/1501583918583230468?s=20&amp;t=krVCAkRS56ycvEiv0uY1mA" TargetMode="External"/><Relationship Id="rId7780" Type="http://schemas.openxmlformats.org/officeDocument/2006/relationships/hyperlink" Target="https://bellingcat-archive.nyc3.cdn.digitaloceanspaces.com/Ukraine_Witness_Datasheet/Worksheet/youtube_dl_1501581589213589514/index.html" TargetMode="External"/><Relationship Id="rId5123" Type="http://schemas.openxmlformats.org/officeDocument/2006/relationships/hyperlink" Target="https://bellingcat-archive.nyc3.cdn.digitaloceanspaces.com/Ukraine_Witness_Datasheet/Worksheet/twitter__GirkinGirkin_status_14993338756962877482022-03-03T10:50:22.402636.png" TargetMode="External"/><Relationship Id="rId6454" Type="http://schemas.openxmlformats.org/officeDocument/2006/relationships/hyperlink" Target="https://bellingcat-archive.nyc3.cdn.digitaloceanspaces.com/Ukraine_Witness_Datasheet/Worksheet/telegram_2af266e622.mp4" TargetMode="External"/><Relationship Id="rId7786" Type="http://schemas.openxmlformats.org/officeDocument/2006/relationships/hyperlink" Target="https://twitter.com/kargolow/status/1501572824225439746" TargetMode="External"/><Relationship Id="rId5124" Type="http://schemas.openxmlformats.org/officeDocument/2006/relationships/hyperlink" Target="https://twitter.com/UAWeapons/status/1499329117539422211" TargetMode="External"/><Relationship Id="rId6455" Type="http://schemas.openxmlformats.org/officeDocument/2006/relationships/hyperlink" Target="https://bellingcat-archive.nyc3.cdn.digitaloceanspaces.com/Ukraine_Witness_Datasheet/Worksheet/telegram__Pravda_Gerashchenko_22082022-03-07T15:25:10.909707.png" TargetMode="External"/><Relationship Id="rId7785" Type="http://schemas.openxmlformats.org/officeDocument/2006/relationships/hyperlink" Target="https://t.me/Ratnik2nd/3396" TargetMode="External"/><Relationship Id="rId5121" Type="http://schemas.openxmlformats.org/officeDocument/2006/relationships/hyperlink" Target="https://twitter.com/KyleJGlen/status/1499336508364492801" TargetMode="External"/><Relationship Id="rId6452" Type="http://schemas.openxmlformats.org/officeDocument/2006/relationships/hyperlink" Target="https://bellingcat-archive.nyc3.cdn.digitaloceanspaces.com/Ukraine_Witness_Datasheet/Worksheet/youtube_dl_1500590657286688775/index.html" TargetMode="External"/><Relationship Id="rId7784" Type="http://schemas.openxmlformats.org/officeDocument/2006/relationships/hyperlink" Target="https://bellingcat-archive.nyc3.cdn.digitaloceanspaces.com/Ukraine_Witness_Datasheet/Worksheet/youtube_dl_1501583918583230468/index.html" TargetMode="External"/><Relationship Id="rId5122" Type="http://schemas.openxmlformats.org/officeDocument/2006/relationships/hyperlink" Target="https://bellingcat-archive.nyc3.cdn.digitaloceanspaces.com/Ukraine_Witness_Datasheet/Worksheet/twitter__GirkinGirkin_status_1499333875696287748.html" TargetMode="External"/><Relationship Id="rId6453" Type="http://schemas.openxmlformats.org/officeDocument/2006/relationships/hyperlink" Target="https://t.me/Pravda_Gerashchenko/2208" TargetMode="External"/><Relationship Id="rId7783" Type="http://schemas.openxmlformats.org/officeDocument/2006/relationships/hyperlink" Target="https://bellingcat-archive.nyc3.cdn.digitaloceanspaces.com/Ukraine_Witness_Datasheet/Worksheet/youtube_dl__Conflicts_status_15015839185832304682022-03-09T16:05:55.166310.png" TargetMode="External"/><Relationship Id="rId5127" Type="http://schemas.openxmlformats.org/officeDocument/2006/relationships/hyperlink" Target="https://twitter.com/UAWeapons/status/1499332664033222656" TargetMode="External"/><Relationship Id="rId6458" Type="http://schemas.openxmlformats.org/officeDocument/2006/relationships/hyperlink" Target="https://t.me/Pravda_Gerashchenko/2403" TargetMode="External"/><Relationship Id="rId5128" Type="http://schemas.openxmlformats.org/officeDocument/2006/relationships/hyperlink" Target="https://twitter.com/GeoConfirmed/status/1499335438724747265" TargetMode="External"/><Relationship Id="rId6459" Type="http://schemas.openxmlformats.org/officeDocument/2006/relationships/hyperlink" Target="https://www.google.de/maps/place/Krymskoho+St,+2,+Malyn,+Zhytomyrs'ka+oblast,+Ukraine,+11601/@50.7671759,29.2420028,3a,75y,138.11h,88.9t/data=!3m6!1e1!3m4!2e0!9m2!1b1!2i50!4m5!3m4!1s0x472ba40e4d122a13:0x4544e8723b0ca72a!8m2!3d50.7669025!4d29.2425505!5m1!1e4" TargetMode="External"/><Relationship Id="rId7789" Type="http://schemas.openxmlformats.org/officeDocument/2006/relationships/hyperlink" Target="https://bellingcat-archive.nyc3.cdn.digitaloceanspaces.com/Ukraine_Witness_Datasheet/Worksheet/telegram_df4d6fcfe7/index.html" TargetMode="External"/><Relationship Id="rId5125" Type="http://schemas.openxmlformats.org/officeDocument/2006/relationships/hyperlink" Target="https://bellingcat-archive.nyc3.cdn.digitaloceanspaces.com/Ukraine_Witness_Datasheet/Worksheet/twitter__UAWeapons_status_1499329117539422211.html" TargetMode="External"/><Relationship Id="rId6456" Type="http://schemas.openxmlformats.org/officeDocument/2006/relationships/hyperlink" Target="https://bellingcat-archive.nyc3.cdn.digitaloceanspaces.com/Ukraine_Witness_Datasheet/Worksheet/telegram_2af266e622/index.html" TargetMode="External"/><Relationship Id="rId7788" Type="http://schemas.openxmlformats.org/officeDocument/2006/relationships/hyperlink" Target="https://bellingcat-archive.nyc3.cdn.digitaloceanspaces.com/Ukraine_Witness_Datasheet/Worksheet/telegram__Ratnik2nd_33962022-03-09T16:20:13.784596.png" TargetMode="External"/><Relationship Id="rId5126" Type="http://schemas.openxmlformats.org/officeDocument/2006/relationships/hyperlink" Target="https://bellingcat-archive.nyc3.cdn.digitaloceanspaces.com/Ukraine_Witness_Datasheet/Worksheet/twitter__UAWeapons_status_14993291175394222112022-03-03T11:10:12.308747.png" TargetMode="External"/><Relationship Id="rId6457" Type="http://schemas.openxmlformats.org/officeDocument/2006/relationships/hyperlink" Target="https://t.me/Pravda_Gerashchenko/2208" TargetMode="External"/><Relationship Id="rId7787" Type="http://schemas.openxmlformats.org/officeDocument/2006/relationships/hyperlink" Target="https://bellingcat-archive.nyc3.cdn.digitaloceanspaces.com/Ukraine_Witness_Datasheet/Worksheet/telegram_df4d6fcfe7.mp4" TargetMode="External"/><Relationship Id="rId6480" Type="http://schemas.openxmlformats.org/officeDocument/2006/relationships/hyperlink" Target="https://www.linkedin.com/posts/emileghessen_stopthewar-activity-6906241981052502016-OwLX" TargetMode="External"/><Relationship Id="rId5152" Type="http://schemas.openxmlformats.org/officeDocument/2006/relationships/hyperlink" Target="https://twitter.com/SputnikATO/status/1499364380441563147" TargetMode="External"/><Relationship Id="rId6483" Type="http://schemas.openxmlformats.org/officeDocument/2006/relationships/hyperlink" Target="https://bellingcat-archive.nyc3.cdn.digitaloceanspaces.com/Ukraine_Witness_Datasheet/Worksheet/youtube_dl_6906241981052502016/index.html" TargetMode="External"/><Relationship Id="rId5153" Type="http://schemas.openxmlformats.org/officeDocument/2006/relationships/hyperlink" Target="https://bellingcat-archive.nyc3.cdn.digitaloceanspaces.com/Ukraine_Witness_Datasheet/Worksheet/youtube_dl_1499364380441563147.mp4" TargetMode="External"/><Relationship Id="rId6484" Type="http://schemas.openxmlformats.org/officeDocument/2006/relationships/hyperlink" Target="https://twitter.com/YWNReporter/status/1500851300996685826" TargetMode="External"/><Relationship Id="rId5150" Type="http://schemas.openxmlformats.org/officeDocument/2006/relationships/hyperlink" Target="https://bellingcat-archive.nyc3.cdn.digitaloceanspaces.com/Ukraine_Witness_Datasheet/Worksheet/youtube_dl__nexta_tv_status_14993588713364602902022-03-03T12:40:38.717733.png" TargetMode="External"/><Relationship Id="rId6481" Type="http://schemas.openxmlformats.org/officeDocument/2006/relationships/hyperlink" Target="https://bellingcat-archive.nyc3.cdn.digitaloceanspaces.com/Ukraine_Witness_Datasheet/Worksheet/youtube_dl_6906241981052502016.mp4" TargetMode="External"/><Relationship Id="rId5151" Type="http://schemas.openxmlformats.org/officeDocument/2006/relationships/hyperlink" Target="https://bellingcat-archive.nyc3.cdn.digitaloceanspaces.com/Ukraine_Witness_Datasheet/Worksheet/youtube_dl_1499358871336460290/index.html" TargetMode="External"/><Relationship Id="rId6482" Type="http://schemas.openxmlformats.org/officeDocument/2006/relationships/hyperlink" Target="https://bellingcat-archive.nyc3.cdn.digitaloceanspaces.com/Ukraine_Witness_Datasheet/Worksheet/youtube_dl__posts_emileghessen_stopthewar-activity-6906241981052502016-OwLX2022-03-07T15:15:18.171022.png" TargetMode="External"/><Relationship Id="rId5156" Type="http://schemas.openxmlformats.org/officeDocument/2006/relationships/hyperlink" Target="https://twitter.com/DNR_RU2021/status/1499366533625257989" TargetMode="External"/><Relationship Id="rId6487" Type="http://schemas.openxmlformats.org/officeDocument/2006/relationships/hyperlink" Target="https://bellingcat-archive.nyc3.cdn.digitaloceanspaces.com/Ukraine_Witness_Datasheet/Worksheet/youtube_dl_1500851300996685826/index.html" TargetMode="External"/><Relationship Id="rId5157" Type="http://schemas.openxmlformats.org/officeDocument/2006/relationships/hyperlink" Target="https://bellingcat-archive.nyc3.cdn.digitaloceanspaces.com/Ukraine_Witness_Datasheet/Worksheet/youtube_dl_1499366533625257989.mp4" TargetMode="External"/><Relationship Id="rId6488" Type="http://schemas.openxmlformats.org/officeDocument/2006/relationships/hyperlink" Target="https://twitter.com/nexta_tv/status/1500836733805633540" TargetMode="External"/><Relationship Id="rId5154" Type="http://schemas.openxmlformats.org/officeDocument/2006/relationships/hyperlink" Target="https://bellingcat-archive.nyc3.cdn.digitaloceanspaces.com/Ukraine_Witness_Datasheet/Worksheet/youtube_dl__SputnikATO_status_14993643804415631472022-03-03T12:50:12.618325.png" TargetMode="External"/><Relationship Id="rId6485" Type="http://schemas.openxmlformats.org/officeDocument/2006/relationships/hyperlink" Target="https://bellingcat-archive.nyc3.cdn.digitaloceanspaces.com/Ukraine_Witness_Datasheet/Worksheet/youtube_dl_1500851300996685826.mp4" TargetMode="External"/><Relationship Id="rId5155" Type="http://schemas.openxmlformats.org/officeDocument/2006/relationships/hyperlink" Target="https://bellingcat-archive.nyc3.cdn.digitaloceanspaces.com/Ukraine_Witness_Datasheet/Worksheet/youtube_dl_1499364380441563147/index.html" TargetMode="External"/><Relationship Id="rId6486" Type="http://schemas.openxmlformats.org/officeDocument/2006/relationships/hyperlink" Target="https://bellingcat-archive.nyc3.cdn.digitaloceanspaces.com/Ukraine_Witness_Datasheet/Worksheet/youtube_dl__YWNReporter_status_15008513009966858262022-03-07T15:20:18.126475.png" TargetMode="External"/><Relationship Id="rId5158" Type="http://schemas.openxmlformats.org/officeDocument/2006/relationships/hyperlink" Target="https://bellingcat-archive.nyc3.cdn.digitaloceanspaces.com/Ukraine_Witness_Datasheet/Worksheet/youtube_dl__DNR_RU2021_status_14993665336252579892022-03-03T13:00:15.625403.png" TargetMode="External"/><Relationship Id="rId6489" Type="http://schemas.openxmlformats.org/officeDocument/2006/relationships/hyperlink" Target="https://bellingcat-archive.nyc3.cdn.digitaloceanspaces.com/Ukraine_Witness_Datasheet/Worksheet/youtube_dl_1500836733805633540.mp4" TargetMode="External"/><Relationship Id="rId5159" Type="http://schemas.openxmlformats.org/officeDocument/2006/relationships/hyperlink" Target="https://bellingcat-archive.nyc3.cdn.digitaloceanspaces.com/Ukraine_Witness_Datasheet/Worksheet/youtube_dl_1499366533625257989/index.html" TargetMode="External"/><Relationship Id="rId5141" Type="http://schemas.openxmlformats.org/officeDocument/2006/relationships/hyperlink" Target="https://bellingcat-archive.nyc3.cdn.digitaloceanspaces.com/Ukraine_Witness_Datasheet/Worksheet/telegram__Pravda_Gerashchenko_1677.html" TargetMode="External"/><Relationship Id="rId6472" Type="http://schemas.openxmlformats.org/officeDocument/2006/relationships/hyperlink" Target="https://twitter.com/aleksanderrr_/status/1500423198076198912" TargetMode="External"/><Relationship Id="rId5142" Type="http://schemas.openxmlformats.org/officeDocument/2006/relationships/hyperlink" Target="https://bellingcat-archive.nyc3.cdn.digitaloceanspaces.com/Ukraine_Witness_Datasheet/Worksheet/telegram__Pravda_Gerashchenko_16772022-03-03T12:10:10.273160.png" TargetMode="External"/><Relationship Id="rId6473" Type="http://schemas.openxmlformats.org/officeDocument/2006/relationships/hyperlink" Target="https://bellingcat-archive.nyc3.cdn.digitaloceanspaces.com/Ukraine_Witness_Datasheet/Worksheet/telegram_c269064719.mp4" TargetMode="External"/><Relationship Id="rId6470" Type="http://schemas.openxmlformats.org/officeDocument/2006/relationships/hyperlink" Target="https://bellingcat-archive.nyc3.cdn.digitaloceanspaces.com/Ukraine_Witness_Datasheet/Worksheet/youtube_dl_1500795611146297347/index.html" TargetMode="External"/><Relationship Id="rId5140" Type="http://schemas.openxmlformats.org/officeDocument/2006/relationships/hyperlink" Target="https://t.me/Pravda_Gerashchenko/1677" TargetMode="External"/><Relationship Id="rId6471" Type="http://schemas.openxmlformats.org/officeDocument/2006/relationships/hyperlink" Target="https://t.me/Tsaplienko/1997" TargetMode="External"/><Relationship Id="rId5145" Type="http://schemas.openxmlformats.org/officeDocument/2006/relationships/hyperlink" Target="https://bellingcat-archive.nyc3.cdn.digitaloceanspaces.com/Ukraine_Witness_Datasheet/Worksheet/telegram_cc6d0be274.mp4" TargetMode="External"/><Relationship Id="rId6476" Type="http://schemas.openxmlformats.org/officeDocument/2006/relationships/hyperlink" Target="https://t.me/Tsaplienko/1997" TargetMode="External"/><Relationship Id="rId5146" Type="http://schemas.openxmlformats.org/officeDocument/2006/relationships/hyperlink" Target="https://bellingcat-archive.nyc3.cdn.digitaloceanspaces.com/Ukraine_Witness_Datasheet/Worksheet/telegram_cc6d0be274/index.html" TargetMode="External"/><Relationship Id="rId6477" Type="http://schemas.openxmlformats.org/officeDocument/2006/relationships/hyperlink" Target="https://twitter.com/NovaGorlivka/status/1500844307372199937" TargetMode="External"/><Relationship Id="rId5143" Type="http://schemas.openxmlformats.org/officeDocument/2006/relationships/hyperlink" Target="https://t.me/ukr_novosti_voina/5712" TargetMode="External"/><Relationship Id="rId6474" Type="http://schemas.openxmlformats.org/officeDocument/2006/relationships/hyperlink" Target="https://bellingcat-archive.nyc3.cdn.digitaloceanspaces.com/Ukraine_Witness_Datasheet/Worksheet/telegram__Tsaplienko_19972022-03-07T14:00:12.596690.png" TargetMode="External"/><Relationship Id="rId5144" Type="http://schemas.openxmlformats.org/officeDocument/2006/relationships/hyperlink" Target="https://twitter.com/L_ThinkTank/status/1499348154130616321" TargetMode="External"/><Relationship Id="rId6475" Type="http://schemas.openxmlformats.org/officeDocument/2006/relationships/hyperlink" Target="https://bellingcat-archive.nyc3.cdn.digitaloceanspaces.com/Ukraine_Witness_Datasheet/Worksheet/telegram_c269064719/index.html" TargetMode="External"/><Relationship Id="rId5149" Type="http://schemas.openxmlformats.org/officeDocument/2006/relationships/hyperlink" Target="https://bellingcat-archive.nyc3.cdn.digitaloceanspaces.com/Ukraine_Witness_Datasheet/Worksheet/youtube_dl_1499358871336460290.mp4" TargetMode="External"/><Relationship Id="rId5147" Type="http://schemas.openxmlformats.org/officeDocument/2006/relationships/hyperlink" Target="https://t.me/ukr_novosti_voina/5712" TargetMode="External"/><Relationship Id="rId6478" Type="http://schemas.openxmlformats.org/officeDocument/2006/relationships/hyperlink" Target="https://bellingcat-archive.nyc3.cdn.digitaloceanspaces.com/Ukraine_Witness_Datasheet/Worksheet/twitter__NovaGorlivka_status_1500844307372199937.html" TargetMode="External"/><Relationship Id="rId5148" Type="http://schemas.openxmlformats.org/officeDocument/2006/relationships/hyperlink" Target="https://twitter.com/nexta_tv/status/1499358871336460290" TargetMode="External"/><Relationship Id="rId6479" Type="http://schemas.openxmlformats.org/officeDocument/2006/relationships/hyperlink" Target="https://bellingcat-archive.nyc3.cdn.digitaloceanspaces.com/Ukraine_Witness_Datasheet/Worksheet/twitter__NovaGorlivka_status_15008443073721999372022-03-07T14:55:34.398926.png" TargetMode="External"/><Relationship Id="rId6429" Type="http://schemas.openxmlformats.org/officeDocument/2006/relationships/hyperlink" Target="https://bellingcat-archive.nyc3.cdn.digitaloceanspaces.com/Ukraine_Witness_Datasheet/Worksheet/telegram__Pravda_Gerashchenko_2283.html" TargetMode="External"/><Relationship Id="rId6427" Type="http://schemas.openxmlformats.org/officeDocument/2006/relationships/hyperlink" Target="https://bellingcat-archive.nyc3.cdn.digitaloceanspaces.com/Ukraine_Witness_Datasheet/Worksheet/youtube_dl_1500565208489545728/index.html" TargetMode="External"/><Relationship Id="rId7759" Type="http://schemas.openxmlformats.org/officeDocument/2006/relationships/hyperlink" Target="https://bellingcat-archive.nyc3.cdn.digitaloceanspaces.com/Ukraine_Witness_Datasheet/Worksheet/twitter__SputnikATO_status_1501184212203941897_photo_2.html" TargetMode="External"/><Relationship Id="rId6428" Type="http://schemas.openxmlformats.org/officeDocument/2006/relationships/hyperlink" Target="https://t.me/Pravda_Gerashchenko/2283" TargetMode="External"/><Relationship Id="rId7758" Type="http://schemas.openxmlformats.org/officeDocument/2006/relationships/hyperlink" Target="https://twitter.com/SputnikATO/status/1501184212203941897/photo/2" TargetMode="External"/><Relationship Id="rId6421" Type="http://schemas.openxmlformats.org/officeDocument/2006/relationships/hyperlink" Target="https://bellingcat-archive.nyc3.cdn.digitaloceanspaces.com/Ukraine_Witness_Datasheet/Worksheet/youtube_dl__pan_goldman_status_15007617215433113612022-03-07T11:30:10.897108.png" TargetMode="External"/><Relationship Id="rId7753" Type="http://schemas.openxmlformats.org/officeDocument/2006/relationships/hyperlink" Target="https://www.facebook.com/100068965007598/videos/pcb.265788295730002/646866249743295" TargetMode="External"/><Relationship Id="rId6422" Type="http://schemas.openxmlformats.org/officeDocument/2006/relationships/hyperlink" Target="https://bellingcat-archive.nyc3.cdn.digitaloceanspaces.com/Ukraine_Witness_Datasheet/Worksheet/youtube_dl_1500761721543311361/index.html" TargetMode="External"/><Relationship Id="rId7752" Type="http://schemas.openxmlformats.org/officeDocument/2006/relationships/hyperlink" Target="https://bellingcat-archive.nyc3.cdn.digitaloceanspaces.com/Ukraine_Witness_Datasheet/Worksheet/wayback__photo2022-03-09T14:31:20.134690.png" TargetMode="External"/><Relationship Id="rId7751" Type="http://schemas.openxmlformats.org/officeDocument/2006/relationships/hyperlink" Target="https://web.archive.org/web/20220309143111/https://www.facebook.com/photo?fbid=265785665730265&amp;set=pcb.265788295730002" TargetMode="External"/><Relationship Id="rId6420" Type="http://schemas.openxmlformats.org/officeDocument/2006/relationships/hyperlink" Target="https://bellingcat-archive.nyc3.cdn.digitaloceanspaces.com/Ukraine_Witness_Datasheet/Worksheet/youtube_dl_1500761721543311361.mp4" TargetMode="External"/><Relationship Id="rId7750" Type="http://schemas.openxmlformats.org/officeDocument/2006/relationships/hyperlink" Target="https://www.facebook.com/photo?fbid=265785665730265&amp;set=pcb.265788295730002" TargetMode="External"/><Relationship Id="rId6425" Type="http://schemas.openxmlformats.org/officeDocument/2006/relationships/hyperlink" Target="https://bellingcat-archive.nyc3.cdn.digitaloceanspaces.com/Ukraine_Witness_Datasheet/Worksheet/youtube_dl_1500565208489545728.mp4" TargetMode="External"/><Relationship Id="rId7757" Type="http://schemas.openxmlformats.org/officeDocument/2006/relationships/hyperlink" Target="https://www.facebook.com/DSNSMYKOL/posts/265327395776092?__cft__%5B0%5D=AZU-YYKRMd1iJaegbs5elxLU4IfxCdajDvTvUpn0GNC3QQeH3eEghPviVusH4aQzdi6TMiPJPDQNeqabTtvUcQkaOYDODN55KL_v4YkNN-lZPwnAjr6nvVf5kVt2VbhSFHSnRqxSGNIAxCWUGtqs64xXsuBt66o6OUu6KfKupWrbMA&amp;__tn__=%2CP-R" TargetMode="External"/><Relationship Id="rId6426" Type="http://schemas.openxmlformats.org/officeDocument/2006/relationships/hyperlink" Target="https://bellingcat-archive.nyc3.cdn.digitaloceanspaces.com/Ukraine_Witness_Datasheet/Worksheet/youtube_dl__karinanguyen__status_15005652084895457282022-03-07T11:25:12.066262.png" TargetMode="External"/><Relationship Id="rId7756" Type="http://schemas.openxmlformats.org/officeDocument/2006/relationships/hyperlink" Target="https://bellingcat-archive.nyc3.cdn.digitaloceanspaces.com/Ukraine_Witness_Datasheet/Worksheet/youtube_dl_646866249743295/index.html" TargetMode="External"/><Relationship Id="rId6423" Type="http://schemas.openxmlformats.org/officeDocument/2006/relationships/hyperlink" Target="https://twitter.com/karinanguyen_/status/1500565208489545728" TargetMode="External"/><Relationship Id="rId7755" Type="http://schemas.openxmlformats.org/officeDocument/2006/relationships/hyperlink" Target="https://bellingcat-archive.nyc3.cdn.digitaloceanspaces.com/Ukraine_Witness_Datasheet/Worksheet/youtube_dl__100068965007598_videos_pcb.265788295730002_6468662497432952022-03-09T14:31:33.987777.png" TargetMode="External"/><Relationship Id="rId6424" Type="http://schemas.openxmlformats.org/officeDocument/2006/relationships/hyperlink" Target="https://twitter.com/karinanguyen_/status/1500565214277693440" TargetMode="External"/><Relationship Id="rId7754" Type="http://schemas.openxmlformats.org/officeDocument/2006/relationships/hyperlink" Target="https://bellingcat-archive.nyc3.cdn.digitaloceanspaces.com/Ukraine_Witness_Datasheet/Worksheet/youtube_dl_646866249743295.mkv" TargetMode="External"/><Relationship Id="rId6418" Type="http://schemas.openxmlformats.org/officeDocument/2006/relationships/hyperlink" Target="https://bellingcat-archive.nyc3.cdn.digitaloceanspaces.com/Ukraine_Witness_Datasheet/Worksheet/twitter__GirkinGirkin_status_15007727700865884162022-03-07T10:20:24.594966.png" TargetMode="External"/><Relationship Id="rId6419" Type="http://schemas.openxmlformats.org/officeDocument/2006/relationships/hyperlink" Target="https://twitter.com/pan_goldman/status/1500761721543311361?s=20&amp;t=kiGKGfb3TC3O3j8yU0c7eg" TargetMode="External"/><Relationship Id="rId7749" Type="http://schemas.openxmlformats.org/officeDocument/2006/relationships/hyperlink" Target="https://bellingcat-archive.nyc3.cdn.digitaloceanspaces.com/Ukraine_Witness_Datasheet/Worksheet/wayback__photo_2022-03-09T14:30:55.160560.png" TargetMode="External"/><Relationship Id="rId6416" Type="http://schemas.openxmlformats.org/officeDocument/2006/relationships/hyperlink" Target="https://twitter.com/GirkinGirkin/status/1500772770086588416" TargetMode="External"/><Relationship Id="rId7748" Type="http://schemas.openxmlformats.org/officeDocument/2006/relationships/hyperlink" Target="https://web.archive.org/web/20220309143047/https://www.facebook.com/photo/?fbid=265787352396763&amp;set=pcb.265788295730002" TargetMode="External"/><Relationship Id="rId6417" Type="http://schemas.openxmlformats.org/officeDocument/2006/relationships/hyperlink" Target="https://bellingcat-archive.nyc3.cdn.digitaloceanspaces.com/Ukraine_Witness_Datasheet/Worksheet/twitter__GirkinGirkin_status_1500772770086588416.html" TargetMode="External"/><Relationship Id="rId7747" Type="http://schemas.openxmlformats.org/officeDocument/2006/relationships/hyperlink" Target="https://www.facebook.com/photo/?fbid=265787352396763&amp;set=pcb.265788295730002" TargetMode="External"/><Relationship Id="rId6410" Type="http://schemas.openxmlformats.org/officeDocument/2006/relationships/hyperlink" Target="https://t.me/rybar/26995" TargetMode="External"/><Relationship Id="rId7742" Type="http://schemas.openxmlformats.org/officeDocument/2006/relationships/hyperlink" Target="https://bellingcat-archive.nyc3.cdn.digitaloceanspaces.com/Ukraine_Witness_Datasheet/Worksheet/telegram_0882018a0f/index.html" TargetMode="External"/><Relationship Id="rId6411" Type="http://schemas.openxmlformats.org/officeDocument/2006/relationships/hyperlink" Target="https://twitter.com/RALee85/status/1500765060507049989" TargetMode="External"/><Relationship Id="rId7741" Type="http://schemas.openxmlformats.org/officeDocument/2006/relationships/hyperlink" Target="https://bellingcat-archive.nyc3.cdn.digitaloceanspaces.com/Ukraine_Witness_Datasheet/Worksheet/telegram__truexanewsua_313112022-03-09T14:23:23.925434.png" TargetMode="External"/><Relationship Id="rId7740" Type="http://schemas.openxmlformats.org/officeDocument/2006/relationships/hyperlink" Target="https://bellingcat-archive.nyc3.cdn.digitaloceanspaces.com/Ukraine_Witness_Datasheet/Worksheet/telegram_0882018a0f.mp4" TargetMode="External"/><Relationship Id="rId6414" Type="http://schemas.openxmlformats.org/officeDocument/2006/relationships/hyperlink" Target="https://bellingcat-archive.nyc3.cdn.digitaloceanspaces.com/Ukraine_Witness_Datasheet/Worksheet/youtube_dl__RALee85_status_15007650605070499892022-03-07T10:20:11.464109.png" TargetMode="External"/><Relationship Id="rId7746" Type="http://schemas.openxmlformats.org/officeDocument/2006/relationships/hyperlink" Target="https://bellingcat-archive.nyc3.cdn.digitaloceanspaces.com/Ukraine_Witness_Datasheet/Worksheet/wayback__photo_2022-03-09T14:30:34.463679.png" TargetMode="External"/><Relationship Id="rId6415" Type="http://schemas.openxmlformats.org/officeDocument/2006/relationships/hyperlink" Target="https://bellingcat-archive.nyc3.cdn.digitaloceanspaces.com/Ukraine_Witness_Datasheet/Worksheet/youtube_dl_1500765060507049989/index.html" TargetMode="External"/><Relationship Id="rId7745" Type="http://schemas.openxmlformats.org/officeDocument/2006/relationships/hyperlink" Target="https://web.archive.org/web/20220309143026/https://www.facebook.com/photo/?fbid=265786955730136&amp;set=pcb.265788295730002" TargetMode="External"/><Relationship Id="rId6412" Type="http://schemas.openxmlformats.org/officeDocument/2006/relationships/hyperlink" Target="https://twitter.com/zwedowz/status/1500770464574156802" TargetMode="External"/><Relationship Id="rId7744" Type="http://schemas.openxmlformats.org/officeDocument/2006/relationships/hyperlink" Target="https://www.facebook.com/photo/?fbid=265786955730136&amp;set=pcb.265788295730002" TargetMode="External"/><Relationship Id="rId6413" Type="http://schemas.openxmlformats.org/officeDocument/2006/relationships/hyperlink" Target="https://bellingcat-archive.nyc3.cdn.digitaloceanspaces.com/Ukraine_Witness_Datasheet/Worksheet/youtube_dl_1500765060507049989.mp4" TargetMode="External"/><Relationship Id="rId7743" Type="http://schemas.openxmlformats.org/officeDocument/2006/relationships/hyperlink" Target="https://t.me/truexanewsua/31311" TargetMode="External"/><Relationship Id="rId5118" Type="http://schemas.openxmlformats.org/officeDocument/2006/relationships/hyperlink" Target="https://twitter.com/YWNReporter/status/1499330481728499719" TargetMode="External"/><Relationship Id="rId6449" Type="http://schemas.openxmlformats.org/officeDocument/2006/relationships/hyperlink" Target="https://vk.com/milinfolive?w=wall-123538639_2257343" TargetMode="External"/><Relationship Id="rId5119" Type="http://schemas.openxmlformats.org/officeDocument/2006/relationships/hyperlink" Target="https://bellingcat-archive.nyc3.cdn.digitaloceanspaces.com/Ukraine_Witness_Datasheet/Worksheet/twitter__YWNReporter_status_1499330481728499719.html" TargetMode="External"/><Relationship Id="rId7771" Type="http://schemas.openxmlformats.org/officeDocument/2006/relationships/hyperlink" Target="https://bellingcat-archive.nyc3.cdn.digitaloceanspaces.com/Ukraine_Witness_Datasheet/Worksheet/youtube_dl__no_itsmyturn_status_15015762060592824322022-03-09T15:45:40.957179.png" TargetMode="External"/><Relationship Id="rId6440" Type="http://schemas.openxmlformats.org/officeDocument/2006/relationships/hyperlink" Target="https://bellingcat-archive.nyc3.cdn.digitaloceanspaces.com/Ukraine_Witness_Datasheet/Worksheet/youtube_dl_1500766687959859200.mp4" TargetMode="External"/><Relationship Id="rId7770" Type="http://schemas.openxmlformats.org/officeDocument/2006/relationships/hyperlink" Target="https://bellingcat-archive.nyc3.cdn.digitaloceanspaces.com/Ukraine_Witness_Datasheet/Worksheet/youtube_dl_1501576206059282432.mp4" TargetMode="External"/><Relationship Id="rId5112" Type="http://schemas.openxmlformats.org/officeDocument/2006/relationships/hyperlink" Target="https://bellingcat-archive.nyc3.cdn.digitaloceanspaces.com/Ukraine_Witness_Datasheet/Worksheet/telegram_7db0c86c43/index.html" TargetMode="External"/><Relationship Id="rId6443" Type="http://schemas.openxmlformats.org/officeDocument/2006/relationships/hyperlink" Target="https://t.me/truexanewsua/30442" TargetMode="External"/><Relationship Id="rId7775" Type="http://schemas.openxmlformats.org/officeDocument/2006/relationships/hyperlink" Target="https://bellingcat-archive.nyc3.cdn.digitaloceanspaces.com/Ukraine_Witness_Datasheet/Worksheet/youtube_dl__RevelateursFTV_status_15015745033353543752022-03-09T16:05:15.257802.png" TargetMode="External"/><Relationship Id="rId5113" Type="http://schemas.openxmlformats.org/officeDocument/2006/relationships/hyperlink" Target="https://t.me/milinfolive/77787" TargetMode="External"/><Relationship Id="rId6444" Type="http://schemas.openxmlformats.org/officeDocument/2006/relationships/hyperlink" Target="https://bellingcat-archive.nyc3.cdn.digitaloceanspaces.com/Ukraine_Witness_Datasheet/Worksheet/telegram_79ae0c485e.mp4" TargetMode="External"/><Relationship Id="rId7774" Type="http://schemas.openxmlformats.org/officeDocument/2006/relationships/hyperlink" Target="https://bellingcat-archive.nyc3.cdn.digitaloceanspaces.com/Ukraine_Witness_Datasheet/Worksheet/youtube_dl_1501574503335354375.mp4" TargetMode="External"/><Relationship Id="rId5110" Type="http://schemas.openxmlformats.org/officeDocument/2006/relationships/hyperlink" Target="https://bellingcat-archive.nyc3.cdn.digitaloceanspaces.com/Ukraine_Witness_Datasheet/Worksheet/telegram_7db0c86c43.mp4" TargetMode="External"/><Relationship Id="rId6441" Type="http://schemas.openxmlformats.org/officeDocument/2006/relationships/hyperlink" Target="https://bellingcat-archive.nyc3.cdn.digitaloceanspaces.com/Ukraine_Witness_Datasheet/Worksheet/youtube_dl__CzechPremysl_status_15007666879598592002022-03-07T13:20:28.174963.png" TargetMode="External"/><Relationship Id="rId7773" Type="http://schemas.openxmlformats.org/officeDocument/2006/relationships/hyperlink" Target="https://twitter.com/RevelateursFTV/status/1501574503335354375?s=20&amp;t=krVCAkRS56ycvEiv0uY1mA" TargetMode="External"/><Relationship Id="rId5111" Type="http://schemas.openxmlformats.org/officeDocument/2006/relationships/hyperlink" Target="https://bellingcat-archive.nyc3.cdn.digitaloceanspaces.com/Ukraine_Witness_Datasheet/Worksheet/telegram__milinfolive_777872022-03-03T11:25:09.096056.png" TargetMode="External"/><Relationship Id="rId6442" Type="http://schemas.openxmlformats.org/officeDocument/2006/relationships/hyperlink" Target="https://bellingcat-archive.nyc3.cdn.digitaloceanspaces.com/Ukraine_Witness_Datasheet/Worksheet/youtube_dl_1500766687959859200/index.html" TargetMode="External"/><Relationship Id="rId7772" Type="http://schemas.openxmlformats.org/officeDocument/2006/relationships/hyperlink" Target="https://bellingcat-archive.nyc3.cdn.digitaloceanspaces.com/Ukraine_Witness_Datasheet/Worksheet/youtube_dl_1501576206059282432/index.html" TargetMode="External"/><Relationship Id="rId5116" Type="http://schemas.openxmlformats.org/officeDocument/2006/relationships/hyperlink" Target="https://bellingcat-archive.nyc3.cdn.digitaloceanspaces.com/Ukraine_Witness_Datasheet/Worksheet/youtube_dl__nexta_tv_status_14992949216809492512022-03-03T10:10:19.429070.png" TargetMode="External"/><Relationship Id="rId6447" Type="http://schemas.openxmlformats.org/officeDocument/2006/relationships/hyperlink" Target="https://t.me/truexanewsua/30442" TargetMode="External"/><Relationship Id="rId7779" Type="http://schemas.openxmlformats.org/officeDocument/2006/relationships/hyperlink" Target="https://bellingcat-archive.nyc3.cdn.digitaloceanspaces.com/Ukraine_Witness_Datasheet/Worksheet/youtube_dl__ThomasVLinge_status_15015815892135895142022-03-09T16:05:34.047430.png" TargetMode="External"/><Relationship Id="rId5117" Type="http://schemas.openxmlformats.org/officeDocument/2006/relationships/hyperlink" Target="https://bellingcat-archive.nyc3.cdn.digitaloceanspaces.com/Ukraine_Witness_Datasheet/Worksheet/youtube_dl_1499294921680949251/index.html" TargetMode="External"/><Relationship Id="rId6448" Type="http://schemas.openxmlformats.org/officeDocument/2006/relationships/hyperlink" Target="https://twitter.com/RALee85/status/1500590657286688775?s=20&amp;t=gdyOs0O_xm_el_Zx3fAhZg" TargetMode="External"/><Relationship Id="rId7778" Type="http://schemas.openxmlformats.org/officeDocument/2006/relationships/hyperlink" Target="https://bellingcat-archive.nyc3.cdn.digitaloceanspaces.com/Ukraine_Witness_Datasheet/Worksheet/youtube_dl_1501581589213589514.mp4" TargetMode="External"/><Relationship Id="rId5114" Type="http://schemas.openxmlformats.org/officeDocument/2006/relationships/hyperlink" Target="https://twitter.com/nexta_tv/status/1499294921680949251" TargetMode="External"/><Relationship Id="rId6445" Type="http://schemas.openxmlformats.org/officeDocument/2006/relationships/hyperlink" Target="https://bellingcat-archive.nyc3.cdn.digitaloceanspaces.com/Ukraine_Witness_Datasheet/Worksheet/telegram__truexanewsua_304422022-03-07T13:00:10.225401.png" TargetMode="External"/><Relationship Id="rId7777" Type="http://schemas.openxmlformats.org/officeDocument/2006/relationships/hyperlink" Target="https://twitter.com/ThomasVLinge/status/1501581589213589514" TargetMode="External"/><Relationship Id="rId5115" Type="http://schemas.openxmlformats.org/officeDocument/2006/relationships/hyperlink" Target="https://bellingcat-archive.nyc3.cdn.digitaloceanspaces.com/Ukraine_Witness_Datasheet/Worksheet/youtube_dl_1499294921680949251.mp4" TargetMode="External"/><Relationship Id="rId6446" Type="http://schemas.openxmlformats.org/officeDocument/2006/relationships/hyperlink" Target="https://bellingcat-archive.nyc3.cdn.digitaloceanspaces.com/Ukraine_Witness_Datasheet/Worksheet/telegram_79ae0c485e/index.html" TargetMode="External"/><Relationship Id="rId7776" Type="http://schemas.openxmlformats.org/officeDocument/2006/relationships/hyperlink" Target="https://bellingcat-archive.nyc3.cdn.digitaloceanspaces.com/Ukraine_Witness_Datasheet/Worksheet/youtube_dl_1501574503335354375/index.html" TargetMode="External"/><Relationship Id="rId5109" Type="http://schemas.openxmlformats.org/officeDocument/2006/relationships/hyperlink" Target="https://t.me/milinfolive/77787" TargetMode="External"/><Relationship Id="rId5107" Type="http://schemas.openxmlformats.org/officeDocument/2006/relationships/hyperlink" Target="https://bellingcat-archive.nyc3.cdn.digitaloceanspaces.com/Ukraine_Witness_Datasheet/Worksheet/youtube_dl__michaelh992_status_14992929266351308802022-03-03T08:40:13.886281.png" TargetMode="External"/><Relationship Id="rId6438" Type="http://schemas.openxmlformats.org/officeDocument/2006/relationships/hyperlink" Target="https://bellingcat-archive.nyc3.cdn.digitaloceanspaces.com/Ukraine_Witness_Datasheet/Worksheet/youtube_dl_1500805645485985794/index.html" TargetMode="External"/><Relationship Id="rId5108" Type="http://schemas.openxmlformats.org/officeDocument/2006/relationships/hyperlink" Target="https://bellingcat-archive.nyc3.cdn.digitaloceanspaces.com/Ukraine_Witness_Datasheet/Worksheet/youtube_dl_1499292926635130880/index.html" TargetMode="External"/><Relationship Id="rId6439" Type="http://schemas.openxmlformats.org/officeDocument/2006/relationships/hyperlink" Target="https://twitter.com/CzechPremysl/status/1500766687959859200" TargetMode="External"/><Relationship Id="rId7769" Type="http://schemas.openxmlformats.org/officeDocument/2006/relationships/hyperlink" Target="https://twitter.com/no_itsmyturn/status/1501576206059282432" TargetMode="External"/><Relationship Id="rId7760" Type="http://schemas.openxmlformats.org/officeDocument/2006/relationships/hyperlink" Target="https://bellingcat-archive.nyc3.cdn.digitaloceanspaces.com/Ukraine_Witness_Datasheet/Worksheet/twitter__SputnikATO_status_1501184212203941897_photo_22022-03-09T14:35:13.173105.png" TargetMode="External"/><Relationship Id="rId5101" Type="http://schemas.openxmlformats.org/officeDocument/2006/relationships/hyperlink" Target="https://www.instagram.com/accounts/login/?next=/p/CafSvX8K944/" TargetMode="External"/><Relationship Id="rId6432" Type="http://schemas.openxmlformats.org/officeDocument/2006/relationships/hyperlink" Target="https://bellingcat-archive.nyc3.cdn.digitaloceanspaces.com/Ukraine_Witness_Datasheet/Worksheet/youtube_dl_1500808695034392588.mp4" TargetMode="External"/><Relationship Id="rId7764" Type="http://schemas.openxmlformats.org/officeDocument/2006/relationships/hyperlink" Target="https://twitter.com/GirkinGirkin/status/1501574204868677635" TargetMode="External"/><Relationship Id="rId5102" Type="http://schemas.openxmlformats.org/officeDocument/2006/relationships/hyperlink" Target="https://t.me/Pravda_Gerashchenko/1203" TargetMode="External"/><Relationship Id="rId6433" Type="http://schemas.openxmlformats.org/officeDocument/2006/relationships/hyperlink" Target="https://bellingcat-archive.nyc3.cdn.digitaloceanspaces.com/Ukraine_Witness_Datasheet/Worksheet/youtube_dl__EuromaidanPR_status_15008086950343925882022-03-07T13:15:11.625884.png" TargetMode="External"/><Relationship Id="rId7763" Type="http://schemas.openxmlformats.org/officeDocument/2006/relationships/hyperlink" Target="https://bellingcat-archive.nyc3.cdn.digitaloceanspaces.com/Ukraine_Witness_Datasheet/Worksheet/twitter__berdynskykh_k_status_15015835685894922372022-03-09T15:45:13.036517.png" TargetMode="External"/><Relationship Id="rId6430" Type="http://schemas.openxmlformats.org/officeDocument/2006/relationships/hyperlink" Target="https://bellingcat-archive.nyc3.cdn.digitaloceanspaces.com/Ukraine_Witness_Datasheet/Worksheet/telegram__Pravda_Gerashchenko_22832022-03-07T12:15:09.384251.png" TargetMode="External"/><Relationship Id="rId7762" Type="http://schemas.openxmlformats.org/officeDocument/2006/relationships/hyperlink" Target="https://bellingcat-archive.nyc3.cdn.digitaloceanspaces.com/Ukraine_Witness_Datasheet/Worksheet/twitter__berdynskykh_k_status_1501583568589492237.html" TargetMode="External"/><Relationship Id="rId5100" Type="http://schemas.openxmlformats.org/officeDocument/2006/relationships/hyperlink" Target="https://bellingcat-archive.nyc3.cdn.digitaloceanspaces.com/Ukraine_Witness_Datasheet/Worksheet/twitter__nexta_tv_status_14991631686769745962022-03-03T08:30:11.927242.png" TargetMode="External"/><Relationship Id="rId6431" Type="http://schemas.openxmlformats.org/officeDocument/2006/relationships/hyperlink" Target="https://twitter.com/EuromaidanPR/status/1500808695034392588" TargetMode="External"/><Relationship Id="rId7761" Type="http://schemas.openxmlformats.org/officeDocument/2006/relationships/hyperlink" Target="https://twitter.com/berdynskykh_k/status/1501583568589492237" TargetMode="External"/><Relationship Id="rId5105" Type="http://schemas.openxmlformats.org/officeDocument/2006/relationships/hyperlink" Target="https://twitter.com/michaelh992/status/1499292926635130880" TargetMode="External"/><Relationship Id="rId6436" Type="http://schemas.openxmlformats.org/officeDocument/2006/relationships/hyperlink" Target="https://bellingcat-archive.nyc3.cdn.digitaloceanspaces.com/Ukraine_Witness_Datasheet/Worksheet/youtube_dl_1500805645485985794.mp4" TargetMode="External"/><Relationship Id="rId7768" Type="http://schemas.openxmlformats.org/officeDocument/2006/relationships/hyperlink" Target="https://bellingcat-archive.nyc3.cdn.digitaloceanspaces.com/Ukraine_Witness_Datasheet/Worksheet/youtube_dl_1501574204868677635/index.html" TargetMode="External"/><Relationship Id="rId5106" Type="http://schemas.openxmlformats.org/officeDocument/2006/relationships/hyperlink" Target="https://bellingcat-archive.nyc3.cdn.digitaloceanspaces.com/Ukraine_Witness_Datasheet/Worksheet/youtube_dl_1499292926635130880.mp4" TargetMode="External"/><Relationship Id="rId6437" Type="http://schemas.openxmlformats.org/officeDocument/2006/relationships/hyperlink" Target="https://bellingcat-archive.nyc3.cdn.digitaloceanspaces.com/Ukraine_Witness_Datasheet/Worksheet/youtube_dl__SputnikATO_status_15008056454859857942022-03-07T13:20:13.589726.png" TargetMode="External"/><Relationship Id="rId7767" Type="http://schemas.openxmlformats.org/officeDocument/2006/relationships/hyperlink" Target="https://bellingcat-archive.nyc3.cdn.digitaloceanspaces.com/Ukraine_Witness_Datasheet/Worksheet/youtube_dl__GirkinGirkin_status_15015742048686776352022-03-09T15:45:24.529105.png" TargetMode="External"/><Relationship Id="rId5103" Type="http://schemas.openxmlformats.org/officeDocument/2006/relationships/hyperlink" Target="https://bellingcat-archive.nyc3.cdn.digitaloceanspaces.com/Ukraine_Witness_Datasheet/Worksheet/telegram__Pravda_Gerashchenko_1203.html" TargetMode="External"/><Relationship Id="rId6434" Type="http://schemas.openxmlformats.org/officeDocument/2006/relationships/hyperlink" Target="https://bellingcat-archive.nyc3.cdn.digitaloceanspaces.com/Ukraine_Witness_Datasheet/Worksheet/youtube_dl_1500808695034392588/index.html" TargetMode="External"/><Relationship Id="rId7766" Type="http://schemas.openxmlformats.org/officeDocument/2006/relationships/hyperlink" Target="https://bellingcat-archive.nyc3.cdn.digitaloceanspaces.com/Ukraine_Witness_Datasheet/Worksheet/youtube_dl_1501574204868677635.mp4" TargetMode="External"/><Relationship Id="rId5104" Type="http://schemas.openxmlformats.org/officeDocument/2006/relationships/hyperlink" Target="https://bellingcat-archive.nyc3.cdn.digitaloceanspaces.com/Ukraine_Witness_Datasheet/Worksheet/telegram__Pravda_Gerashchenko_12032022-03-03T08:35:08.829258.png" TargetMode="External"/><Relationship Id="rId6435" Type="http://schemas.openxmlformats.org/officeDocument/2006/relationships/hyperlink" Target="https://twitter.com/SputnikATO/status/1500805645485985794" TargetMode="External"/><Relationship Id="rId7765" Type="http://schemas.openxmlformats.org/officeDocument/2006/relationships/hyperlink" Target="https://twitter.com/AUT_INT/status/1501580038331932673" TargetMode="External"/><Relationship Id="rId2940" Type="http://schemas.openxmlformats.org/officeDocument/2006/relationships/hyperlink" Target="https://bellingcat-archive.nyc3.cdn.digitaloceanspaces.com/Ukraine_Witness_Datasheet/Worksheet/youtube_dl_edit&amp;ltmpl=sheets.unknown_video" TargetMode="External"/><Relationship Id="rId1610" Type="http://schemas.openxmlformats.org/officeDocument/2006/relationships/hyperlink" Target="https://bellingcat-archive.nyc3.cdn.digitaloceanspaces.com/Ukraine_Witness_Datasheet/Worksheet/youtube_dl__GirkinGirkin_status_14942535771073904692022-02-25T14:13:27.242031.png" TargetMode="External"/><Relationship Id="rId2941" Type="http://schemas.openxmlformats.org/officeDocument/2006/relationships/hyperlink" Target="https://bellingcat-archive.nyc3.cdn.digitaloceanspaces.com/Ukraine_Witness_Datasheet/Worksheet/youtube_dl__spreadsheets_d_1kQiRBd9Vp0NPwmp3Yj7XqT8nvCLlZYbF_oma9cfiGQk_edit2022-02-25T17:15:36.096149.png" TargetMode="External"/><Relationship Id="rId1611" Type="http://schemas.openxmlformats.org/officeDocument/2006/relationships/hyperlink" Target="https://bellingcat-archive.nyc3.cdn.digitaloceanspaces.com/Ukraine_Witness_Datasheet/Worksheet/youtube_dl_1494253577107390469/index.html" TargetMode="External"/><Relationship Id="rId2942" Type="http://schemas.openxmlformats.org/officeDocument/2006/relationships/hyperlink" Target="https://twitter.com/N_Waters89/status/1496856695896969222?s=20&amp;t=vjuzVkVF9AjHtNtCWTtq9Q" TargetMode="External"/><Relationship Id="rId1612" Type="http://schemas.openxmlformats.org/officeDocument/2006/relationships/hyperlink" Target="https://twitter.com/GirkinGirkin/status/1494234727938723843" TargetMode="External"/><Relationship Id="rId2943" Type="http://schemas.openxmlformats.org/officeDocument/2006/relationships/hyperlink" Target="https://web.archive.org/web/20220225171644/https://twitter.com/N_Waters89/status/1496856695896969222?s=20&amp;t=vjuzVkVF9AjHtNtCWTtq9Q" TargetMode="External"/><Relationship Id="rId1613" Type="http://schemas.openxmlformats.org/officeDocument/2006/relationships/hyperlink" Target="https://twitter.com/zcjbrooker/status/1494386990611116045" TargetMode="External"/><Relationship Id="rId2944" Type="http://schemas.openxmlformats.org/officeDocument/2006/relationships/hyperlink" Target="https://bellingcat-archive.nyc3.cdn.digitaloceanspaces.com/Ukraine_Witness_Datasheet/Worksheet/wayback__N_Waters89_status_14968566958969692222022-02-25T17:16:58.173596.png" TargetMode="External"/><Relationship Id="rId1614" Type="http://schemas.openxmlformats.org/officeDocument/2006/relationships/hyperlink" Target="https://bellingcat-archive.nyc3.cdn.digitaloceanspaces.com/Ukraine_Witness_Datasheet/Worksheet/youtube_dl_1494234727938723843.mp4" TargetMode="External"/><Relationship Id="rId2945" Type="http://schemas.openxmlformats.org/officeDocument/2006/relationships/hyperlink" Target="https://twitter.com/amnestypress/status/1496872501447700481" TargetMode="External"/><Relationship Id="rId1615" Type="http://schemas.openxmlformats.org/officeDocument/2006/relationships/hyperlink" Target="https://bellingcat-archive.nyc3.cdn.digitaloceanspaces.com/Ukraine_Witness_Datasheet/Worksheet/youtube_dl__GirkinGirkin_status_14942347279387238432022-02-25T14:12:54.356949.png" TargetMode="External"/><Relationship Id="rId2946" Type="http://schemas.openxmlformats.org/officeDocument/2006/relationships/hyperlink" Target="https://web.archive.org/web/20220225171809/https://twitter.com/amnestypress/status/1496872501447700481" TargetMode="External"/><Relationship Id="rId1616" Type="http://schemas.openxmlformats.org/officeDocument/2006/relationships/hyperlink" Target="https://bellingcat-archive.nyc3.cdn.digitaloceanspaces.com/Ukraine_Witness_Datasheet/Worksheet/youtube_dl_1494234727938723843/index.html" TargetMode="External"/><Relationship Id="rId2947" Type="http://schemas.openxmlformats.org/officeDocument/2006/relationships/hyperlink" Target="https://bellingcat-archive.nyc3.cdn.digitaloceanspaces.com/Ukraine_Witness_Datasheet/Worksheet/wayback__amnestypress_status_14968725014477004812022-02-25T17:18:19.029018.png" TargetMode="External"/><Relationship Id="rId907" Type="http://schemas.openxmlformats.org/officeDocument/2006/relationships/hyperlink" Target="https://web.archive.org/web/20220225144637/https://twitter.com/MarQs__/status/1490974832632025091" TargetMode="External"/><Relationship Id="rId1617" Type="http://schemas.openxmlformats.org/officeDocument/2006/relationships/hyperlink" Target="https://twitter.com/GirkinGirkin/status/1494116931854553093" TargetMode="External"/><Relationship Id="rId2948" Type="http://schemas.openxmlformats.org/officeDocument/2006/relationships/hyperlink" Target="https://twitter.com/IntelCrab/status/1496840102651256832?s=20&amp;t=vjuzVkVF9AjHtNtCWTtq9Q" TargetMode="External"/><Relationship Id="rId906" Type="http://schemas.openxmlformats.org/officeDocument/2006/relationships/hyperlink" Target="https://twitter.com/Danspiun/status/1490989346635194368" TargetMode="External"/><Relationship Id="rId1618" Type="http://schemas.openxmlformats.org/officeDocument/2006/relationships/hyperlink" Target="https://twitter.com/bobmoretti/status/1494119333135540224" TargetMode="External"/><Relationship Id="rId2949" Type="http://schemas.openxmlformats.org/officeDocument/2006/relationships/hyperlink" Target="https://bellingcat-archive.nyc3.cdn.digitaloceanspaces.com/Ukraine_Witness_Datasheet/Worksheet/twitter__IntelCrab_status_1496840102651256832.html" TargetMode="External"/><Relationship Id="rId905" Type="http://schemas.openxmlformats.org/officeDocument/2006/relationships/hyperlink" Target="https://twitter.com/MarQs__/status/1490974832632025091" TargetMode="External"/><Relationship Id="rId1619" Type="http://schemas.openxmlformats.org/officeDocument/2006/relationships/hyperlink" Target="https://bellingcat-archive.nyc3.cdn.digitaloceanspaces.com/Ukraine_Witness_Datasheet/Worksheet/youtube_dl_1494116931854553093.mp4" TargetMode="External"/><Relationship Id="rId904" Type="http://schemas.openxmlformats.org/officeDocument/2006/relationships/hyperlink" Target="https://bellingcat-archive.nyc3.cdn.digitaloceanspaces.com/Ukraine_Witness_Datasheet/Worksheet/youtube_dl_1490617911467196417/index.html" TargetMode="External"/><Relationship Id="rId909" Type="http://schemas.openxmlformats.org/officeDocument/2006/relationships/hyperlink" Target="https://twitter.com/GirkinGirkin/status/1489919918283935745" TargetMode="External"/><Relationship Id="rId908" Type="http://schemas.openxmlformats.org/officeDocument/2006/relationships/hyperlink" Target="https://bellingcat-archive.nyc3.cdn.digitaloceanspaces.com/Ukraine_Witness_Datasheet/Worksheet/wayback__MarQs___status_14909748326320250912022-02-25T14:48:26.378864.png" TargetMode="External"/><Relationship Id="rId903" Type="http://schemas.openxmlformats.org/officeDocument/2006/relationships/hyperlink" Target="https://bellingcat-archive.nyc3.cdn.digitaloceanspaces.com/Ukraine_Witness_Datasheet/Worksheet/youtube_dl__GirkinGirkin_status_14906179114671964172022-02-25T13:44:45.160578.png" TargetMode="External"/><Relationship Id="rId902" Type="http://schemas.openxmlformats.org/officeDocument/2006/relationships/hyperlink" Target="https://bellingcat-archive.nyc3.cdn.digitaloceanspaces.com/Ukraine_Witness_Datasheet/Worksheet/youtube_dl_1490617911467196417.mp4" TargetMode="External"/><Relationship Id="rId901" Type="http://schemas.openxmlformats.org/officeDocument/2006/relationships/hyperlink" Target="https://twitter.com/Danspiun/status/1491111998314418176" TargetMode="External"/><Relationship Id="rId900" Type="http://schemas.openxmlformats.org/officeDocument/2006/relationships/hyperlink" Target="https://twitter.com/GirkinGirkin/status/1490617911467196417" TargetMode="External"/><Relationship Id="rId2930" Type="http://schemas.openxmlformats.org/officeDocument/2006/relationships/hyperlink" Target="https://bellingcat-archive.nyc3.cdn.digitaloceanspaces.com/Ukraine_Witness_Datasheet/Worksheet/youtube_dl_1497250659367886892.mp4" TargetMode="External"/><Relationship Id="rId1600" Type="http://schemas.openxmlformats.org/officeDocument/2006/relationships/hyperlink" Target="https://bellingcat-archive.nyc3.cdn.digitaloceanspaces.com/Ukraine_Witness_Datasheet/Worksheet/youtube_dl__GirkinGirkin_status_14943903808125542402022-02-25T14:14:02.961486.png" TargetMode="External"/><Relationship Id="rId2931" Type="http://schemas.openxmlformats.org/officeDocument/2006/relationships/hyperlink" Target="https://bellingcat-archive.nyc3.cdn.digitaloceanspaces.com/Ukraine_Witness_Datasheet/Worksheet/youtube_dl__Tar_Milus_status_14972506593678868922022-02-25T16:56:56.511716.png" TargetMode="External"/><Relationship Id="rId1601" Type="http://schemas.openxmlformats.org/officeDocument/2006/relationships/hyperlink" Target="https://bellingcat-archive.nyc3.cdn.digitaloceanspaces.com/Ukraine_Witness_Datasheet/Worksheet/youtube_dl_1494390380812554240/index.html" TargetMode="External"/><Relationship Id="rId2932" Type="http://schemas.openxmlformats.org/officeDocument/2006/relationships/hyperlink" Target="https://bellingcat-archive.nyc3.cdn.digitaloceanspaces.com/Ukraine_Witness_Datasheet/Worksheet/youtube_dl_1497250659367886892/index.html" TargetMode="External"/><Relationship Id="rId1602" Type="http://schemas.openxmlformats.org/officeDocument/2006/relationships/hyperlink" Target="https://twitter.com/GirkinGirkin/status/1494294326251249665" TargetMode="External"/><Relationship Id="rId2933" Type="http://schemas.openxmlformats.org/officeDocument/2006/relationships/hyperlink" Target="https://twitter.com/Tar_Milus/status/1497229565831389184" TargetMode="External"/><Relationship Id="rId1603" Type="http://schemas.openxmlformats.org/officeDocument/2006/relationships/hyperlink" Target="https://twitter.com/DefMon3/status/1494343300102471686" TargetMode="External"/><Relationship Id="rId2934" Type="http://schemas.openxmlformats.org/officeDocument/2006/relationships/hyperlink" Target="https://bellingcat-archive.nyc3.cdn.digitaloceanspaces.com/Ukraine_Witness_Datasheet/Worksheet/youtube_dl_1497229565831389184.mp4" TargetMode="External"/><Relationship Id="rId1604" Type="http://schemas.openxmlformats.org/officeDocument/2006/relationships/hyperlink" Target="https://bellingcat-archive.nyc3.cdn.digitaloceanspaces.com/Ukraine_Witness_Datasheet/Worksheet/youtube_dl_1494294326251249665.mp4" TargetMode="External"/><Relationship Id="rId2935" Type="http://schemas.openxmlformats.org/officeDocument/2006/relationships/hyperlink" Target="https://bellingcat-archive.nyc3.cdn.digitaloceanspaces.com/Ukraine_Witness_Datasheet/Worksheet/youtube_dl__Tar_Milus_status_14972295658313891842022-02-25T17:14:58.164005.png" TargetMode="External"/><Relationship Id="rId1605" Type="http://schemas.openxmlformats.org/officeDocument/2006/relationships/hyperlink" Target="https://bellingcat-archive.nyc3.cdn.digitaloceanspaces.com/Ukraine_Witness_Datasheet/Worksheet/youtube_dl__GirkinGirkin_status_14942943262512496652022-02-25T14:13:46.425541.png" TargetMode="External"/><Relationship Id="rId2936" Type="http://schemas.openxmlformats.org/officeDocument/2006/relationships/hyperlink" Target="https://bellingcat-archive.nyc3.cdn.digitaloceanspaces.com/Ukraine_Witness_Datasheet/Worksheet/youtube_dl_1497229565831389184/index.html" TargetMode="External"/><Relationship Id="rId1606" Type="http://schemas.openxmlformats.org/officeDocument/2006/relationships/hyperlink" Target="https://bellingcat-archive.nyc3.cdn.digitaloceanspaces.com/Ukraine_Witness_Datasheet/Worksheet/youtube_dl_1494294326251249665/index.html" TargetMode="External"/><Relationship Id="rId2937" Type="http://schemas.openxmlformats.org/officeDocument/2006/relationships/hyperlink" Target="https://twitter.com/IBN_MOHAMMAD/status/1496778855863963650?s=20&amp;t=Au5uUu8TJjhHwjyynyG4ww" TargetMode="External"/><Relationship Id="rId1607" Type="http://schemas.openxmlformats.org/officeDocument/2006/relationships/hyperlink" Target="https://twitter.com/GirkinGirkin/status/1494253577107390469" TargetMode="External"/><Relationship Id="rId2938" Type="http://schemas.openxmlformats.org/officeDocument/2006/relationships/hyperlink" Target="https://bellingcat-archive.nyc3.cdn.digitaloceanspaces.com/Ukraine_Witness_Datasheet/Worksheet/twitter__IBN_MOHAMMAD_status_1496778855863963650.html" TargetMode="External"/><Relationship Id="rId1608" Type="http://schemas.openxmlformats.org/officeDocument/2006/relationships/hyperlink" Target="https://twitter.com/WhereisRussia/status/1494285026153967622" TargetMode="External"/><Relationship Id="rId2939" Type="http://schemas.openxmlformats.org/officeDocument/2006/relationships/hyperlink" Target="https://bellingcat-archive.nyc3.cdn.digitaloceanspaces.com/Ukraine_Witness_Datasheet/Worksheet/twitter__IBN_MOHAMMAD_status_14967788558639636502022-02-25T17:15:18.215444.png" TargetMode="External"/><Relationship Id="rId1609" Type="http://schemas.openxmlformats.org/officeDocument/2006/relationships/hyperlink" Target="https://bellingcat-archive.nyc3.cdn.digitaloceanspaces.com/Ukraine_Witness_Datasheet/Worksheet/youtube_dl_1494253577107390469.mp4" TargetMode="External"/><Relationship Id="rId1631" Type="http://schemas.openxmlformats.org/officeDocument/2006/relationships/hyperlink" Target="https://bellingcat-archive.nyc3.cdn.digitaloceanspaces.com/Ukraine_Witness_Datasheet/Worksheet/youtube_dl_1494601682663219201/index.html" TargetMode="External"/><Relationship Id="rId2962" Type="http://schemas.openxmlformats.org/officeDocument/2006/relationships/hyperlink" Target="https://twitter.com/ELINTNews/status/1497251507850334208?s=20&amp;t=uRKLngXo7Rv8OlDChLoE9Q" TargetMode="External"/><Relationship Id="rId1632" Type="http://schemas.openxmlformats.org/officeDocument/2006/relationships/hyperlink" Target="https://www.tiktok.com/@moto_bat31/video/7065692988516617474?is_copy_url=1&amp;is_from_webapp=v1" TargetMode="External"/><Relationship Id="rId2963" Type="http://schemas.openxmlformats.org/officeDocument/2006/relationships/hyperlink" Target="https://bellingcat-archive.nyc3.cdn.digitaloceanspaces.com/Ukraine_Witness_Datasheet/Worksheet/youtube_dl_1497251507850334208.mp4" TargetMode="External"/><Relationship Id="rId1633" Type="http://schemas.openxmlformats.org/officeDocument/2006/relationships/hyperlink" Target="https://twitter.com/MotolkoHelp/status/1494333849362321409" TargetMode="External"/><Relationship Id="rId2964" Type="http://schemas.openxmlformats.org/officeDocument/2006/relationships/hyperlink" Target="https://bellingcat-archive.nyc3.cdn.digitaloceanspaces.com/Ukraine_Witness_Datasheet/Worksheet/youtube_dl__ELINTNews_status_14972515078503342082022-02-25T17:21:34.948479.png" TargetMode="External"/><Relationship Id="rId1634" Type="http://schemas.openxmlformats.org/officeDocument/2006/relationships/hyperlink" Target="https://twitter.com/danvan71/status/1494358103558696964" TargetMode="External"/><Relationship Id="rId2965" Type="http://schemas.openxmlformats.org/officeDocument/2006/relationships/hyperlink" Target="https://bellingcat-archive.nyc3.cdn.digitaloceanspaces.com/Ukraine_Witness_Datasheet/Worksheet/youtube_dl_1497251507850334208/index.html" TargetMode="External"/><Relationship Id="rId1635" Type="http://schemas.openxmlformats.org/officeDocument/2006/relationships/hyperlink" Target="https://bellingcat-archive.nyc3.cdn.digitaloceanspaces.com/Ukraine_Witness_Datasheet/Worksheet/youtube_dl_1494333849362321409.mp4" TargetMode="External"/><Relationship Id="rId2966" Type="http://schemas.openxmlformats.org/officeDocument/2006/relationships/hyperlink" Target="https://t.me/nexta_live/16704" TargetMode="External"/><Relationship Id="rId1636" Type="http://schemas.openxmlformats.org/officeDocument/2006/relationships/hyperlink" Target="https://bellingcat-archive.nyc3.cdn.digitaloceanspaces.com/Ukraine_Witness_Datasheet/Worksheet/youtube_dl__MotolkoHelp_status_14943338493623214092022-02-25T14:09:03.559979.png" TargetMode="External"/><Relationship Id="rId2967" Type="http://schemas.openxmlformats.org/officeDocument/2006/relationships/hyperlink" Target="https://bellingcat-archive.nyc3.cdn.digitaloceanspaces.com/Ukraine_Witness_Datasheet/Worksheet/telegram_7ed4846e9c.mp4" TargetMode="External"/><Relationship Id="rId1637" Type="http://schemas.openxmlformats.org/officeDocument/2006/relationships/hyperlink" Target="https://bellingcat-archive.nyc3.cdn.digitaloceanspaces.com/Ukraine_Witness_Datasheet/Worksheet/youtube_dl_1494333849362321409/index.html" TargetMode="External"/><Relationship Id="rId2968" Type="http://schemas.openxmlformats.org/officeDocument/2006/relationships/hyperlink" Target="https://bellingcat-archive.nyc3.cdn.digitaloceanspaces.com/Ukraine_Witness_Datasheet/Worksheet/telegram__nexta_live_167042022-02-25T17:21:50.723613.png" TargetMode="External"/><Relationship Id="rId1638" Type="http://schemas.openxmlformats.org/officeDocument/2006/relationships/hyperlink" Target="https://twitter.com/GirkinGirkin/status/1494166438810112002" TargetMode="External"/><Relationship Id="rId2969" Type="http://schemas.openxmlformats.org/officeDocument/2006/relationships/hyperlink" Target="https://bellingcat-archive.nyc3.cdn.digitaloceanspaces.com/Ukraine_Witness_Datasheet/Worksheet/telegram_7ed4846e9c/index.html" TargetMode="External"/><Relationship Id="rId929" Type="http://schemas.openxmlformats.org/officeDocument/2006/relationships/hyperlink" Target="https://bellingcat-archive.nyc3.cdn.digitaloceanspaces.com/Ukraine_Witness_Datasheet/Worksheet/youtube_dl_1492416738595463169/index.html" TargetMode="External"/><Relationship Id="rId1639" Type="http://schemas.openxmlformats.org/officeDocument/2006/relationships/hyperlink" Target="https://twitter.com/Michael1Sheldon/status/1494407330422738950" TargetMode="External"/><Relationship Id="rId928" Type="http://schemas.openxmlformats.org/officeDocument/2006/relationships/hyperlink" Target="https://bellingcat-archive.nyc3.cdn.digitaloceanspaces.com/Ukraine_Witness_Datasheet/Worksheet/youtube_dl__GirkinGirkin_status_14924167385954631692022-02-25T13:48:29.412418.png" TargetMode="External"/><Relationship Id="rId927" Type="http://schemas.openxmlformats.org/officeDocument/2006/relationships/hyperlink" Target="https://bellingcat-archive.nyc3.cdn.digitaloceanspaces.com/Ukraine_Witness_Datasheet/Worksheet/youtube_dl_1492416738595463169.mp4" TargetMode="External"/><Relationship Id="rId926" Type="http://schemas.openxmlformats.org/officeDocument/2006/relationships/hyperlink" Target="https://twitter.com/GirkinGirkin/status/1492416738595463169" TargetMode="External"/><Relationship Id="rId921" Type="http://schemas.openxmlformats.org/officeDocument/2006/relationships/hyperlink" Target="https://bellingcat-archive.nyc3.cdn.digitaloceanspaces.com/Ukraine_Witness_Datasheet/Worksheet/youtube_dl_1492198065775722499/index.html" TargetMode="External"/><Relationship Id="rId920" Type="http://schemas.openxmlformats.org/officeDocument/2006/relationships/hyperlink" Target="https://bellingcat-archive.nyc3.cdn.digitaloceanspaces.com/Ukraine_Witness_Datasheet/Worksheet/youtube_dl__GirkinGirkin_status_14921980657757224992022-02-25T13:47:33.125051.png" TargetMode="External"/><Relationship Id="rId925" Type="http://schemas.openxmlformats.org/officeDocument/2006/relationships/hyperlink" Target="https://bellingcat-archive.nyc3.cdn.digitaloceanspaces.com/Ukraine_Witness_Datasheet/Worksheet/tiktok_7062583698213833985/index.html" TargetMode="External"/><Relationship Id="rId924" Type="http://schemas.openxmlformats.org/officeDocument/2006/relationships/hyperlink" Target="https://bellingcat-archive.nyc3.cdn.digitaloceanspaces.com/Ukraine_Witness_Datasheet/Worksheet/tiktok__@russkiivanja_video_70625836982138339852022-02-25T13:48:13.265747.png" TargetMode="External"/><Relationship Id="rId923" Type="http://schemas.openxmlformats.org/officeDocument/2006/relationships/hyperlink" Target="https://bellingcat-archive.nyc3.cdn.digitaloceanspaces.com/Ukraine_Witness_Datasheet/Worksheet/tiktok_7062583698213833985.mp4" TargetMode="External"/><Relationship Id="rId922" Type="http://schemas.openxmlformats.org/officeDocument/2006/relationships/hyperlink" Target="https://www.tiktok.com/@russkiivanja/video/7062583698213833985?is_from_webapp=1&amp;sender_device=pc&amp;web_id7028892818824480262" TargetMode="External"/><Relationship Id="rId2960" Type="http://schemas.openxmlformats.org/officeDocument/2006/relationships/hyperlink" Target="https://bellingcat-archive.nyc3.cdn.digitaloceanspaces.com/Ukraine_Witness_Datasheet/Worksheet/youtube_dl__Caucasuswar_status_14968469109126103092022-02-25T17:21:19.243289.png" TargetMode="External"/><Relationship Id="rId1630" Type="http://schemas.openxmlformats.org/officeDocument/2006/relationships/hyperlink" Target="https://bellingcat-archive.nyc3.cdn.digitaloceanspaces.com/Ukraine_Witness_Datasheet/Worksheet/youtube_dl__GirkinGirkin_status_14946016826632192012022-02-25T14:11:41.430883.png" TargetMode="External"/><Relationship Id="rId2961" Type="http://schemas.openxmlformats.org/officeDocument/2006/relationships/hyperlink" Target="https://bellingcat-archive.nyc3.cdn.digitaloceanspaces.com/Ukraine_Witness_Datasheet/Worksheet/youtube_dl_1496846910912610309/index.html" TargetMode="External"/><Relationship Id="rId1620" Type="http://schemas.openxmlformats.org/officeDocument/2006/relationships/hyperlink" Target="https://bellingcat-archive.nyc3.cdn.digitaloceanspaces.com/Ukraine_Witness_Datasheet/Worksheet/youtube_dl__GirkinGirkin_status_14941169318545530932022-02-25T14:12:37.126496.png" TargetMode="External"/><Relationship Id="rId2951" Type="http://schemas.openxmlformats.org/officeDocument/2006/relationships/hyperlink" Target="https://t.me/mariupolrada/8465" TargetMode="External"/><Relationship Id="rId1621" Type="http://schemas.openxmlformats.org/officeDocument/2006/relationships/hyperlink" Target="https://bellingcat-archive.nyc3.cdn.digitaloceanspaces.com/Ukraine_Witness_Datasheet/Worksheet/youtube_dl_1494116931854553093/index.html" TargetMode="External"/><Relationship Id="rId2952" Type="http://schemas.openxmlformats.org/officeDocument/2006/relationships/hyperlink" Target="https://bellingcat-archive.nyc3.cdn.digitaloceanspaces.com/Ukraine_Witness_Datasheet/Worksheet/telegram__mariupolrada_8465.html" TargetMode="External"/><Relationship Id="rId1622" Type="http://schemas.openxmlformats.org/officeDocument/2006/relationships/hyperlink" Target="https://twitter.com/GirkinGirkin/status/1494023598272614405" TargetMode="External"/><Relationship Id="rId2953" Type="http://schemas.openxmlformats.org/officeDocument/2006/relationships/hyperlink" Target="https://bellingcat-archive.nyc3.cdn.digitaloceanspaces.com/Ukraine_Witness_Datasheet/Worksheet/telegram__mariupolrada_84652022-02-25T20:13:28.694966.png" TargetMode="External"/><Relationship Id="rId1623" Type="http://schemas.openxmlformats.org/officeDocument/2006/relationships/hyperlink" Target="https://twitter.com/NyarUwU/status/1494046394126151691" TargetMode="External"/><Relationship Id="rId2954" Type="http://schemas.openxmlformats.org/officeDocument/2006/relationships/hyperlink" Target="https://twitter.com/MarQs__/status/1497256257937453066" TargetMode="External"/><Relationship Id="rId1624" Type="http://schemas.openxmlformats.org/officeDocument/2006/relationships/hyperlink" Target="https://bellingcat-archive.nyc3.cdn.digitaloceanspaces.com/Ukraine_Witness_Datasheet/Worksheet/youtube_dl_1494023598272614405.mp4" TargetMode="External"/><Relationship Id="rId2955" Type="http://schemas.openxmlformats.org/officeDocument/2006/relationships/hyperlink" Target="https://bellingcat-archive.nyc3.cdn.digitaloceanspaces.com/Ukraine_Witness_Datasheet/Worksheet/youtube_dl_1497256257937453066.mp4" TargetMode="External"/><Relationship Id="rId1625" Type="http://schemas.openxmlformats.org/officeDocument/2006/relationships/hyperlink" Target="https://bellingcat-archive.nyc3.cdn.digitaloceanspaces.com/Ukraine_Witness_Datasheet/Worksheet/youtube_dl__GirkinGirkin_status_14940235982726144052022-02-25T14:12:09.884812.png" TargetMode="External"/><Relationship Id="rId2956" Type="http://schemas.openxmlformats.org/officeDocument/2006/relationships/hyperlink" Target="https://bellingcat-archive.nyc3.cdn.digitaloceanspaces.com/Ukraine_Witness_Datasheet/Worksheet/youtube_dl__MarQs___status_14972562579374530662022-02-25T17:21:01.145135.png" TargetMode="External"/><Relationship Id="rId1626" Type="http://schemas.openxmlformats.org/officeDocument/2006/relationships/hyperlink" Target="https://bellingcat-archive.nyc3.cdn.digitaloceanspaces.com/Ukraine_Witness_Datasheet/Worksheet/youtube_dl_1494023598272614405/index.html" TargetMode="External"/><Relationship Id="rId2957" Type="http://schemas.openxmlformats.org/officeDocument/2006/relationships/hyperlink" Target="https://bellingcat-archive.nyc3.cdn.digitaloceanspaces.com/Ukraine_Witness_Datasheet/Worksheet/youtube_dl_1497256257937453066/index.html" TargetMode="External"/><Relationship Id="rId1627" Type="http://schemas.openxmlformats.org/officeDocument/2006/relationships/hyperlink" Target="https://twitter.com/GirkinGirkin/status/1494601682663219201" TargetMode="External"/><Relationship Id="rId2958" Type="http://schemas.openxmlformats.org/officeDocument/2006/relationships/hyperlink" Target="https://twitter.com/Caucasuswar/status/1496846910912610309?s=20&amp;t=vjuzVkVF9AjHtNtCWTtq9Q" TargetMode="External"/><Relationship Id="rId918" Type="http://schemas.openxmlformats.org/officeDocument/2006/relationships/hyperlink" Target="https://twitter.com/GirkinGirkin/status/1492198065775722499" TargetMode="External"/><Relationship Id="rId1628" Type="http://schemas.openxmlformats.org/officeDocument/2006/relationships/hyperlink" Target="https://twitter.com/ohsenty/status/1494604467152429056" TargetMode="External"/><Relationship Id="rId2959" Type="http://schemas.openxmlformats.org/officeDocument/2006/relationships/hyperlink" Target="https://bellingcat-archive.nyc3.cdn.digitaloceanspaces.com/Ukraine_Witness_Datasheet/Worksheet/youtube_dl_1496846910912610309.mp4" TargetMode="External"/><Relationship Id="rId917" Type="http://schemas.openxmlformats.org/officeDocument/2006/relationships/hyperlink" Target="https://bellingcat-archive.nyc3.cdn.digitaloceanspaces.com/Ukraine_Witness_Datasheet/Worksheet/youtube_dl_1492213193250324487/index.html" TargetMode="External"/><Relationship Id="rId1629" Type="http://schemas.openxmlformats.org/officeDocument/2006/relationships/hyperlink" Target="https://bellingcat-archive.nyc3.cdn.digitaloceanspaces.com/Ukraine_Witness_Datasheet/Worksheet/youtube_dl_1494601682663219201.mp4" TargetMode="External"/><Relationship Id="rId916" Type="http://schemas.openxmlformats.org/officeDocument/2006/relationships/hyperlink" Target="https://bellingcat-archive.nyc3.cdn.digitaloceanspaces.com/Ukraine_Witness_Datasheet/Worksheet/youtube_dl__GirkinGirkin_status_14922131932503244872022-02-25T13:47:13.762855.png" TargetMode="External"/><Relationship Id="rId915" Type="http://schemas.openxmlformats.org/officeDocument/2006/relationships/hyperlink" Target="https://bellingcat-archive.nyc3.cdn.digitaloceanspaces.com/Ukraine_Witness_Datasheet/Worksheet/youtube_dl_1492213193250324487.mp4" TargetMode="External"/><Relationship Id="rId919" Type="http://schemas.openxmlformats.org/officeDocument/2006/relationships/hyperlink" Target="https://bellingcat-archive.nyc3.cdn.digitaloceanspaces.com/Ukraine_Witness_Datasheet/Worksheet/youtube_dl_1492198065775722499.mp4" TargetMode="External"/><Relationship Id="rId910" Type="http://schemas.openxmlformats.org/officeDocument/2006/relationships/hyperlink" Target="https://twitter.com/Danspiun/status/1490663636364320769" TargetMode="External"/><Relationship Id="rId914" Type="http://schemas.openxmlformats.org/officeDocument/2006/relationships/hyperlink" Target="https://twitter.com/GirkinGirkin/status/1492213193250324487" TargetMode="External"/><Relationship Id="rId913" Type="http://schemas.openxmlformats.org/officeDocument/2006/relationships/hyperlink" Target="https://bellingcat-archive.nyc3.cdn.digitaloceanspaces.com/Ukraine_Witness_Datasheet/Worksheet/youtube_dl_1489919918283935745/index.html" TargetMode="External"/><Relationship Id="rId912" Type="http://schemas.openxmlformats.org/officeDocument/2006/relationships/hyperlink" Target="https://bellingcat-archive.nyc3.cdn.digitaloceanspaces.com/Ukraine_Witness_Datasheet/Worksheet/youtube_dl__GirkinGirkin_status_14899199182839357452022-02-25T13:46:49.584683.png" TargetMode="External"/><Relationship Id="rId911" Type="http://schemas.openxmlformats.org/officeDocument/2006/relationships/hyperlink" Target="https://bellingcat-archive.nyc3.cdn.digitaloceanspaces.com/Ukraine_Witness_Datasheet/Worksheet/youtube_dl_1489919918283935745.mp4" TargetMode="External"/><Relationship Id="rId2950" Type="http://schemas.openxmlformats.org/officeDocument/2006/relationships/hyperlink" Target="https://bellingcat-archive.nyc3.cdn.digitaloceanspaces.com/Ukraine_Witness_Datasheet/Worksheet/twitter__IntelCrab_status_14968401026512568322022-02-25T17:18:45.370932.png" TargetMode="External"/><Relationship Id="rId2900" Type="http://schemas.openxmlformats.org/officeDocument/2006/relationships/hyperlink" Target="https://bellingcat-archive.nyc3.cdn.digitaloceanspaces.com/Ukraine_Witness_Datasheet/Worksheet/youtube_dl_1496737243255480321/index.html" TargetMode="External"/><Relationship Id="rId2901" Type="http://schemas.openxmlformats.org/officeDocument/2006/relationships/hyperlink" Target="https://twitter.com/realistqx1/status/1496757503195029508?s=20&amp;t=Au5uUu8TJjhHwjyynyG4ww" TargetMode="External"/><Relationship Id="rId2902" Type="http://schemas.openxmlformats.org/officeDocument/2006/relationships/hyperlink" Target="https://bellingcat-archive.nyc3.cdn.digitaloceanspaces.com/Ukraine_Witness_Datasheet/Worksheet/youtube_dl_1496757503195029508.mp4" TargetMode="External"/><Relationship Id="rId2903" Type="http://schemas.openxmlformats.org/officeDocument/2006/relationships/hyperlink" Target="https://bellingcat-archive.nyc3.cdn.digitaloceanspaces.com/Ukraine_Witness_Datasheet/Worksheet/youtube_dl__realistqx1_status_14967575031950295082022-02-25T16:52:47.871209.png" TargetMode="External"/><Relationship Id="rId2904" Type="http://schemas.openxmlformats.org/officeDocument/2006/relationships/hyperlink" Target="https://bellingcat-archive.nyc3.cdn.digitaloceanspaces.com/Ukraine_Witness_Datasheet/Worksheet/youtube_dl_1496757503195029508/index.html" TargetMode="External"/><Relationship Id="rId2905" Type="http://schemas.openxmlformats.org/officeDocument/2006/relationships/hyperlink" Target="https://twitter.com/Liveuamap/status/1496739229040537603?s=20&amp;t=teqfp5yPtAKLW8Ri7PMI5g" TargetMode="External"/><Relationship Id="rId2906" Type="http://schemas.openxmlformats.org/officeDocument/2006/relationships/hyperlink" Target="https://bellingcat-archive.nyc3.cdn.digitaloceanspaces.com/Ukraine_Witness_Datasheet/Worksheet/twitter__Liveuamap_status_1496739229040537603.html" TargetMode="External"/><Relationship Id="rId2907" Type="http://schemas.openxmlformats.org/officeDocument/2006/relationships/hyperlink" Target="https://bellingcat-archive.nyc3.cdn.digitaloceanspaces.com/Ukraine_Witness_Datasheet/Worksheet/twitter__Liveuamap_status_14967392290405376032022-02-25T16:53:05.580969.png" TargetMode="External"/><Relationship Id="rId2908" Type="http://schemas.openxmlformats.org/officeDocument/2006/relationships/hyperlink" Target="https://twitter.com/AFP/status/1496768532448788482" TargetMode="External"/><Relationship Id="rId2909" Type="http://schemas.openxmlformats.org/officeDocument/2006/relationships/hyperlink" Target="https://bellingcat-archive.nyc3.cdn.digitaloceanspaces.com/Ukraine_Witness_Datasheet/Worksheet/youtube_dl_1496768532448788482.mp4" TargetMode="External"/><Relationship Id="rId5170" Type="http://schemas.openxmlformats.org/officeDocument/2006/relationships/hyperlink" Target="https://bellingcat-archive.nyc3.cdn.digitaloceanspaces.com/Ukraine_Witness_Datasheet/Worksheet/twitter__GirkinGirkin_status_1499373208918712322.html" TargetMode="External"/><Relationship Id="rId5171" Type="http://schemas.openxmlformats.org/officeDocument/2006/relationships/hyperlink" Target="https://bellingcat-archive.nyc3.cdn.digitaloceanspaces.com/Ukraine_Witness_Datasheet/Worksheet/twitter__GirkinGirkin_status_14993732089187123222022-03-03T13:35:12.133979.png" TargetMode="External"/><Relationship Id="rId5174" Type="http://schemas.openxmlformats.org/officeDocument/2006/relationships/hyperlink" Target="https://bellingcat-archive.nyc3.cdn.digitaloceanspaces.com/Ukraine_Witness_Datasheet/Worksheet/youtube_dl__MarQs___status_14993743869686743142022-03-03T13:40:11.878344.png" TargetMode="External"/><Relationship Id="rId5175" Type="http://schemas.openxmlformats.org/officeDocument/2006/relationships/hyperlink" Target="https://bellingcat-archive.nyc3.cdn.digitaloceanspaces.com/Ukraine_Witness_Datasheet/Worksheet/youtube_dl_1499374386968674314/index.html" TargetMode="External"/><Relationship Id="rId5172" Type="http://schemas.openxmlformats.org/officeDocument/2006/relationships/hyperlink" Target="https://twitter.com/MarQs__/status/1499374386968674314" TargetMode="External"/><Relationship Id="rId5173" Type="http://schemas.openxmlformats.org/officeDocument/2006/relationships/hyperlink" Target="https://bellingcat-archive.nyc3.cdn.digitaloceanspaces.com/Ukraine_Witness_Datasheet/Worksheet/youtube_dl_1499374386968674314.mp4" TargetMode="External"/><Relationship Id="rId5178" Type="http://schemas.openxmlformats.org/officeDocument/2006/relationships/hyperlink" Target="https://bellingcat-archive.nyc3.cdn.digitaloceanspaces.com/Ukraine_Witness_Datasheet/Worksheet/telegram_8b95d41fd4.mp4" TargetMode="External"/><Relationship Id="rId5179" Type="http://schemas.openxmlformats.org/officeDocument/2006/relationships/hyperlink" Target="https://bellingcat-archive.nyc3.cdn.digitaloceanspaces.com/Ukraine_Witness_Datasheet/Worksheet/telegram__voyna_novost_170362022-03-03T14:05:10.284768.png" TargetMode="External"/><Relationship Id="rId5176" Type="http://schemas.openxmlformats.org/officeDocument/2006/relationships/hyperlink" Target="https://t.me/voyna_novost/17036" TargetMode="External"/><Relationship Id="rId5177" Type="http://schemas.openxmlformats.org/officeDocument/2006/relationships/hyperlink" Target="https://t.me/voyna_novost/17036" TargetMode="External"/><Relationship Id="rId6490" Type="http://schemas.openxmlformats.org/officeDocument/2006/relationships/hyperlink" Target="https://bellingcat-archive.nyc3.cdn.digitaloceanspaces.com/Ukraine_Witness_Datasheet/Worksheet/youtube_dl__nexta_tv_status_15008367338056335402022-03-07T15:20:37.739851.png" TargetMode="External"/><Relationship Id="rId5160" Type="http://schemas.openxmlformats.org/officeDocument/2006/relationships/hyperlink" Target="https://twitter.com/nexta_tv/status/1499372565957160964" TargetMode="External"/><Relationship Id="rId6491" Type="http://schemas.openxmlformats.org/officeDocument/2006/relationships/hyperlink" Target="https://bellingcat-archive.nyc3.cdn.digitaloceanspaces.com/Ukraine_Witness_Datasheet/Worksheet/youtube_dl_1500836733805633540/index.html" TargetMode="External"/><Relationship Id="rId5163" Type="http://schemas.openxmlformats.org/officeDocument/2006/relationships/hyperlink" Target="https://bellingcat-archive.nyc3.cdn.digitaloceanspaces.com/Ukraine_Witness_Datasheet/Worksheet/youtube_dl__nexta_tv_status_14993725659571609642022-03-03T13:20:14.429405.png" TargetMode="External"/><Relationship Id="rId6494" Type="http://schemas.openxmlformats.org/officeDocument/2006/relationships/hyperlink" Target="https://bellingcat-archive.nyc3.cdn.digitaloceanspaces.com/Ukraine_Witness_Datasheet/Worksheet/youtube_dl__nexta_tv_status_15008287114693427232022-03-07T15:26:21.372565.png" TargetMode="External"/><Relationship Id="rId5164" Type="http://schemas.openxmlformats.org/officeDocument/2006/relationships/hyperlink" Target="https://bellingcat-archive.nyc3.cdn.digitaloceanspaces.com/Ukraine_Witness_Datasheet/Worksheet/youtube_dl_1499372565957160964/index.html" TargetMode="External"/><Relationship Id="rId6495" Type="http://schemas.openxmlformats.org/officeDocument/2006/relationships/hyperlink" Target="https://bellingcat-archive.nyc3.cdn.digitaloceanspaces.com/Ukraine_Witness_Datasheet/Worksheet/youtube_dl_1500828711469342723/index.html" TargetMode="External"/><Relationship Id="rId5161" Type="http://schemas.openxmlformats.org/officeDocument/2006/relationships/hyperlink" Target="https://twitter.com/KyleJGlen/status/1499389120317059074" TargetMode="External"/><Relationship Id="rId6492" Type="http://schemas.openxmlformats.org/officeDocument/2006/relationships/hyperlink" Target="https://twitter.com/nexta_tv/status/1500828711469342723" TargetMode="External"/><Relationship Id="rId5162" Type="http://schemas.openxmlformats.org/officeDocument/2006/relationships/hyperlink" Target="https://bellingcat-archive.nyc3.cdn.digitaloceanspaces.com/Ukraine_Witness_Datasheet/Worksheet/youtube_dl_1499372565957160964.mp4" TargetMode="External"/><Relationship Id="rId6493" Type="http://schemas.openxmlformats.org/officeDocument/2006/relationships/hyperlink" Target="https://bellingcat-archive.nyc3.cdn.digitaloceanspaces.com/Ukraine_Witness_Datasheet/Worksheet/youtube_dl_1500828711469342723.mp4" TargetMode="External"/><Relationship Id="rId5167" Type="http://schemas.openxmlformats.org/officeDocument/2006/relationships/hyperlink" Target="https://bellingcat-archive.nyc3.cdn.digitaloceanspaces.com/Ukraine_Witness_Datasheet/Worksheet/youtube_dl__nexta_tv_status_14989065719165911102022-03-03T13:30:16.894077.png" TargetMode="External"/><Relationship Id="rId6498" Type="http://schemas.openxmlformats.org/officeDocument/2006/relationships/hyperlink" Target="https://bellingcat-archive.nyc3.cdn.digitaloceanspaces.com/Ukraine_Witness_Datasheet/Worksheet/youtube_dl__nexta_tv_status_15008224126733107242022-03-07T15:30:15.649793.png" TargetMode="External"/><Relationship Id="rId5168" Type="http://schemas.openxmlformats.org/officeDocument/2006/relationships/hyperlink" Target="https://bellingcat-archive.nyc3.cdn.digitaloceanspaces.com/Ukraine_Witness_Datasheet/Worksheet/youtube_dl_1498906571916591110/index.html" TargetMode="External"/><Relationship Id="rId6499" Type="http://schemas.openxmlformats.org/officeDocument/2006/relationships/hyperlink" Target="https://bellingcat-archive.nyc3.cdn.digitaloceanspaces.com/Ukraine_Witness_Datasheet/Worksheet/youtube_dl_1500822412673310724/index.html" TargetMode="External"/><Relationship Id="rId5165" Type="http://schemas.openxmlformats.org/officeDocument/2006/relationships/hyperlink" Target="https://twitter.com/nexta_tv/status/1498906571916591110" TargetMode="External"/><Relationship Id="rId6496" Type="http://schemas.openxmlformats.org/officeDocument/2006/relationships/hyperlink" Target="https://twitter.com/nexta_tv/status/1500822412673310724" TargetMode="External"/><Relationship Id="rId5166" Type="http://schemas.openxmlformats.org/officeDocument/2006/relationships/hyperlink" Target="https://bellingcat-archive.nyc3.cdn.digitaloceanspaces.com/Ukraine_Witness_Datasheet/Worksheet/youtube_dl_1498906571916591110.mp4" TargetMode="External"/><Relationship Id="rId6497" Type="http://schemas.openxmlformats.org/officeDocument/2006/relationships/hyperlink" Target="https://bellingcat-archive.nyc3.cdn.digitaloceanspaces.com/Ukraine_Witness_Datasheet/Worksheet/youtube_dl_1500822412673310724.mp4" TargetMode="External"/><Relationship Id="rId5169" Type="http://schemas.openxmlformats.org/officeDocument/2006/relationships/hyperlink" Target="https://twitter.com/GirkinGirkin/status/1499373208918712322" TargetMode="External"/><Relationship Id="rId2920" Type="http://schemas.openxmlformats.org/officeDocument/2006/relationships/hyperlink" Target="https://bellingcat-archive.nyc3.cdn.digitaloceanspaces.com/Ukraine_Witness_Datasheet/Worksheet/twitter__AuroraIntel_status_1496791736504528897.html" TargetMode="External"/><Relationship Id="rId2921" Type="http://schemas.openxmlformats.org/officeDocument/2006/relationships/hyperlink" Target="https://bellingcat-archive.nyc3.cdn.digitaloceanspaces.com/Ukraine_Witness_Datasheet/Worksheet/twitter__AuroraIntel_status_14967917365045288972022-02-25T16:54:08.998901.png" TargetMode="External"/><Relationship Id="rId2922" Type="http://schemas.openxmlformats.org/officeDocument/2006/relationships/hyperlink" Target="https://twitter.com/olgatokariuk/status/1496794328806612993?s=20&amp;t=Au5uUu8TJjhHwjyynyG4ww" TargetMode="External"/><Relationship Id="rId2923" Type="http://schemas.openxmlformats.org/officeDocument/2006/relationships/hyperlink" Target="https://bellingcat-archive.nyc3.cdn.digitaloceanspaces.com/Ukraine_Witness_Datasheet/Worksheet/twitter__olgatokariuk_status_1496794328806612993.html" TargetMode="External"/><Relationship Id="rId2924" Type="http://schemas.openxmlformats.org/officeDocument/2006/relationships/hyperlink" Target="https://bellingcat-archive.nyc3.cdn.digitaloceanspaces.com/Ukraine_Witness_Datasheet/Worksheet/twitter__olgatokariuk_status_14967943288066129932022-02-25T16:54:20.729653.png" TargetMode="External"/><Relationship Id="rId2925" Type="http://schemas.openxmlformats.org/officeDocument/2006/relationships/hyperlink" Target="https://twitter.com/NavyLookout/status/1497247647597486088" TargetMode="External"/><Relationship Id="rId2926" Type="http://schemas.openxmlformats.org/officeDocument/2006/relationships/hyperlink" Target="https://bellingcat-archive.nyc3.cdn.digitaloceanspaces.com/Ukraine_Witness_Datasheet/Worksheet/youtube_dl_1497247647597486088.mp4" TargetMode="External"/><Relationship Id="rId2927" Type="http://schemas.openxmlformats.org/officeDocument/2006/relationships/hyperlink" Target="https://bellingcat-archive.nyc3.cdn.digitaloceanspaces.com/Ukraine_Witness_Datasheet/Worksheet/youtube_dl__NavyLookout_status_14972476475974860882022-02-25T16:56:39.029614.png" TargetMode="External"/><Relationship Id="rId2928" Type="http://schemas.openxmlformats.org/officeDocument/2006/relationships/hyperlink" Target="https://bellingcat-archive.nyc3.cdn.digitaloceanspaces.com/Ukraine_Witness_Datasheet/Worksheet/youtube_dl_1497247647597486088/index.html" TargetMode="External"/><Relationship Id="rId2929" Type="http://schemas.openxmlformats.org/officeDocument/2006/relationships/hyperlink" Target="https://twitter.com/Tar_Milus/status/1497250659367886892" TargetMode="External"/><Relationship Id="rId5192" Type="http://schemas.openxmlformats.org/officeDocument/2006/relationships/hyperlink" Target="https://t.me/truexanewsua/27406" TargetMode="External"/><Relationship Id="rId5193" Type="http://schemas.openxmlformats.org/officeDocument/2006/relationships/hyperlink" Target="https://t.me/truexanewsua/27411" TargetMode="External"/><Relationship Id="rId5190" Type="http://schemas.openxmlformats.org/officeDocument/2006/relationships/hyperlink" Target="https://bellingcat-archive.nyc3.cdn.digitaloceanspaces.com/Ukraine_Witness_Datasheet/Worksheet/telegram__truexanewsua_274062022-03-03T14:07:26.125128.png" TargetMode="External"/><Relationship Id="rId5191" Type="http://schemas.openxmlformats.org/officeDocument/2006/relationships/hyperlink" Target="https://bellingcat-archive.nyc3.cdn.digitaloceanspaces.com/Ukraine_Witness_Datasheet/Worksheet/telegram_33e2a12b65/index.html" TargetMode="External"/><Relationship Id="rId5196" Type="http://schemas.openxmlformats.org/officeDocument/2006/relationships/hyperlink" Target="https://bellingcat-archive.nyc3.cdn.digitaloceanspaces.com/Ukraine_Witness_Datasheet/Worksheet/telegram__truexanewsua_274112022-03-03T14:08:00.415770.png" TargetMode="External"/><Relationship Id="rId5197" Type="http://schemas.openxmlformats.org/officeDocument/2006/relationships/hyperlink" Target="https://bellingcat-archive.nyc3.cdn.digitaloceanspaces.com/Ukraine_Witness_Datasheet/Worksheet/telegram_807c07766a/index.html" TargetMode="External"/><Relationship Id="rId5194" Type="http://schemas.openxmlformats.org/officeDocument/2006/relationships/hyperlink" Target="https://t.me/truexanewsua/27411" TargetMode="External"/><Relationship Id="rId5195" Type="http://schemas.openxmlformats.org/officeDocument/2006/relationships/hyperlink" Target="https://bellingcat-archive.nyc3.cdn.digitaloceanspaces.com/Ukraine_Witness_Datasheet/Worksheet/telegram_807c07766a.mp4" TargetMode="External"/><Relationship Id="rId5198" Type="http://schemas.openxmlformats.org/officeDocument/2006/relationships/hyperlink" Target="https://t.me/truexanewsua/27411" TargetMode="External"/><Relationship Id="rId5199" Type="http://schemas.openxmlformats.org/officeDocument/2006/relationships/hyperlink" Target="https://twitter.com/bura_tinko/status/1498896758641987584?s=20&amp;t=kQifLc_CQ24buOz5a_aKIw" TargetMode="External"/><Relationship Id="rId2910" Type="http://schemas.openxmlformats.org/officeDocument/2006/relationships/hyperlink" Target="https://bellingcat-archive.nyc3.cdn.digitaloceanspaces.com/Ukraine_Witness_Datasheet/Worksheet/youtube_dl__AFP_status_14967685324487884822022-02-25T16:53:20.246017.png" TargetMode="External"/><Relationship Id="rId2911" Type="http://schemas.openxmlformats.org/officeDocument/2006/relationships/hyperlink" Target="https://bellingcat-archive.nyc3.cdn.digitaloceanspaces.com/Ukraine_Witness_Datasheet/Worksheet/youtube_dl_1496768532448788482/index.html" TargetMode="External"/><Relationship Id="rId2912" Type="http://schemas.openxmlformats.org/officeDocument/2006/relationships/hyperlink" Target="https://twitter.com/FannyFacsar/status/1496787968203231232?s=20&amp;t=Au5uUu8TJjhHwjyynyG4ww" TargetMode="External"/><Relationship Id="rId2913" Type="http://schemas.openxmlformats.org/officeDocument/2006/relationships/hyperlink" Target="https://bellingcat-archive.nyc3.cdn.digitaloceanspaces.com/Ukraine_Witness_Datasheet/Worksheet/youtube_dl_1496787968203231232.mp4" TargetMode="External"/><Relationship Id="rId2914" Type="http://schemas.openxmlformats.org/officeDocument/2006/relationships/hyperlink" Target="https://bellingcat-archive.nyc3.cdn.digitaloceanspaces.com/Ukraine_Witness_Datasheet/Worksheet/youtube_dl__FannyFacsar_status_14967879682032312322022-02-25T16:53:39.635871.png" TargetMode="External"/><Relationship Id="rId2915" Type="http://schemas.openxmlformats.org/officeDocument/2006/relationships/hyperlink" Target="https://bellingcat-archive.nyc3.cdn.digitaloceanspaces.com/Ukraine_Witness_Datasheet/Worksheet/youtube_dl_1496787968203231232/index.html" TargetMode="External"/><Relationship Id="rId2916" Type="http://schemas.openxmlformats.org/officeDocument/2006/relationships/hyperlink" Target="https://twitter.com/TreyYingst/status/1496793744590389249?s=20&amp;t=Au5uUu8TJjhHwjyynyG4ww" TargetMode="External"/><Relationship Id="rId2917" Type="http://schemas.openxmlformats.org/officeDocument/2006/relationships/hyperlink" Target="https://bellingcat-archive.nyc3.cdn.digitaloceanspaces.com/Ukraine_Witness_Datasheet/Worksheet/twitter__TreyYingst_status_1496793744590389249.html" TargetMode="External"/><Relationship Id="rId2918" Type="http://schemas.openxmlformats.org/officeDocument/2006/relationships/hyperlink" Target="https://bellingcat-archive.nyc3.cdn.digitaloceanspaces.com/Ukraine_Witness_Datasheet/Worksheet/twitter__TreyYingst_status_14967937445903892492022-02-25T16:53:56.478122.png" TargetMode="External"/><Relationship Id="rId2919" Type="http://schemas.openxmlformats.org/officeDocument/2006/relationships/hyperlink" Target="https://twitter.com/AuroraIntel/status/1496791736504528897?s=20&amp;t=Au5uUu8TJjhHwjyynyG4ww" TargetMode="External"/><Relationship Id="rId5181" Type="http://schemas.openxmlformats.org/officeDocument/2006/relationships/hyperlink" Target="https://t.me/voyna_novost/17036" TargetMode="External"/><Relationship Id="rId5182" Type="http://schemas.openxmlformats.org/officeDocument/2006/relationships/hyperlink" Target="https://t.me/truexanewsua/27415" TargetMode="External"/><Relationship Id="rId5180" Type="http://schemas.openxmlformats.org/officeDocument/2006/relationships/hyperlink" Target="https://bellingcat-archive.nyc3.cdn.digitaloceanspaces.com/Ukraine_Witness_Datasheet/Worksheet/telegram_8b95d41fd4/index.html" TargetMode="External"/><Relationship Id="rId5185" Type="http://schemas.openxmlformats.org/officeDocument/2006/relationships/hyperlink" Target="https://bellingcat-archive.nyc3.cdn.digitaloceanspaces.com/Ukraine_Witness_Datasheet/Worksheet/telegram__truexanewsua_274152022-03-03T14:05:51.987265.png" TargetMode="External"/><Relationship Id="rId5186" Type="http://schemas.openxmlformats.org/officeDocument/2006/relationships/hyperlink" Target="https://bellingcat-archive.nyc3.cdn.digitaloceanspaces.com/Ukraine_Witness_Datasheet/Worksheet/telegram_f5d71ac551/index.html" TargetMode="External"/><Relationship Id="rId5183" Type="http://schemas.openxmlformats.org/officeDocument/2006/relationships/hyperlink" Target="https://t.me/truexanewsua/27415" TargetMode="External"/><Relationship Id="rId5184" Type="http://schemas.openxmlformats.org/officeDocument/2006/relationships/hyperlink" Target="https://bellingcat-archive.nyc3.cdn.digitaloceanspaces.com/Ukraine_Witness_Datasheet/Worksheet/telegram_f5d71ac551.mp4" TargetMode="External"/><Relationship Id="rId5189" Type="http://schemas.openxmlformats.org/officeDocument/2006/relationships/hyperlink" Target="https://bellingcat-archive.nyc3.cdn.digitaloceanspaces.com/Ukraine_Witness_Datasheet/Worksheet/telegram_33e2a12b65.mp4" TargetMode="External"/><Relationship Id="rId5187" Type="http://schemas.openxmlformats.org/officeDocument/2006/relationships/hyperlink" Target="https://t.me/truexanewsua/27415" TargetMode="External"/><Relationship Id="rId5188" Type="http://schemas.openxmlformats.org/officeDocument/2006/relationships/hyperlink" Target="https://t.me/truexanewsua/27406" TargetMode="External"/><Relationship Id="rId1697" Type="http://schemas.openxmlformats.org/officeDocument/2006/relationships/hyperlink" Target="https://twitter.com/herooftheday10/status/1494720540258488329" TargetMode="External"/><Relationship Id="rId1698" Type="http://schemas.openxmlformats.org/officeDocument/2006/relationships/hyperlink" Target="https://twitter.com/gfusfus/status/1494723645561839623" TargetMode="External"/><Relationship Id="rId1699" Type="http://schemas.openxmlformats.org/officeDocument/2006/relationships/hyperlink" Target="https://web.archive.org/web/20220225140452/https://twitter.com/herooftheday10/status/1494720540258488329" TargetMode="External"/><Relationship Id="rId866" Type="http://schemas.openxmlformats.org/officeDocument/2006/relationships/hyperlink" Target="https://bellingcat-archive.nyc3.cdn.digitaloceanspaces.com/Ukraine_Witness_Datasheet/Worksheet/youtube_dl_1489321944617005062/index.html" TargetMode="External"/><Relationship Id="rId865" Type="http://schemas.openxmlformats.org/officeDocument/2006/relationships/hyperlink" Target="https://bellingcat-archive.nyc3.cdn.digitaloceanspaces.com/Ukraine_Witness_Datasheet/Worksheet/youtube_dl__Michael1Sheldon_status_14893219446170050622022-02-25T13:40:28.393712.png" TargetMode="External"/><Relationship Id="rId864" Type="http://schemas.openxmlformats.org/officeDocument/2006/relationships/hyperlink" Target="https://bellingcat-archive.nyc3.cdn.digitaloceanspaces.com/Ukraine_Witness_Datasheet/Worksheet/youtube_dl_1489321944617005062.mp4" TargetMode="External"/><Relationship Id="rId863" Type="http://schemas.openxmlformats.org/officeDocument/2006/relationships/hyperlink" Target="https://twitter.com/Michael1Sheldon/status/1489322451880366082" TargetMode="External"/><Relationship Id="rId869" Type="http://schemas.openxmlformats.org/officeDocument/2006/relationships/hyperlink" Target="https://bellingcat-archive.nyc3.cdn.digitaloceanspaces.com/Ukraine_Witness_Datasheet/Worksheet/youtube_dl_1488755442914316288.mp4" TargetMode="External"/><Relationship Id="rId868" Type="http://schemas.openxmlformats.org/officeDocument/2006/relationships/hyperlink" Target="https://twitter.com/Michael1Sheldon/status/1488761521920520196" TargetMode="External"/><Relationship Id="rId867" Type="http://schemas.openxmlformats.org/officeDocument/2006/relationships/hyperlink" Target="https://twitter.com/Michael1Sheldon/status/1488755442914316288" TargetMode="External"/><Relationship Id="rId1690" Type="http://schemas.openxmlformats.org/officeDocument/2006/relationships/hyperlink" Target="https://bellingcat-archive.nyc3.cdn.digitaloceanspaces.com/Ukraine_Witness_Datasheet/Worksheet/youtube_dl_1494668118320373762.mp4" TargetMode="External"/><Relationship Id="rId1691" Type="http://schemas.openxmlformats.org/officeDocument/2006/relationships/hyperlink" Target="https://bellingcat-archive.nyc3.cdn.digitaloceanspaces.com/Ukraine_Witness_Datasheet/Worksheet/youtube_dl__MotolkoHelp_status_14946681183203737622022-02-25T14:05:35.696848.png" TargetMode="External"/><Relationship Id="rId1692" Type="http://schemas.openxmlformats.org/officeDocument/2006/relationships/hyperlink" Target="https://bellingcat-archive.nyc3.cdn.digitaloceanspaces.com/Ukraine_Witness_Datasheet/Worksheet/youtube_dl_1494668118320373762/index.html" TargetMode="External"/><Relationship Id="rId862" Type="http://schemas.openxmlformats.org/officeDocument/2006/relationships/hyperlink" Target="https://twitter.com/Michael1Sheldon/status/1489321944617005062" TargetMode="External"/><Relationship Id="rId1693" Type="http://schemas.openxmlformats.org/officeDocument/2006/relationships/hyperlink" Target="https://twitter.com/GirkinGirkin/status/1494733367597805569" TargetMode="External"/><Relationship Id="rId861" Type="http://schemas.openxmlformats.org/officeDocument/2006/relationships/hyperlink" Target="https://bellingcat-archive.nyc3.cdn.digitaloceanspaces.com/Ukraine_Witness_Datasheet/Worksheet/youtube_dl_1489458618898739200/index.html" TargetMode="External"/><Relationship Id="rId1694" Type="http://schemas.openxmlformats.org/officeDocument/2006/relationships/hyperlink" Target="https://bellingcat-archive.nyc3.cdn.digitaloceanspaces.com/Ukraine_Witness_Datasheet/Worksheet/youtube_dl_1494733367597805569.mp4" TargetMode="External"/><Relationship Id="rId860" Type="http://schemas.openxmlformats.org/officeDocument/2006/relationships/hyperlink" Target="https://bellingcat-archive.nyc3.cdn.digitaloceanspaces.com/Ukraine_Witness_Datasheet/Worksheet/youtube_dl__Michael1Sheldon_status_14894586188987392002022-02-25T13:40:09.085128.png" TargetMode="External"/><Relationship Id="rId1695" Type="http://schemas.openxmlformats.org/officeDocument/2006/relationships/hyperlink" Target="https://bellingcat-archive.nyc3.cdn.digitaloceanspaces.com/Ukraine_Witness_Datasheet/Worksheet/youtube_dl__GirkinGirkin_status_14947333675978055692022-02-25T14:05:17.085100.png" TargetMode="External"/><Relationship Id="rId1696" Type="http://schemas.openxmlformats.org/officeDocument/2006/relationships/hyperlink" Target="https://bellingcat-archive.nyc3.cdn.digitaloceanspaces.com/Ukraine_Witness_Datasheet/Worksheet/youtube_dl_1494733367597805569/index.html" TargetMode="External"/><Relationship Id="rId1686" Type="http://schemas.openxmlformats.org/officeDocument/2006/relationships/hyperlink" Target="https://bellingcat-archive.nyc3.cdn.digitaloceanspaces.com/Ukraine_Witness_Datasheet/Worksheet/youtube_dl_1494739311727714306.mp4" TargetMode="External"/><Relationship Id="rId1687" Type="http://schemas.openxmlformats.org/officeDocument/2006/relationships/hyperlink" Target="https://bellingcat-archive.nyc3.cdn.digitaloceanspaces.com/Ukraine_Witness_Datasheet/Worksheet/youtube_dl__GirkinGirkin_status_14947393117277143062022-02-25T14:05:52.346530.png" TargetMode="External"/><Relationship Id="rId1688" Type="http://schemas.openxmlformats.org/officeDocument/2006/relationships/hyperlink" Target="https://bellingcat-archive.nyc3.cdn.digitaloceanspaces.com/Ukraine_Witness_Datasheet/Worksheet/youtube_dl_1494739311727714306/index.html" TargetMode="External"/><Relationship Id="rId1689" Type="http://schemas.openxmlformats.org/officeDocument/2006/relationships/hyperlink" Target="https://twitter.com/MotolkoHelp/status/1494668118320373762" TargetMode="External"/><Relationship Id="rId855" Type="http://schemas.openxmlformats.org/officeDocument/2006/relationships/hyperlink" Target="https://bellingcat-archive.nyc3.cdn.digitaloceanspaces.com/Ukraine_Witness_Datasheet/Worksheet/youtube_dl__MarQs___status_14899511754242293832022-02-25T13:39:49.079218.png" TargetMode="External"/><Relationship Id="rId854" Type="http://schemas.openxmlformats.org/officeDocument/2006/relationships/hyperlink" Target="https://bellingcat-archive.nyc3.cdn.digitaloceanspaces.com/Ukraine_Witness_Datasheet/Worksheet/youtube_dl_1489951175424229383.mp4" TargetMode="External"/><Relationship Id="rId853" Type="http://schemas.openxmlformats.org/officeDocument/2006/relationships/hyperlink" Target="https://twitter.com/Danspiun/status/1490658596933320709" TargetMode="External"/><Relationship Id="rId852" Type="http://schemas.openxmlformats.org/officeDocument/2006/relationships/hyperlink" Target="https://twitter.com/MarQs__/status/1489951175424229383" TargetMode="External"/><Relationship Id="rId859" Type="http://schemas.openxmlformats.org/officeDocument/2006/relationships/hyperlink" Target="https://bellingcat-archive.nyc3.cdn.digitaloceanspaces.com/Ukraine_Witness_Datasheet/Worksheet/youtube_dl_1489458618898739200.mp4" TargetMode="External"/><Relationship Id="rId858" Type="http://schemas.openxmlformats.org/officeDocument/2006/relationships/hyperlink" Target="https://twitter.com/Michael1Sheldon/status/1489459217039831042" TargetMode="External"/><Relationship Id="rId857" Type="http://schemas.openxmlformats.org/officeDocument/2006/relationships/hyperlink" Target="https://twitter.com/Michael1Sheldon/status/1489458618898739200" TargetMode="External"/><Relationship Id="rId856" Type="http://schemas.openxmlformats.org/officeDocument/2006/relationships/hyperlink" Target="https://bellingcat-archive.nyc3.cdn.digitaloceanspaces.com/Ukraine_Witness_Datasheet/Worksheet/youtube_dl_1489951175424229383/index.html" TargetMode="External"/><Relationship Id="rId1680" Type="http://schemas.openxmlformats.org/officeDocument/2006/relationships/hyperlink" Target="https://twitter.com/GirkinGirkin/status/1494733116417716225" TargetMode="External"/><Relationship Id="rId1681" Type="http://schemas.openxmlformats.org/officeDocument/2006/relationships/hyperlink" Target="https://bellingcat-archive.nyc3.cdn.digitaloceanspaces.com/Ukraine_Witness_Datasheet/Worksheet/youtube_dl_1494733116417716225.mp4" TargetMode="External"/><Relationship Id="rId851" Type="http://schemas.openxmlformats.org/officeDocument/2006/relationships/hyperlink" Target="https://bellingcat-archive.nyc3.cdn.digitaloceanspaces.com/Ukraine_Witness_Datasheet/Worksheet/youtube_dl_1491692861137502213/index.html" TargetMode="External"/><Relationship Id="rId1682" Type="http://schemas.openxmlformats.org/officeDocument/2006/relationships/hyperlink" Target="https://bellingcat-archive.nyc3.cdn.digitaloceanspaces.com/Ukraine_Witness_Datasheet/Worksheet/youtube_dl__GirkinGirkin_status_14947331164177162252022-02-25T14:06:10.587222.png" TargetMode="External"/><Relationship Id="rId850" Type="http://schemas.openxmlformats.org/officeDocument/2006/relationships/hyperlink" Target="https://bellingcat-archive.nyc3.cdn.digitaloceanspaces.com/Ukraine_Witness_Datasheet/Worksheet/youtube_dl__GirkinGirkin_status_14916928611375022132022-02-25T13:39:32.858464.png" TargetMode="External"/><Relationship Id="rId1683" Type="http://schemas.openxmlformats.org/officeDocument/2006/relationships/hyperlink" Target="https://bellingcat-archive.nyc3.cdn.digitaloceanspaces.com/Ukraine_Witness_Datasheet/Worksheet/youtube_dl_1494733116417716225/index.html" TargetMode="External"/><Relationship Id="rId1684" Type="http://schemas.openxmlformats.org/officeDocument/2006/relationships/hyperlink" Target="https://twitter.com/GirkinGirkin/status/1494739311727714306" TargetMode="External"/><Relationship Id="rId1685" Type="http://schemas.openxmlformats.org/officeDocument/2006/relationships/hyperlink" Target="https://twitter.com/ohsenty/status/1494746388760039426" TargetMode="External"/><Relationship Id="rId888" Type="http://schemas.openxmlformats.org/officeDocument/2006/relationships/hyperlink" Target="https://bellingcat-archive.nyc3.cdn.digitaloceanspaces.com/Ukraine_Witness_Datasheet/Worksheet/youtube_dl__4emberlen_status_14914204903886315522022-02-25T13:43:50.975046.png" TargetMode="External"/><Relationship Id="rId887" Type="http://schemas.openxmlformats.org/officeDocument/2006/relationships/hyperlink" Target="https://bellingcat-archive.nyc3.cdn.digitaloceanspaces.com/Ukraine_Witness_Datasheet/Worksheet/youtube_dl_1491420490388631552.mp4" TargetMode="External"/><Relationship Id="rId886" Type="http://schemas.openxmlformats.org/officeDocument/2006/relationships/hyperlink" Target="https://twitter.com/Danspiun/status/1491443249336434688" TargetMode="External"/><Relationship Id="rId885" Type="http://schemas.openxmlformats.org/officeDocument/2006/relationships/hyperlink" Target="https://twitter.com/4emberlen/status/1491420490388631552" TargetMode="External"/><Relationship Id="rId889" Type="http://schemas.openxmlformats.org/officeDocument/2006/relationships/hyperlink" Target="https://bellingcat-archive.nyc3.cdn.digitaloceanspaces.com/Ukraine_Witness_Datasheet/Worksheet/youtube_dl_1491420490388631552/index.html" TargetMode="External"/><Relationship Id="rId880" Type="http://schemas.openxmlformats.org/officeDocument/2006/relationships/hyperlink" Target="https://twitter.com/GirkinGirkin/status/1491443717055860736" TargetMode="External"/><Relationship Id="rId884" Type="http://schemas.openxmlformats.org/officeDocument/2006/relationships/hyperlink" Target="https://bellingcat-archive.nyc3.cdn.digitaloceanspaces.com/Ukraine_Witness_Datasheet/Worksheet/youtube_dl_1491443717055860736/index.html" TargetMode="External"/><Relationship Id="rId883" Type="http://schemas.openxmlformats.org/officeDocument/2006/relationships/hyperlink" Target="https://bellingcat-archive.nyc3.cdn.digitaloceanspaces.com/Ukraine_Witness_Datasheet/Worksheet/youtube_dl__GirkinGirkin_status_14914437170558607362022-02-25T13:43:32.156995.png" TargetMode="External"/><Relationship Id="rId882" Type="http://schemas.openxmlformats.org/officeDocument/2006/relationships/hyperlink" Target="https://bellingcat-archive.nyc3.cdn.digitaloceanspaces.com/Ukraine_Witness_Datasheet/Worksheet/youtube_dl_1491443717055860736.mp4" TargetMode="External"/><Relationship Id="rId881" Type="http://schemas.openxmlformats.org/officeDocument/2006/relationships/hyperlink" Target="https://twitter.com/Danspiun/status/1491462450226601986" TargetMode="External"/><Relationship Id="rId877" Type="http://schemas.openxmlformats.org/officeDocument/2006/relationships/hyperlink" Target="https://twitter.com/MaksymOsint/status/1491187809184804867" TargetMode="External"/><Relationship Id="rId876" Type="http://schemas.openxmlformats.org/officeDocument/2006/relationships/hyperlink" Target="https://twitter.com/MaksymOsint/status/1491187809184804867" TargetMode="External"/><Relationship Id="rId875" Type="http://schemas.openxmlformats.org/officeDocument/2006/relationships/hyperlink" Target="https://bellingcat-archive.nyc3.cdn.digitaloceanspaces.com/Ukraine_Witness_Datasheet/Worksheet/twitter__Michael1Sheldon_status_14887452842430054422022-02-25T13:41:17.013346.png" TargetMode="External"/><Relationship Id="rId874" Type="http://schemas.openxmlformats.org/officeDocument/2006/relationships/hyperlink" Target="https://bellingcat-archive.nyc3.cdn.digitaloceanspaces.com/Ukraine_Witness_Datasheet/Worksheet/twitter__Michael1Sheldon_status_1488745284243005442.html" TargetMode="External"/><Relationship Id="rId879" Type="http://schemas.openxmlformats.org/officeDocument/2006/relationships/hyperlink" Target="https://bellingcat-archive.nyc3.cdn.digitaloceanspaces.com/Ukraine_Witness_Datasheet/Worksheet/wayback__MaksymOsint_status_14911878091848048672022-02-25T13:43:16.061850.png" TargetMode="External"/><Relationship Id="rId878" Type="http://schemas.openxmlformats.org/officeDocument/2006/relationships/hyperlink" Target="https://web.archive.org/web/20220225134308/https://twitter.com/MaksymOsint/status/1491187809184804867" TargetMode="External"/><Relationship Id="rId873" Type="http://schemas.openxmlformats.org/officeDocument/2006/relationships/hyperlink" Target="https://twitter.com/Michael1Sheldon/status/1488746382328573954" TargetMode="External"/><Relationship Id="rId872" Type="http://schemas.openxmlformats.org/officeDocument/2006/relationships/hyperlink" Target="https://twitter.com/Michael1Sheldon/status/1488745284243005442" TargetMode="External"/><Relationship Id="rId871" Type="http://schemas.openxmlformats.org/officeDocument/2006/relationships/hyperlink" Target="https://bellingcat-archive.nyc3.cdn.digitaloceanspaces.com/Ukraine_Witness_Datasheet/Worksheet/youtube_dl_1488755442914316288/index.html" TargetMode="External"/><Relationship Id="rId870" Type="http://schemas.openxmlformats.org/officeDocument/2006/relationships/hyperlink" Target="https://bellingcat-archive.nyc3.cdn.digitaloceanspaces.com/Ukraine_Witness_Datasheet/Worksheet/youtube_dl__Michael1Sheldon_status_14887554429143162882022-02-25T13:40:58.860717.png" TargetMode="External"/><Relationship Id="rId1653" Type="http://schemas.openxmlformats.org/officeDocument/2006/relationships/hyperlink" Target="https://twitter.com/GirkinGirkin/status/1494532307193147392" TargetMode="External"/><Relationship Id="rId2984" Type="http://schemas.openxmlformats.org/officeDocument/2006/relationships/hyperlink" Target="https://twitter.com/Shrik_E/status/1497253753476599814" TargetMode="External"/><Relationship Id="rId1654" Type="http://schemas.openxmlformats.org/officeDocument/2006/relationships/hyperlink" Target="https://twitter.com/Michael1Sheldon/status/1494546917073817601" TargetMode="External"/><Relationship Id="rId2985" Type="http://schemas.openxmlformats.org/officeDocument/2006/relationships/hyperlink" Target="https://bellingcat-archive.nyc3.cdn.digitaloceanspaces.com/Ukraine_Witness_Datasheet/Worksheet/youtube_dl_1497253753476599814.mp4" TargetMode="External"/><Relationship Id="rId1655" Type="http://schemas.openxmlformats.org/officeDocument/2006/relationships/hyperlink" Target="https://bellingcat-archive.nyc3.cdn.digitaloceanspaces.com/Ukraine_Witness_Datasheet/Worksheet/youtube_dl_1494532307193147392.mp4" TargetMode="External"/><Relationship Id="rId2986" Type="http://schemas.openxmlformats.org/officeDocument/2006/relationships/hyperlink" Target="https://bellingcat-archive.nyc3.cdn.digitaloceanspaces.com/Ukraine_Witness_Datasheet/Worksheet/youtube_dl__Shrik_E_status_14972537534765998142022-02-25T17:32:18.148279.png" TargetMode="External"/><Relationship Id="rId1656" Type="http://schemas.openxmlformats.org/officeDocument/2006/relationships/hyperlink" Target="https://bellingcat-archive.nyc3.cdn.digitaloceanspaces.com/Ukraine_Witness_Datasheet/Worksheet/youtube_dl__GirkinGirkin_status_14945323071931473922022-02-25T14:07:55.181877.png" TargetMode="External"/><Relationship Id="rId2987" Type="http://schemas.openxmlformats.org/officeDocument/2006/relationships/hyperlink" Target="https://bellingcat-archive.nyc3.cdn.digitaloceanspaces.com/Ukraine_Witness_Datasheet/Worksheet/youtube_dl_1497253753476599814/index.html" TargetMode="External"/><Relationship Id="rId1657" Type="http://schemas.openxmlformats.org/officeDocument/2006/relationships/hyperlink" Target="https://bellingcat-archive.nyc3.cdn.digitaloceanspaces.com/Ukraine_Witness_Datasheet/Worksheet/youtube_dl_1494532307193147392/index.html" TargetMode="External"/><Relationship Id="rId2988" Type="http://schemas.openxmlformats.org/officeDocument/2006/relationships/hyperlink" Target="https://t.me/nexta_live/17149" TargetMode="External"/><Relationship Id="rId1658" Type="http://schemas.openxmlformats.org/officeDocument/2006/relationships/hyperlink" Target="https://twitter.com/GirkinGirkin/status/1493969098690248707" TargetMode="External"/><Relationship Id="rId2989" Type="http://schemas.openxmlformats.org/officeDocument/2006/relationships/hyperlink" Target="https://bellingcat-archive.nyc3.cdn.digitaloceanspaces.com/Ukraine_Witness_Datasheet/Worksheet/telegram__nexta_live_17149.html" TargetMode="External"/><Relationship Id="rId1659" Type="http://schemas.openxmlformats.org/officeDocument/2006/relationships/hyperlink" Target="https://twitter.com/Idzanagi4/status/1494240825043304451" TargetMode="External"/><Relationship Id="rId829" Type="http://schemas.openxmlformats.org/officeDocument/2006/relationships/hyperlink" Target="https://bellingcat-archive.nyc3.cdn.digitaloceanspaces.com/Ukraine_Witness_Datasheet/Worksheet/youtube_dl_1491793384083574794.mp4" TargetMode="External"/><Relationship Id="rId828" Type="http://schemas.openxmlformats.org/officeDocument/2006/relationships/hyperlink" Target="https://twitter.com/Danspiun/status/1491855160615833602" TargetMode="External"/><Relationship Id="rId827" Type="http://schemas.openxmlformats.org/officeDocument/2006/relationships/hyperlink" Target="https://twitter.com/4emberlen/status/1491793384083574794" TargetMode="External"/><Relationship Id="rId822" Type="http://schemas.openxmlformats.org/officeDocument/2006/relationships/hyperlink" Target="https://twitter.com/GirkinGirkin/status/1491713890790608897" TargetMode="External"/><Relationship Id="rId821" Type="http://schemas.openxmlformats.org/officeDocument/2006/relationships/hyperlink" Target="https://bellingcat-archive.nyc3.cdn.digitaloceanspaces.com/Ukraine_Witness_Datasheet/Worksheet/twitter__Michael1Sheldon_status_14918281425285038112022-02-25T13:37:32.733250.png" TargetMode="External"/><Relationship Id="rId820" Type="http://schemas.openxmlformats.org/officeDocument/2006/relationships/hyperlink" Target="https://bellingcat-archive.nyc3.cdn.digitaloceanspaces.com/Ukraine_Witness_Datasheet/Worksheet/twitter__Michael1Sheldon_status_1491828142528503811.html" TargetMode="External"/><Relationship Id="rId826" Type="http://schemas.openxmlformats.org/officeDocument/2006/relationships/hyperlink" Target="https://bellingcat-archive.nyc3.cdn.digitaloceanspaces.com/Ukraine_Witness_Datasheet/Worksheet/youtube_dl_1491713890790608897/index.html" TargetMode="External"/><Relationship Id="rId825" Type="http://schemas.openxmlformats.org/officeDocument/2006/relationships/hyperlink" Target="https://bellingcat-archive.nyc3.cdn.digitaloceanspaces.com/Ukraine_Witness_Datasheet/Worksheet/youtube_dl__GirkinGirkin_status_14917138907906088972022-02-25T13:38:00.574474.png" TargetMode="External"/><Relationship Id="rId824" Type="http://schemas.openxmlformats.org/officeDocument/2006/relationships/hyperlink" Target="https://bellingcat-archive.nyc3.cdn.digitaloceanspaces.com/Ukraine_Witness_Datasheet/Worksheet/youtube_dl_1491713890790608897.mp4" TargetMode="External"/><Relationship Id="rId823" Type="http://schemas.openxmlformats.org/officeDocument/2006/relationships/hyperlink" Target="https://twitter.com/Danspiun/status/1491729193423589379" TargetMode="External"/><Relationship Id="rId2980" Type="http://schemas.openxmlformats.org/officeDocument/2006/relationships/hyperlink" Target="https://bellingcat-archive.nyc3.cdn.digitaloceanspaces.com/Ukraine_Witness_Datasheet/Worksheet/telegram_b2d4d96cdb.mp4" TargetMode="External"/><Relationship Id="rId1650" Type="http://schemas.openxmlformats.org/officeDocument/2006/relationships/hyperlink" Target="https://bellingcat-archive.nyc3.cdn.digitaloceanspaces.com/Ukraine_Witness_Datasheet/Worksheet/youtube_dl_1493256015445377033.mp4" TargetMode="External"/><Relationship Id="rId2981" Type="http://schemas.openxmlformats.org/officeDocument/2006/relationships/hyperlink" Target="https://bellingcat-archive.nyc3.cdn.digitaloceanspaces.com/Ukraine_Witness_Datasheet/Worksheet/telegram__nexta_live_171042022-02-25T17:31:55.195030.png" TargetMode="External"/><Relationship Id="rId1651" Type="http://schemas.openxmlformats.org/officeDocument/2006/relationships/hyperlink" Target="https://bellingcat-archive.nyc3.cdn.digitaloceanspaces.com/Ukraine_Witness_Datasheet/Worksheet/youtube_dl__GirkinGirkin_status_14932560154453770332022-02-25T14:08:14.419764.png" TargetMode="External"/><Relationship Id="rId2982" Type="http://schemas.openxmlformats.org/officeDocument/2006/relationships/hyperlink" Target="https://bellingcat-archive.nyc3.cdn.digitaloceanspaces.com/Ukraine_Witness_Datasheet/Worksheet/telegram_b2d4d96cdb/index.html" TargetMode="External"/><Relationship Id="rId1652" Type="http://schemas.openxmlformats.org/officeDocument/2006/relationships/hyperlink" Target="https://bellingcat-archive.nyc3.cdn.digitaloceanspaces.com/Ukraine_Witness_Datasheet/Worksheet/youtube_dl_1493256015445377033/index.html" TargetMode="External"/><Relationship Id="rId2983" Type="http://schemas.openxmlformats.org/officeDocument/2006/relationships/hyperlink" Target="https://t.me/nexta_live/17104" TargetMode="External"/><Relationship Id="rId1642" Type="http://schemas.openxmlformats.org/officeDocument/2006/relationships/hyperlink" Target="https://bellingcat-archive.nyc3.cdn.digitaloceanspaces.com/Ukraine_Witness_Datasheet/Worksheet/youtube_dl_1494166438810112002/index.html" TargetMode="External"/><Relationship Id="rId2973" Type="http://schemas.openxmlformats.org/officeDocument/2006/relationships/hyperlink" Target="https://bellingcat-archive.nyc3.cdn.digitaloceanspaces.com/Ukraine_Witness_Datasheet/Worksheet/twitter__KyivIndependent_status_14970821484608430362022-02-25T17:22:09.798384.png" TargetMode="External"/><Relationship Id="rId1643" Type="http://schemas.openxmlformats.org/officeDocument/2006/relationships/hyperlink" Target="https://twitter.com/GirkinGirkin/status/1494396199411068932" TargetMode="External"/><Relationship Id="rId2974" Type="http://schemas.openxmlformats.org/officeDocument/2006/relationships/hyperlink" Target="https://t.me/nexta_live/17109" TargetMode="External"/><Relationship Id="rId1644" Type="http://schemas.openxmlformats.org/officeDocument/2006/relationships/hyperlink" Target="https://twitter.com/vcdgf555/status/1494412190639529984" TargetMode="External"/><Relationship Id="rId2975" Type="http://schemas.openxmlformats.org/officeDocument/2006/relationships/hyperlink" Target="https://bellingcat-archive.nyc3.cdn.digitaloceanspaces.com/Ukraine_Witness_Datasheet/Worksheet/telegram_ae4bb86ad3.mp4" TargetMode="External"/><Relationship Id="rId1645" Type="http://schemas.openxmlformats.org/officeDocument/2006/relationships/hyperlink" Target="https://bellingcat-archive.nyc3.cdn.digitaloceanspaces.com/Ukraine_Witness_Datasheet/Worksheet/youtube_dl_1494396199411068932.mp4" TargetMode="External"/><Relationship Id="rId2976" Type="http://schemas.openxmlformats.org/officeDocument/2006/relationships/hyperlink" Target="https://bellingcat-archive.nyc3.cdn.digitaloceanspaces.com/Ukraine_Witness_Datasheet/Worksheet/telegram__nexta_live_171092022-02-25T17:22:22.529526.png" TargetMode="External"/><Relationship Id="rId1646" Type="http://schemas.openxmlformats.org/officeDocument/2006/relationships/hyperlink" Target="https://bellingcat-archive.nyc3.cdn.digitaloceanspaces.com/Ukraine_Witness_Datasheet/Worksheet/youtube_dl__GirkinGirkin_status_14943961994110689322022-02-25T14:08:30.525969.png" TargetMode="External"/><Relationship Id="rId2977" Type="http://schemas.openxmlformats.org/officeDocument/2006/relationships/hyperlink" Target="https://bellingcat-archive.nyc3.cdn.digitaloceanspaces.com/Ukraine_Witness_Datasheet/Worksheet/telegram_ae4bb86ad3/index.html" TargetMode="External"/><Relationship Id="rId1647" Type="http://schemas.openxmlformats.org/officeDocument/2006/relationships/hyperlink" Target="https://bellingcat-archive.nyc3.cdn.digitaloceanspaces.com/Ukraine_Witness_Datasheet/Worksheet/youtube_dl_1494396199411068932/index.html" TargetMode="External"/><Relationship Id="rId2978" Type="http://schemas.openxmlformats.org/officeDocument/2006/relationships/hyperlink" Target="https://t.me/nexta_live/17109" TargetMode="External"/><Relationship Id="rId1648" Type="http://schemas.openxmlformats.org/officeDocument/2006/relationships/hyperlink" Target="https://twitter.com/GirkinGirkin/status/1493256015445377033" TargetMode="External"/><Relationship Id="rId2979" Type="http://schemas.openxmlformats.org/officeDocument/2006/relationships/hyperlink" Target="https://t.me/nexta_live/17104" TargetMode="External"/><Relationship Id="rId1649" Type="http://schemas.openxmlformats.org/officeDocument/2006/relationships/hyperlink" Target="https://twitter.com/bobmoretti/status/1494137731143720961" TargetMode="External"/><Relationship Id="rId819" Type="http://schemas.openxmlformats.org/officeDocument/2006/relationships/hyperlink" Target="https://twitter.com/Michael1Sheldon/status/1491828142528503811" TargetMode="External"/><Relationship Id="rId818" Type="http://schemas.openxmlformats.org/officeDocument/2006/relationships/hyperlink" Target="https://bellingcat-archive.nyc3.cdn.digitaloceanspaces.com/Ukraine_Witness_Datasheet/Worksheet/youtube_dl_1491698045834215426/index.html" TargetMode="External"/><Relationship Id="rId817" Type="http://schemas.openxmlformats.org/officeDocument/2006/relationships/hyperlink" Target="https://bellingcat-archive.nyc3.cdn.digitaloceanspaces.com/Ukraine_Witness_Datasheet/Worksheet/youtube_dl__KyleJGlen_status_14916980458342154262022-02-25T13:37:12.977431.png" TargetMode="External"/><Relationship Id="rId816" Type="http://schemas.openxmlformats.org/officeDocument/2006/relationships/hyperlink" Target="https://bellingcat-archive.nyc3.cdn.digitaloceanspaces.com/Ukraine_Witness_Datasheet/Worksheet/youtube_dl_1491698045834215426.mp4" TargetMode="External"/><Relationship Id="rId811" Type="http://schemas.openxmlformats.org/officeDocument/2006/relationships/hyperlink" Target="https://bellingcat-archive.nyc3.cdn.digitaloceanspaces.com/Ukraine_Witness_Datasheet/Worksheet/youtube_dl_1491574171624742914.mp4" TargetMode="External"/><Relationship Id="rId810" Type="http://schemas.openxmlformats.org/officeDocument/2006/relationships/hyperlink" Target="https://twitter.com/gfusfus/status/1491761167299235850" TargetMode="External"/><Relationship Id="rId815" Type="http://schemas.openxmlformats.org/officeDocument/2006/relationships/hyperlink" Target="https://twitter.com/gfusfus/status/1491755264600588288" TargetMode="External"/><Relationship Id="rId814" Type="http://schemas.openxmlformats.org/officeDocument/2006/relationships/hyperlink" Target="https://twitter.com/KyleJGlen/status/1491698045834215426" TargetMode="External"/><Relationship Id="rId813" Type="http://schemas.openxmlformats.org/officeDocument/2006/relationships/hyperlink" Target="https://bellingcat-archive.nyc3.cdn.digitaloceanspaces.com/Ukraine_Witness_Datasheet/Worksheet/youtube_dl_1491574171624742914/index.html" TargetMode="External"/><Relationship Id="rId812" Type="http://schemas.openxmlformats.org/officeDocument/2006/relationships/hyperlink" Target="https://bellingcat-archive.nyc3.cdn.digitaloceanspaces.com/Ukraine_Witness_Datasheet/Worksheet/youtube_dl__4emberlen_status_14915741716247429142022-02-25T13:36:54.829415.png" TargetMode="External"/><Relationship Id="rId2970" Type="http://schemas.openxmlformats.org/officeDocument/2006/relationships/hyperlink" Target="https://t.me/nexta_live/16704" TargetMode="External"/><Relationship Id="rId1640" Type="http://schemas.openxmlformats.org/officeDocument/2006/relationships/hyperlink" Target="https://bellingcat-archive.nyc3.cdn.digitaloceanspaces.com/Ukraine_Witness_Datasheet/Worksheet/youtube_dl_1494166438810112002.mp4" TargetMode="External"/><Relationship Id="rId2971" Type="http://schemas.openxmlformats.org/officeDocument/2006/relationships/hyperlink" Target="https://twitter.com/KyivIndependent/status/1497082148460843036?s=20&amp;t=OVvhaH-5fg2hPLYK8iF8Lw" TargetMode="External"/><Relationship Id="rId1641" Type="http://schemas.openxmlformats.org/officeDocument/2006/relationships/hyperlink" Target="https://bellingcat-archive.nyc3.cdn.digitaloceanspaces.com/Ukraine_Witness_Datasheet/Worksheet/youtube_dl__GirkinGirkin_status_14941664388101120022022-02-25T14:08:47.234212.png" TargetMode="External"/><Relationship Id="rId2972" Type="http://schemas.openxmlformats.org/officeDocument/2006/relationships/hyperlink" Target="https://bellingcat-archive.nyc3.cdn.digitaloceanspaces.com/Ukraine_Witness_Datasheet/Worksheet/twitter__KyivIndependent_status_1497082148460843036.html" TargetMode="External"/><Relationship Id="rId1675" Type="http://schemas.openxmlformats.org/officeDocument/2006/relationships/hyperlink" Target="https://bellingcat-archive.nyc3.cdn.digitaloceanspaces.com/Ukraine_Witness_Datasheet/Worksheet/youtube_dl__MotolkoHelp_status_14946671719721410612022-02-25T14:06:42.501229.png" TargetMode="External"/><Relationship Id="rId1676" Type="http://schemas.openxmlformats.org/officeDocument/2006/relationships/hyperlink" Target="https://bellingcat-archive.nyc3.cdn.digitaloceanspaces.com/Ukraine_Witness_Datasheet/Worksheet/youtube_dl_1494667171972141061/index.html" TargetMode="External"/><Relationship Id="rId1677" Type="http://schemas.openxmlformats.org/officeDocument/2006/relationships/hyperlink" Target="https://twitter.com/burtstengl/status/1494714871254036480" TargetMode="External"/><Relationship Id="rId1678" Type="http://schemas.openxmlformats.org/officeDocument/2006/relationships/hyperlink" Target="https://bellingcat-archive.nyc3.cdn.digitaloceanspaces.com/Ukraine_Witness_Datasheet/Worksheet/twitter__burtstengl_status_1494714871254036480.html" TargetMode="External"/><Relationship Id="rId1679" Type="http://schemas.openxmlformats.org/officeDocument/2006/relationships/hyperlink" Target="https://bellingcat-archive.nyc3.cdn.digitaloceanspaces.com/Ukraine_Witness_Datasheet/Worksheet/twitter__burtstengl_status_14947148712540364802022-02-25T14:06:25.980800.png" TargetMode="External"/><Relationship Id="rId849" Type="http://schemas.openxmlformats.org/officeDocument/2006/relationships/hyperlink" Target="https://bellingcat-archive.nyc3.cdn.digitaloceanspaces.com/Ukraine_Witness_Datasheet/Worksheet/youtube_dl_1491692861137502213.mp4" TargetMode="External"/><Relationship Id="rId844" Type="http://schemas.openxmlformats.org/officeDocument/2006/relationships/hyperlink" Target="https://bellingcat-archive.nyc3.cdn.digitaloceanspaces.com/Ukraine_Witness_Datasheet/Worksheet/youtube_dl_1492024634199449606.mp4" TargetMode="External"/><Relationship Id="rId843" Type="http://schemas.openxmlformats.org/officeDocument/2006/relationships/hyperlink" Target="https://twitter.com/gfusfus/status/1492111263329144835" TargetMode="External"/><Relationship Id="rId842" Type="http://schemas.openxmlformats.org/officeDocument/2006/relationships/hyperlink" Target="https://twitter.com/GirkinGirkin/status/1492024634199449606" TargetMode="External"/><Relationship Id="rId841" Type="http://schemas.openxmlformats.org/officeDocument/2006/relationships/hyperlink" Target="https://bellingcat-archive.nyc3.cdn.digitaloceanspaces.com/Ukraine_Witness_Datasheet/Worksheet/youtube_dl_1491793997471240192/index.html" TargetMode="External"/><Relationship Id="rId848" Type="http://schemas.openxmlformats.org/officeDocument/2006/relationships/hyperlink" Target="https://twitter.com/gfusfus/status/1491750464416792582" TargetMode="External"/><Relationship Id="rId847" Type="http://schemas.openxmlformats.org/officeDocument/2006/relationships/hyperlink" Target="https://twitter.com/GirkinGirkin/status/1491692861137502213" TargetMode="External"/><Relationship Id="rId846" Type="http://schemas.openxmlformats.org/officeDocument/2006/relationships/hyperlink" Target="https://bellingcat-archive.nyc3.cdn.digitaloceanspaces.com/Ukraine_Witness_Datasheet/Worksheet/youtube_dl_1492024634199449606/index.html" TargetMode="External"/><Relationship Id="rId845" Type="http://schemas.openxmlformats.org/officeDocument/2006/relationships/hyperlink" Target="https://bellingcat-archive.nyc3.cdn.digitaloceanspaces.com/Ukraine_Witness_Datasheet/Worksheet/youtube_dl__GirkinGirkin_status_14920246341994496062022-02-25T13:39:15.787730.png" TargetMode="External"/><Relationship Id="rId1670" Type="http://schemas.openxmlformats.org/officeDocument/2006/relationships/hyperlink" Target="https://bellingcat-archive.nyc3.cdn.digitaloceanspaces.com/Ukraine_Witness_Datasheet/Worksheet/youtube_dl_1494597653455380494.mp4" TargetMode="External"/><Relationship Id="rId840" Type="http://schemas.openxmlformats.org/officeDocument/2006/relationships/hyperlink" Target="https://bellingcat-archive.nyc3.cdn.digitaloceanspaces.com/Ukraine_Witness_Datasheet/Worksheet/youtube_dl__4emberlen_status_14917939974712401922022-02-25T13:38:58.262881.png" TargetMode="External"/><Relationship Id="rId1671" Type="http://schemas.openxmlformats.org/officeDocument/2006/relationships/hyperlink" Target="https://bellingcat-archive.nyc3.cdn.digitaloceanspaces.com/Ukraine_Witness_Datasheet/Worksheet/youtube_dl__GirkinGirkin_status_14945976534553804942022-02-25T14:06:59.178054.png" TargetMode="External"/><Relationship Id="rId1672" Type="http://schemas.openxmlformats.org/officeDocument/2006/relationships/hyperlink" Target="https://bellingcat-archive.nyc3.cdn.digitaloceanspaces.com/Ukraine_Witness_Datasheet/Worksheet/youtube_dl_1494597653455380494/index.html" TargetMode="External"/><Relationship Id="rId1673" Type="http://schemas.openxmlformats.org/officeDocument/2006/relationships/hyperlink" Target="https://twitter.com/MotolkoHelp/status/1494667171972141061?s=20&amp;t=INxS006VnD8YOq83CznkMQ" TargetMode="External"/><Relationship Id="rId1674" Type="http://schemas.openxmlformats.org/officeDocument/2006/relationships/hyperlink" Target="https://bellingcat-archive.nyc3.cdn.digitaloceanspaces.com/Ukraine_Witness_Datasheet/Worksheet/youtube_dl_1494667171972141061.mp4" TargetMode="External"/><Relationship Id="rId1664" Type="http://schemas.openxmlformats.org/officeDocument/2006/relationships/hyperlink" Target="https://twitter.com/danvan71/status/1494481865193009162" TargetMode="External"/><Relationship Id="rId2995" Type="http://schemas.openxmlformats.org/officeDocument/2006/relationships/hyperlink" Target="https://bellingcat-archive.nyc3.cdn.digitaloceanspaces.com/Ukraine_Witness_Datasheet/Worksheet/youtube_dl_1hd_NN8eMudjB8IIve-h4h2GHd3SLM9lg.mp4" TargetMode="External"/><Relationship Id="rId1665" Type="http://schemas.openxmlformats.org/officeDocument/2006/relationships/hyperlink" Target="https://bellingcat-archive.nyc3.cdn.digitaloceanspaces.com/Ukraine_Witness_Datasheet/Worksheet/youtube_dl_1494310992494399492.mp4" TargetMode="External"/><Relationship Id="rId2996" Type="http://schemas.openxmlformats.org/officeDocument/2006/relationships/hyperlink" Target="https://bellingcat-archive.nyc3.cdn.digitaloceanspaces.com/Ukraine_Witness_Datasheet/Worksheet/youtube_dl__file_d_1hd_NN8eMudjB8IIve-h4h2GHd3SLM9lg_view2022-02-25T17:37:17.147499.png" TargetMode="External"/><Relationship Id="rId1666" Type="http://schemas.openxmlformats.org/officeDocument/2006/relationships/hyperlink" Target="https://bellingcat-archive.nyc3.cdn.digitaloceanspaces.com/Ukraine_Witness_Datasheet/Worksheet/youtube_dl__GirkinGirkin_status_14943109924943994922022-02-25T14:07:16.953212.png" TargetMode="External"/><Relationship Id="rId2997" Type="http://schemas.openxmlformats.org/officeDocument/2006/relationships/hyperlink" Target="https://bellingcat-archive.nyc3.cdn.digitaloceanspaces.com/Ukraine_Witness_Datasheet/Worksheet/youtube_dl_1hd_NN8eMudjB8IIve-h4h2GHd3SLM9lg/index.html" TargetMode="External"/><Relationship Id="rId1667" Type="http://schemas.openxmlformats.org/officeDocument/2006/relationships/hyperlink" Target="https://bellingcat-archive.nyc3.cdn.digitaloceanspaces.com/Ukraine_Witness_Datasheet/Worksheet/youtube_dl_1494310992494399492/index.html" TargetMode="External"/><Relationship Id="rId2998" Type="http://schemas.openxmlformats.org/officeDocument/2006/relationships/hyperlink" Target="https://drive.google.com/file/d/1kgiqZGTtI_BoJvXf0w3LRJRZBalvcRri/view?usp=sharing" TargetMode="External"/><Relationship Id="rId1668" Type="http://schemas.openxmlformats.org/officeDocument/2006/relationships/hyperlink" Target="https://twitter.com/GirkinGirkin/status/1494597653455380494" TargetMode="External"/><Relationship Id="rId2999" Type="http://schemas.openxmlformats.org/officeDocument/2006/relationships/hyperlink" Target="https://bellingcat-archive.nyc3.cdn.digitaloceanspaces.com/Ukraine_Witness_Datasheet/Worksheet/youtube_dl_1kgiqZGTtI_BoJvXf0w3LRJRZBalvcRri.mp4" TargetMode="External"/><Relationship Id="rId1669" Type="http://schemas.openxmlformats.org/officeDocument/2006/relationships/hyperlink" Target="https://twitter.com/noclador/status/1494618691983613960" TargetMode="External"/><Relationship Id="rId839" Type="http://schemas.openxmlformats.org/officeDocument/2006/relationships/hyperlink" Target="https://bellingcat-archive.nyc3.cdn.digitaloceanspaces.com/Ukraine_Witness_Datasheet/Worksheet/youtube_dl_1491793997471240192.mp4" TargetMode="External"/><Relationship Id="rId838" Type="http://schemas.openxmlformats.org/officeDocument/2006/relationships/hyperlink" Target="https://twitter.com/Danspiun/status/1491933218978807811" TargetMode="External"/><Relationship Id="rId833" Type="http://schemas.openxmlformats.org/officeDocument/2006/relationships/hyperlink" Target="https://twitter.com/danvan71/status/1491516816849620997" TargetMode="External"/><Relationship Id="rId832" Type="http://schemas.openxmlformats.org/officeDocument/2006/relationships/hyperlink" Target="https://twitter.com/4emberlen/status/1491418129414914048" TargetMode="External"/><Relationship Id="rId831" Type="http://schemas.openxmlformats.org/officeDocument/2006/relationships/hyperlink" Target="https://bellingcat-archive.nyc3.cdn.digitaloceanspaces.com/Ukraine_Witness_Datasheet/Worksheet/youtube_dl_1491793384083574794/index.html" TargetMode="External"/><Relationship Id="rId830" Type="http://schemas.openxmlformats.org/officeDocument/2006/relationships/hyperlink" Target="https://bellingcat-archive.nyc3.cdn.digitaloceanspaces.com/Ukraine_Witness_Datasheet/Worksheet/youtube_dl__4emberlen_status_14917933840835747942022-02-25T13:38:19.179657.png" TargetMode="External"/><Relationship Id="rId837" Type="http://schemas.openxmlformats.org/officeDocument/2006/relationships/hyperlink" Target="https://twitter.com/4emberlen/status/1491793997471240192" TargetMode="External"/><Relationship Id="rId836" Type="http://schemas.openxmlformats.org/officeDocument/2006/relationships/hyperlink" Target="https://bellingcat-archive.nyc3.cdn.digitaloceanspaces.com/Ukraine_Witness_Datasheet/Worksheet/youtube_dl_1491418129414914048/index.html" TargetMode="External"/><Relationship Id="rId835" Type="http://schemas.openxmlformats.org/officeDocument/2006/relationships/hyperlink" Target="https://bellingcat-archive.nyc3.cdn.digitaloceanspaces.com/Ukraine_Witness_Datasheet/Worksheet/youtube_dl__4emberlen_status_14914181294149140482022-02-25T13:38:40.835427.png" TargetMode="External"/><Relationship Id="rId834" Type="http://schemas.openxmlformats.org/officeDocument/2006/relationships/hyperlink" Target="https://bellingcat-archive.nyc3.cdn.digitaloceanspaces.com/Ukraine_Witness_Datasheet/Worksheet/youtube_dl_1491418129414914048.mp4" TargetMode="External"/><Relationship Id="rId2990" Type="http://schemas.openxmlformats.org/officeDocument/2006/relationships/hyperlink" Target="https://bellingcat-archive.nyc3.cdn.digitaloceanspaces.com/Ukraine_Witness_Datasheet/Worksheet/telegram__nexta_live_171492022-02-25T20:13:38.516572.png" TargetMode="External"/><Relationship Id="rId1660" Type="http://schemas.openxmlformats.org/officeDocument/2006/relationships/hyperlink" Target="https://bellingcat-archive.nyc3.cdn.digitaloceanspaces.com/Ukraine_Witness_Datasheet/Worksheet/youtube_dl_1493969098690248707.mp4" TargetMode="External"/><Relationship Id="rId2991" Type="http://schemas.openxmlformats.org/officeDocument/2006/relationships/hyperlink" Target="https://t.me/vorposte/13720" TargetMode="External"/><Relationship Id="rId1661" Type="http://schemas.openxmlformats.org/officeDocument/2006/relationships/hyperlink" Target="https://bellingcat-archive.nyc3.cdn.digitaloceanspaces.com/Ukraine_Witness_Datasheet/Worksheet/youtube_dl__GirkinGirkin_status_14939690986902487072022-02-25T14:07:35.114577.png" TargetMode="External"/><Relationship Id="rId2992" Type="http://schemas.openxmlformats.org/officeDocument/2006/relationships/hyperlink" Target="https://web.archive.org/web/20220225173522/https://t.me/vorposte/13720" TargetMode="External"/><Relationship Id="rId1662" Type="http://schemas.openxmlformats.org/officeDocument/2006/relationships/hyperlink" Target="https://bellingcat-archive.nyc3.cdn.digitaloceanspaces.com/Ukraine_Witness_Datasheet/Worksheet/youtube_dl_1493969098690248707/index.html" TargetMode="External"/><Relationship Id="rId2993" Type="http://schemas.openxmlformats.org/officeDocument/2006/relationships/hyperlink" Target="https://bellingcat-archive.nyc3.cdn.digitaloceanspaces.com/Ukraine_Witness_Datasheet/Worksheet/wayback__vorposte_137202022-02-25T17:36:53.562487.png" TargetMode="External"/><Relationship Id="rId1663" Type="http://schemas.openxmlformats.org/officeDocument/2006/relationships/hyperlink" Target="https://twitter.com/GirkinGirkin/status/1494310992494399492" TargetMode="External"/><Relationship Id="rId2994" Type="http://schemas.openxmlformats.org/officeDocument/2006/relationships/hyperlink" Target="https://drive.google.com/file/d/1hd_NN8eMudjB8IIve-h4h2GHd3SLM9lg/view?usp=sharing" TargetMode="External"/><Relationship Id="rId6506" Type="http://schemas.openxmlformats.org/officeDocument/2006/relationships/hyperlink" Target="https://bellingcat-archive.nyc3.cdn.digitaloceanspaces.com/Ukraine_Witness_Datasheet/Worksheet/twitter__no_itsmyturn_status_1500817461444288512_photo_12022-03-07T15:45:14.839426.png" TargetMode="External"/><Relationship Id="rId7838" Type="http://schemas.openxmlformats.org/officeDocument/2006/relationships/hyperlink" Target="https://bellingcat-archive.nyc3.cdn.digitaloceanspaces.com/Ukraine_Witness_Datasheet/Worksheet/youtube_dl_1501178400609816578/index.html" TargetMode="External"/><Relationship Id="rId6507" Type="http://schemas.openxmlformats.org/officeDocument/2006/relationships/hyperlink" Target="https://twitter.com/no_itsmyturn/status/1500817461444288512/photo/4" TargetMode="External"/><Relationship Id="rId7837" Type="http://schemas.openxmlformats.org/officeDocument/2006/relationships/hyperlink" Target="https://bellingcat-archive.nyc3.cdn.digitaloceanspaces.com/Ukraine_Witness_Datasheet/Worksheet/youtube_dl__GirkinGirkin_status_15011784006098165782022-03-09T16:36:21.099499.png" TargetMode="External"/><Relationship Id="rId6504" Type="http://schemas.openxmlformats.org/officeDocument/2006/relationships/hyperlink" Target="https://twitter.com/no_itsmyturn/status/1500817461444288512/photo/1" TargetMode="External"/><Relationship Id="rId7836" Type="http://schemas.openxmlformats.org/officeDocument/2006/relationships/hyperlink" Target="https://bellingcat-archive.nyc3.cdn.digitaloceanspaces.com/Ukraine_Witness_Datasheet/Worksheet/youtube_dl_1501178400609816578.mp4" TargetMode="External"/><Relationship Id="rId6505" Type="http://schemas.openxmlformats.org/officeDocument/2006/relationships/hyperlink" Target="https://bellingcat-archive.nyc3.cdn.digitaloceanspaces.com/Ukraine_Witness_Datasheet/Worksheet/twitter__no_itsmyturn_status_1500817461444288512_photo_1.html" TargetMode="External"/><Relationship Id="rId7835" Type="http://schemas.openxmlformats.org/officeDocument/2006/relationships/hyperlink" Target="https://twitter.com/AosiGeo/status/1501195800809902080" TargetMode="External"/><Relationship Id="rId6508" Type="http://schemas.openxmlformats.org/officeDocument/2006/relationships/hyperlink" Target="https://bellingcat-archive.nyc3.cdn.digitaloceanspaces.com/Ukraine_Witness_Datasheet/Worksheet/twitter__no_itsmyturn_status_1500817461444288512_photo_4.html" TargetMode="External"/><Relationship Id="rId6509" Type="http://schemas.openxmlformats.org/officeDocument/2006/relationships/hyperlink" Target="https://bellingcat-archive.nyc3.cdn.digitaloceanspaces.com/Ukraine_Witness_Datasheet/Worksheet/twitter__no_itsmyturn_status_1500817461444288512_photo_42022-03-07T15:45:27.827680.png" TargetMode="External"/><Relationship Id="rId7839" Type="http://schemas.openxmlformats.org/officeDocument/2006/relationships/hyperlink" Target="https://twitter.com/YWNReporter/status/1501142211412611074" TargetMode="External"/><Relationship Id="rId7830" Type="http://schemas.openxmlformats.org/officeDocument/2006/relationships/hyperlink" Target="https://twitter.com/COUPSURE/status/1501192613147332616" TargetMode="External"/><Relationship Id="rId6502" Type="http://schemas.openxmlformats.org/officeDocument/2006/relationships/hyperlink" Target="https://bellingcat-archive.nyc3.cdn.digitaloceanspaces.com/Ukraine_Witness_Datasheet/Worksheet/youtube_dl__aldin_ww_status_15008238161042554922022-03-07T15:35:13.075469.png" TargetMode="External"/><Relationship Id="rId7834" Type="http://schemas.openxmlformats.org/officeDocument/2006/relationships/hyperlink" Target="https://twitter.com/GirkinGirkin/status/1501178400609816578" TargetMode="External"/><Relationship Id="rId6503" Type="http://schemas.openxmlformats.org/officeDocument/2006/relationships/hyperlink" Target="https://bellingcat-archive.nyc3.cdn.digitaloceanspaces.com/Ukraine_Witness_Datasheet/Worksheet/youtube_dl_1500823816104255492/index.html" TargetMode="External"/><Relationship Id="rId7833" Type="http://schemas.openxmlformats.org/officeDocument/2006/relationships/hyperlink" Target="https://bellingcat-archive.nyc3.cdn.digitaloceanspaces.com/Ukraine_Witness_Datasheet/Worksheet/youtube_dl_1501191302871928835/index.html" TargetMode="External"/><Relationship Id="rId6500" Type="http://schemas.openxmlformats.org/officeDocument/2006/relationships/hyperlink" Target="https://twitter.com/aldin_ww/status/1500823816104255492" TargetMode="External"/><Relationship Id="rId7832" Type="http://schemas.openxmlformats.org/officeDocument/2006/relationships/hyperlink" Target="https://bellingcat-archive.nyc3.cdn.digitaloceanspaces.com/Ukraine_Witness_Datasheet/Worksheet/youtube_dl__BBCDanielS_status_15011913028719288352022-03-09T16:36:01.940161.png" TargetMode="External"/><Relationship Id="rId6501" Type="http://schemas.openxmlformats.org/officeDocument/2006/relationships/hyperlink" Target="https://bellingcat-archive.nyc3.cdn.digitaloceanspaces.com/Ukraine_Witness_Datasheet/Worksheet/youtube_dl_1500823816104255492.mp4" TargetMode="External"/><Relationship Id="rId7831" Type="http://schemas.openxmlformats.org/officeDocument/2006/relationships/hyperlink" Target="https://bellingcat-archive.nyc3.cdn.digitaloceanspaces.com/Ukraine_Witness_Datasheet/Worksheet/youtube_dl_1501191302871928835.mp4" TargetMode="External"/><Relationship Id="rId7827" Type="http://schemas.openxmlformats.org/officeDocument/2006/relationships/hyperlink" Target="https://bellingcat-archive.nyc3.cdn.digitaloceanspaces.com/Ukraine_Witness_Datasheet/Worksheet/twitter__antiputler_news_status_1501216279167913996.html" TargetMode="External"/><Relationship Id="rId7826" Type="http://schemas.openxmlformats.org/officeDocument/2006/relationships/hyperlink" Target="https://twitter.com/GeoConfirmed/status/1501231980478107648" TargetMode="External"/><Relationship Id="rId7825" Type="http://schemas.openxmlformats.org/officeDocument/2006/relationships/hyperlink" Target="https://twitter.com/antiputler_news/status/1501216279167913996" TargetMode="External"/><Relationship Id="rId7824" Type="http://schemas.openxmlformats.org/officeDocument/2006/relationships/hyperlink" Target="https://bellingcat-archive.nyc3.cdn.digitaloceanspaces.com/Ukraine_Witness_Datasheet/Worksheet/youtube_dl_1501211040754843649/index.html" TargetMode="External"/><Relationship Id="rId7829" Type="http://schemas.openxmlformats.org/officeDocument/2006/relationships/hyperlink" Target="https://twitter.com/BBCDanielS/status/1501191302871928835" TargetMode="External"/><Relationship Id="rId7828" Type="http://schemas.openxmlformats.org/officeDocument/2006/relationships/hyperlink" Target="https://bellingcat-archive.nyc3.cdn.digitaloceanspaces.com/Ukraine_Witness_Datasheet/Worksheet/twitter__antiputler_news_status_15012162791679139962022-03-09T16:35:48.923509.png" TargetMode="External"/><Relationship Id="rId7823" Type="http://schemas.openxmlformats.org/officeDocument/2006/relationships/hyperlink" Target="https://bellingcat-archive.nyc3.cdn.digitaloceanspaces.com/Ukraine_Witness_Datasheet/Worksheet/youtube_dl__aldin_ww_status_15012110407548436492022-03-09T16:35:31.276361.png" TargetMode="External"/><Relationship Id="rId7822" Type="http://schemas.openxmlformats.org/officeDocument/2006/relationships/hyperlink" Target="https://bellingcat-archive.nyc3.cdn.digitaloceanspaces.com/Ukraine_Witness_Datasheet/Worksheet/youtube_dl_1501211040754843649.mp4" TargetMode="External"/><Relationship Id="rId7821" Type="http://schemas.openxmlformats.org/officeDocument/2006/relationships/hyperlink" Target="https://twitter.com/zcjbrooker/status/1501222143232782336" TargetMode="External"/><Relationship Id="rId7820" Type="http://schemas.openxmlformats.org/officeDocument/2006/relationships/hyperlink" Target="https://twitter.com/aldin_ww/status/1501211040754843649" TargetMode="External"/><Relationship Id="rId6528" Type="http://schemas.openxmlformats.org/officeDocument/2006/relationships/hyperlink" Target="https://t.me/Pravda_Gerashchenko/2473" TargetMode="External"/><Relationship Id="rId6529" Type="http://schemas.openxmlformats.org/officeDocument/2006/relationships/hyperlink" Target="https://bellingcat-archive.nyc3.cdn.digitaloceanspaces.com/Ukraine_Witness_Datasheet/Worksheet/telegram_199281cb93.mp4" TargetMode="External"/><Relationship Id="rId7859" Type="http://schemas.openxmlformats.org/officeDocument/2006/relationships/hyperlink" Target="https://bellingcat-archive.nyc3.cdn.digitaloceanspaces.com/Ukraine_Witness_Datasheet/Worksheet/twitter__EuromaidanPress_status_1500906857711472643.html" TargetMode="External"/><Relationship Id="rId6526" Type="http://schemas.openxmlformats.org/officeDocument/2006/relationships/hyperlink" Target="https://bellingcat-archive.nyc3.cdn.digitaloceanspaces.com/Ukraine_Witness_Datasheet/Worksheet/telegram__Pravda_Gerashchenko_2438.html" TargetMode="External"/><Relationship Id="rId7858" Type="http://schemas.openxmlformats.org/officeDocument/2006/relationships/hyperlink" Target="https://twitter.com/Noobieshunta_/status/1500959887626485762" TargetMode="External"/><Relationship Id="rId6527" Type="http://schemas.openxmlformats.org/officeDocument/2006/relationships/hyperlink" Target="https://bellingcat-archive.nyc3.cdn.digitaloceanspaces.com/Ukraine_Witness_Datasheet/Worksheet/telegram__Pravda_Gerashchenko_24382022-03-07T17:10:29.348811.png" TargetMode="External"/><Relationship Id="rId7857" Type="http://schemas.openxmlformats.org/officeDocument/2006/relationships/hyperlink" Target="https://twitter.com/EuromaidanPress/status/1500906857711472643" TargetMode="External"/><Relationship Id="rId6520" Type="http://schemas.openxmlformats.org/officeDocument/2006/relationships/hyperlink" Target="https://bellingcat-archive.nyc3.cdn.digitaloceanspaces.com/Ukraine_Witness_Datasheet/Worksheet/twitter__666_mancer_status_15005311717378785292022-03-07T16:20:26.910544.png" TargetMode="External"/><Relationship Id="rId7852" Type="http://schemas.openxmlformats.org/officeDocument/2006/relationships/hyperlink" Target="https://bellingcat-archive.nyc3.cdn.digitaloceanspaces.com/Ukraine_Witness_Datasheet/Worksheet/youtube_dl_1501085508960722944/index.html" TargetMode="External"/><Relationship Id="rId6521" Type="http://schemas.openxmlformats.org/officeDocument/2006/relationships/hyperlink" Target="https://t.me/Pravda_Gerashchenko/2409" TargetMode="External"/><Relationship Id="rId7851" Type="http://schemas.openxmlformats.org/officeDocument/2006/relationships/hyperlink" Target="https://bellingcat-archive.nyc3.cdn.digitaloceanspaces.com/Ukraine_Witness_Datasheet/Worksheet/youtube_dl__nexta_tv_status_15010855089607229442022-03-09T16:40:59.067313.png" TargetMode="External"/><Relationship Id="rId7850" Type="http://schemas.openxmlformats.org/officeDocument/2006/relationships/hyperlink" Target="https://bellingcat-archive.nyc3.cdn.digitaloceanspaces.com/Ukraine_Witness_Datasheet/Worksheet/youtube_dl_1501085508960722944.mp4" TargetMode="External"/><Relationship Id="rId6524" Type="http://schemas.openxmlformats.org/officeDocument/2006/relationships/hyperlink" Target="https://bellingcat-archive.nyc3.cdn.digitaloceanspaces.com/Ukraine_Witness_Datasheet/Worksheet/telegram__Pravda_Gerashchenko_24092022-03-07T17:00:11.348381.png" TargetMode="External"/><Relationship Id="rId7856" Type="http://schemas.openxmlformats.org/officeDocument/2006/relationships/hyperlink" Target="https://bellingcat-archive.nyc3.cdn.digitaloceanspaces.com/Ukraine_Witness_Datasheet/Worksheet/twitter__EuromaidanPress_status_15009068577114726432022-03-09T16:41:14.428009.png" TargetMode="External"/><Relationship Id="rId6525" Type="http://schemas.openxmlformats.org/officeDocument/2006/relationships/hyperlink" Target="https://t.me/Pravda_Gerashchenko/2438" TargetMode="External"/><Relationship Id="rId7855" Type="http://schemas.openxmlformats.org/officeDocument/2006/relationships/hyperlink" Target="https://bellingcat-archive.nyc3.cdn.digitaloceanspaces.com/Ukraine_Witness_Datasheet/Worksheet/twitter__EuromaidanPress_status_1500906857711472643.html" TargetMode="External"/><Relationship Id="rId6522" Type="http://schemas.openxmlformats.org/officeDocument/2006/relationships/hyperlink" Target="https://www.google.de/maps/place/%D0%A6%D0%B5%D1%80%D0%BA%D0%B2%D0%B0+%D0%9F%D0%BE%D0%BA%D1%80%D0%BE%D0%B2%D0%B8+%D0%9F%D1%80%D0%B5%D1%81%D0%B2%D1%8F%D1%82%D0%BE%D1%97+%D0%91%D0%BE%D0%B3%D0%BE%D1%80%D0%BE%D0%B4%D0%B8%D1%86%D1%96+c.+%D0%92%E2%80%99%D1%8F%D0%B7%D1%96%D0%B2%D0%BA%D0%B0/@51.1515996,28.8749451,1081m/data=!3m1!1e3!4m8!1m2!2m1!1z0J_RgNC10YHQstGP0YLQvtC5INCR0L7Qs9C-0YDQvtC00LjRhtGLINCS0Y_Qt9C-0LLQutCwINCW0LjRgtC-0LzQuNGA!3m4!1s0x472a2d4056b38813:0xbfd074670181ce91!8m2!3d51.1507713!4d28.8786795!5m1!1e4" TargetMode="External"/><Relationship Id="rId7854" Type="http://schemas.openxmlformats.org/officeDocument/2006/relationships/hyperlink" Target="https://twitter.com/Noobieshunta_/status/1500959887626485762" TargetMode="External"/><Relationship Id="rId6523" Type="http://schemas.openxmlformats.org/officeDocument/2006/relationships/hyperlink" Target="https://bellingcat-archive.nyc3.cdn.digitaloceanspaces.com/Ukraine_Witness_Datasheet/Worksheet/telegram__Pravda_Gerashchenko_2409.html" TargetMode="External"/><Relationship Id="rId7853" Type="http://schemas.openxmlformats.org/officeDocument/2006/relationships/hyperlink" Target="https://twitter.com/EuromaidanPress/status/1500906857711472643" TargetMode="External"/><Relationship Id="rId6517" Type="http://schemas.openxmlformats.org/officeDocument/2006/relationships/hyperlink" Target="https://twitter.com/666_mancer/status/1500531171737878529" TargetMode="External"/><Relationship Id="rId7849" Type="http://schemas.openxmlformats.org/officeDocument/2006/relationships/hyperlink" Target="https://twitter.com/kargolow/status/1501116048069824515" TargetMode="External"/><Relationship Id="rId6518" Type="http://schemas.openxmlformats.org/officeDocument/2006/relationships/hyperlink" Target="https://twitter.com/GeoConfirmed/status/1500563795797843973" TargetMode="External"/><Relationship Id="rId7848" Type="http://schemas.openxmlformats.org/officeDocument/2006/relationships/hyperlink" Target="https://twitter.com/nexta_tv/status/1501085508960722944" TargetMode="External"/><Relationship Id="rId6515" Type="http://schemas.openxmlformats.org/officeDocument/2006/relationships/hyperlink" Target="https://bellingcat-archive.nyc3.cdn.digitaloceanspaces.com/Ukraine_Witness_Datasheet/Worksheet/twitter__no_itsmyturn_status_1500754522595119104.html" TargetMode="External"/><Relationship Id="rId7847" Type="http://schemas.openxmlformats.org/officeDocument/2006/relationships/hyperlink" Target="https://bellingcat-archive.nyc3.cdn.digitaloceanspaces.com/Ukraine_Witness_Datasheet/Worksheet/twitter__bradyafr_status_15010925420787671052022-03-09T16:40:47.335476.png" TargetMode="External"/><Relationship Id="rId6516" Type="http://schemas.openxmlformats.org/officeDocument/2006/relationships/hyperlink" Target="https://bellingcat-archive.nyc3.cdn.digitaloceanspaces.com/Ukraine_Witness_Datasheet/Worksheet/twitter__no_itsmyturn_status_15007545225951191042022-03-07T16:20:15.286553.png" TargetMode="External"/><Relationship Id="rId7846" Type="http://schemas.openxmlformats.org/officeDocument/2006/relationships/hyperlink" Target="https://bellingcat-archive.nyc3.cdn.digitaloceanspaces.com/Ukraine_Witness_Datasheet/Worksheet/twitter__bradyafr_status_1501092542078767105.html" TargetMode="External"/><Relationship Id="rId6519" Type="http://schemas.openxmlformats.org/officeDocument/2006/relationships/hyperlink" Target="https://bellingcat-archive.nyc3.cdn.digitaloceanspaces.com/Ukraine_Witness_Datasheet/Worksheet/twitter__666_mancer_status_1500531171737878529.html" TargetMode="External"/><Relationship Id="rId7841" Type="http://schemas.openxmlformats.org/officeDocument/2006/relationships/hyperlink" Target="https://bellingcat-archive.nyc3.cdn.digitaloceanspaces.com/Ukraine_Witness_Datasheet/Worksheet/youtube_dl_1501142211412611074.mp4" TargetMode="External"/><Relationship Id="rId6510" Type="http://schemas.openxmlformats.org/officeDocument/2006/relationships/hyperlink" Target="https://twitter.com/no_itsmyturn/status/1500782019697123328" TargetMode="External"/><Relationship Id="rId7840" Type="http://schemas.openxmlformats.org/officeDocument/2006/relationships/hyperlink" Target="https://twitter.com/Noobieshunta_/status/1501178663944994818" TargetMode="External"/><Relationship Id="rId6513" Type="http://schemas.openxmlformats.org/officeDocument/2006/relationships/hyperlink" Target="https://bellingcat-archive.nyc3.cdn.digitaloceanspaces.com/Ukraine_Witness_Datasheet/Worksheet/youtube_dl_1500782019697123328/index.html" TargetMode="External"/><Relationship Id="rId7845" Type="http://schemas.openxmlformats.org/officeDocument/2006/relationships/hyperlink" Target="https://twitter.com/bradyafr/status/1501092542078767105" TargetMode="External"/><Relationship Id="rId6514" Type="http://schemas.openxmlformats.org/officeDocument/2006/relationships/hyperlink" Target="https://twitter.com/no_itsmyturn/status/1500754522595119104" TargetMode="External"/><Relationship Id="rId7844" Type="http://schemas.openxmlformats.org/officeDocument/2006/relationships/hyperlink" Target="https://twitter.com/bradyafr/status/1501092542078767105" TargetMode="External"/><Relationship Id="rId6511" Type="http://schemas.openxmlformats.org/officeDocument/2006/relationships/hyperlink" Target="https://bellingcat-archive.nyc3.cdn.digitaloceanspaces.com/Ukraine_Witness_Datasheet/Worksheet/youtube_dl_1500782019697123328.mp4" TargetMode="External"/><Relationship Id="rId7843" Type="http://schemas.openxmlformats.org/officeDocument/2006/relationships/hyperlink" Target="https://bellingcat-archive.nyc3.cdn.digitaloceanspaces.com/Ukraine_Witness_Datasheet/Worksheet/youtube_dl_1501142211412611074/index.html" TargetMode="External"/><Relationship Id="rId6512" Type="http://schemas.openxmlformats.org/officeDocument/2006/relationships/hyperlink" Target="https://bellingcat-archive.nyc3.cdn.digitaloceanspaces.com/Ukraine_Witness_Datasheet/Worksheet/youtube_dl__no_itsmyturn_status_15007820196971233282022-03-07T16:15:20.005119.png" TargetMode="External"/><Relationship Id="rId7842" Type="http://schemas.openxmlformats.org/officeDocument/2006/relationships/hyperlink" Target="https://bellingcat-archive.nyc3.cdn.digitaloceanspaces.com/Ukraine_Witness_Datasheet/Worksheet/youtube_dl__YWNReporter_status_15011422114126110742022-03-09T16:40:25.469953.png" TargetMode="External"/><Relationship Id="rId899" Type="http://schemas.openxmlformats.org/officeDocument/2006/relationships/hyperlink" Target="https://bellingcat-archive.nyc3.cdn.digitaloceanspaces.com/Ukraine_Witness_Datasheet/Worksheet/youtube_dl_1490746729439936515/index.html" TargetMode="External"/><Relationship Id="rId898" Type="http://schemas.openxmlformats.org/officeDocument/2006/relationships/hyperlink" Target="https://bellingcat-archive.nyc3.cdn.digitaloceanspaces.com/Ukraine_Witness_Datasheet/Worksheet/youtube_dl__GirkinGirkin_status_14907467294399365152022-02-25T13:44:28.922584.png" TargetMode="External"/><Relationship Id="rId897" Type="http://schemas.openxmlformats.org/officeDocument/2006/relationships/hyperlink" Target="https://bellingcat-archive.nyc3.cdn.digitaloceanspaces.com/Ukraine_Witness_Datasheet/Worksheet/youtube_dl_1490746729439936515.mp4" TargetMode="External"/><Relationship Id="rId896" Type="http://schemas.openxmlformats.org/officeDocument/2006/relationships/hyperlink" Target="https://twitter.com/Danspiun/status/1491164295585222656" TargetMode="External"/><Relationship Id="rId891" Type="http://schemas.openxmlformats.org/officeDocument/2006/relationships/hyperlink" Target="https://twitter.com/Danspiun/status/1491475661982253056" TargetMode="External"/><Relationship Id="rId890" Type="http://schemas.openxmlformats.org/officeDocument/2006/relationships/hyperlink" Target="https://twitter.com/4emberlen/status/1491363628486115332" TargetMode="External"/><Relationship Id="rId895" Type="http://schemas.openxmlformats.org/officeDocument/2006/relationships/hyperlink" Target="https://twitter.com/GirkinGirkin/status/1490746729439936515" TargetMode="External"/><Relationship Id="rId894" Type="http://schemas.openxmlformats.org/officeDocument/2006/relationships/hyperlink" Target="https://bellingcat-archive.nyc3.cdn.digitaloceanspaces.com/Ukraine_Witness_Datasheet/Worksheet/youtube_dl_1491363628486115332/index.html" TargetMode="External"/><Relationship Id="rId893" Type="http://schemas.openxmlformats.org/officeDocument/2006/relationships/hyperlink" Target="https://bellingcat-archive.nyc3.cdn.digitaloceanspaces.com/Ukraine_Witness_Datasheet/Worksheet/youtube_dl__4emberlen_status_14913636284861153322022-02-25T13:44:09.724637.png" TargetMode="External"/><Relationship Id="rId892" Type="http://schemas.openxmlformats.org/officeDocument/2006/relationships/hyperlink" Target="https://bellingcat-archive.nyc3.cdn.digitaloceanspaces.com/Ukraine_Witness_Datasheet/Worksheet/youtube_dl_1491363628486115332.mp4" TargetMode="External"/><Relationship Id="rId7816" Type="http://schemas.openxmlformats.org/officeDocument/2006/relationships/hyperlink" Target="https://twitter.com/no_itsmyturn/status/1501596148049616906" TargetMode="External"/><Relationship Id="rId7815" Type="http://schemas.openxmlformats.org/officeDocument/2006/relationships/hyperlink" Target="https://bellingcat-archive.nyc3.cdn.digitaloceanspaces.com/Ukraine_Witness_Datasheet/Worksheet/twitter__Bylbyleva_status_15014185680423526412022-03-09T16:30:55.988838.png" TargetMode="External"/><Relationship Id="rId7814" Type="http://schemas.openxmlformats.org/officeDocument/2006/relationships/hyperlink" Target="https://bellingcat-archive.nyc3.cdn.digitaloceanspaces.com/Ukraine_Witness_Datasheet/Worksheet/twitter__Bylbyleva_status_1501418568042352641.html" TargetMode="External"/><Relationship Id="rId7813" Type="http://schemas.openxmlformats.org/officeDocument/2006/relationships/hyperlink" Target="https://twitter.com/Bylbyleva/status/1501418568042352641" TargetMode="External"/><Relationship Id="rId7819" Type="http://schemas.openxmlformats.org/officeDocument/2006/relationships/hyperlink" Target="https://bellingcat-archive.nyc3.cdn.digitaloceanspaces.com/Ukraine_Witness_Datasheet/Worksheet/youtube_dl_1501596148049616906/index.html" TargetMode="External"/><Relationship Id="rId7818" Type="http://schemas.openxmlformats.org/officeDocument/2006/relationships/hyperlink" Target="https://bellingcat-archive.nyc3.cdn.digitaloceanspaces.com/Ukraine_Witness_Datasheet/Worksheet/youtube_dl__no_itsmyturn_status_15015961480496169062022-03-09T16:35:13.787067.png" TargetMode="External"/><Relationship Id="rId7817" Type="http://schemas.openxmlformats.org/officeDocument/2006/relationships/hyperlink" Target="https://bellingcat-archive.nyc3.cdn.digitaloceanspaces.com/Ukraine_Witness_Datasheet/Worksheet/youtube_dl_1501596148049616906.mp4" TargetMode="External"/><Relationship Id="rId7812" Type="http://schemas.openxmlformats.org/officeDocument/2006/relationships/hyperlink" Target="https://bellingcat-archive.nyc3.cdn.digitaloceanspaces.com/Ukraine_Witness_Datasheet/Worksheet/twitter__dtcdonetskua_status_15014941070043545612022-03-09T16:30:44.322711.png" TargetMode="External"/><Relationship Id="rId7811" Type="http://schemas.openxmlformats.org/officeDocument/2006/relationships/hyperlink" Target="https://bellingcat-archive.nyc3.cdn.digitaloceanspaces.com/Ukraine_Witness_Datasheet/Worksheet/twitter__dtcdonetskua_status_1501494107004354561.html" TargetMode="External"/><Relationship Id="rId7810" Type="http://schemas.openxmlformats.org/officeDocument/2006/relationships/hyperlink" Target="https://twitter.com/GertVHoecke/status/1501496662358958081" TargetMode="External"/><Relationship Id="rId7805" Type="http://schemas.openxmlformats.org/officeDocument/2006/relationships/hyperlink" Target="https://twitter.com/Michael1Sheldon/status/1501362495721811968" TargetMode="External"/><Relationship Id="rId7804" Type="http://schemas.openxmlformats.org/officeDocument/2006/relationships/hyperlink" Target="https://bellingcat-archive.nyc3.cdn.digitaloceanspaces.com/Ukraine_Witness_Datasheet/Worksheet/youtube_dl_1501495683953704962/index.html" TargetMode="External"/><Relationship Id="rId7803" Type="http://schemas.openxmlformats.org/officeDocument/2006/relationships/hyperlink" Target="https://bellingcat-archive.nyc3.cdn.digitaloceanspaces.com/Ukraine_Witness_Datasheet/Worksheet/youtube_dl__Militarylandnet_status_15014956839537049622022-03-09T16:30:17.025877.png" TargetMode="External"/><Relationship Id="rId7802" Type="http://schemas.openxmlformats.org/officeDocument/2006/relationships/hyperlink" Target="https://bellingcat-archive.nyc3.cdn.digitaloceanspaces.com/Ukraine_Witness_Datasheet/Worksheet/youtube_dl_1501495683953704962.mp4" TargetMode="External"/><Relationship Id="rId7809" Type="http://schemas.openxmlformats.org/officeDocument/2006/relationships/hyperlink" Target="https://twitter.com/dtcdonetskua/status/1501494107004354561" TargetMode="External"/><Relationship Id="rId7808" Type="http://schemas.openxmlformats.org/officeDocument/2006/relationships/hyperlink" Target="https://bellingcat-archive.nyc3.cdn.digitaloceanspaces.com/Ukraine_Witness_Datasheet/Worksheet/twitter__Michael1Sheldon_status_15013624957218119682022-03-09T16:30:33.206976.png" TargetMode="External"/><Relationship Id="rId7807" Type="http://schemas.openxmlformats.org/officeDocument/2006/relationships/hyperlink" Target="https://bellingcat-archive.nyc3.cdn.digitaloceanspaces.com/Ukraine_Witness_Datasheet/Worksheet/twitter__Michael1Sheldon_status_1501362495721811968.html" TargetMode="External"/><Relationship Id="rId7806" Type="http://schemas.openxmlformats.org/officeDocument/2006/relationships/hyperlink" Target="https://twitter.com/Michael1Sheldon/status/1501362495721811968" TargetMode="External"/><Relationship Id="rId7801" Type="http://schemas.openxmlformats.org/officeDocument/2006/relationships/hyperlink" Target="https://twitter.com/AosiGeo/status/1501498741739642884" TargetMode="External"/><Relationship Id="rId7800" Type="http://schemas.openxmlformats.org/officeDocument/2006/relationships/hyperlink" Target="https://twitter.com/Militarylandnet/status/1501495683953704962"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s://twitter.com/Osinttechnical/status/1496829736865386498" TargetMode="External"/><Relationship Id="rId10" Type="http://schemas.openxmlformats.org/officeDocument/2006/relationships/hyperlink" Target="https://twitter.com/UAWeapons/status/1496827765462646784?s=20&amp;t=sNaO-qGAVkQXEeLFh5R4Ew" TargetMode="External"/><Relationship Id="rId13" Type="http://schemas.openxmlformats.org/officeDocument/2006/relationships/hyperlink" Target="https://twitter.com/osinttechnical/status/1496830220543967238?s=21" TargetMode="External"/><Relationship Id="rId12" Type="http://schemas.openxmlformats.org/officeDocument/2006/relationships/hyperlink" Target="https://twitter.com/IntelCrab/status/1496829706355806209?s=20&amp;t=sNaO-qGAVkQXEeLFh5R4Ew" TargetMode="External"/><Relationship Id="rId15" Type="http://schemas.openxmlformats.org/officeDocument/2006/relationships/hyperlink" Target="https://twitter.com/AdityaRajKaul/status/1496863216307085315" TargetMode="External"/><Relationship Id="rId14" Type="http://schemas.openxmlformats.org/officeDocument/2006/relationships/hyperlink" Target="https://twitter.com/Osinttechnical/status/1496833708069990408?s=20&amp;t=2Nt-srmDCVaBdg-T9vsA0A" TargetMode="External"/><Relationship Id="rId17" Type="http://schemas.openxmlformats.org/officeDocument/2006/relationships/hyperlink" Target="https://twitter.com/UAWeapons/status/1496936856159588360" TargetMode="External"/><Relationship Id="rId16" Type="http://schemas.openxmlformats.org/officeDocument/2006/relationships/hyperlink" Target="https://twitter.com/UAWeapons/status/1496972759557189638" TargetMode="External"/><Relationship Id="rId18" Type="http://schemas.openxmlformats.org/officeDocument/2006/relationships/drawing" Target="../drawings/drawing2.xml"/><Relationship Id="rId1" Type="http://schemas.openxmlformats.org/officeDocument/2006/relationships/hyperlink" Target="https://twitter.com/RALee85/status/1496806319973675013" TargetMode="External"/><Relationship Id="rId2" Type="http://schemas.openxmlformats.org/officeDocument/2006/relationships/hyperlink" Target="https://twitter.com/ohsendit/status/1496820988876632070" TargetMode="External"/><Relationship Id="rId3" Type="http://schemas.openxmlformats.org/officeDocument/2006/relationships/hyperlink" Target="https://twitter.com/Militarylandnet/status/1496813872912777219" TargetMode="External"/><Relationship Id="rId4" Type="http://schemas.openxmlformats.org/officeDocument/2006/relationships/hyperlink" Target="https://twitter.com/AlexandruC4/status/1496826486908719104" TargetMode="External"/><Relationship Id="rId9" Type="http://schemas.openxmlformats.org/officeDocument/2006/relationships/hyperlink" Target="https://twitter.com/john_marquee/status/1496792740457115650" TargetMode="External"/><Relationship Id="rId5" Type="http://schemas.openxmlformats.org/officeDocument/2006/relationships/hyperlink" Target="https://twitter.com/azyakancokkacan/status/1496862156708618249" TargetMode="External"/><Relationship Id="rId6" Type="http://schemas.openxmlformats.org/officeDocument/2006/relationships/hyperlink" Target="https://twitter.com/coupsure/status/1496808919246716928?s=21" TargetMode="External"/><Relationship Id="rId7" Type="http://schemas.openxmlformats.org/officeDocument/2006/relationships/hyperlink" Target="https://twitter.com/coupsure/status/1496813788997332995?s=21" TargetMode="External"/><Relationship Id="rId8" Type="http://schemas.openxmlformats.org/officeDocument/2006/relationships/hyperlink" Target="https://twitter.com/ruslantrad/status/1496787941464719361?s=21"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1" Type="http://schemas.openxmlformats.org/officeDocument/2006/relationships/hyperlink" Target="https://twitter.com/KyleJGlen/status/1499336508364492801" TargetMode="External"/><Relationship Id="rId30" Type="http://schemas.openxmlformats.org/officeDocument/2006/relationships/hyperlink" Target="https://twitter.com/Idzanagi4/status/1491815082074034182" TargetMode="External"/><Relationship Id="rId33" Type="http://schemas.openxmlformats.org/officeDocument/2006/relationships/hyperlink" Target="https://twitter.com/MarQs__/status/1492049844634107904" TargetMode="External"/><Relationship Id="rId32" Type="http://schemas.openxmlformats.org/officeDocument/2006/relationships/hyperlink" Target="https://twitter.com/markito0171/status/1498231111964672003" TargetMode="External"/><Relationship Id="rId34" Type="http://schemas.openxmlformats.org/officeDocument/2006/relationships/drawing" Target="../drawings/drawing4.xml"/><Relationship Id="rId20" Type="http://schemas.openxmlformats.org/officeDocument/2006/relationships/hyperlink" Target="https://twitter.com/IAPonomarenko" TargetMode="External"/><Relationship Id="rId22" Type="http://schemas.openxmlformats.org/officeDocument/2006/relationships/hyperlink" Target="https://t.me/warjournaltg" TargetMode="External"/><Relationship Id="rId21" Type="http://schemas.openxmlformats.org/officeDocument/2006/relationships/hyperlink" Target="https://t.me/HersonDN" TargetMode="External"/><Relationship Id="rId24" Type="http://schemas.openxmlformats.org/officeDocument/2006/relationships/hyperlink" Target="https://twitter.com/4emberlen/" TargetMode="External"/><Relationship Id="rId23" Type="http://schemas.openxmlformats.org/officeDocument/2006/relationships/hyperlink" Target="https://twitter.com/AuroraIntel" TargetMode="External"/><Relationship Id="rId26" Type="http://schemas.openxmlformats.org/officeDocument/2006/relationships/hyperlink" Target="https://t.me/Pravda_Gerashchenko/883" TargetMode="External"/><Relationship Id="rId25" Type="http://schemas.openxmlformats.org/officeDocument/2006/relationships/hyperlink" Target="https://twitter.com/JC_Monitoring/status/1490804886950273024" TargetMode="External"/><Relationship Id="rId28" Type="http://schemas.openxmlformats.org/officeDocument/2006/relationships/hyperlink" Target="https://twitter.com/200_zoka/" TargetMode="External"/><Relationship Id="rId27" Type="http://schemas.openxmlformats.org/officeDocument/2006/relationships/hyperlink" Target="https://t.me/truexanewsua/26226" TargetMode="External"/><Relationship Id="rId29" Type="http://schemas.openxmlformats.org/officeDocument/2006/relationships/hyperlink" Target="https://twitter.com/666_mancer/status/1497600148188319750?t=htrlB1wMAhxVlBfjT8CoEw&amp;s=19" TargetMode="External"/><Relationship Id="rId11" Type="http://schemas.openxmlformats.org/officeDocument/2006/relationships/hyperlink" Target="https://t.me/epoddubny" TargetMode="External"/><Relationship Id="rId10" Type="http://schemas.openxmlformats.org/officeDocument/2006/relationships/hyperlink" Target="https://t.me/wargonzo" TargetMode="External"/><Relationship Id="rId13" Type="http://schemas.openxmlformats.org/officeDocument/2006/relationships/hyperlink" Target="https://t.me/warjournaltg" TargetMode="External"/><Relationship Id="rId12" Type="http://schemas.openxmlformats.org/officeDocument/2006/relationships/hyperlink" Target="https://t.me/DmitriySteshin" TargetMode="External"/><Relationship Id="rId15" Type="http://schemas.openxmlformats.org/officeDocument/2006/relationships/hyperlink" Target="https://t.me/s/Radioskaner" TargetMode="External"/><Relationship Id="rId14" Type="http://schemas.openxmlformats.org/officeDocument/2006/relationships/hyperlink" Target="https://www.tiktok.com/@real_belarus" TargetMode="External"/><Relationship Id="rId17" Type="http://schemas.openxmlformats.org/officeDocument/2006/relationships/hyperlink" Target="https://t.me/nexta_live" TargetMode="External"/><Relationship Id="rId16" Type="http://schemas.openxmlformats.org/officeDocument/2006/relationships/hyperlink" Target="https://twitter.com/nexta_tv" TargetMode="External"/><Relationship Id="rId19" Type="http://schemas.openxmlformats.org/officeDocument/2006/relationships/hyperlink" Target="https://twitter.com/GirkinGirkin/status/1499352556300079109" TargetMode="External"/><Relationship Id="rId18" Type="http://schemas.openxmlformats.org/officeDocument/2006/relationships/hyperlink" Target="https://twitter.com/ELINTNews/status/1499351053384527876" TargetMode="External"/><Relationship Id="rId1" Type="http://schemas.openxmlformats.org/officeDocument/2006/relationships/hyperlink" Target="https://t.me/grey_zone" TargetMode="External"/><Relationship Id="rId2" Type="http://schemas.openxmlformats.org/officeDocument/2006/relationships/hyperlink" Target="https://t.me/milinfolive" TargetMode="External"/><Relationship Id="rId3" Type="http://schemas.openxmlformats.org/officeDocument/2006/relationships/hyperlink" Target="https://t.me/sashakots" TargetMode="External"/><Relationship Id="rId4" Type="http://schemas.openxmlformats.org/officeDocument/2006/relationships/hyperlink" Target="https://www.facebook.com/alexander.kots.7" TargetMode="External"/><Relationship Id="rId9" Type="http://schemas.openxmlformats.org/officeDocument/2006/relationships/hyperlink" Target="https://t.me/Ateobreaking" TargetMode="External"/><Relationship Id="rId5" Type="http://schemas.openxmlformats.org/officeDocument/2006/relationships/hyperlink" Target="https://t.me/Ugolok_Sitha" TargetMode="External"/><Relationship Id="rId6" Type="http://schemas.openxmlformats.org/officeDocument/2006/relationships/hyperlink" Target="https://t.me/vladlentatarsky" TargetMode="External"/><Relationship Id="rId7" Type="http://schemas.openxmlformats.org/officeDocument/2006/relationships/hyperlink" Target="https://twitter.com/zvezdanews" TargetMode="External"/><Relationship Id="rId8" Type="http://schemas.openxmlformats.org/officeDocument/2006/relationships/hyperlink" Target="https://t.me/ryba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1.22" defaultRowHeight="15.0"/>
  <cols>
    <col customWidth="1" min="1" max="1" width="16.67"/>
    <col customWidth="1" hidden="1" min="2" max="2" width="5.11"/>
    <col customWidth="1" min="3" max="3" width="11.67"/>
    <col customWidth="1" min="4" max="4" width="12.89"/>
    <col customWidth="1" min="5" max="5" width="10.33"/>
    <col customWidth="1" min="6" max="6" width="7.89"/>
    <col customWidth="1" min="7" max="7" width="30.78"/>
    <col customWidth="1" min="8" max="8" width="6.33"/>
    <col customWidth="1" min="9" max="9" width="10.11"/>
    <col customWidth="1" min="10" max="10" width="56.33"/>
    <col customWidth="1" min="11" max="11" width="18.0"/>
    <col customWidth="1" min="12" max="12" width="9.11"/>
    <col customWidth="1" min="13" max="13" width="12.89"/>
    <col customWidth="1" min="14" max="15" width="11.22"/>
    <col customWidth="1" min="16" max="16" width="19.0"/>
    <col customWidth="1" hidden="1" min="17" max="17" width="18.22"/>
    <col customWidth="1" hidden="1" min="18" max="19" width="9.78"/>
    <col customWidth="1" min="20" max="20" width="33.0"/>
    <col customWidth="1" min="21" max="21" width="23.67"/>
    <col customWidth="1" min="22" max="22" width="10.33"/>
    <col customWidth="1" min="23" max="23" width="19.22"/>
    <col customWidth="1" min="24" max="24" width="9.33"/>
    <col customWidth="1" min="25" max="25" width="6.89"/>
    <col customWidth="1" min="26" max="26" width="15.78"/>
    <col customWidth="1" min="27" max="27" width="19.44"/>
    <col customWidth="1" min="28" max="28" width="18.11"/>
    <col customWidth="1" hidden="1" min="29" max="29" width="3.44"/>
    <col customWidth="1" hidden="1" min="30" max="31" width="3.89"/>
    <col customWidth="1" hidden="1" min="32" max="32" width="3.78"/>
    <col customWidth="1" hidden="1" min="33" max="33" width="3.89"/>
    <col customWidth="1" hidden="1" min="34" max="34" width="4.0"/>
    <col customWidth="1" min="35" max="35" width="14.0"/>
    <col customWidth="1" min="36" max="36" width="26.33"/>
    <col customWidth="1" min="37" max="37" width="16.67"/>
    <col customWidth="1" min="38" max="38" width="7.44"/>
    <col customWidth="1" min="39" max="39" width="12.33"/>
    <col customWidth="1" min="40" max="43" width="12.0"/>
    <col customWidth="1" min="44" max="44" width="17.22"/>
    <col customWidth="1" min="45" max="46" width="12.0"/>
    <col customWidth="1" min="47" max="47" width="7.0"/>
    <col customWidth="1" min="48" max="48" width="9.0"/>
    <col customWidth="1" min="49" max="49" width="25.44"/>
  </cols>
  <sheetData>
    <row r="1" ht="39.0" customHeight="1">
      <c r="A1" s="1"/>
      <c r="B1" s="2"/>
      <c r="C1" s="3" t="s">
        <v>0</v>
      </c>
      <c r="D1" s="4"/>
      <c r="E1" s="4"/>
      <c r="F1" s="5" t="s">
        <v>1</v>
      </c>
      <c r="G1" s="6"/>
      <c r="H1" s="7"/>
      <c r="I1" s="8"/>
      <c r="J1" s="9" t="s">
        <v>2</v>
      </c>
      <c r="K1" s="10" t="s">
        <v>3</v>
      </c>
      <c r="L1" s="11" t="s">
        <v>4</v>
      </c>
      <c r="M1" s="2"/>
      <c r="N1" s="2"/>
      <c r="O1" s="2"/>
      <c r="P1" s="12" t="s">
        <v>5</v>
      </c>
      <c r="Q1" s="13"/>
      <c r="R1" s="13"/>
      <c r="S1" s="13"/>
      <c r="T1" s="2" t="s">
        <v>6</v>
      </c>
      <c r="U1" s="14" t="s">
        <v>7</v>
      </c>
      <c r="V1" s="15" t="s">
        <v>8</v>
      </c>
      <c r="W1" s="16" t="s">
        <v>5</v>
      </c>
      <c r="X1" s="17" t="s">
        <v>9</v>
      </c>
      <c r="Y1" s="18" t="s">
        <v>7</v>
      </c>
      <c r="Z1" s="19"/>
      <c r="AA1" s="20" t="s">
        <v>10</v>
      </c>
      <c r="AB1" s="20" t="s">
        <v>10</v>
      </c>
      <c r="AC1" s="19"/>
      <c r="AD1" s="19"/>
      <c r="AE1" s="19"/>
      <c r="AF1" s="19"/>
      <c r="AG1" s="19"/>
      <c r="AH1" s="19"/>
      <c r="AI1" s="19"/>
      <c r="AJ1" s="21" t="s">
        <v>5</v>
      </c>
      <c r="AK1" s="22" t="s">
        <v>11</v>
      </c>
      <c r="AL1" s="23" t="s">
        <v>12</v>
      </c>
      <c r="AM1" s="23" t="s">
        <v>12</v>
      </c>
      <c r="AN1" s="24"/>
      <c r="AO1" s="24"/>
      <c r="AP1" s="24"/>
      <c r="AQ1" s="24"/>
      <c r="AR1" s="24"/>
      <c r="AS1" s="24"/>
      <c r="AT1" s="25"/>
      <c r="AU1" s="26" t="s">
        <v>13</v>
      </c>
      <c r="AV1" s="27"/>
      <c r="AW1" s="28"/>
    </row>
    <row r="2" ht="51.0" customHeight="1">
      <c r="A2" s="29" t="s">
        <v>14</v>
      </c>
      <c r="B2" s="30" t="s">
        <v>15</v>
      </c>
      <c r="C2" s="31" t="s">
        <v>16</v>
      </c>
      <c r="D2" s="32" t="s">
        <v>17</v>
      </c>
      <c r="E2" s="32" t="s">
        <v>18</v>
      </c>
      <c r="F2" s="33" t="s">
        <v>19</v>
      </c>
      <c r="G2" s="34" t="s">
        <v>20</v>
      </c>
      <c r="H2" s="35" t="s">
        <v>21</v>
      </c>
      <c r="I2" s="36" t="s">
        <v>22</v>
      </c>
      <c r="J2" s="37" t="s">
        <v>23</v>
      </c>
      <c r="K2" s="38" t="s">
        <v>24</v>
      </c>
      <c r="L2" s="39" t="s">
        <v>25</v>
      </c>
      <c r="M2" s="30" t="s">
        <v>26</v>
      </c>
      <c r="N2" s="30" t="s">
        <v>27</v>
      </c>
      <c r="O2" s="30" t="s">
        <v>28</v>
      </c>
      <c r="P2" s="30" t="s">
        <v>29</v>
      </c>
      <c r="Q2" s="30" t="s">
        <v>30</v>
      </c>
      <c r="R2" s="30" t="s">
        <v>31</v>
      </c>
      <c r="S2" s="30" t="s">
        <v>32</v>
      </c>
      <c r="T2" s="40" t="s">
        <v>33</v>
      </c>
      <c r="U2" s="41" t="s">
        <v>34</v>
      </c>
      <c r="V2" s="42" t="s">
        <v>35</v>
      </c>
      <c r="W2" s="34" t="s">
        <v>36</v>
      </c>
      <c r="X2" s="43" t="s">
        <v>37</v>
      </c>
      <c r="Y2" s="44" t="s">
        <v>38</v>
      </c>
      <c r="Z2" s="44" t="s">
        <v>39</v>
      </c>
      <c r="AA2" s="44" t="s">
        <v>40</v>
      </c>
      <c r="AB2" s="44" t="s">
        <v>41</v>
      </c>
      <c r="AC2" s="45" t="s">
        <v>42</v>
      </c>
      <c r="AD2" s="45" t="s">
        <v>43</v>
      </c>
      <c r="AE2" s="45" t="s">
        <v>44</v>
      </c>
      <c r="AF2" s="45" t="s">
        <v>45</v>
      </c>
      <c r="AG2" s="45" t="s">
        <v>46</v>
      </c>
      <c r="AH2" s="45" t="s">
        <v>47</v>
      </c>
      <c r="AI2" s="44" t="s">
        <v>48</v>
      </c>
      <c r="AJ2" s="46" t="s">
        <v>49</v>
      </c>
      <c r="AK2" s="47" t="s">
        <v>50</v>
      </c>
      <c r="AL2" s="48" t="s">
        <v>51</v>
      </c>
      <c r="AM2" s="49" t="s">
        <v>52</v>
      </c>
      <c r="AN2" s="50" t="s">
        <v>53</v>
      </c>
      <c r="AO2" s="50" t="s">
        <v>54</v>
      </c>
      <c r="AP2" s="50" t="s">
        <v>55</v>
      </c>
      <c r="AQ2" s="50" t="s">
        <v>56</v>
      </c>
      <c r="AR2" s="50" t="s">
        <v>57</v>
      </c>
      <c r="AS2" s="49" t="s">
        <v>58</v>
      </c>
      <c r="AT2" s="51" t="s">
        <v>59</v>
      </c>
      <c r="AU2" s="52" t="s">
        <v>60</v>
      </c>
      <c r="AV2" s="53" t="s">
        <v>61</v>
      </c>
      <c r="AW2" s="54" t="s">
        <v>62</v>
      </c>
    </row>
    <row r="3" ht="15.75" customHeight="1">
      <c r="A3" s="55" t="s">
        <v>63</v>
      </c>
      <c r="B3" s="56" t="str">
        <f t="array" ref="B3:B426">C3:C2576&amp;" "&amp;J3:J2576</f>
        <v>#REF!</v>
      </c>
      <c r="C3" s="57" t="s">
        <v>64</v>
      </c>
      <c r="D3" s="58">
        <v>52.349306</v>
      </c>
      <c r="E3" s="58">
        <v>30.393528</v>
      </c>
      <c r="F3" s="59">
        <v>1.0</v>
      </c>
      <c r="G3" s="60" t="s">
        <v>65</v>
      </c>
      <c r="H3" s="61" t="s">
        <v>66</v>
      </c>
      <c r="I3" s="62" t="s">
        <v>67</v>
      </c>
      <c r="J3" s="63" t="s">
        <v>68</v>
      </c>
      <c r="K3" s="64"/>
      <c r="L3" s="65" t="s">
        <v>69</v>
      </c>
      <c r="M3" s="61" t="s">
        <v>70</v>
      </c>
      <c r="N3" s="66" t="s">
        <v>71</v>
      </c>
      <c r="O3" s="66" t="s">
        <v>71</v>
      </c>
      <c r="P3" s="67" t="str">
        <f t="shared" ref="P3:P1350" si="1">IF(ISBLANK(D3), "", CONCATENATE(D3,", ", E3))</f>
        <v>52.349306, 30.393528</v>
      </c>
      <c r="Q3" s="67" t="str">
        <f t="shared" ref="Q3:Q1623" si="2">IF(ISBLANK(D3),"",CONCATENATE(R3, ", ", S3))</f>
        <v>52.348932, 30.393561</v>
      </c>
      <c r="R3" s="67">
        <f t="shared" ref="R3:R1623" si="3">IFERROR(IF(ISBLANK(D3), "", ROUND(D3-0.00001*SIN(MOD(POW(ROW()*1337,3/2),1)*PI())*(MOD(POW(ROW()*2337,3/2),1)*50+35),6)), "bad coordinate")</f>
        <v>52.348932</v>
      </c>
      <c r="S3" s="67">
        <f t="shared" ref="S3:S1623" si="4">IFERROR(IF(ISBLANK(E3), "", ROUND(E3+0.000015*COS(MOD(POW(ROW()*1337,3/2),1)*PI())*(MOD(POW(ROW()*2337,3/2),1)*50+35),6)), "bad coordinate")</f>
        <v>30.393561</v>
      </c>
      <c r="T3" s="68" t="s">
        <v>72</v>
      </c>
      <c r="U3" s="69"/>
      <c r="V3" s="70" t="s">
        <v>73</v>
      </c>
      <c r="W3" s="71" t="s">
        <v>74</v>
      </c>
      <c r="X3" s="72" t="s">
        <v>75</v>
      </c>
      <c r="Y3" s="61" t="s">
        <v>76</v>
      </c>
      <c r="Z3" s="73"/>
      <c r="AA3" s="74" t="s">
        <v>77</v>
      </c>
      <c r="AB3" s="61" t="s">
        <v>78</v>
      </c>
      <c r="AC3" s="73"/>
      <c r="AD3" s="73"/>
      <c r="AE3" s="73"/>
      <c r="AF3" s="73"/>
      <c r="AG3" s="73"/>
      <c r="AH3" s="73"/>
      <c r="AI3" s="61" t="s">
        <v>79</v>
      </c>
      <c r="AJ3" s="75"/>
      <c r="AK3" s="76" t="s">
        <v>80</v>
      </c>
      <c r="AL3" s="77" t="s">
        <v>81</v>
      </c>
      <c r="AM3" s="71" t="s">
        <v>82</v>
      </c>
      <c r="AN3" s="78" t="s">
        <v>83</v>
      </c>
      <c r="AO3" s="71" t="s">
        <v>84</v>
      </c>
      <c r="AP3" s="71" t="str">
        <f>IMAGE("https://bellingcat-archive.nyc3.cdn.digitaloceanspaces.com/ukraine_witness_test/Worksheet/yotube_dl_1484436102295523329/out2.jpg")</f>
        <v/>
      </c>
      <c r="AQ3" s="78" t="s">
        <v>85</v>
      </c>
      <c r="AR3" s="71" t="s">
        <v>86</v>
      </c>
      <c r="AS3" s="71" t="s">
        <v>87</v>
      </c>
      <c r="AT3" s="71">
        <v>28.5</v>
      </c>
      <c r="AU3" s="79" t="s">
        <v>63</v>
      </c>
      <c r="AV3" s="80" t="s">
        <v>88</v>
      </c>
      <c r="AW3" s="81"/>
    </row>
    <row r="4" ht="15.75" customHeight="1">
      <c r="A4" s="55" t="s">
        <v>63</v>
      </c>
      <c r="B4" s="61"/>
      <c r="C4" s="57" t="s">
        <v>89</v>
      </c>
      <c r="D4" s="58">
        <v>53.303394</v>
      </c>
      <c r="E4" s="58">
        <v>28.636886</v>
      </c>
      <c r="F4" s="59">
        <v>1.0</v>
      </c>
      <c r="G4" s="60" t="s">
        <v>90</v>
      </c>
      <c r="H4" s="61" t="s">
        <v>91</v>
      </c>
      <c r="I4" s="82"/>
      <c r="J4" s="63" t="s">
        <v>92</v>
      </c>
      <c r="K4" s="64"/>
      <c r="L4" s="65" t="s">
        <v>69</v>
      </c>
      <c r="M4" s="74" t="s">
        <v>93</v>
      </c>
      <c r="N4" s="61" t="s">
        <v>94</v>
      </c>
      <c r="O4" s="61" t="s">
        <v>94</v>
      </c>
      <c r="P4" s="67" t="str">
        <f t="shared" si="1"/>
        <v>53.303394, 28.636886</v>
      </c>
      <c r="Q4" s="67" t="str">
        <f t="shared" si="2"/>
        <v>53.302677, 28.63742</v>
      </c>
      <c r="R4" s="67">
        <f t="shared" si="3"/>
        <v>53.302677</v>
      </c>
      <c r="S4" s="67">
        <f t="shared" si="4"/>
        <v>28.63742</v>
      </c>
      <c r="T4" s="68" t="s">
        <v>95</v>
      </c>
      <c r="U4" s="64" t="s">
        <v>96</v>
      </c>
      <c r="V4" s="65" t="s">
        <v>97</v>
      </c>
      <c r="W4" s="71" t="s">
        <v>74</v>
      </c>
      <c r="X4" s="72" t="s">
        <v>75</v>
      </c>
      <c r="Y4" s="61" t="s">
        <v>76</v>
      </c>
      <c r="Z4" s="73"/>
      <c r="AA4" s="74" t="s">
        <v>77</v>
      </c>
      <c r="AB4" s="61" t="s">
        <v>78</v>
      </c>
      <c r="AC4" s="73"/>
      <c r="AD4" s="73"/>
      <c r="AE4" s="73"/>
      <c r="AF4" s="73"/>
      <c r="AG4" s="73"/>
      <c r="AH4" s="73"/>
      <c r="AI4" s="61" t="s">
        <v>79</v>
      </c>
      <c r="AJ4" s="75"/>
      <c r="AK4" s="76" t="s">
        <v>80</v>
      </c>
      <c r="AL4" s="83" t="s">
        <v>98</v>
      </c>
      <c r="AM4" s="71" t="s">
        <v>99</v>
      </c>
      <c r="AN4" s="68" t="s">
        <v>100</v>
      </c>
      <c r="AO4" s="71" t="s">
        <v>101</v>
      </c>
      <c r="AP4" s="71"/>
      <c r="AQ4" s="71"/>
      <c r="AR4" s="71"/>
      <c r="AS4" s="71"/>
      <c r="AT4" s="71"/>
      <c r="AU4" s="79" t="s">
        <v>63</v>
      </c>
      <c r="AV4" s="80" t="s">
        <v>88</v>
      </c>
      <c r="AW4" s="81"/>
    </row>
    <row r="5" ht="15.75" customHeight="1">
      <c r="A5" s="55" t="s">
        <v>63</v>
      </c>
      <c r="B5" s="61"/>
      <c r="C5" s="57" t="s">
        <v>89</v>
      </c>
      <c r="D5" s="58">
        <v>53.299663</v>
      </c>
      <c r="E5" s="58">
        <v>28.645682</v>
      </c>
      <c r="F5" s="59">
        <v>1.0</v>
      </c>
      <c r="G5" s="84" t="s">
        <v>102</v>
      </c>
      <c r="H5" s="61" t="s">
        <v>66</v>
      </c>
      <c r="I5" s="82"/>
      <c r="J5" s="63" t="s">
        <v>68</v>
      </c>
      <c r="K5" s="64"/>
      <c r="L5" s="65" t="s">
        <v>69</v>
      </c>
      <c r="M5" s="74" t="s">
        <v>93</v>
      </c>
      <c r="N5" s="61" t="s">
        <v>94</v>
      </c>
      <c r="O5" s="61" t="s">
        <v>94</v>
      </c>
      <c r="P5" s="67" t="str">
        <f t="shared" si="1"/>
        <v>53.299663, 28.645682</v>
      </c>
      <c r="Q5" s="67" t="str">
        <f t="shared" si="2"/>
        <v>53.299591, 28.644765</v>
      </c>
      <c r="R5" s="67">
        <f t="shared" si="3"/>
        <v>53.299591</v>
      </c>
      <c r="S5" s="67">
        <f t="shared" si="4"/>
        <v>28.644765</v>
      </c>
      <c r="T5" s="68" t="s">
        <v>103</v>
      </c>
      <c r="U5" s="64" t="s">
        <v>96</v>
      </c>
      <c r="V5" s="65" t="s">
        <v>104</v>
      </c>
      <c r="W5" s="71" t="s">
        <v>74</v>
      </c>
      <c r="X5" s="72" t="s">
        <v>75</v>
      </c>
      <c r="Y5" s="61" t="s">
        <v>76</v>
      </c>
      <c r="Z5" s="73"/>
      <c r="AA5" s="74" t="s">
        <v>77</v>
      </c>
      <c r="AB5" s="61" t="s">
        <v>78</v>
      </c>
      <c r="AC5" s="73"/>
      <c r="AD5" s="73"/>
      <c r="AE5" s="73"/>
      <c r="AF5" s="73"/>
      <c r="AG5" s="73"/>
      <c r="AH5" s="73"/>
      <c r="AI5" s="61" t="s">
        <v>79</v>
      </c>
      <c r="AJ5" s="75"/>
      <c r="AK5" s="76" t="s">
        <v>80</v>
      </c>
      <c r="AL5" s="77" t="s">
        <v>105</v>
      </c>
      <c r="AM5" s="71" t="s">
        <v>106</v>
      </c>
      <c r="AN5" s="78" t="s">
        <v>107</v>
      </c>
      <c r="AO5" s="71" t="s">
        <v>108</v>
      </c>
      <c r="AP5" s="71" t="str">
        <f>IMAGE("https://bellingcat-archive.nyc3.cdn.digitaloceanspaces.com/ukraine_witness_test/Worksheet/yotube_dl_1484482329452204032/out2.jpg")</f>
        <v/>
      </c>
      <c r="AQ5" s="78" t="s">
        <v>109</v>
      </c>
      <c r="AR5" s="71" t="s">
        <v>110</v>
      </c>
      <c r="AS5" s="71" t="s">
        <v>111</v>
      </c>
      <c r="AT5" s="71">
        <v>59.9</v>
      </c>
      <c r="AU5" s="79" t="s">
        <v>63</v>
      </c>
      <c r="AV5" s="80" t="s">
        <v>88</v>
      </c>
      <c r="AW5" s="81"/>
    </row>
    <row r="6" ht="15.75" customHeight="1">
      <c r="A6" s="55" t="s">
        <v>63</v>
      </c>
      <c r="B6" s="85"/>
      <c r="C6" s="86" t="s">
        <v>64</v>
      </c>
      <c r="D6" s="58">
        <v>52.349106</v>
      </c>
      <c r="E6" s="58">
        <v>30.386392</v>
      </c>
      <c r="F6" s="59">
        <v>1.0</v>
      </c>
      <c r="G6" s="60" t="s">
        <v>112</v>
      </c>
      <c r="H6" s="61" t="s">
        <v>66</v>
      </c>
      <c r="I6" s="82"/>
      <c r="J6" s="63" t="s">
        <v>113</v>
      </c>
      <c r="K6" s="64"/>
      <c r="L6" s="65" t="s">
        <v>69</v>
      </c>
      <c r="M6" s="61" t="s">
        <v>70</v>
      </c>
      <c r="N6" s="66" t="s">
        <v>71</v>
      </c>
      <c r="O6" s="66" t="s">
        <v>71</v>
      </c>
      <c r="P6" s="67" t="str">
        <f t="shared" si="1"/>
        <v>52.349106, 30.386392</v>
      </c>
      <c r="Q6" s="67" t="str">
        <f t="shared" si="2"/>
        <v>52.348548, 30.386691</v>
      </c>
      <c r="R6" s="67">
        <f t="shared" si="3"/>
        <v>52.348548</v>
      </c>
      <c r="S6" s="67">
        <f t="shared" si="4"/>
        <v>30.386691</v>
      </c>
      <c r="T6" s="71" t="s">
        <v>114</v>
      </c>
      <c r="U6" s="69"/>
      <c r="V6" s="65" t="s">
        <v>115</v>
      </c>
      <c r="W6" s="71" t="s">
        <v>74</v>
      </c>
      <c r="X6" s="72" t="s">
        <v>75</v>
      </c>
      <c r="Y6" s="61" t="s">
        <v>76</v>
      </c>
      <c r="Z6" s="73"/>
      <c r="AA6" s="74" t="s">
        <v>77</v>
      </c>
      <c r="AB6" s="61" t="s">
        <v>78</v>
      </c>
      <c r="AC6" s="73"/>
      <c r="AD6" s="73"/>
      <c r="AE6" s="73"/>
      <c r="AF6" s="73"/>
      <c r="AG6" s="73"/>
      <c r="AH6" s="73"/>
      <c r="AI6" s="61" t="s">
        <v>79</v>
      </c>
      <c r="AJ6" s="75"/>
      <c r="AK6" s="76" t="s">
        <v>80</v>
      </c>
      <c r="AL6" s="77" t="s">
        <v>116</v>
      </c>
      <c r="AM6" s="71" t="s">
        <v>117</v>
      </c>
      <c r="AN6" s="78" t="s">
        <v>118</v>
      </c>
      <c r="AO6" s="71" t="s">
        <v>119</v>
      </c>
      <c r="AP6" s="71" t="str">
        <f>IMAGE("https://bellingcat-archive.nyc3.cdn.digitaloceanspaces.com/ukraine_witness_test/Worksheet/yotube_dl_1484580547892592647/out2.jpg")</f>
        <v/>
      </c>
      <c r="AQ6" s="78" t="s">
        <v>120</v>
      </c>
      <c r="AR6" s="71" t="s">
        <v>121</v>
      </c>
      <c r="AS6" s="71" t="s">
        <v>122</v>
      </c>
      <c r="AT6" s="71">
        <v>12.8</v>
      </c>
      <c r="AU6" s="79" t="s">
        <v>63</v>
      </c>
      <c r="AV6" s="80" t="s">
        <v>88</v>
      </c>
      <c r="AW6" s="81"/>
    </row>
    <row r="7" ht="15.75" customHeight="1">
      <c r="A7" s="87" t="s">
        <v>63</v>
      </c>
      <c r="B7" s="85"/>
      <c r="C7" s="86" t="s">
        <v>123</v>
      </c>
      <c r="D7" s="58">
        <v>52.498942</v>
      </c>
      <c r="E7" s="58">
        <v>39.957452</v>
      </c>
      <c r="F7" s="59">
        <v>1.0</v>
      </c>
      <c r="G7" s="84" t="s">
        <v>124</v>
      </c>
      <c r="H7" s="61" t="s">
        <v>66</v>
      </c>
      <c r="I7" s="82"/>
      <c r="J7" s="63" t="s">
        <v>68</v>
      </c>
      <c r="K7" s="88" t="s">
        <v>125</v>
      </c>
      <c r="L7" s="65" t="s">
        <v>79</v>
      </c>
      <c r="M7" s="61" t="s">
        <v>126</v>
      </c>
      <c r="N7" s="61" t="s">
        <v>127</v>
      </c>
      <c r="O7" s="61" t="s">
        <v>128</v>
      </c>
      <c r="P7" s="67" t="str">
        <f t="shared" si="1"/>
        <v>52.498942, 39.957452</v>
      </c>
      <c r="Q7" s="67" t="str">
        <f t="shared" si="2"/>
        <v>52.498287, 39.956856</v>
      </c>
      <c r="R7" s="67">
        <f t="shared" si="3"/>
        <v>52.498287</v>
      </c>
      <c r="S7" s="67">
        <f t="shared" si="4"/>
        <v>39.956856</v>
      </c>
      <c r="T7" s="71" t="s">
        <v>129</v>
      </c>
      <c r="U7" s="69"/>
      <c r="V7" s="65" t="s">
        <v>130</v>
      </c>
      <c r="W7" s="71" t="s">
        <v>74</v>
      </c>
      <c r="X7" s="72" t="s">
        <v>75</v>
      </c>
      <c r="Y7" s="61" t="s">
        <v>76</v>
      </c>
      <c r="Z7" s="73"/>
      <c r="AA7" s="74" t="s">
        <v>77</v>
      </c>
      <c r="AB7" s="61" t="s">
        <v>78</v>
      </c>
      <c r="AC7" s="73"/>
      <c r="AD7" s="73"/>
      <c r="AE7" s="73"/>
      <c r="AF7" s="73"/>
      <c r="AG7" s="73"/>
      <c r="AH7" s="73"/>
      <c r="AI7" s="61" t="s">
        <v>79</v>
      </c>
      <c r="AJ7" s="75"/>
      <c r="AK7" s="76" t="s">
        <v>80</v>
      </c>
      <c r="AL7" s="77" t="s">
        <v>131</v>
      </c>
      <c r="AM7" s="71" t="s">
        <v>132</v>
      </c>
      <c r="AN7" s="78" t="s">
        <v>133</v>
      </c>
      <c r="AO7" s="71" t="s">
        <v>134</v>
      </c>
      <c r="AP7" s="71" t="str">
        <f>IMAGE("https://bellingcat-archive.nyc3.cdn.digitaloceanspaces.com/ukraine_witness_test/Worksheet/yotube_dl_1484684181410131970/out2.jpg")</f>
        <v/>
      </c>
      <c r="AQ7" s="78" t="s">
        <v>135</v>
      </c>
      <c r="AR7" s="71" t="s">
        <v>136</v>
      </c>
      <c r="AS7" s="71" t="s">
        <v>137</v>
      </c>
      <c r="AT7" s="71">
        <v>13.633</v>
      </c>
      <c r="AU7" s="89"/>
      <c r="AV7" s="90"/>
      <c r="AW7" s="81"/>
    </row>
    <row r="8" ht="15.75" customHeight="1">
      <c r="A8" s="55" t="s">
        <v>63</v>
      </c>
      <c r="B8" s="61"/>
      <c r="C8" s="57" t="s">
        <v>138</v>
      </c>
      <c r="D8" s="58">
        <v>52.455113</v>
      </c>
      <c r="E8" s="58">
        <v>30.985199</v>
      </c>
      <c r="F8" s="59">
        <v>1.0</v>
      </c>
      <c r="G8" s="60" t="s">
        <v>139</v>
      </c>
      <c r="H8" s="61" t="s">
        <v>66</v>
      </c>
      <c r="I8" s="82"/>
      <c r="J8" s="63" t="s">
        <v>68</v>
      </c>
      <c r="K8" s="64"/>
      <c r="L8" s="65" t="s">
        <v>69</v>
      </c>
      <c r="M8" s="61" t="s">
        <v>70</v>
      </c>
      <c r="N8" s="61" t="s">
        <v>70</v>
      </c>
      <c r="O8" s="61" t="s">
        <v>70</v>
      </c>
      <c r="P8" s="67" t="str">
        <f t="shared" si="1"/>
        <v>52.455113, 30.985199</v>
      </c>
      <c r="Q8" s="67" t="str">
        <f t="shared" si="2"/>
        <v>52.455089, 30.985795</v>
      </c>
      <c r="R8" s="67">
        <f t="shared" si="3"/>
        <v>52.455089</v>
      </c>
      <c r="S8" s="67">
        <f t="shared" si="4"/>
        <v>30.985795</v>
      </c>
      <c r="T8" s="71" t="s">
        <v>140</v>
      </c>
      <c r="U8" s="69"/>
      <c r="V8" s="65" t="s">
        <v>141</v>
      </c>
      <c r="W8" s="71" t="s">
        <v>74</v>
      </c>
      <c r="X8" s="72" t="s">
        <v>75</v>
      </c>
      <c r="Y8" s="61" t="s">
        <v>76</v>
      </c>
      <c r="Z8" s="73"/>
      <c r="AA8" s="91" t="s">
        <v>77</v>
      </c>
      <c r="AB8" s="61" t="s">
        <v>78</v>
      </c>
      <c r="AC8" s="73"/>
      <c r="AD8" s="73"/>
      <c r="AE8" s="73"/>
      <c r="AF8" s="73"/>
      <c r="AG8" s="73"/>
      <c r="AH8" s="73"/>
      <c r="AI8" s="61" t="s">
        <v>79</v>
      </c>
      <c r="AJ8" s="75"/>
      <c r="AK8" s="76" t="s">
        <v>80</v>
      </c>
      <c r="AL8" s="77" t="s">
        <v>142</v>
      </c>
      <c r="AM8" s="71" t="s">
        <v>143</v>
      </c>
      <c r="AN8" s="78" t="s">
        <v>144</v>
      </c>
      <c r="AO8" s="71" t="s">
        <v>145</v>
      </c>
      <c r="AP8" s="71" t="str">
        <f>IMAGE("https://bellingcat-archive.nyc3.cdn.digitaloceanspaces.com/ukraine_witness_test/Worksheet/yotube_dl_1485235147997917187/out2.jpg")</f>
        <v/>
      </c>
      <c r="AQ8" s="78" t="s">
        <v>146</v>
      </c>
      <c r="AR8" s="71" t="s">
        <v>147</v>
      </c>
      <c r="AS8" s="71" t="s">
        <v>148</v>
      </c>
      <c r="AT8" s="71">
        <v>19.736</v>
      </c>
      <c r="AU8" s="79" t="s">
        <v>63</v>
      </c>
      <c r="AV8" s="80" t="s">
        <v>88</v>
      </c>
      <c r="AW8" s="81"/>
    </row>
    <row r="9" ht="15.75" customHeight="1">
      <c r="A9" s="55" t="s">
        <v>63</v>
      </c>
      <c r="B9" s="85"/>
      <c r="C9" s="86" t="s">
        <v>123</v>
      </c>
      <c r="D9" s="58">
        <v>54.79738</v>
      </c>
      <c r="E9" s="58">
        <v>32.03637</v>
      </c>
      <c r="F9" s="59">
        <v>1.0</v>
      </c>
      <c r="G9" s="84" t="s">
        <v>149</v>
      </c>
      <c r="H9" s="61" t="s">
        <v>66</v>
      </c>
      <c r="I9" s="82"/>
      <c r="J9" s="63" t="s">
        <v>68</v>
      </c>
      <c r="K9" s="64"/>
      <c r="L9" s="65" t="s">
        <v>79</v>
      </c>
      <c r="M9" s="92" t="s">
        <v>150</v>
      </c>
      <c r="N9" s="93" t="s">
        <v>150</v>
      </c>
      <c r="O9" s="92" t="s">
        <v>151</v>
      </c>
      <c r="P9" s="67" t="str">
        <f t="shared" si="1"/>
        <v>54.79738, 32.03637</v>
      </c>
      <c r="Q9" s="67" t="str">
        <f t="shared" si="2"/>
        <v>54.797016, 32.036722</v>
      </c>
      <c r="R9" s="67">
        <f t="shared" si="3"/>
        <v>54.797016</v>
      </c>
      <c r="S9" s="67">
        <f t="shared" si="4"/>
        <v>32.036722</v>
      </c>
      <c r="T9" s="68" t="s">
        <v>152</v>
      </c>
      <c r="U9" s="69"/>
      <c r="V9" s="65" t="s">
        <v>153</v>
      </c>
      <c r="W9" s="71" t="s">
        <v>74</v>
      </c>
      <c r="X9" s="72" t="s">
        <v>75</v>
      </c>
      <c r="Y9" s="61" t="s">
        <v>76</v>
      </c>
      <c r="Z9" s="73"/>
      <c r="AA9" s="91" t="s">
        <v>77</v>
      </c>
      <c r="AB9" s="61" t="s">
        <v>78</v>
      </c>
      <c r="AC9" s="73"/>
      <c r="AD9" s="73"/>
      <c r="AE9" s="73"/>
      <c r="AF9" s="73"/>
      <c r="AG9" s="73"/>
      <c r="AH9" s="73"/>
      <c r="AI9" s="61" t="s">
        <v>79</v>
      </c>
      <c r="AJ9" s="75"/>
      <c r="AK9" s="76" t="s">
        <v>80</v>
      </c>
      <c r="AL9" s="77" t="s">
        <v>154</v>
      </c>
      <c r="AM9" s="71" t="s">
        <v>155</v>
      </c>
      <c r="AN9" s="78" t="s">
        <v>156</v>
      </c>
      <c r="AO9" s="71" t="s">
        <v>157</v>
      </c>
      <c r="AP9" s="71" t="str">
        <f>IMAGE("https://bellingcat-archive.nyc3.cdn.digitaloceanspaces.com/ukraine_witness_test/Worksheet/yotube_dl_1484949051590205449/out2.jpg")</f>
        <v/>
      </c>
      <c r="AQ9" s="78" t="s">
        <v>158</v>
      </c>
      <c r="AR9" s="71" t="s">
        <v>159</v>
      </c>
      <c r="AS9" s="71" t="s">
        <v>160</v>
      </c>
      <c r="AT9" s="71">
        <v>16.975</v>
      </c>
      <c r="AU9" s="89"/>
      <c r="AV9" s="80" t="s">
        <v>88</v>
      </c>
      <c r="AW9" s="81"/>
    </row>
    <row r="10" ht="15.75" customHeight="1">
      <c r="A10" s="87" t="s">
        <v>63</v>
      </c>
      <c r="B10" s="61"/>
      <c r="C10" s="57" t="s">
        <v>138</v>
      </c>
      <c r="D10" s="58">
        <v>53.888186</v>
      </c>
      <c r="E10" s="58">
        <v>27.57932</v>
      </c>
      <c r="F10" s="59">
        <v>1.0</v>
      </c>
      <c r="G10" s="84" t="s">
        <v>161</v>
      </c>
      <c r="H10" s="61" t="s">
        <v>91</v>
      </c>
      <c r="I10" s="82"/>
      <c r="J10" s="63" t="s">
        <v>68</v>
      </c>
      <c r="K10" s="88" t="s">
        <v>162</v>
      </c>
      <c r="L10" s="65" t="s">
        <v>69</v>
      </c>
      <c r="M10" s="61" t="s">
        <v>163</v>
      </c>
      <c r="N10" s="61" t="s">
        <v>163</v>
      </c>
      <c r="O10" s="61" t="s">
        <v>163</v>
      </c>
      <c r="P10" s="67" t="str">
        <f t="shared" si="1"/>
        <v>53.888186, 27.57932</v>
      </c>
      <c r="Q10" s="67" t="str">
        <f t="shared" si="2"/>
        <v>53.888092, 27.578638</v>
      </c>
      <c r="R10" s="67">
        <f t="shared" si="3"/>
        <v>53.888092</v>
      </c>
      <c r="S10" s="67">
        <f t="shared" si="4"/>
        <v>27.578638</v>
      </c>
      <c r="T10" s="71" t="s">
        <v>164</v>
      </c>
      <c r="U10" s="69"/>
      <c r="V10" s="65" t="s">
        <v>165</v>
      </c>
      <c r="W10" s="71" t="s">
        <v>74</v>
      </c>
      <c r="X10" s="72" t="s">
        <v>75</v>
      </c>
      <c r="Y10" s="61" t="s">
        <v>76</v>
      </c>
      <c r="Z10" s="73"/>
      <c r="AA10" s="91" t="s">
        <v>77</v>
      </c>
      <c r="AB10" s="61" t="s">
        <v>78</v>
      </c>
      <c r="AC10" s="73"/>
      <c r="AD10" s="73"/>
      <c r="AE10" s="73"/>
      <c r="AF10" s="73"/>
      <c r="AG10" s="73"/>
      <c r="AH10" s="73"/>
      <c r="AI10" s="61" t="s">
        <v>79</v>
      </c>
      <c r="AJ10" s="75"/>
      <c r="AK10" s="76" t="s">
        <v>80</v>
      </c>
      <c r="AL10" s="83" t="s">
        <v>166</v>
      </c>
      <c r="AM10" s="71" t="s">
        <v>167</v>
      </c>
      <c r="AN10" s="68" t="s">
        <v>168</v>
      </c>
      <c r="AO10" s="71" t="s">
        <v>169</v>
      </c>
      <c r="AP10" s="71"/>
      <c r="AQ10" s="71"/>
      <c r="AR10" s="71"/>
      <c r="AS10" s="71"/>
      <c r="AT10" s="71"/>
      <c r="AU10" s="79" t="s">
        <v>63</v>
      </c>
      <c r="AV10" s="90"/>
      <c r="AW10" s="81"/>
    </row>
    <row r="11" ht="15.75" customHeight="1">
      <c r="A11" s="87" t="s">
        <v>170</v>
      </c>
      <c r="B11" s="61"/>
      <c r="C11" s="57" t="s">
        <v>123</v>
      </c>
      <c r="D11" s="74">
        <v>52.349106</v>
      </c>
      <c r="E11" s="74">
        <v>30.386392</v>
      </c>
      <c r="F11" s="59">
        <v>1.0</v>
      </c>
      <c r="G11" s="84" t="s">
        <v>171</v>
      </c>
      <c r="H11" s="61" t="s">
        <v>66</v>
      </c>
      <c r="I11" s="82"/>
      <c r="J11" s="63" t="s">
        <v>172</v>
      </c>
      <c r="K11" s="88" t="s">
        <v>173</v>
      </c>
      <c r="L11" s="65" t="s">
        <v>69</v>
      </c>
      <c r="M11" s="94" t="s">
        <v>70</v>
      </c>
      <c r="N11" s="74" t="s">
        <v>71</v>
      </c>
      <c r="O11" s="74" t="s">
        <v>71</v>
      </c>
      <c r="P11" s="67" t="str">
        <f t="shared" si="1"/>
        <v>52.349106, 30.386392</v>
      </c>
      <c r="Q11" s="67" t="str">
        <f t="shared" si="2"/>
        <v>52.348349, 30.386428</v>
      </c>
      <c r="R11" s="67">
        <f t="shared" si="3"/>
        <v>52.348349</v>
      </c>
      <c r="S11" s="67">
        <f t="shared" si="4"/>
        <v>30.386428</v>
      </c>
      <c r="T11" s="71" t="s">
        <v>174</v>
      </c>
      <c r="U11" s="69"/>
      <c r="V11" s="65" t="s">
        <v>175</v>
      </c>
      <c r="W11" s="71" t="s">
        <v>74</v>
      </c>
      <c r="X11" s="72" t="s">
        <v>75</v>
      </c>
      <c r="Y11" s="61" t="s">
        <v>76</v>
      </c>
      <c r="Z11" s="73"/>
      <c r="AA11" s="91" t="s">
        <v>77</v>
      </c>
      <c r="AB11" s="61" t="s">
        <v>78</v>
      </c>
      <c r="AC11" s="73"/>
      <c r="AD11" s="73"/>
      <c r="AE11" s="73"/>
      <c r="AF11" s="73"/>
      <c r="AG11" s="73"/>
      <c r="AH11" s="73"/>
      <c r="AI11" s="61" t="s">
        <v>79</v>
      </c>
      <c r="AJ11" s="75"/>
      <c r="AK11" s="76" t="s">
        <v>80</v>
      </c>
      <c r="AL11" s="77" t="s">
        <v>176</v>
      </c>
      <c r="AM11" s="71" t="s">
        <v>177</v>
      </c>
      <c r="AN11" s="78" t="s">
        <v>178</v>
      </c>
      <c r="AO11" s="71" t="s">
        <v>179</v>
      </c>
      <c r="AP11" s="71" t="str">
        <f>IMAGE("https://bellingcat-archive.nyc3.cdn.digitaloceanspaces.com/ukraine_witness_test/Worksheet/yotube_dl_1485244257703460867/out2.jpg")</f>
        <v/>
      </c>
      <c r="AQ11" s="78" t="s">
        <v>180</v>
      </c>
      <c r="AR11" s="71" t="s">
        <v>181</v>
      </c>
      <c r="AS11" s="71" t="s">
        <v>182</v>
      </c>
      <c r="AT11" s="71">
        <v>26.958</v>
      </c>
      <c r="AU11" s="79" t="s">
        <v>183</v>
      </c>
      <c r="AV11" s="80" t="s">
        <v>63</v>
      </c>
      <c r="AW11" s="81"/>
    </row>
    <row r="12" ht="15.75" customHeight="1">
      <c r="A12" s="87" t="s">
        <v>170</v>
      </c>
      <c r="B12" s="61"/>
      <c r="C12" s="57" t="s">
        <v>64</v>
      </c>
      <c r="D12" s="74">
        <v>52.349106</v>
      </c>
      <c r="E12" s="74">
        <v>30.386392</v>
      </c>
      <c r="F12" s="59">
        <v>1.0</v>
      </c>
      <c r="G12" s="84" t="s">
        <v>184</v>
      </c>
      <c r="H12" s="61" t="s">
        <v>66</v>
      </c>
      <c r="I12" s="82"/>
      <c r="J12" s="63" t="s">
        <v>68</v>
      </c>
      <c r="K12" s="88" t="s">
        <v>185</v>
      </c>
      <c r="L12" s="65" t="s">
        <v>69</v>
      </c>
      <c r="M12" s="94" t="s">
        <v>70</v>
      </c>
      <c r="N12" s="74" t="s">
        <v>71</v>
      </c>
      <c r="O12" s="74" t="s">
        <v>71</v>
      </c>
      <c r="P12" s="67" t="str">
        <f t="shared" si="1"/>
        <v>52.349106, 30.386392</v>
      </c>
      <c r="Q12" s="67" t="str">
        <f t="shared" si="2"/>
        <v>52.34886, 30.385655</v>
      </c>
      <c r="R12" s="67">
        <f t="shared" si="3"/>
        <v>52.34886</v>
      </c>
      <c r="S12" s="67">
        <f t="shared" si="4"/>
        <v>30.385655</v>
      </c>
      <c r="T12" s="71" t="s">
        <v>186</v>
      </c>
      <c r="U12" s="69"/>
      <c r="V12" s="65" t="s">
        <v>187</v>
      </c>
      <c r="W12" s="71" t="s">
        <v>74</v>
      </c>
      <c r="X12" s="72" t="s">
        <v>75</v>
      </c>
      <c r="Y12" s="61" t="s">
        <v>76</v>
      </c>
      <c r="Z12" s="73"/>
      <c r="AA12" s="61" t="s">
        <v>77</v>
      </c>
      <c r="AB12" s="61" t="s">
        <v>78</v>
      </c>
      <c r="AC12" s="73"/>
      <c r="AD12" s="73"/>
      <c r="AE12" s="73"/>
      <c r="AF12" s="73"/>
      <c r="AG12" s="73"/>
      <c r="AH12" s="73"/>
      <c r="AI12" s="61" t="s">
        <v>79</v>
      </c>
      <c r="AJ12" s="75"/>
      <c r="AK12" s="76" t="s">
        <v>80</v>
      </c>
      <c r="AL12" s="77" t="s">
        <v>188</v>
      </c>
      <c r="AM12" s="71" t="s">
        <v>189</v>
      </c>
      <c r="AN12" s="78" t="s">
        <v>190</v>
      </c>
      <c r="AO12" s="71" t="s">
        <v>191</v>
      </c>
      <c r="AP12" s="71" t="str">
        <f>IMAGE("https://bellingcat-archive.nyc3.cdn.digitaloceanspaces.com/ukraine_witness_test/Worksheet/yotube_dl_1484505789452754946/out2.jpg")</f>
        <v/>
      </c>
      <c r="AQ12" s="78" t="s">
        <v>192</v>
      </c>
      <c r="AR12" s="71" t="s">
        <v>193</v>
      </c>
      <c r="AS12" s="71" t="s">
        <v>194</v>
      </c>
      <c r="AT12" s="71">
        <v>33.133</v>
      </c>
      <c r="AU12" s="79" t="s">
        <v>183</v>
      </c>
      <c r="AV12" s="80" t="s">
        <v>63</v>
      </c>
      <c r="AW12" s="81"/>
    </row>
    <row r="13" ht="15.75" customHeight="1">
      <c r="A13" s="95" t="s">
        <v>170</v>
      </c>
      <c r="B13" s="61"/>
      <c r="C13" s="57" t="s">
        <v>195</v>
      </c>
      <c r="D13" s="74">
        <v>55.19393</v>
      </c>
      <c r="E13" s="74">
        <v>80.297932</v>
      </c>
      <c r="F13" s="59">
        <v>1.0</v>
      </c>
      <c r="G13" s="84" t="s">
        <v>196</v>
      </c>
      <c r="H13" s="61" t="s">
        <v>66</v>
      </c>
      <c r="I13" s="82"/>
      <c r="J13" s="63" t="s">
        <v>68</v>
      </c>
      <c r="K13" s="64"/>
      <c r="L13" s="65" t="s">
        <v>79</v>
      </c>
      <c r="M13" s="96" t="s">
        <v>197</v>
      </c>
      <c r="N13" s="96" t="s">
        <v>198</v>
      </c>
      <c r="O13" s="61" t="s">
        <v>199</v>
      </c>
      <c r="P13" s="67" t="str">
        <f t="shared" si="1"/>
        <v>55.19393, 80.297932</v>
      </c>
      <c r="Q13" s="67" t="str">
        <f t="shared" si="2"/>
        <v>55.19341, 80.298687</v>
      </c>
      <c r="R13" s="67">
        <f t="shared" si="3"/>
        <v>55.19341</v>
      </c>
      <c r="S13" s="67">
        <f t="shared" si="4"/>
        <v>80.298687</v>
      </c>
      <c r="T13" s="71" t="s">
        <v>200</v>
      </c>
      <c r="U13" s="69"/>
      <c r="V13" s="65" t="s">
        <v>201</v>
      </c>
      <c r="W13" s="71" t="s">
        <v>74</v>
      </c>
      <c r="X13" s="72" t="s">
        <v>75</v>
      </c>
      <c r="Y13" s="61" t="s">
        <v>76</v>
      </c>
      <c r="Z13" s="73"/>
      <c r="AA13" s="61" t="s">
        <v>77</v>
      </c>
      <c r="AB13" s="61" t="s">
        <v>78</v>
      </c>
      <c r="AC13" s="73"/>
      <c r="AD13" s="73"/>
      <c r="AE13" s="73"/>
      <c r="AF13" s="73"/>
      <c r="AG13" s="73"/>
      <c r="AH13" s="73"/>
      <c r="AI13" s="61" t="s">
        <v>79</v>
      </c>
      <c r="AJ13" s="75"/>
      <c r="AK13" s="76" t="s">
        <v>80</v>
      </c>
      <c r="AL13" s="77" t="s">
        <v>202</v>
      </c>
      <c r="AM13" s="71" t="s">
        <v>203</v>
      </c>
      <c r="AN13" s="78" t="s">
        <v>204</v>
      </c>
      <c r="AO13" s="71" t="s">
        <v>205</v>
      </c>
      <c r="AP13" s="71" t="str">
        <f>IMAGE("https://bellingcat-archive.nyc3.cdn.digitaloceanspaces.com/ukraine_witness_test/Worksheet/yotube_dl_1483070921304940547/out2.jpg")</f>
        <v/>
      </c>
      <c r="AQ13" s="78" t="s">
        <v>206</v>
      </c>
      <c r="AR13" s="71" t="s">
        <v>207</v>
      </c>
      <c r="AS13" s="71" t="s">
        <v>208</v>
      </c>
      <c r="AT13" s="71">
        <v>12.767</v>
      </c>
      <c r="AU13" s="79" t="s">
        <v>183</v>
      </c>
      <c r="AV13" s="80" t="s">
        <v>63</v>
      </c>
      <c r="AW13" s="81"/>
    </row>
    <row r="14" ht="15.75" customHeight="1">
      <c r="A14" s="55" t="s">
        <v>63</v>
      </c>
      <c r="B14" s="85"/>
      <c r="C14" s="86" t="s">
        <v>209</v>
      </c>
      <c r="D14" s="58">
        <v>43.014496</v>
      </c>
      <c r="E14" s="58">
        <v>47.4379</v>
      </c>
      <c r="F14" s="59">
        <v>1.0</v>
      </c>
      <c r="G14" s="97" t="s">
        <v>210</v>
      </c>
      <c r="H14" s="61" t="s">
        <v>66</v>
      </c>
      <c r="I14" s="82"/>
      <c r="J14" s="63" t="s">
        <v>68</v>
      </c>
      <c r="K14" s="64"/>
      <c r="L14" s="65" t="s">
        <v>79</v>
      </c>
      <c r="M14" s="61" t="s">
        <v>211</v>
      </c>
      <c r="N14" s="73"/>
      <c r="O14" s="61" t="s">
        <v>212</v>
      </c>
      <c r="P14" s="67" t="str">
        <f t="shared" si="1"/>
        <v>43.014496, 47.4379</v>
      </c>
      <c r="Q14" s="67" t="str">
        <f t="shared" si="2"/>
        <v>43.014018, 47.437609</v>
      </c>
      <c r="R14" s="67">
        <f t="shared" si="3"/>
        <v>43.014018</v>
      </c>
      <c r="S14" s="67">
        <f t="shared" si="4"/>
        <v>47.437609</v>
      </c>
      <c r="T14" s="71" t="s">
        <v>213</v>
      </c>
      <c r="U14" s="69"/>
      <c r="V14" s="65" t="s">
        <v>214</v>
      </c>
      <c r="W14" s="71" t="s">
        <v>74</v>
      </c>
      <c r="X14" s="72" t="s">
        <v>75</v>
      </c>
      <c r="Y14" s="61" t="s">
        <v>76</v>
      </c>
      <c r="Z14" s="73"/>
      <c r="AA14" s="61" t="s">
        <v>77</v>
      </c>
      <c r="AB14" s="61" t="s">
        <v>78</v>
      </c>
      <c r="AC14" s="73"/>
      <c r="AD14" s="73"/>
      <c r="AE14" s="73"/>
      <c r="AF14" s="73"/>
      <c r="AG14" s="73"/>
      <c r="AH14" s="73"/>
      <c r="AI14" s="61" t="s">
        <v>79</v>
      </c>
      <c r="AJ14" s="75"/>
      <c r="AK14" s="76" t="s">
        <v>80</v>
      </c>
      <c r="AL14" s="77" t="s">
        <v>215</v>
      </c>
      <c r="AM14" s="71" t="s">
        <v>216</v>
      </c>
      <c r="AN14" s="98" t="s">
        <v>217</v>
      </c>
      <c r="AO14" s="71" t="s">
        <v>218</v>
      </c>
      <c r="AP14" s="99" t="str">
        <f>IMAGE("https://bellingcat-archive.nyc3.cdn.digitaloceanspaces.com/ukraine_witness_test/Worksheet/yotube_dl_1485930045860458496/out2.jpg")</f>
        <v/>
      </c>
      <c r="AQ14" s="98" t="s">
        <v>219</v>
      </c>
      <c r="AR14" s="71" t="s">
        <v>220</v>
      </c>
      <c r="AS14" s="71" t="s">
        <v>221</v>
      </c>
      <c r="AT14" s="71">
        <v>12.9</v>
      </c>
      <c r="AU14" s="89"/>
      <c r="AV14" s="80" t="s">
        <v>88</v>
      </c>
      <c r="AW14" s="81"/>
    </row>
    <row r="15" ht="15.75" customHeight="1">
      <c r="A15" s="95" t="s">
        <v>170</v>
      </c>
      <c r="B15" s="100"/>
      <c r="C15" s="101" t="s">
        <v>222</v>
      </c>
      <c r="D15" s="58">
        <v>56.068908</v>
      </c>
      <c r="E15" s="58">
        <v>92.918602</v>
      </c>
      <c r="F15" s="59">
        <v>1.0</v>
      </c>
      <c r="G15" s="60" t="s">
        <v>223</v>
      </c>
      <c r="H15" s="61" t="s">
        <v>66</v>
      </c>
      <c r="I15" s="82"/>
      <c r="J15" s="63" t="s">
        <v>68</v>
      </c>
      <c r="K15" s="64"/>
      <c r="L15" s="65" t="s">
        <v>79</v>
      </c>
      <c r="M15" s="61" t="s">
        <v>224</v>
      </c>
      <c r="N15" s="96" t="s">
        <v>225</v>
      </c>
      <c r="O15" s="92" t="s">
        <v>226</v>
      </c>
      <c r="P15" s="67" t="str">
        <f t="shared" si="1"/>
        <v>56.068908, 92.918602</v>
      </c>
      <c r="Q15" s="67" t="str">
        <f t="shared" si="2"/>
        <v>56.06818, 92.918941</v>
      </c>
      <c r="R15" s="67">
        <f t="shared" si="3"/>
        <v>56.06818</v>
      </c>
      <c r="S15" s="67">
        <f t="shared" si="4"/>
        <v>92.918941</v>
      </c>
      <c r="T15" s="71" t="s">
        <v>227</v>
      </c>
      <c r="U15" s="69"/>
      <c r="V15" s="65" t="s">
        <v>228</v>
      </c>
      <c r="W15" s="71" t="s">
        <v>74</v>
      </c>
      <c r="X15" s="72" t="s">
        <v>75</v>
      </c>
      <c r="Y15" s="61" t="s">
        <v>76</v>
      </c>
      <c r="Z15" s="73"/>
      <c r="AA15" s="61" t="s">
        <v>77</v>
      </c>
      <c r="AB15" s="61" t="s">
        <v>78</v>
      </c>
      <c r="AC15" s="73"/>
      <c r="AD15" s="73"/>
      <c r="AE15" s="73"/>
      <c r="AF15" s="73"/>
      <c r="AG15" s="73"/>
      <c r="AH15" s="73"/>
      <c r="AI15" s="61" t="s">
        <v>79</v>
      </c>
      <c r="AJ15" s="75"/>
      <c r="AK15" s="76" t="s">
        <v>80</v>
      </c>
      <c r="AL15" s="77" t="s">
        <v>229</v>
      </c>
      <c r="AM15" s="71" t="s">
        <v>230</v>
      </c>
      <c r="AN15" s="98" t="s">
        <v>231</v>
      </c>
      <c r="AO15" s="71" t="s">
        <v>232</v>
      </c>
      <c r="AP15" s="71" t="str">
        <f>IMAGE("https://bellingcat-archive.nyc3.cdn.digitaloceanspaces.com/ukraine_witness_test/Worksheet/yotube_dl_1481246660588093441/out2.jpg")</f>
        <v/>
      </c>
      <c r="AQ15" s="98" t="s">
        <v>233</v>
      </c>
      <c r="AR15" s="71" t="s">
        <v>234</v>
      </c>
      <c r="AS15" s="71" t="s">
        <v>235</v>
      </c>
      <c r="AT15" s="71">
        <v>28.678</v>
      </c>
      <c r="AU15" s="79" t="s">
        <v>183</v>
      </c>
      <c r="AV15" s="80" t="s">
        <v>63</v>
      </c>
      <c r="AW15" s="81"/>
    </row>
    <row r="16" ht="15.75" customHeight="1">
      <c r="A16" s="95" t="s">
        <v>236</v>
      </c>
      <c r="B16" s="61"/>
      <c r="C16" s="57" t="s">
        <v>237</v>
      </c>
      <c r="D16" s="58">
        <v>53.063796</v>
      </c>
      <c r="E16" s="58">
        <v>32.848094</v>
      </c>
      <c r="F16" s="59">
        <v>1.0</v>
      </c>
      <c r="G16" s="84" t="s">
        <v>238</v>
      </c>
      <c r="H16" s="61" t="s">
        <v>66</v>
      </c>
      <c r="I16" s="82"/>
      <c r="J16" s="63" t="s">
        <v>239</v>
      </c>
      <c r="K16" s="64"/>
      <c r="L16" s="65" t="s">
        <v>79</v>
      </c>
      <c r="M16" s="61" t="s">
        <v>240</v>
      </c>
      <c r="N16" s="61" t="s">
        <v>241</v>
      </c>
      <c r="O16" s="61" t="s">
        <v>242</v>
      </c>
      <c r="P16" s="67" t="str">
        <f t="shared" si="1"/>
        <v>53.063796, 32.848094</v>
      </c>
      <c r="Q16" s="67" t="str">
        <f t="shared" si="2"/>
        <v>53.063561, 32.847512</v>
      </c>
      <c r="R16" s="67">
        <f t="shared" si="3"/>
        <v>53.063561</v>
      </c>
      <c r="S16" s="67">
        <f t="shared" si="4"/>
        <v>32.847512</v>
      </c>
      <c r="T16" s="71" t="s">
        <v>243</v>
      </c>
      <c r="U16" s="64" t="s">
        <v>244</v>
      </c>
      <c r="V16" s="65" t="s">
        <v>245</v>
      </c>
      <c r="W16" s="71" t="s">
        <v>74</v>
      </c>
      <c r="X16" s="72" t="s">
        <v>75</v>
      </c>
      <c r="Y16" s="61" t="s">
        <v>76</v>
      </c>
      <c r="Z16" s="73"/>
      <c r="AA16" s="61" t="s">
        <v>77</v>
      </c>
      <c r="AB16" s="61" t="s">
        <v>78</v>
      </c>
      <c r="AC16" s="73"/>
      <c r="AD16" s="73"/>
      <c r="AE16" s="73"/>
      <c r="AF16" s="73"/>
      <c r="AG16" s="73"/>
      <c r="AH16" s="73"/>
      <c r="AI16" s="61" t="s">
        <v>79</v>
      </c>
      <c r="AJ16" s="102" t="s">
        <v>246</v>
      </c>
      <c r="AK16" s="76" t="s">
        <v>80</v>
      </c>
      <c r="AL16" s="77" t="s">
        <v>247</v>
      </c>
      <c r="AM16" s="71" t="s">
        <v>248</v>
      </c>
      <c r="AN16" s="98" t="s">
        <v>249</v>
      </c>
      <c r="AO16" s="71" t="s">
        <v>250</v>
      </c>
      <c r="AP16" s="99" t="str">
        <f>IMAGE("https://bellingcat-archive.nyc3.cdn.digitaloceanspaces.com/ukraine_witness_test/Worksheet/yotube_dl_1486652617858158593/out3.jpg")</f>
        <v/>
      </c>
      <c r="AQ16" s="98" t="s">
        <v>251</v>
      </c>
      <c r="AR16" s="71" t="s">
        <v>252</v>
      </c>
      <c r="AS16" s="71" t="s">
        <v>253</v>
      </c>
      <c r="AT16" s="71">
        <v>60.068</v>
      </c>
      <c r="AU16" s="79" t="s">
        <v>236</v>
      </c>
      <c r="AV16" s="80" t="s">
        <v>63</v>
      </c>
      <c r="AW16" s="81"/>
    </row>
    <row r="17" ht="15.75" customHeight="1">
      <c r="A17" s="95" t="s">
        <v>254</v>
      </c>
      <c r="B17" s="61"/>
      <c r="C17" s="57" t="s">
        <v>237</v>
      </c>
      <c r="D17" s="74">
        <v>53.2204149113024</v>
      </c>
      <c r="E17" s="74">
        <v>34.3827143056323</v>
      </c>
      <c r="F17" s="59">
        <v>1.0</v>
      </c>
      <c r="G17" s="84" t="s">
        <v>255</v>
      </c>
      <c r="H17" s="61" t="s">
        <v>66</v>
      </c>
      <c r="I17" s="82"/>
      <c r="J17" s="63" t="s">
        <v>256</v>
      </c>
      <c r="K17" s="64"/>
      <c r="L17" s="65" t="s">
        <v>79</v>
      </c>
      <c r="M17" s="61" t="s">
        <v>240</v>
      </c>
      <c r="N17" s="61" t="s">
        <v>257</v>
      </c>
      <c r="O17" s="61" t="s">
        <v>240</v>
      </c>
      <c r="P17" s="67" t="str">
        <f t="shared" si="1"/>
        <v>53.2204149113024, 34.3827143056323</v>
      </c>
      <c r="Q17" s="67" t="str">
        <f t="shared" si="2"/>
        <v>53.22013, 34.381627</v>
      </c>
      <c r="R17" s="67">
        <f t="shared" si="3"/>
        <v>53.22013</v>
      </c>
      <c r="S17" s="67">
        <f t="shared" si="4"/>
        <v>34.381627</v>
      </c>
      <c r="T17" s="71" t="s">
        <v>258</v>
      </c>
      <c r="U17" s="64"/>
      <c r="V17" s="65" t="s">
        <v>259</v>
      </c>
      <c r="W17" s="71" t="s">
        <v>74</v>
      </c>
      <c r="X17" s="72" t="s">
        <v>75</v>
      </c>
      <c r="Y17" s="61" t="s">
        <v>76</v>
      </c>
      <c r="Z17" s="73"/>
      <c r="AA17" s="61" t="s">
        <v>77</v>
      </c>
      <c r="AB17" s="61" t="s">
        <v>78</v>
      </c>
      <c r="AC17" s="73"/>
      <c r="AD17" s="73"/>
      <c r="AE17" s="73"/>
      <c r="AF17" s="73"/>
      <c r="AG17" s="73"/>
      <c r="AH17" s="73"/>
      <c r="AI17" s="61" t="s">
        <v>79</v>
      </c>
      <c r="AJ17" s="103" t="s">
        <v>260</v>
      </c>
      <c r="AK17" s="76" t="s">
        <v>80</v>
      </c>
      <c r="AL17" s="77" t="s">
        <v>261</v>
      </c>
      <c r="AM17" s="71" t="s">
        <v>262</v>
      </c>
      <c r="AN17" s="98" t="s">
        <v>263</v>
      </c>
      <c r="AO17" s="71" t="s">
        <v>264</v>
      </c>
      <c r="AP17" s="99" t="str">
        <f>IMAGE("https://bellingcat-archive.nyc3.cdn.digitaloceanspaces.com/ukraine_witness_test/Worksheet/yotube_dl_1486659703891546115/out2.jpg")</f>
        <v/>
      </c>
      <c r="AQ17" s="98" t="s">
        <v>265</v>
      </c>
      <c r="AR17" s="71" t="s">
        <v>266</v>
      </c>
      <c r="AS17" s="71" t="s">
        <v>267</v>
      </c>
      <c r="AT17" s="71">
        <v>24.498</v>
      </c>
      <c r="AU17" s="79" t="s">
        <v>254</v>
      </c>
      <c r="AV17" s="80" t="s">
        <v>63</v>
      </c>
      <c r="AW17" s="81"/>
    </row>
    <row r="18" ht="15.75" customHeight="1">
      <c r="A18" s="95" t="s">
        <v>63</v>
      </c>
      <c r="B18" s="61"/>
      <c r="C18" s="57" t="s">
        <v>268</v>
      </c>
      <c r="D18" s="104">
        <v>52.140409</v>
      </c>
      <c r="E18" s="104">
        <v>29.318373</v>
      </c>
      <c r="F18" s="59">
        <v>1.0</v>
      </c>
      <c r="G18" s="84" t="s">
        <v>269</v>
      </c>
      <c r="H18" s="61" t="s">
        <v>66</v>
      </c>
      <c r="I18" s="82"/>
      <c r="J18" s="63" t="s">
        <v>270</v>
      </c>
      <c r="K18" s="64"/>
      <c r="L18" s="65" t="s">
        <v>69</v>
      </c>
      <c r="M18" s="61" t="s">
        <v>70</v>
      </c>
      <c r="N18" s="61" t="s">
        <v>271</v>
      </c>
      <c r="O18" s="61" t="s">
        <v>271</v>
      </c>
      <c r="P18" s="67" t="str">
        <f t="shared" si="1"/>
        <v>52.140409, 29.318373</v>
      </c>
      <c r="Q18" s="67" t="str">
        <f t="shared" si="2"/>
        <v>52.139785, 29.318177</v>
      </c>
      <c r="R18" s="67">
        <f t="shared" si="3"/>
        <v>52.139785</v>
      </c>
      <c r="S18" s="67">
        <f t="shared" si="4"/>
        <v>29.318177</v>
      </c>
      <c r="T18" s="71" t="s">
        <v>272</v>
      </c>
      <c r="U18" s="69"/>
      <c r="V18" s="65" t="s">
        <v>273</v>
      </c>
      <c r="W18" s="71" t="s">
        <v>74</v>
      </c>
      <c r="X18" s="72" t="s">
        <v>75</v>
      </c>
      <c r="Y18" s="61" t="s">
        <v>76</v>
      </c>
      <c r="Z18" s="73"/>
      <c r="AA18" s="61" t="s">
        <v>77</v>
      </c>
      <c r="AB18" s="61" t="s">
        <v>78</v>
      </c>
      <c r="AC18" s="73"/>
      <c r="AD18" s="73"/>
      <c r="AE18" s="73"/>
      <c r="AF18" s="73"/>
      <c r="AG18" s="73"/>
      <c r="AH18" s="73"/>
      <c r="AI18" s="61" t="s">
        <v>79</v>
      </c>
      <c r="AJ18" s="75"/>
      <c r="AK18" s="76" t="s">
        <v>80</v>
      </c>
      <c r="AL18" s="77" t="s">
        <v>274</v>
      </c>
      <c r="AM18" s="71" t="s">
        <v>275</v>
      </c>
      <c r="AN18" s="98" t="s">
        <v>276</v>
      </c>
      <c r="AO18" s="71" t="s">
        <v>277</v>
      </c>
      <c r="AP18" s="99" t="str">
        <f>IMAGE("https://bellingcat-archive.nyc3.cdn.digitaloceanspaces.com/ukraine_witness_test/Worksheet/yotube_dl_1486154729520574467/out2.jpg")</f>
        <v/>
      </c>
      <c r="AQ18" s="98" t="s">
        <v>278</v>
      </c>
      <c r="AR18" s="71" t="s">
        <v>279</v>
      </c>
      <c r="AS18" s="71" t="s">
        <v>280</v>
      </c>
      <c r="AT18" s="71">
        <v>11.34</v>
      </c>
      <c r="AU18" s="79" t="s">
        <v>63</v>
      </c>
      <c r="AV18" s="90"/>
      <c r="AW18" s="81"/>
    </row>
    <row r="19" ht="15.75" customHeight="1">
      <c r="A19" s="95" t="s">
        <v>63</v>
      </c>
      <c r="B19" s="61"/>
      <c r="C19" s="57" t="s">
        <v>281</v>
      </c>
      <c r="D19" s="104">
        <v>57.145359</v>
      </c>
      <c r="E19" s="104">
        <v>65.522252</v>
      </c>
      <c r="F19" s="59">
        <v>1.0</v>
      </c>
      <c r="G19" s="60" t="s">
        <v>282</v>
      </c>
      <c r="H19" s="61" t="s">
        <v>66</v>
      </c>
      <c r="I19" s="82"/>
      <c r="J19" s="63" t="s">
        <v>68</v>
      </c>
      <c r="K19" s="64"/>
      <c r="L19" s="65" t="s">
        <v>79</v>
      </c>
      <c r="M19" s="61" t="s">
        <v>283</v>
      </c>
      <c r="N19" s="61" t="s">
        <v>284</v>
      </c>
      <c r="O19" s="61" t="s">
        <v>283</v>
      </c>
      <c r="P19" s="67" t="str">
        <f t="shared" si="1"/>
        <v>57.145359, 65.522252</v>
      </c>
      <c r="Q19" s="67" t="str">
        <f t="shared" si="2"/>
        <v>57.145188, 65.523314</v>
      </c>
      <c r="R19" s="67">
        <f t="shared" si="3"/>
        <v>57.145188</v>
      </c>
      <c r="S19" s="67">
        <f t="shared" si="4"/>
        <v>65.523314</v>
      </c>
      <c r="T19" s="71" t="s">
        <v>285</v>
      </c>
      <c r="U19" s="69"/>
      <c r="V19" s="65" t="s">
        <v>286</v>
      </c>
      <c r="W19" s="71" t="s">
        <v>74</v>
      </c>
      <c r="X19" s="72" t="s">
        <v>75</v>
      </c>
      <c r="Y19" s="61" t="s">
        <v>76</v>
      </c>
      <c r="Z19" s="73"/>
      <c r="AA19" s="61" t="s">
        <v>77</v>
      </c>
      <c r="AB19" s="61" t="s">
        <v>78</v>
      </c>
      <c r="AC19" s="73"/>
      <c r="AD19" s="73"/>
      <c r="AE19" s="73"/>
      <c r="AF19" s="73"/>
      <c r="AG19" s="73"/>
      <c r="AH19" s="73"/>
      <c r="AI19" s="61" t="s">
        <v>79</v>
      </c>
      <c r="AJ19" s="75"/>
      <c r="AK19" s="76" t="s">
        <v>80</v>
      </c>
      <c r="AL19" s="77" t="s">
        <v>287</v>
      </c>
      <c r="AM19" s="71" t="s">
        <v>288</v>
      </c>
      <c r="AN19" s="98" t="s">
        <v>289</v>
      </c>
      <c r="AO19" s="71" t="s">
        <v>290</v>
      </c>
      <c r="AP19" s="99" t="str">
        <f>IMAGE("https://bellingcat-archive.nyc3.cdn.digitaloceanspaces.com/ukraine_witness_test/Worksheet/yotube_dl_1484228889807409155/out2.jpg")</f>
        <v/>
      </c>
      <c r="AQ19" s="98" t="s">
        <v>291</v>
      </c>
      <c r="AR19" s="71" t="s">
        <v>292</v>
      </c>
      <c r="AS19" s="71" t="s">
        <v>293</v>
      </c>
      <c r="AT19" s="71">
        <v>34.8</v>
      </c>
      <c r="AU19" s="79" t="s">
        <v>63</v>
      </c>
      <c r="AV19" s="90"/>
      <c r="AW19" s="81"/>
    </row>
    <row r="20" ht="15.75" customHeight="1">
      <c r="A20" s="95" t="s">
        <v>63</v>
      </c>
      <c r="B20" s="61"/>
      <c r="C20" s="57" t="s">
        <v>281</v>
      </c>
      <c r="D20" s="74">
        <v>57.145359</v>
      </c>
      <c r="E20" s="74">
        <v>65.522252</v>
      </c>
      <c r="F20" s="59">
        <v>1.0</v>
      </c>
      <c r="G20" s="60" t="s">
        <v>294</v>
      </c>
      <c r="H20" s="61" t="s">
        <v>66</v>
      </c>
      <c r="I20" s="82"/>
      <c r="J20" s="63" t="s">
        <v>68</v>
      </c>
      <c r="K20" s="64"/>
      <c r="L20" s="65" t="s">
        <v>79</v>
      </c>
      <c r="M20" s="61" t="s">
        <v>283</v>
      </c>
      <c r="N20" s="61" t="s">
        <v>284</v>
      </c>
      <c r="O20" s="61" t="s">
        <v>283</v>
      </c>
      <c r="P20" s="67" t="str">
        <f t="shared" si="1"/>
        <v>57.145359, 65.522252</v>
      </c>
      <c r="Q20" s="67" t="str">
        <f t="shared" si="2"/>
        <v>57.144976, 65.521834</v>
      </c>
      <c r="R20" s="67">
        <f t="shared" si="3"/>
        <v>57.144976</v>
      </c>
      <c r="S20" s="67">
        <f t="shared" si="4"/>
        <v>65.521834</v>
      </c>
      <c r="T20" s="71" t="s">
        <v>285</v>
      </c>
      <c r="U20" s="69"/>
      <c r="V20" s="65" t="s">
        <v>295</v>
      </c>
      <c r="W20" s="71" t="s">
        <v>74</v>
      </c>
      <c r="X20" s="72" t="s">
        <v>75</v>
      </c>
      <c r="Y20" s="61" t="s">
        <v>76</v>
      </c>
      <c r="Z20" s="73"/>
      <c r="AA20" s="61" t="s">
        <v>77</v>
      </c>
      <c r="AB20" s="61" t="s">
        <v>78</v>
      </c>
      <c r="AC20" s="73"/>
      <c r="AD20" s="73"/>
      <c r="AE20" s="73"/>
      <c r="AF20" s="73"/>
      <c r="AG20" s="73"/>
      <c r="AH20" s="73"/>
      <c r="AI20" s="61" t="s">
        <v>79</v>
      </c>
      <c r="AJ20" s="75"/>
      <c r="AK20" s="76" t="s">
        <v>80</v>
      </c>
      <c r="AL20" s="77" t="s">
        <v>296</v>
      </c>
      <c r="AM20" s="71" t="s">
        <v>297</v>
      </c>
      <c r="AN20" s="98" t="s">
        <v>298</v>
      </c>
      <c r="AO20" s="71" t="s">
        <v>299</v>
      </c>
      <c r="AP20" s="99" t="str">
        <f>IMAGE("https://bellingcat-archive.nyc3.cdn.digitaloceanspaces.com/ukraine_witness_test/Worksheet/yotube_dl_1484837416959627267/out2.jpg")</f>
        <v/>
      </c>
      <c r="AQ20" s="98" t="s">
        <v>300</v>
      </c>
      <c r="AR20" s="71" t="s">
        <v>292</v>
      </c>
      <c r="AS20" s="71" t="s">
        <v>301</v>
      </c>
      <c r="AT20" s="71">
        <v>44.266</v>
      </c>
      <c r="AU20" s="79" t="s">
        <v>63</v>
      </c>
      <c r="AV20" s="90"/>
      <c r="AW20" s="81"/>
    </row>
    <row r="21" ht="15.75" customHeight="1">
      <c r="A21" s="95" t="s">
        <v>63</v>
      </c>
      <c r="B21" s="61"/>
      <c r="C21" s="57" t="s">
        <v>89</v>
      </c>
      <c r="D21" s="74">
        <v>57.145359</v>
      </c>
      <c r="E21" s="74">
        <v>65.522252</v>
      </c>
      <c r="F21" s="59">
        <v>1.0</v>
      </c>
      <c r="G21" s="60" t="s">
        <v>302</v>
      </c>
      <c r="H21" s="61" t="s">
        <v>66</v>
      </c>
      <c r="I21" s="82"/>
      <c r="J21" s="63" t="s">
        <v>68</v>
      </c>
      <c r="K21" s="64"/>
      <c r="L21" s="65" t="s">
        <v>79</v>
      </c>
      <c r="M21" s="61" t="s">
        <v>283</v>
      </c>
      <c r="N21" s="61" t="s">
        <v>284</v>
      </c>
      <c r="O21" s="61" t="s">
        <v>283</v>
      </c>
      <c r="P21" s="67" t="str">
        <f t="shared" si="1"/>
        <v>57.145359, 65.522252</v>
      </c>
      <c r="Q21" s="67" t="str">
        <f t="shared" si="2"/>
        <v>57.144928, 65.5228</v>
      </c>
      <c r="R21" s="67">
        <f t="shared" si="3"/>
        <v>57.144928</v>
      </c>
      <c r="S21" s="67">
        <f t="shared" si="4"/>
        <v>65.5228</v>
      </c>
      <c r="T21" s="71" t="s">
        <v>285</v>
      </c>
      <c r="U21" s="69"/>
      <c r="V21" s="65" t="s">
        <v>303</v>
      </c>
      <c r="W21" s="71" t="s">
        <v>74</v>
      </c>
      <c r="X21" s="72" t="s">
        <v>75</v>
      </c>
      <c r="Y21" s="61" t="s">
        <v>76</v>
      </c>
      <c r="Z21" s="73"/>
      <c r="AA21" s="61" t="s">
        <v>77</v>
      </c>
      <c r="AB21" s="61" t="s">
        <v>78</v>
      </c>
      <c r="AC21" s="73"/>
      <c r="AD21" s="73"/>
      <c r="AE21" s="73"/>
      <c r="AF21" s="73"/>
      <c r="AG21" s="73"/>
      <c r="AH21" s="73"/>
      <c r="AI21" s="61" t="s">
        <v>79</v>
      </c>
      <c r="AJ21" s="75"/>
      <c r="AK21" s="76" t="s">
        <v>80</v>
      </c>
      <c r="AL21" s="83" t="s">
        <v>304</v>
      </c>
      <c r="AM21" s="71" t="s">
        <v>305</v>
      </c>
      <c r="AN21" s="105" t="s">
        <v>306</v>
      </c>
      <c r="AO21" s="71" t="s">
        <v>307</v>
      </c>
      <c r="AP21" s="99" t="str">
        <f>IMAGE("https://bellingcat-archive.nyc3.cdn.digitaloceanspaces.com/ukraine_witness_test/Worksheet/tiktok_7056334111664819458/out2.jpg")</f>
        <v/>
      </c>
      <c r="AQ21" s="105" t="s">
        <v>308</v>
      </c>
      <c r="AR21" s="71" t="s">
        <v>309</v>
      </c>
      <c r="AS21" s="71" t="s">
        <v>310</v>
      </c>
      <c r="AT21" s="71">
        <v>37.0</v>
      </c>
      <c r="AU21" s="79" t="s">
        <v>63</v>
      </c>
      <c r="AV21" s="90"/>
      <c r="AW21" s="81"/>
    </row>
    <row r="22" ht="15.75" customHeight="1">
      <c r="A22" s="95" t="s">
        <v>63</v>
      </c>
      <c r="B22" s="61"/>
      <c r="C22" s="57" t="s">
        <v>89</v>
      </c>
      <c r="D22" s="74">
        <v>57.145359</v>
      </c>
      <c r="E22" s="74">
        <v>65.522252</v>
      </c>
      <c r="F22" s="59">
        <v>1.0</v>
      </c>
      <c r="G22" s="60" t="s">
        <v>311</v>
      </c>
      <c r="H22" s="61" t="s">
        <v>66</v>
      </c>
      <c r="I22" s="82"/>
      <c r="J22" s="63" t="s">
        <v>68</v>
      </c>
      <c r="K22" s="64"/>
      <c r="L22" s="65" t="s">
        <v>79</v>
      </c>
      <c r="M22" s="61" t="s">
        <v>283</v>
      </c>
      <c r="N22" s="61" t="s">
        <v>284</v>
      </c>
      <c r="O22" s="61" t="s">
        <v>283</v>
      </c>
      <c r="P22" s="67" t="str">
        <f t="shared" si="1"/>
        <v>57.145359, 65.522252</v>
      </c>
      <c r="Q22" s="67" t="str">
        <f t="shared" si="2"/>
        <v>57.145245, 65.523025</v>
      </c>
      <c r="R22" s="67">
        <f t="shared" si="3"/>
        <v>57.145245</v>
      </c>
      <c r="S22" s="67">
        <f t="shared" si="4"/>
        <v>65.523025</v>
      </c>
      <c r="T22" s="71" t="s">
        <v>285</v>
      </c>
      <c r="U22" s="69"/>
      <c r="V22" s="65" t="s">
        <v>312</v>
      </c>
      <c r="W22" s="71" t="s">
        <v>74</v>
      </c>
      <c r="X22" s="72" t="s">
        <v>75</v>
      </c>
      <c r="Y22" s="61" t="s">
        <v>76</v>
      </c>
      <c r="Z22" s="73"/>
      <c r="AA22" s="61" t="s">
        <v>77</v>
      </c>
      <c r="AB22" s="61" t="s">
        <v>78</v>
      </c>
      <c r="AC22" s="73"/>
      <c r="AD22" s="73"/>
      <c r="AE22" s="73"/>
      <c r="AF22" s="73"/>
      <c r="AG22" s="73"/>
      <c r="AH22" s="73"/>
      <c r="AI22" s="61" t="s">
        <v>79</v>
      </c>
      <c r="AJ22" s="75"/>
      <c r="AK22" s="76" t="s">
        <v>80</v>
      </c>
      <c r="AL22" s="77" t="s">
        <v>313</v>
      </c>
      <c r="AM22" s="71" t="s">
        <v>314</v>
      </c>
      <c r="AN22" s="98" t="s">
        <v>315</v>
      </c>
      <c r="AO22" s="71" t="s">
        <v>316</v>
      </c>
      <c r="AP22" s="99" t="str">
        <f>IMAGE("https://bellingcat-archive.nyc3.cdn.digitaloceanspaces.com/ukraine_witness_test/Worksheet/yotube_dl_1485215101867200515/out3.jpg")</f>
        <v/>
      </c>
      <c r="AQ22" s="98" t="s">
        <v>317</v>
      </c>
      <c r="AR22" s="71" t="s">
        <v>292</v>
      </c>
      <c r="AS22" s="71" t="s">
        <v>318</v>
      </c>
      <c r="AT22" s="71">
        <v>83.848</v>
      </c>
      <c r="AU22" s="79" t="s">
        <v>63</v>
      </c>
      <c r="AV22" s="90"/>
      <c r="AW22" s="81"/>
    </row>
    <row r="23" ht="15.75" customHeight="1">
      <c r="A23" s="95" t="s">
        <v>63</v>
      </c>
      <c r="B23" s="61"/>
      <c r="C23" s="57" t="s">
        <v>319</v>
      </c>
      <c r="D23" s="74">
        <v>57.145359</v>
      </c>
      <c r="E23" s="74">
        <v>65.522252</v>
      </c>
      <c r="F23" s="59">
        <v>1.0</v>
      </c>
      <c r="G23" s="84" t="s">
        <v>320</v>
      </c>
      <c r="H23" s="61" t="s">
        <v>66</v>
      </c>
      <c r="I23" s="82"/>
      <c r="J23" s="63" t="s">
        <v>68</v>
      </c>
      <c r="K23" s="64"/>
      <c r="L23" s="65" t="s">
        <v>79</v>
      </c>
      <c r="M23" s="61" t="s">
        <v>283</v>
      </c>
      <c r="N23" s="61" t="s">
        <v>284</v>
      </c>
      <c r="O23" s="61" t="s">
        <v>283</v>
      </c>
      <c r="P23" s="67" t="str">
        <f t="shared" si="1"/>
        <v>57.145359, 65.522252</v>
      </c>
      <c r="Q23" s="67" t="str">
        <f t="shared" si="2"/>
        <v>57.145352, 65.521265</v>
      </c>
      <c r="R23" s="67">
        <f t="shared" si="3"/>
        <v>57.145352</v>
      </c>
      <c r="S23" s="67">
        <f t="shared" si="4"/>
        <v>65.521265</v>
      </c>
      <c r="T23" s="71" t="s">
        <v>285</v>
      </c>
      <c r="U23" s="69"/>
      <c r="V23" s="65" t="s">
        <v>321</v>
      </c>
      <c r="W23" s="71" t="s">
        <v>74</v>
      </c>
      <c r="X23" s="72" t="s">
        <v>75</v>
      </c>
      <c r="Y23" s="61" t="s">
        <v>76</v>
      </c>
      <c r="Z23" s="73"/>
      <c r="AA23" s="61" t="s">
        <v>77</v>
      </c>
      <c r="AB23" s="61" t="s">
        <v>78</v>
      </c>
      <c r="AC23" s="73"/>
      <c r="AD23" s="73"/>
      <c r="AE23" s="73"/>
      <c r="AF23" s="73"/>
      <c r="AG23" s="73"/>
      <c r="AH23" s="73"/>
      <c r="AI23" s="61" t="s">
        <v>79</v>
      </c>
      <c r="AJ23" s="75"/>
      <c r="AK23" s="76" t="s">
        <v>80</v>
      </c>
      <c r="AL23" s="77" t="s">
        <v>322</v>
      </c>
      <c r="AM23" s="71" t="s">
        <v>323</v>
      </c>
      <c r="AN23" s="98" t="s">
        <v>324</v>
      </c>
      <c r="AO23" s="71" t="s">
        <v>325</v>
      </c>
      <c r="AP23" s="99" t="str">
        <f>IMAGE("https://bellingcat-archive.nyc3.cdn.digitaloceanspaces.com/ukraine_witness_test/Worksheet/yotube_dl_1485310938903367693/out2.jpg")</f>
        <v/>
      </c>
      <c r="AQ23" s="98" t="s">
        <v>326</v>
      </c>
      <c r="AR23" s="71" t="s">
        <v>292</v>
      </c>
      <c r="AS23" s="71" t="s">
        <v>327</v>
      </c>
      <c r="AT23" s="71">
        <v>40.233</v>
      </c>
      <c r="AU23" s="79" t="s">
        <v>63</v>
      </c>
      <c r="AV23" s="90"/>
      <c r="AW23" s="81"/>
    </row>
    <row r="24" ht="15.75" customHeight="1">
      <c r="A24" s="95" t="s">
        <v>63</v>
      </c>
      <c r="B24" s="61"/>
      <c r="C24" s="57" t="s">
        <v>281</v>
      </c>
      <c r="D24" s="74">
        <v>57.145359</v>
      </c>
      <c r="E24" s="74">
        <v>65.522252</v>
      </c>
      <c r="F24" s="59">
        <v>1.0</v>
      </c>
      <c r="G24" s="84" t="s">
        <v>328</v>
      </c>
      <c r="H24" s="61" t="s">
        <v>66</v>
      </c>
      <c r="I24" s="82"/>
      <c r="J24" s="63" t="s">
        <v>68</v>
      </c>
      <c r="K24" s="64"/>
      <c r="L24" s="65" t="s">
        <v>79</v>
      </c>
      <c r="M24" s="61" t="s">
        <v>283</v>
      </c>
      <c r="N24" s="61" t="s">
        <v>284</v>
      </c>
      <c r="O24" s="61" t="s">
        <v>283</v>
      </c>
      <c r="P24" s="67" t="str">
        <f t="shared" si="1"/>
        <v>57.145359, 65.522252</v>
      </c>
      <c r="Q24" s="67" t="str">
        <f t="shared" si="2"/>
        <v>57.145052, 65.523347</v>
      </c>
      <c r="R24" s="67">
        <f t="shared" si="3"/>
        <v>57.145052</v>
      </c>
      <c r="S24" s="67">
        <f t="shared" si="4"/>
        <v>65.523347</v>
      </c>
      <c r="T24" s="71" t="s">
        <v>285</v>
      </c>
      <c r="U24" s="69"/>
      <c r="V24" s="65" t="s">
        <v>329</v>
      </c>
      <c r="W24" s="71" t="s">
        <v>74</v>
      </c>
      <c r="X24" s="72" t="s">
        <v>75</v>
      </c>
      <c r="Y24" s="61" t="s">
        <v>76</v>
      </c>
      <c r="Z24" s="73"/>
      <c r="AA24" s="61" t="s">
        <v>77</v>
      </c>
      <c r="AB24" s="61" t="s">
        <v>78</v>
      </c>
      <c r="AC24" s="73"/>
      <c r="AD24" s="73"/>
      <c r="AE24" s="73"/>
      <c r="AF24" s="73"/>
      <c r="AG24" s="73"/>
      <c r="AH24" s="73"/>
      <c r="AI24" s="61" t="s">
        <v>79</v>
      </c>
      <c r="AJ24" s="75"/>
      <c r="AK24" s="76" t="s">
        <v>80</v>
      </c>
      <c r="AL24" s="77" t="s">
        <v>330</v>
      </c>
      <c r="AM24" s="71" t="s">
        <v>331</v>
      </c>
      <c r="AN24" s="98" t="s">
        <v>332</v>
      </c>
      <c r="AO24" s="71" t="s">
        <v>333</v>
      </c>
      <c r="AP24" s="99" t="str">
        <f>IMAGE("https://bellingcat-archive.nyc3.cdn.digitaloceanspaces.com/ukraine_witness_test/Worksheet/yotube_dl_1484837601810993154/out2.jpg")</f>
        <v/>
      </c>
      <c r="AQ24" s="98" t="s">
        <v>334</v>
      </c>
      <c r="AR24" s="71" t="s">
        <v>292</v>
      </c>
      <c r="AS24" s="71" t="s">
        <v>335</v>
      </c>
      <c r="AT24" s="71">
        <v>26.774</v>
      </c>
      <c r="AU24" s="79" t="s">
        <v>63</v>
      </c>
      <c r="AV24" s="90"/>
      <c r="AW24" s="81"/>
    </row>
    <row r="25" ht="15.75" customHeight="1">
      <c r="A25" s="95" t="s">
        <v>170</v>
      </c>
      <c r="B25" s="61"/>
      <c r="C25" s="57" t="s">
        <v>237</v>
      </c>
      <c r="D25" s="74">
        <v>52.349109</v>
      </c>
      <c r="E25" s="74">
        <v>30.387073</v>
      </c>
      <c r="F25" s="59">
        <v>1.0</v>
      </c>
      <c r="G25" s="84" t="s">
        <v>336</v>
      </c>
      <c r="H25" s="61" t="s">
        <v>66</v>
      </c>
      <c r="I25" s="82"/>
      <c r="J25" s="63" t="s">
        <v>68</v>
      </c>
      <c r="K25" s="64"/>
      <c r="L25" s="65" t="s">
        <v>69</v>
      </c>
      <c r="M25" s="61" t="s">
        <v>70</v>
      </c>
      <c r="N25" s="61" t="s">
        <v>71</v>
      </c>
      <c r="O25" s="74" t="s">
        <v>71</v>
      </c>
      <c r="P25" s="67" t="str">
        <f t="shared" si="1"/>
        <v>52.349109, 30.387073</v>
      </c>
      <c r="Q25" s="67" t="str">
        <f t="shared" si="2"/>
        <v>52.348327, 30.38747</v>
      </c>
      <c r="R25" s="67">
        <f t="shared" si="3"/>
        <v>52.348327</v>
      </c>
      <c r="S25" s="67">
        <f t="shared" si="4"/>
        <v>30.38747</v>
      </c>
      <c r="T25" s="71" t="s">
        <v>337</v>
      </c>
      <c r="U25" s="69"/>
      <c r="V25" s="65" t="s">
        <v>338</v>
      </c>
      <c r="W25" s="71" t="s">
        <v>74</v>
      </c>
      <c r="X25" s="72" t="s">
        <v>75</v>
      </c>
      <c r="Y25" s="61" t="s">
        <v>76</v>
      </c>
      <c r="Z25" s="73"/>
      <c r="AA25" s="61" t="s">
        <v>77</v>
      </c>
      <c r="AB25" s="61" t="s">
        <v>78</v>
      </c>
      <c r="AC25" s="73"/>
      <c r="AD25" s="73"/>
      <c r="AE25" s="73"/>
      <c r="AF25" s="73"/>
      <c r="AG25" s="73"/>
      <c r="AH25" s="73"/>
      <c r="AI25" s="61" t="s">
        <v>79</v>
      </c>
      <c r="AJ25" s="75"/>
      <c r="AK25" s="76" t="s">
        <v>80</v>
      </c>
      <c r="AL25" s="77" t="s">
        <v>339</v>
      </c>
      <c r="AM25" s="71" t="s">
        <v>340</v>
      </c>
      <c r="AN25" s="98" t="s">
        <v>341</v>
      </c>
      <c r="AO25" s="71" t="s">
        <v>342</v>
      </c>
      <c r="AP25" s="99" t="str">
        <f>IMAGE("https://bellingcat-archive.nyc3.cdn.digitaloceanspaces.com/ukraine_witness_test/Worksheet/yotube_dl_1486709938810282000/out2.jpg")</f>
        <v/>
      </c>
      <c r="AQ25" s="98" t="s">
        <v>343</v>
      </c>
      <c r="AR25" s="71" t="s">
        <v>344</v>
      </c>
      <c r="AS25" s="71" t="s">
        <v>345</v>
      </c>
      <c r="AT25" s="71">
        <v>26.44</v>
      </c>
      <c r="AU25" s="79" t="s">
        <v>183</v>
      </c>
      <c r="AV25" s="80" t="s">
        <v>63</v>
      </c>
      <c r="AW25" s="81"/>
    </row>
    <row r="26" ht="15.75" customHeight="1">
      <c r="A26" s="87" t="s">
        <v>63</v>
      </c>
      <c r="B26" s="61"/>
      <c r="C26" s="57" t="s">
        <v>237</v>
      </c>
      <c r="D26" s="58">
        <v>46.881389</v>
      </c>
      <c r="E26" s="58">
        <v>40.150298</v>
      </c>
      <c r="F26" s="59">
        <v>1.0</v>
      </c>
      <c r="G26" s="84" t="s">
        <v>346</v>
      </c>
      <c r="H26" s="61" t="s">
        <v>66</v>
      </c>
      <c r="I26" s="82"/>
      <c r="J26" s="63" t="s">
        <v>347</v>
      </c>
      <c r="K26" s="88" t="s">
        <v>348</v>
      </c>
      <c r="L26" s="65" t="s">
        <v>79</v>
      </c>
      <c r="M26" s="61" t="s">
        <v>349</v>
      </c>
      <c r="N26" s="61" t="s">
        <v>350</v>
      </c>
      <c r="O26" s="61" t="s">
        <v>351</v>
      </c>
      <c r="P26" s="67" t="str">
        <f t="shared" si="1"/>
        <v>46.881389, 40.150298</v>
      </c>
      <c r="Q26" s="67" t="str">
        <f t="shared" si="2"/>
        <v>46.880946, 40.150273</v>
      </c>
      <c r="R26" s="67">
        <f t="shared" si="3"/>
        <v>46.880946</v>
      </c>
      <c r="S26" s="67">
        <f t="shared" si="4"/>
        <v>40.150273</v>
      </c>
      <c r="T26" s="71" t="s">
        <v>352</v>
      </c>
      <c r="U26" s="64" t="s">
        <v>353</v>
      </c>
      <c r="V26" s="65" t="s">
        <v>354</v>
      </c>
      <c r="W26" s="71" t="s">
        <v>74</v>
      </c>
      <c r="X26" s="72" t="s">
        <v>75</v>
      </c>
      <c r="Y26" s="61" t="s">
        <v>76</v>
      </c>
      <c r="Z26" s="73"/>
      <c r="AA26" s="61" t="s">
        <v>77</v>
      </c>
      <c r="AB26" s="61" t="s">
        <v>78</v>
      </c>
      <c r="AC26" s="73"/>
      <c r="AD26" s="73"/>
      <c r="AE26" s="73"/>
      <c r="AF26" s="73"/>
      <c r="AG26" s="73"/>
      <c r="AH26" s="73"/>
      <c r="AI26" s="61" t="s">
        <v>79</v>
      </c>
      <c r="AJ26" s="75"/>
      <c r="AK26" s="76" t="s">
        <v>80</v>
      </c>
      <c r="AL26" s="83" t="s">
        <v>355</v>
      </c>
      <c r="AM26" s="71" t="s">
        <v>356</v>
      </c>
      <c r="AN26" s="105" t="s">
        <v>357</v>
      </c>
      <c r="AO26" s="71" t="s">
        <v>358</v>
      </c>
      <c r="AP26" s="99" t="str">
        <f>IMAGE("https://bellingcat-archive.nyc3.cdn.digitaloceanspaces.com/ukraine_witness_test/Worksheet/tiktok_7057843530831498498/out2.jpg")</f>
        <v/>
      </c>
      <c r="AQ26" s="105" t="s">
        <v>359</v>
      </c>
      <c r="AR26" s="71" t="s">
        <v>360</v>
      </c>
      <c r="AS26" s="71" t="s">
        <v>361</v>
      </c>
      <c r="AT26" s="71">
        <v>51.0</v>
      </c>
      <c r="AU26" s="79" t="s">
        <v>362</v>
      </c>
      <c r="AV26" s="80" t="s">
        <v>63</v>
      </c>
      <c r="AW26" s="81"/>
    </row>
    <row r="27" ht="15.75" customHeight="1">
      <c r="A27" s="95" t="s">
        <v>63</v>
      </c>
      <c r="B27" s="61"/>
      <c r="C27" s="57" t="s">
        <v>237</v>
      </c>
      <c r="D27" s="58">
        <v>52.455986</v>
      </c>
      <c r="E27" s="58">
        <v>30.984397</v>
      </c>
      <c r="F27" s="59">
        <v>1.0</v>
      </c>
      <c r="G27" s="60" t="s">
        <v>363</v>
      </c>
      <c r="H27" s="61" t="s">
        <v>364</v>
      </c>
      <c r="I27" s="82"/>
      <c r="J27" s="63" t="s">
        <v>365</v>
      </c>
      <c r="K27" s="64"/>
      <c r="L27" s="65" t="s">
        <v>69</v>
      </c>
      <c r="M27" s="61" t="s">
        <v>70</v>
      </c>
      <c r="N27" s="61" t="s">
        <v>70</v>
      </c>
      <c r="O27" s="61" t="s">
        <v>70</v>
      </c>
      <c r="P27" s="67" t="str">
        <f t="shared" si="1"/>
        <v>52.455986, 30.984397</v>
      </c>
      <c r="Q27" s="67" t="str">
        <f t="shared" si="2"/>
        <v>52.455983, 30.985181</v>
      </c>
      <c r="R27" s="67">
        <f t="shared" si="3"/>
        <v>52.455983</v>
      </c>
      <c r="S27" s="67">
        <f t="shared" si="4"/>
        <v>30.985181</v>
      </c>
      <c r="T27" s="71" t="s">
        <v>366</v>
      </c>
      <c r="U27" s="64" t="s">
        <v>367</v>
      </c>
      <c r="V27" s="65" t="s">
        <v>368</v>
      </c>
      <c r="W27" s="71" t="s">
        <v>74</v>
      </c>
      <c r="X27" s="72" t="s">
        <v>75</v>
      </c>
      <c r="Y27" s="61" t="s">
        <v>76</v>
      </c>
      <c r="Z27" s="73"/>
      <c r="AA27" s="61" t="s">
        <v>77</v>
      </c>
      <c r="AB27" s="61" t="s">
        <v>78</v>
      </c>
      <c r="AC27" s="73"/>
      <c r="AD27" s="73"/>
      <c r="AE27" s="73"/>
      <c r="AF27" s="73"/>
      <c r="AG27" s="73"/>
      <c r="AH27" s="73"/>
      <c r="AI27" s="61" t="s">
        <v>79</v>
      </c>
      <c r="AJ27" s="75"/>
      <c r="AK27" s="76" t="s">
        <v>80</v>
      </c>
      <c r="AL27" s="77" t="s">
        <v>369</v>
      </c>
      <c r="AM27" s="71" t="s">
        <v>370</v>
      </c>
      <c r="AN27" s="98" t="s">
        <v>371</v>
      </c>
      <c r="AO27" s="71" t="s">
        <v>372</v>
      </c>
      <c r="AP27" s="99" t="str">
        <f>IMAGE("https://bellingcat-archive.nyc3.cdn.digitaloceanspaces.com/ukraine_witness_test/Worksheet/yotube_dl_1486629075863183366/out2.jpg")</f>
        <v/>
      </c>
      <c r="AQ27" s="98" t="s">
        <v>373</v>
      </c>
      <c r="AR27" s="71" t="s">
        <v>374</v>
      </c>
      <c r="AS27" s="71" t="s">
        <v>375</v>
      </c>
      <c r="AT27" s="71">
        <v>10.769</v>
      </c>
      <c r="AU27" s="79" t="s">
        <v>63</v>
      </c>
      <c r="AV27" s="90"/>
      <c r="AW27" s="81"/>
    </row>
    <row r="28" ht="15.75" customHeight="1">
      <c r="A28" s="95" t="s">
        <v>63</v>
      </c>
      <c r="B28" s="61"/>
      <c r="C28" s="57" t="s">
        <v>281</v>
      </c>
      <c r="D28" s="74">
        <v>57.145359</v>
      </c>
      <c r="E28" s="74">
        <v>65.522252</v>
      </c>
      <c r="F28" s="59">
        <v>1.0</v>
      </c>
      <c r="G28" s="84" t="s">
        <v>376</v>
      </c>
      <c r="H28" s="61" t="s">
        <v>66</v>
      </c>
      <c r="I28" s="82"/>
      <c r="J28" s="106" t="s">
        <v>68</v>
      </c>
      <c r="K28" s="64"/>
      <c r="L28" s="65" t="s">
        <v>79</v>
      </c>
      <c r="M28" s="61" t="s">
        <v>283</v>
      </c>
      <c r="N28" s="61" t="s">
        <v>284</v>
      </c>
      <c r="O28" s="61" t="s">
        <v>283</v>
      </c>
      <c r="P28" s="67" t="str">
        <f t="shared" si="1"/>
        <v>57.145359, 65.522252</v>
      </c>
      <c r="Q28" s="67" t="str">
        <f t="shared" si="2"/>
        <v>57.144724, 65.522601</v>
      </c>
      <c r="R28" s="67">
        <f t="shared" si="3"/>
        <v>57.144724</v>
      </c>
      <c r="S28" s="67">
        <f t="shared" si="4"/>
        <v>65.522601</v>
      </c>
      <c r="T28" s="107" t="s">
        <v>285</v>
      </c>
      <c r="U28" s="69"/>
      <c r="V28" s="65" t="s">
        <v>377</v>
      </c>
      <c r="W28" s="71" t="s">
        <v>74</v>
      </c>
      <c r="X28" s="72" t="s">
        <v>75</v>
      </c>
      <c r="Y28" s="61" t="s">
        <v>76</v>
      </c>
      <c r="Z28" s="73"/>
      <c r="AA28" s="61" t="s">
        <v>77</v>
      </c>
      <c r="AB28" s="61" t="s">
        <v>78</v>
      </c>
      <c r="AC28" s="73"/>
      <c r="AD28" s="73"/>
      <c r="AE28" s="73"/>
      <c r="AF28" s="73"/>
      <c r="AG28" s="73"/>
      <c r="AH28" s="73"/>
      <c r="AI28" s="61" t="s">
        <v>79</v>
      </c>
      <c r="AJ28" s="75"/>
      <c r="AK28" s="76" t="s">
        <v>80</v>
      </c>
      <c r="AL28" s="83" t="s">
        <v>378</v>
      </c>
      <c r="AM28" s="71" t="s">
        <v>379</v>
      </c>
      <c r="AN28" s="105" t="s">
        <v>380</v>
      </c>
      <c r="AO28" s="71" t="s">
        <v>381</v>
      </c>
      <c r="AP28" s="99" t="str">
        <f>IMAGE("https://bellingcat-archive.nyc3.cdn.digitaloceanspaces.com/ukraine_witness_test/Worksheet/tiktok_7055947746200636673/out5.jpg")</f>
        <v/>
      </c>
      <c r="AQ28" s="105" t="s">
        <v>382</v>
      </c>
      <c r="AR28" s="71" t="s">
        <v>383</v>
      </c>
      <c r="AS28" s="71" t="s">
        <v>384</v>
      </c>
      <c r="AT28" s="71">
        <v>139.0</v>
      </c>
      <c r="AU28" s="79" t="s">
        <v>63</v>
      </c>
      <c r="AV28" s="90"/>
      <c r="AW28" s="81"/>
    </row>
    <row r="29" ht="15.75" customHeight="1">
      <c r="A29" s="95" t="s">
        <v>63</v>
      </c>
      <c r="B29" s="61"/>
      <c r="C29" s="57" t="s">
        <v>281</v>
      </c>
      <c r="D29" s="74">
        <v>57.145359</v>
      </c>
      <c r="E29" s="74">
        <v>65.522252</v>
      </c>
      <c r="F29" s="59">
        <v>1.0</v>
      </c>
      <c r="G29" s="84" t="s">
        <v>385</v>
      </c>
      <c r="H29" s="61" t="s">
        <v>66</v>
      </c>
      <c r="I29" s="82"/>
      <c r="J29" s="106" t="s">
        <v>68</v>
      </c>
      <c r="K29" s="64"/>
      <c r="L29" s="65" t="s">
        <v>79</v>
      </c>
      <c r="M29" s="61" t="s">
        <v>283</v>
      </c>
      <c r="N29" s="61" t="s">
        <v>284</v>
      </c>
      <c r="O29" s="61" t="s">
        <v>283</v>
      </c>
      <c r="P29" s="67" t="str">
        <f t="shared" si="1"/>
        <v>57.145359, 65.522252</v>
      </c>
      <c r="Q29" s="67" t="str">
        <f t="shared" si="2"/>
        <v>57.144937, 65.522317</v>
      </c>
      <c r="R29" s="67">
        <f t="shared" si="3"/>
        <v>57.144937</v>
      </c>
      <c r="S29" s="67">
        <f t="shared" si="4"/>
        <v>65.522317</v>
      </c>
      <c r="T29" s="107" t="s">
        <v>285</v>
      </c>
      <c r="U29" s="64" t="s">
        <v>386</v>
      </c>
      <c r="V29" s="65" t="s">
        <v>387</v>
      </c>
      <c r="W29" s="71" t="s">
        <v>74</v>
      </c>
      <c r="X29" s="72" t="s">
        <v>75</v>
      </c>
      <c r="Y29" s="61" t="s">
        <v>76</v>
      </c>
      <c r="Z29" s="73"/>
      <c r="AA29" s="61" t="s">
        <v>77</v>
      </c>
      <c r="AB29" s="61" t="s">
        <v>78</v>
      </c>
      <c r="AC29" s="73"/>
      <c r="AD29" s="73"/>
      <c r="AE29" s="73"/>
      <c r="AF29" s="73"/>
      <c r="AG29" s="73"/>
      <c r="AH29" s="73"/>
      <c r="AI29" s="61" t="s">
        <v>79</v>
      </c>
      <c r="AJ29" s="75"/>
      <c r="AK29" s="76" t="s">
        <v>80</v>
      </c>
      <c r="AL29" s="83" t="s">
        <v>388</v>
      </c>
      <c r="AM29" s="71" t="s">
        <v>389</v>
      </c>
      <c r="AN29" s="105" t="s">
        <v>390</v>
      </c>
      <c r="AO29" s="71" t="s">
        <v>391</v>
      </c>
      <c r="AP29" s="99" t="str">
        <f>IMAGE("https://bellingcat-archive.nyc3.cdn.digitaloceanspaces.com/ukraine_witness_test/Worksheet/tiktok_7055946974075440385/out2.jpg")</f>
        <v/>
      </c>
      <c r="AQ29" s="105" t="s">
        <v>392</v>
      </c>
      <c r="AR29" s="71" t="s">
        <v>393</v>
      </c>
      <c r="AS29" s="71" t="s">
        <v>394</v>
      </c>
      <c r="AT29" s="71">
        <v>39.0</v>
      </c>
      <c r="AU29" s="79" t="s">
        <v>63</v>
      </c>
      <c r="AV29" s="90"/>
      <c r="AW29" s="81"/>
    </row>
    <row r="30" ht="15.75" customHeight="1">
      <c r="A30" s="95" t="s">
        <v>63</v>
      </c>
      <c r="B30" s="61"/>
      <c r="C30" s="57" t="s">
        <v>281</v>
      </c>
      <c r="D30" s="74">
        <v>57.145359</v>
      </c>
      <c r="E30" s="74">
        <v>65.522252</v>
      </c>
      <c r="F30" s="59">
        <v>1.0</v>
      </c>
      <c r="G30" s="84" t="s">
        <v>395</v>
      </c>
      <c r="H30" s="61" t="s">
        <v>66</v>
      </c>
      <c r="I30" s="82"/>
      <c r="J30" s="106" t="s">
        <v>68</v>
      </c>
      <c r="K30" s="64"/>
      <c r="L30" s="65" t="s">
        <v>79</v>
      </c>
      <c r="M30" s="61" t="s">
        <v>283</v>
      </c>
      <c r="N30" s="61" t="s">
        <v>284</v>
      </c>
      <c r="O30" s="61" t="s">
        <v>283</v>
      </c>
      <c r="P30" s="67" t="str">
        <f t="shared" si="1"/>
        <v>57.145359, 65.522252</v>
      </c>
      <c r="Q30" s="67" t="str">
        <f t="shared" si="2"/>
        <v>57.144969, 65.521888</v>
      </c>
      <c r="R30" s="67">
        <f t="shared" si="3"/>
        <v>57.144969</v>
      </c>
      <c r="S30" s="67">
        <f t="shared" si="4"/>
        <v>65.521888</v>
      </c>
      <c r="T30" s="107" t="s">
        <v>285</v>
      </c>
      <c r="U30" s="69"/>
      <c r="V30" s="65" t="s">
        <v>396</v>
      </c>
      <c r="W30" s="71" t="s">
        <v>74</v>
      </c>
      <c r="X30" s="72" t="s">
        <v>75</v>
      </c>
      <c r="Y30" s="61" t="s">
        <v>76</v>
      </c>
      <c r="Z30" s="73"/>
      <c r="AA30" s="61" t="s">
        <v>77</v>
      </c>
      <c r="AB30" s="61" t="s">
        <v>78</v>
      </c>
      <c r="AC30" s="73"/>
      <c r="AD30" s="73"/>
      <c r="AE30" s="73"/>
      <c r="AF30" s="73"/>
      <c r="AG30" s="73"/>
      <c r="AH30" s="73"/>
      <c r="AI30" s="61" t="s">
        <v>79</v>
      </c>
      <c r="AJ30" s="75"/>
      <c r="AK30" s="76" t="s">
        <v>80</v>
      </c>
      <c r="AL30" s="83" t="s">
        <v>397</v>
      </c>
      <c r="AM30" s="71" t="s">
        <v>398</v>
      </c>
      <c r="AN30" s="105" t="s">
        <v>399</v>
      </c>
      <c r="AO30" s="71" t="s">
        <v>400</v>
      </c>
      <c r="AP30" s="99" t="str">
        <f>IMAGE("https://bellingcat-archive.nyc3.cdn.digitaloceanspaces.com/ukraine_witness_test/Worksheet/tiktok_7055945726563568897/out2.jpg")</f>
        <v/>
      </c>
      <c r="AQ30" s="105" t="s">
        <v>401</v>
      </c>
      <c r="AR30" s="71" t="s">
        <v>402</v>
      </c>
      <c r="AS30" s="71" t="s">
        <v>403</v>
      </c>
      <c r="AT30" s="71">
        <v>18.0</v>
      </c>
      <c r="AU30" s="79" t="s">
        <v>63</v>
      </c>
      <c r="AV30" s="90"/>
      <c r="AW30" s="81"/>
    </row>
    <row r="31" ht="15.75" customHeight="1">
      <c r="A31" s="95" t="s">
        <v>63</v>
      </c>
      <c r="B31" s="61"/>
      <c r="C31" s="57" t="s">
        <v>404</v>
      </c>
      <c r="D31" s="58">
        <v>45.288098</v>
      </c>
      <c r="E31" s="58">
        <v>36.229594</v>
      </c>
      <c r="F31" s="59">
        <v>1.0</v>
      </c>
      <c r="G31" s="60" t="s">
        <v>405</v>
      </c>
      <c r="H31" s="61" t="s">
        <v>66</v>
      </c>
      <c r="I31" s="82"/>
      <c r="J31" s="63" t="s">
        <v>406</v>
      </c>
      <c r="K31" s="64"/>
      <c r="L31" s="70"/>
      <c r="M31" s="61" t="s">
        <v>407</v>
      </c>
      <c r="N31" s="73"/>
      <c r="O31" s="61"/>
      <c r="P31" s="67" t="str">
        <f t="shared" si="1"/>
        <v>45.288098, 36.229594</v>
      </c>
      <c r="Q31" s="67" t="str">
        <f t="shared" si="2"/>
        <v>45.287597, 36.229505</v>
      </c>
      <c r="R31" s="67">
        <f t="shared" si="3"/>
        <v>45.287597</v>
      </c>
      <c r="S31" s="67">
        <f t="shared" si="4"/>
        <v>36.229505</v>
      </c>
      <c r="T31" s="71" t="s">
        <v>408</v>
      </c>
      <c r="U31" s="69"/>
      <c r="V31" s="65" t="s">
        <v>409</v>
      </c>
      <c r="W31" s="71" t="s">
        <v>74</v>
      </c>
      <c r="X31" s="72" t="s">
        <v>75</v>
      </c>
      <c r="Y31" s="61" t="s">
        <v>76</v>
      </c>
      <c r="Z31" s="73"/>
      <c r="AA31" s="61" t="s">
        <v>77</v>
      </c>
      <c r="AB31" s="61" t="s">
        <v>78</v>
      </c>
      <c r="AC31" s="73"/>
      <c r="AD31" s="73"/>
      <c r="AE31" s="73"/>
      <c r="AF31" s="73"/>
      <c r="AG31" s="73"/>
      <c r="AH31" s="73"/>
      <c r="AI31" s="61" t="s">
        <v>79</v>
      </c>
      <c r="AJ31" s="75"/>
      <c r="AK31" s="76" t="s">
        <v>80</v>
      </c>
      <c r="AL31" s="77" t="s">
        <v>410</v>
      </c>
      <c r="AM31" s="71" t="s">
        <v>411</v>
      </c>
      <c r="AN31" s="98" t="s">
        <v>412</v>
      </c>
      <c r="AO31" s="71" t="s">
        <v>413</v>
      </c>
      <c r="AP31" s="99" t="str">
        <f>IMAGE("https://bellingcat-archive.nyc3.cdn.digitaloceanspaces.com/ukraine_witness_test/Worksheet/yotube_dl_1487057498825764865/out2.jpg")</f>
        <v/>
      </c>
      <c r="AQ31" s="98" t="s">
        <v>414</v>
      </c>
      <c r="AR31" s="71" t="s">
        <v>415</v>
      </c>
      <c r="AS31" s="71" t="s">
        <v>416</v>
      </c>
      <c r="AT31" s="71">
        <v>38.15</v>
      </c>
      <c r="AU31" s="79" t="s">
        <v>63</v>
      </c>
      <c r="AV31" s="90"/>
      <c r="AW31" s="81"/>
    </row>
    <row r="32" ht="15.75" customHeight="1">
      <c r="A32" s="95" t="s">
        <v>63</v>
      </c>
      <c r="B32" s="61"/>
      <c r="C32" s="57" t="s">
        <v>404</v>
      </c>
      <c r="D32" s="58">
        <v>45.304616</v>
      </c>
      <c r="E32" s="58">
        <v>36.277682</v>
      </c>
      <c r="F32" s="59">
        <v>1.0</v>
      </c>
      <c r="G32" s="84" t="s">
        <v>417</v>
      </c>
      <c r="H32" s="61" t="s">
        <v>66</v>
      </c>
      <c r="I32" s="82"/>
      <c r="J32" s="63" t="s">
        <v>418</v>
      </c>
      <c r="K32" s="64"/>
      <c r="L32" s="70"/>
      <c r="M32" s="61" t="s">
        <v>407</v>
      </c>
      <c r="N32" s="73"/>
      <c r="O32" s="73"/>
      <c r="P32" s="67" t="str">
        <f t="shared" si="1"/>
        <v>45.304616, 36.277682</v>
      </c>
      <c r="Q32" s="67" t="str">
        <f t="shared" si="2"/>
        <v>45.30427, 36.278654</v>
      </c>
      <c r="R32" s="67">
        <f t="shared" si="3"/>
        <v>45.30427</v>
      </c>
      <c r="S32" s="67">
        <f t="shared" si="4"/>
        <v>36.278654</v>
      </c>
      <c r="T32" s="71" t="s">
        <v>419</v>
      </c>
      <c r="U32" s="69"/>
      <c r="V32" s="65" t="s">
        <v>420</v>
      </c>
      <c r="W32" s="71" t="s">
        <v>74</v>
      </c>
      <c r="X32" s="72" t="s">
        <v>75</v>
      </c>
      <c r="Y32" s="61" t="s">
        <v>76</v>
      </c>
      <c r="Z32" s="73"/>
      <c r="AA32" s="61" t="s">
        <v>77</v>
      </c>
      <c r="AB32" s="61" t="s">
        <v>421</v>
      </c>
      <c r="AC32" s="73"/>
      <c r="AD32" s="73"/>
      <c r="AE32" s="73"/>
      <c r="AF32" s="73"/>
      <c r="AG32" s="73"/>
      <c r="AH32" s="73"/>
      <c r="AI32" s="61" t="s">
        <v>79</v>
      </c>
      <c r="AJ32" s="75"/>
      <c r="AK32" s="76" t="s">
        <v>80</v>
      </c>
      <c r="AL32" s="77" t="s">
        <v>422</v>
      </c>
      <c r="AM32" s="71" t="s">
        <v>423</v>
      </c>
      <c r="AN32" s="98" t="s">
        <v>424</v>
      </c>
      <c r="AO32" s="71" t="s">
        <v>425</v>
      </c>
      <c r="AP32" s="99" t="str">
        <f>IMAGE("https://bellingcat-archive.nyc3.cdn.digitaloceanspaces.com/ukraine_witness_test/Worksheet/yotube_dl_1487059379266465797/out2.jpg")</f>
        <v/>
      </c>
      <c r="AQ32" s="98" t="s">
        <v>426</v>
      </c>
      <c r="AR32" s="71" t="s">
        <v>427</v>
      </c>
      <c r="AS32" s="71" t="s">
        <v>428</v>
      </c>
      <c r="AT32" s="71">
        <v>13.242</v>
      </c>
      <c r="AU32" s="79" t="s">
        <v>63</v>
      </c>
      <c r="AV32" s="90"/>
      <c r="AW32" s="81"/>
    </row>
    <row r="33" ht="15.75" customHeight="1">
      <c r="A33" s="95" t="s">
        <v>63</v>
      </c>
      <c r="B33" s="85"/>
      <c r="C33" s="86" t="s">
        <v>237</v>
      </c>
      <c r="D33" s="58">
        <v>45.191496</v>
      </c>
      <c r="E33" s="58">
        <v>36.655327</v>
      </c>
      <c r="F33" s="59">
        <v>1.0</v>
      </c>
      <c r="G33" s="84" t="s">
        <v>429</v>
      </c>
      <c r="H33" s="61" t="s">
        <v>66</v>
      </c>
      <c r="I33" s="82"/>
      <c r="J33" s="63" t="s">
        <v>68</v>
      </c>
      <c r="K33" s="64"/>
      <c r="L33" s="65" t="s">
        <v>79</v>
      </c>
      <c r="M33" s="61" t="s">
        <v>430</v>
      </c>
      <c r="N33" s="74" t="s">
        <v>431</v>
      </c>
      <c r="O33" s="73"/>
      <c r="P33" s="67" t="str">
        <f t="shared" si="1"/>
        <v>45.191496, 36.655327</v>
      </c>
      <c r="Q33" s="67" t="str">
        <f t="shared" si="2"/>
        <v>45.191015, 36.654413</v>
      </c>
      <c r="R33" s="67">
        <f t="shared" si="3"/>
        <v>45.191015</v>
      </c>
      <c r="S33" s="67">
        <f t="shared" si="4"/>
        <v>36.654413</v>
      </c>
      <c r="T33" s="71" t="s">
        <v>432</v>
      </c>
      <c r="U33" s="108" t="s">
        <v>433</v>
      </c>
      <c r="V33" s="65" t="s">
        <v>434</v>
      </c>
      <c r="W33" s="71" t="s">
        <v>74</v>
      </c>
      <c r="X33" s="72" t="s">
        <v>75</v>
      </c>
      <c r="Y33" s="61" t="s">
        <v>76</v>
      </c>
      <c r="Z33" s="73"/>
      <c r="AA33" s="61" t="s">
        <v>77</v>
      </c>
      <c r="AB33" s="61" t="s">
        <v>78</v>
      </c>
      <c r="AC33" s="73"/>
      <c r="AD33" s="73"/>
      <c r="AE33" s="73"/>
      <c r="AF33" s="73"/>
      <c r="AG33" s="73"/>
      <c r="AH33" s="73"/>
      <c r="AI33" s="61" t="s">
        <v>79</v>
      </c>
      <c r="AJ33" s="102"/>
      <c r="AK33" s="76" t="s">
        <v>80</v>
      </c>
      <c r="AL33" s="77" t="s">
        <v>435</v>
      </c>
      <c r="AM33" s="71" t="s">
        <v>436</v>
      </c>
      <c r="AN33" s="98" t="s">
        <v>437</v>
      </c>
      <c r="AO33" s="71" t="s">
        <v>438</v>
      </c>
      <c r="AP33" s="99" t="str">
        <f>IMAGE("https://bellingcat-archive.nyc3.cdn.digitaloceanspaces.com/ukraine_witness_test/Worksheet/yotube_dl_1487074717555216389/out2.jpg")</f>
        <v/>
      </c>
      <c r="AQ33" s="98" t="s">
        <v>439</v>
      </c>
      <c r="AR33" s="71" t="s">
        <v>440</v>
      </c>
      <c r="AS33" s="71" t="s">
        <v>441</v>
      </c>
      <c r="AT33" s="71">
        <v>31.322</v>
      </c>
      <c r="AU33" s="79" t="s">
        <v>63</v>
      </c>
      <c r="AV33" s="90"/>
      <c r="AW33" s="81"/>
    </row>
    <row r="34" ht="15.75" customHeight="1">
      <c r="A34" s="87" t="s">
        <v>63</v>
      </c>
      <c r="B34" s="61"/>
      <c r="C34" s="57" t="s">
        <v>442</v>
      </c>
      <c r="D34" s="58">
        <v>45.002972</v>
      </c>
      <c r="E34" s="58">
        <v>38.964889</v>
      </c>
      <c r="F34" s="59">
        <v>1.0</v>
      </c>
      <c r="G34" s="84" t="s">
        <v>443</v>
      </c>
      <c r="H34" s="61" t="s">
        <v>66</v>
      </c>
      <c r="I34" s="82"/>
      <c r="J34" s="63" t="s">
        <v>68</v>
      </c>
      <c r="K34" s="88" t="s">
        <v>444</v>
      </c>
      <c r="L34" s="65" t="s">
        <v>79</v>
      </c>
      <c r="M34" s="61" t="s">
        <v>430</v>
      </c>
      <c r="N34" s="73"/>
      <c r="O34" s="61" t="s">
        <v>445</v>
      </c>
      <c r="P34" s="67" t="str">
        <f t="shared" si="1"/>
        <v>45.002972, 38.964889</v>
      </c>
      <c r="Q34" s="67" t="str">
        <f t="shared" si="2"/>
        <v>45.002238, 38.965096</v>
      </c>
      <c r="R34" s="67">
        <f t="shared" si="3"/>
        <v>45.002238</v>
      </c>
      <c r="S34" s="67">
        <f t="shared" si="4"/>
        <v>38.965096</v>
      </c>
      <c r="T34" s="71" t="s">
        <v>446</v>
      </c>
      <c r="U34" s="69"/>
      <c r="V34" s="65" t="s">
        <v>447</v>
      </c>
      <c r="W34" s="71" t="s">
        <v>74</v>
      </c>
      <c r="X34" s="72" t="s">
        <v>75</v>
      </c>
      <c r="Y34" s="61" t="s">
        <v>76</v>
      </c>
      <c r="Z34" s="73"/>
      <c r="AA34" s="61" t="s">
        <v>77</v>
      </c>
      <c r="AB34" s="61" t="s">
        <v>78</v>
      </c>
      <c r="AC34" s="73"/>
      <c r="AD34" s="73"/>
      <c r="AE34" s="73"/>
      <c r="AF34" s="73"/>
      <c r="AG34" s="73"/>
      <c r="AH34" s="73"/>
      <c r="AI34" s="61" t="s">
        <v>79</v>
      </c>
      <c r="AJ34" s="75"/>
      <c r="AK34" s="76" t="s">
        <v>80</v>
      </c>
      <c r="AL34" s="77" t="s">
        <v>448</v>
      </c>
      <c r="AM34" s="71" t="s">
        <v>449</v>
      </c>
      <c r="AN34" s="98" t="s">
        <v>450</v>
      </c>
      <c r="AO34" s="71" t="s">
        <v>451</v>
      </c>
      <c r="AP34" s="99" t="str">
        <f>IMAGE("https://bellingcat-archive.nyc3.cdn.digitaloceanspaces.com/ukraine_witness_test/Worksheet/yotube_dl_1487433437292208132/out2.jpg")</f>
        <v/>
      </c>
      <c r="AQ34" s="98" t="s">
        <v>452</v>
      </c>
      <c r="AR34" s="71" t="s">
        <v>453</v>
      </c>
      <c r="AS34" s="71" t="s">
        <v>454</v>
      </c>
      <c r="AT34" s="71">
        <v>19.761</v>
      </c>
      <c r="AU34" s="79" t="s">
        <v>362</v>
      </c>
      <c r="AV34" s="80" t="s">
        <v>63</v>
      </c>
      <c r="AW34" s="81"/>
    </row>
    <row r="35" ht="15.75" customHeight="1">
      <c r="A35" s="87" t="s">
        <v>63</v>
      </c>
      <c r="B35" s="61"/>
      <c r="C35" s="57" t="s">
        <v>442</v>
      </c>
      <c r="D35" s="58">
        <v>45.002972</v>
      </c>
      <c r="E35" s="58">
        <v>38.964889</v>
      </c>
      <c r="F35" s="59">
        <v>1.0</v>
      </c>
      <c r="G35" s="84" t="s">
        <v>455</v>
      </c>
      <c r="H35" s="61" t="s">
        <v>66</v>
      </c>
      <c r="I35" s="82"/>
      <c r="J35" s="63" t="s">
        <v>68</v>
      </c>
      <c r="K35" s="88" t="s">
        <v>444</v>
      </c>
      <c r="L35" s="65" t="s">
        <v>79</v>
      </c>
      <c r="M35" s="61" t="s">
        <v>430</v>
      </c>
      <c r="N35" s="73"/>
      <c r="O35" s="61" t="s">
        <v>445</v>
      </c>
      <c r="P35" s="67" t="str">
        <f t="shared" si="1"/>
        <v>45.002972, 38.964889</v>
      </c>
      <c r="Q35" s="67" t="str">
        <f t="shared" si="2"/>
        <v>45.002623, 38.964845</v>
      </c>
      <c r="R35" s="67">
        <f t="shared" si="3"/>
        <v>45.002623</v>
      </c>
      <c r="S35" s="67">
        <f t="shared" si="4"/>
        <v>38.964845</v>
      </c>
      <c r="T35" s="71" t="s">
        <v>446</v>
      </c>
      <c r="U35" s="69"/>
      <c r="V35" s="65" t="s">
        <v>456</v>
      </c>
      <c r="W35" s="71" t="s">
        <v>74</v>
      </c>
      <c r="X35" s="72" t="s">
        <v>75</v>
      </c>
      <c r="Y35" s="61" t="s">
        <v>76</v>
      </c>
      <c r="Z35" s="73"/>
      <c r="AA35" s="61" t="s">
        <v>77</v>
      </c>
      <c r="AB35" s="61" t="s">
        <v>78</v>
      </c>
      <c r="AC35" s="73"/>
      <c r="AD35" s="73"/>
      <c r="AE35" s="73"/>
      <c r="AF35" s="73"/>
      <c r="AG35" s="73"/>
      <c r="AH35" s="73"/>
      <c r="AI35" s="61" t="s">
        <v>79</v>
      </c>
      <c r="AJ35" s="75"/>
      <c r="AK35" s="76" t="s">
        <v>80</v>
      </c>
      <c r="AL35" s="77" t="s">
        <v>457</v>
      </c>
      <c r="AM35" s="71" t="s">
        <v>458</v>
      </c>
      <c r="AN35" s="98" t="s">
        <v>459</v>
      </c>
      <c r="AO35" s="71" t="s">
        <v>460</v>
      </c>
      <c r="AP35" s="99" t="str">
        <f>IMAGE("https://bellingcat-archive.nyc3.cdn.digitaloceanspaces.com/ukraine_witness_test/Worksheet/yotube_dl_1487433627306807297/out2.jpg")</f>
        <v/>
      </c>
      <c r="AQ35" s="98" t="s">
        <v>461</v>
      </c>
      <c r="AR35" s="71" t="s">
        <v>462</v>
      </c>
      <c r="AS35" s="71" t="s">
        <v>463</v>
      </c>
      <c r="AT35" s="71">
        <v>18.018</v>
      </c>
      <c r="AU35" s="79" t="s">
        <v>362</v>
      </c>
      <c r="AV35" s="80" t="s">
        <v>63</v>
      </c>
      <c r="AW35" s="81"/>
    </row>
    <row r="36" ht="15.75" customHeight="1">
      <c r="A36" s="95" t="s">
        <v>63</v>
      </c>
      <c r="B36" s="61"/>
      <c r="C36" s="57" t="s">
        <v>442</v>
      </c>
      <c r="D36" s="58">
        <v>52.348176</v>
      </c>
      <c r="E36" s="104">
        <v>30.380419</v>
      </c>
      <c r="F36" s="59">
        <v>1.0</v>
      </c>
      <c r="G36" s="84" t="s">
        <v>464</v>
      </c>
      <c r="H36" s="61" t="s">
        <v>66</v>
      </c>
      <c r="I36" s="82"/>
      <c r="J36" s="63" t="s">
        <v>68</v>
      </c>
      <c r="K36" s="69"/>
      <c r="L36" s="65" t="s">
        <v>69</v>
      </c>
      <c r="M36" s="61" t="s">
        <v>70</v>
      </c>
      <c r="N36" s="74" t="s">
        <v>71</v>
      </c>
      <c r="O36" s="74" t="s">
        <v>71</v>
      </c>
      <c r="P36" s="67" t="str">
        <f t="shared" si="1"/>
        <v>52.348176, 30.380419</v>
      </c>
      <c r="Q36" s="67" t="str">
        <f t="shared" si="2"/>
        <v>52.347668, 30.380322</v>
      </c>
      <c r="R36" s="67">
        <f t="shared" si="3"/>
        <v>52.347668</v>
      </c>
      <c r="S36" s="67">
        <f t="shared" si="4"/>
        <v>30.380322</v>
      </c>
      <c r="T36" s="71" t="s">
        <v>465</v>
      </c>
      <c r="U36" s="69"/>
      <c r="V36" s="65" t="s">
        <v>466</v>
      </c>
      <c r="W36" s="71" t="s">
        <v>74</v>
      </c>
      <c r="X36" s="72" t="s">
        <v>75</v>
      </c>
      <c r="Y36" s="61" t="s">
        <v>76</v>
      </c>
      <c r="Z36" s="73"/>
      <c r="AA36" s="61" t="s">
        <v>77</v>
      </c>
      <c r="AB36" s="61" t="s">
        <v>78</v>
      </c>
      <c r="AC36" s="73"/>
      <c r="AD36" s="73"/>
      <c r="AE36" s="73"/>
      <c r="AF36" s="73"/>
      <c r="AG36" s="73"/>
      <c r="AH36" s="73"/>
      <c r="AI36" s="61" t="s">
        <v>79</v>
      </c>
      <c r="AJ36" s="75"/>
      <c r="AK36" s="76" t="s">
        <v>80</v>
      </c>
      <c r="AL36" s="77" t="s">
        <v>467</v>
      </c>
      <c r="AM36" s="71" t="s">
        <v>468</v>
      </c>
      <c r="AN36" s="98" t="s">
        <v>469</v>
      </c>
      <c r="AO36" s="71" t="s">
        <v>470</v>
      </c>
      <c r="AP36" s="99" t="str">
        <f>IMAGE("https://bellingcat-archive.nyc3.cdn.digitaloceanspaces.com/ukraine_witness_test/Worksheet/yotube_dl_1487451465526435844/out2.jpg")</f>
        <v/>
      </c>
      <c r="AQ36" s="98" t="s">
        <v>471</v>
      </c>
      <c r="AR36" s="71" t="s">
        <v>121</v>
      </c>
      <c r="AS36" s="71" t="s">
        <v>472</v>
      </c>
      <c r="AT36" s="71">
        <v>14.814</v>
      </c>
      <c r="AU36" s="79" t="s">
        <v>63</v>
      </c>
      <c r="AV36" s="90"/>
      <c r="AW36" s="81"/>
    </row>
    <row r="37" ht="15.75" customHeight="1">
      <c r="A37" s="87" t="s">
        <v>63</v>
      </c>
      <c r="B37" s="85"/>
      <c r="C37" s="86" t="s">
        <v>209</v>
      </c>
      <c r="D37" s="58">
        <v>55.241871</v>
      </c>
      <c r="E37" s="58">
        <v>34.307944</v>
      </c>
      <c r="F37" s="59">
        <v>1.0</v>
      </c>
      <c r="G37" s="60" t="s">
        <v>473</v>
      </c>
      <c r="H37" s="61" t="s">
        <v>66</v>
      </c>
      <c r="I37" s="82"/>
      <c r="J37" s="63" t="s">
        <v>406</v>
      </c>
      <c r="K37" s="88" t="s">
        <v>474</v>
      </c>
      <c r="L37" s="65" t="s">
        <v>69</v>
      </c>
      <c r="M37" s="61" t="s">
        <v>240</v>
      </c>
      <c r="N37" s="61"/>
      <c r="O37" s="61" t="s">
        <v>240</v>
      </c>
      <c r="P37" s="67" t="str">
        <f t="shared" si="1"/>
        <v>55.241871, 34.307944</v>
      </c>
      <c r="Q37" s="67" t="str">
        <f t="shared" si="2"/>
        <v>55.241519, 34.307321</v>
      </c>
      <c r="R37" s="67">
        <f t="shared" si="3"/>
        <v>55.241519</v>
      </c>
      <c r="S37" s="67">
        <f t="shared" si="4"/>
        <v>34.307321</v>
      </c>
      <c r="T37" s="71" t="s">
        <v>475</v>
      </c>
      <c r="U37" s="69"/>
      <c r="V37" s="65" t="s">
        <v>476</v>
      </c>
      <c r="W37" s="71" t="s">
        <v>74</v>
      </c>
      <c r="X37" s="72" t="s">
        <v>75</v>
      </c>
      <c r="Y37" s="61" t="s">
        <v>76</v>
      </c>
      <c r="Z37" s="73"/>
      <c r="AA37" s="61" t="s">
        <v>77</v>
      </c>
      <c r="AB37" s="61" t="s">
        <v>78</v>
      </c>
      <c r="AC37" s="73"/>
      <c r="AD37" s="73"/>
      <c r="AE37" s="73"/>
      <c r="AF37" s="73"/>
      <c r="AG37" s="73"/>
      <c r="AH37" s="73"/>
      <c r="AI37" s="61" t="s">
        <v>79</v>
      </c>
      <c r="AJ37" s="75"/>
      <c r="AK37" s="76" t="s">
        <v>80</v>
      </c>
      <c r="AL37" s="77" t="s">
        <v>477</v>
      </c>
      <c r="AM37" s="71" t="s">
        <v>478</v>
      </c>
      <c r="AN37" s="98" t="s">
        <v>479</v>
      </c>
      <c r="AO37" s="71" t="s">
        <v>480</v>
      </c>
      <c r="AP37" s="99" t="str">
        <f>IMAGE("https://bellingcat-archive.nyc3.cdn.digitaloceanspaces.com/ukraine_witness_test/Worksheet/yotube_dl_1485980462451466240/out2.jpg")</f>
        <v/>
      </c>
      <c r="AQ37" s="98" t="s">
        <v>481</v>
      </c>
      <c r="AR37" s="71" t="s">
        <v>482</v>
      </c>
      <c r="AS37" s="71" t="s">
        <v>483</v>
      </c>
      <c r="AT37" s="71">
        <v>16.68</v>
      </c>
      <c r="AU37" s="79" t="s">
        <v>362</v>
      </c>
      <c r="AV37" s="80" t="s">
        <v>63</v>
      </c>
      <c r="AW37" s="81"/>
    </row>
    <row r="38" ht="15.75" customHeight="1">
      <c r="A38" s="87" t="s">
        <v>63</v>
      </c>
      <c r="B38" s="85"/>
      <c r="C38" s="86" t="s">
        <v>209</v>
      </c>
      <c r="D38" s="104">
        <v>55.50358977</v>
      </c>
      <c r="E38" s="104">
        <v>35.14451376</v>
      </c>
      <c r="F38" s="59">
        <v>1.0</v>
      </c>
      <c r="G38" s="84" t="s">
        <v>484</v>
      </c>
      <c r="H38" s="61" t="s">
        <v>66</v>
      </c>
      <c r="I38" s="82"/>
      <c r="J38" s="63" t="s">
        <v>418</v>
      </c>
      <c r="K38" s="88" t="s">
        <v>485</v>
      </c>
      <c r="L38" s="65" t="s">
        <v>79</v>
      </c>
      <c r="M38" s="61" t="s">
        <v>150</v>
      </c>
      <c r="N38" s="61" t="s">
        <v>486</v>
      </c>
      <c r="O38" s="73"/>
      <c r="P38" s="67" t="str">
        <f t="shared" si="1"/>
        <v>55.50358977, 35.14451376</v>
      </c>
      <c r="Q38" s="67" t="str">
        <f t="shared" si="2"/>
        <v>55.503514, 35.14503</v>
      </c>
      <c r="R38" s="67">
        <f t="shared" si="3"/>
        <v>55.503514</v>
      </c>
      <c r="S38" s="67">
        <f t="shared" si="4"/>
        <v>35.14503</v>
      </c>
      <c r="T38" s="71" t="s">
        <v>487</v>
      </c>
      <c r="U38" s="69"/>
      <c r="V38" s="65" t="s">
        <v>488</v>
      </c>
      <c r="W38" s="71" t="s">
        <v>74</v>
      </c>
      <c r="X38" s="72" t="s">
        <v>75</v>
      </c>
      <c r="Y38" s="61" t="s">
        <v>76</v>
      </c>
      <c r="Z38" s="73"/>
      <c r="AA38" s="61" t="s">
        <v>77</v>
      </c>
      <c r="AB38" s="61" t="s">
        <v>421</v>
      </c>
      <c r="AC38" s="73"/>
      <c r="AD38" s="73"/>
      <c r="AE38" s="73"/>
      <c r="AF38" s="73"/>
      <c r="AG38" s="73"/>
      <c r="AH38" s="73"/>
      <c r="AI38" s="61" t="s">
        <v>79</v>
      </c>
      <c r="AJ38" s="75"/>
      <c r="AK38" s="76" t="s">
        <v>80</v>
      </c>
      <c r="AL38" s="77" t="s">
        <v>489</v>
      </c>
      <c r="AM38" s="71" t="s">
        <v>490</v>
      </c>
      <c r="AN38" s="98" t="s">
        <v>491</v>
      </c>
      <c r="AO38" s="71" t="s">
        <v>492</v>
      </c>
      <c r="AP38" s="99" t="str">
        <f>IMAGE("https://bellingcat-archive.nyc3.cdn.digitaloceanspaces.com/ukraine_witness_test/Worksheet/yotube_dl_1485957117555224580/out2.jpg")</f>
        <v/>
      </c>
      <c r="AQ38" s="98" t="s">
        <v>493</v>
      </c>
      <c r="AR38" s="71" t="s">
        <v>494</v>
      </c>
      <c r="AS38" s="71" t="s">
        <v>495</v>
      </c>
      <c r="AT38" s="71">
        <v>26.68</v>
      </c>
      <c r="AU38" s="79" t="s">
        <v>362</v>
      </c>
      <c r="AV38" s="80" t="s">
        <v>63</v>
      </c>
      <c r="AW38" s="81"/>
    </row>
    <row r="39" ht="15.75" customHeight="1">
      <c r="A39" s="95" t="s">
        <v>63</v>
      </c>
      <c r="B39" s="61"/>
      <c r="C39" s="57" t="s">
        <v>209</v>
      </c>
      <c r="D39" s="58">
        <v>55.421322</v>
      </c>
      <c r="E39" s="58">
        <v>43.823666</v>
      </c>
      <c r="F39" s="59">
        <v>1.0</v>
      </c>
      <c r="G39" s="84" t="s">
        <v>496</v>
      </c>
      <c r="H39" s="61" t="s">
        <v>66</v>
      </c>
      <c r="I39" s="82"/>
      <c r="J39" s="63" t="s">
        <v>68</v>
      </c>
      <c r="K39" s="69"/>
      <c r="L39" s="65" t="s">
        <v>79</v>
      </c>
      <c r="M39" s="92" t="s">
        <v>497</v>
      </c>
      <c r="N39" s="73"/>
      <c r="O39" s="61" t="s">
        <v>498</v>
      </c>
      <c r="P39" s="67" t="str">
        <f t="shared" si="1"/>
        <v>55.421322, 43.823666</v>
      </c>
      <c r="Q39" s="67" t="str">
        <f t="shared" si="2"/>
        <v>55.420673, 43.823482</v>
      </c>
      <c r="R39" s="67">
        <f t="shared" si="3"/>
        <v>55.420673</v>
      </c>
      <c r="S39" s="67">
        <f t="shared" si="4"/>
        <v>43.823482</v>
      </c>
      <c r="T39" s="71" t="s">
        <v>499</v>
      </c>
      <c r="U39" s="69"/>
      <c r="V39" s="65" t="s">
        <v>500</v>
      </c>
      <c r="W39" s="71" t="s">
        <v>74</v>
      </c>
      <c r="X39" s="72" t="s">
        <v>75</v>
      </c>
      <c r="Y39" s="61" t="s">
        <v>76</v>
      </c>
      <c r="Z39" s="73"/>
      <c r="AA39" s="61" t="s">
        <v>77</v>
      </c>
      <c r="AB39" s="61" t="s">
        <v>78</v>
      </c>
      <c r="AC39" s="73"/>
      <c r="AD39" s="73"/>
      <c r="AE39" s="73"/>
      <c r="AF39" s="73"/>
      <c r="AG39" s="73"/>
      <c r="AH39" s="73"/>
      <c r="AI39" s="61" t="s">
        <v>79</v>
      </c>
      <c r="AJ39" s="109"/>
      <c r="AK39" s="76" t="s">
        <v>80</v>
      </c>
      <c r="AL39" s="83" t="s">
        <v>501</v>
      </c>
      <c r="AM39" s="71" t="s">
        <v>502</v>
      </c>
      <c r="AN39" s="105" t="s">
        <v>503</v>
      </c>
      <c r="AO39" s="71" t="s">
        <v>504</v>
      </c>
      <c r="AP39" s="99"/>
      <c r="AQ39" s="71" t="s">
        <v>505</v>
      </c>
      <c r="AR39" s="71" t="s">
        <v>506</v>
      </c>
      <c r="AS39" s="71" t="s">
        <v>507</v>
      </c>
      <c r="AT39" s="71">
        <v>15.0</v>
      </c>
      <c r="AU39" s="79" t="s">
        <v>63</v>
      </c>
      <c r="AV39" s="90"/>
      <c r="AW39" s="81"/>
    </row>
    <row r="40" ht="15.75" customHeight="1">
      <c r="A40" s="87" t="s">
        <v>63</v>
      </c>
      <c r="B40" s="61"/>
      <c r="C40" s="57" t="s">
        <v>209</v>
      </c>
      <c r="D40" s="104">
        <v>52.052297</v>
      </c>
      <c r="E40" s="104">
        <v>29.153349</v>
      </c>
      <c r="F40" s="59">
        <v>1.0</v>
      </c>
      <c r="G40" s="84" t="s">
        <v>508</v>
      </c>
      <c r="H40" s="61" t="s">
        <v>66</v>
      </c>
      <c r="I40" s="82"/>
      <c r="J40" s="63" t="s">
        <v>68</v>
      </c>
      <c r="K40" s="88" t="s">
        <v>509</v>
      </c>
      <c r="L40" s="110" t="s">
        <v>69</v>
      </c>
      <c r="M40" s="92" t="s">
        <v>70</v>
      </c>
      <c r="N40" s="92" t="s">
        <v>510</v>
      </c>
      <c r="O40" s="92" t="s">
        <v>510</v>
      </c>
      <c r="P40" s="67" t="str">
        <f t="shared" si="1"/>
        <v>52.052297, 29.153349</v>
      </c>
      <c r="Q40" s="67" t="str">
        <f t="shared" si="2"/>
        <v>52.051533, 29.153421</v>
      </c>
      <c r="R40" s="67">
        <f t="shared" si="3"/>
        <v>52.051533</v>
      </c>
      <c r="S40" s="67">
        <f t="shared" si="4"/>
        <v>29.153421</v>
      </c>
      <c r="T40" s="71" t="s">
        <v>511</v>
      </c>
      <c r="U40" s="69"/>
      <c r="V40" s="65" t="s">
        <v>512</v>
      </c>
      <c r="W40" s="71" t="s">
        <v>74</v>
      </c>
      <c r="X40" s="72" t="s">
        <v>75</v>
      </c>
      <c r="Y40" s="61" t="s">
        <v>76</v>
      </c>
      <c r="Z40" s="73"/>
      <c r="AA40" s="61" t="s">
        <v>77</v>
      </c>
      <c r="AB40" s="61" t="s">
        <v>78</v>
      </c>
      <c r="AC40" s="73"/>
      <c r="AD40" s="73"/>
      <c r="AE40" s="73"/>
      <c r="AF40" s="73"/>
      <c r="AG40" s="73"/>
      <c r="AH40" s="73"/>
      <c r="AI40" s="71" t="s">
        <v>79</v>
      </c>
      <c r="AJ40" s="109"/>
      <c r="AK40" s="76" t="s">
        <v>80</v>
      </c>
      <c r="AL40" s="83" t="s">
        <v>513</v>
      </c>
      <c r="AM40" s="71" t="s">
        <v>514</v>
      </c>
      <c r="AN40" s="105" t="s">
        <v>515</v>
      </c>
      <c r="AO40" s="71" t="s">
        <v>516</v>
      </c>
      <c r="AP40" s="99" t="str">
        <f>IMAGE("https://bellingcat-archive.nyc3.cdn.digitaloceanspaces.com/ukraine_witness_test/Worksheet/tiktok_7057057306021793029/out2.jpg")</f>
        <v/>
      </c>
      <c r="AQ40" s="105" t="s">
        <v>517</v>
      </c>
      <c r="AR40" s="71" t="s">
        <v>518</v>
      </c>
      <c r="AS40" s="71" t="s">
        <v>519</v>
      </c>
      <c r="AT40" s="71">
        <v>9.0</v>
      </c>
      <c r="AU40" s="79" t="s">
        <v>362</v>
      </c>
      <c r="AV40" s="80" t="s">
        <v>63</v>
      </c>
      <c r="AW40" s="81"/>
    </row>
    <row r="41" ht="15.75" customHeight="1">
      <c r="A41" s="87" t="s">
        <v>63</v>
      </c>
      <c r="B41" s="85"/>
      <c r="C41" s="86" t="s">
        <v>520</v>
      </c>
      <c r="D41" s="104">
        <v>45.0441</v>
      </c>
      <c r="E41" s="104">
        <v>39.110889</v>
      </c>
      <c r="F41" s="59">
        <v>1.0</v>
      </c>
      <c r="G41" s="84" t="s">
        <v>521</v>
      </c>
      <c r="H41" s="61" t="s">
        <v>66</v>
      </c>
      <c r="I41" s="82"/>
      <c r="J41" s="63" t="s">
        <v>68</v>
      </c>
      <c r="K41" s="88" t="s">
        <v>522</v>
      </c>
      <c r="L41" s="110" t="s">
        <v>79</v>
      </c>
      <c r="M41" s="92" t="s">
        <v>430</v>
      </c>
      <c r="N41" s="111"/>
      <c r="O41" s="92" t="s">
        <v>445</v>
      </c>
      <c r="P41" s="67" t="str">
        <f t="shared" si="1"/>
        <v>45.0441, 39.110889</v>
      </c>
      <c r="Q41" s="67" t="str">
        <f t="shared" si="2"/>
        <v>45.044003, 39.109676</v>
      </c>
      <c r="R41" s="67">
        <f t="shared" si="3"/>
        <v>45.044003</v>
      </c>
      <c r="S41" s="67">
        <f t="shared" si="4"/>
        <v>39.109676</v>
      </c>
      <c r="T41" s="71" t="s">
        <v>523</v>
      </c>
      <c r="U41" s="64"/>
      <c r="V41" s="65" t="s">
        <v>524</v>
      </c>
      <c r="W41" s="71" t="s">
        <v>74</v>
      </c>
      <c r="X41" s="72" t="s">
        <v>75</v>
      </c>
      <c r="Y41" s="61" t="s">
        <v>76</v>
      </c>
      <c r="Z41" s="73"/>
      <c r="AA41" s="61" t="s">
        <v>77</v>
      </c>
      <c r="AB41" s="61" t="s">
        <v>78</v>
      </c>
      <c r="AC41" s="73"/>
      <c r="AD41" s="73"/>
      <c r="AE41" s="73"/>
      <c r="AF41" s="73"/>
      <c r="AG41" s="73"/>
      <c r="AH41" s="73"/>
      <c r="AI41" s="71" t="s">
        <v>79</v>
      </c>
      <c r="AJ41" s="112"/>
      <c r="AK41" s="76" t="s">
        <v>80</v>
      </c>
      <c r="AL41" s="77" t="s">
        <v>525</v>
      </c>
      <c r="AM41" s="71" t="s">
        <v>526</v>
      </c>
      <c r="AN41" s="98" t="s">
        <v>527</v>
      </c>
      <c r="AO41" s="71" t="s">
        <v>528</v>
      </c>
      <c r="AP41" s="99" t="str">
        <f>IMAGE("https://bellingcat-archive.nyc3.cdn.digitaloceanspaces.com/ukraine_witness_test/Worksheet/yotube_dl_1485475887801937920/out2.jpg")</f>
        <v/>
      </c>
      <c r="AQ41" s="98" t="s">
        <v>529</v>
      </c>
      <c r="AR41" s="71" t="s">
        <v>530</v>
      </c>
      <c r="AS41" s="71" t="s">
        <v>531</v>
      </c>
      <c r="AT41" s="71">
        <v>16.699</v>
      </c>
      <c r="AU41" s="79" t="s">
        <v>362</v>
      </c>
      <c r="AV41" s="80" t="s">
        <v>63</v>
      </c>
      <c r="AW41" s="81"/>
    </row>
    <row r="42" ht="15.75" customHeight="1">
      <c r="A42" s="87" t="s">
        <v>63</v>
      </c>
      <c r="B42" s="85"/>
      <c r="C42" s="86" t="s">
        <v>123</v>
      </c>
      <c r="D42" s="58">
        <v>52.924819</v>
      </c>
      <c r="E42" s="58">
        <v>36.021649</v>
      </c>
      <c r="F42" s="59">
        <v>1.0</v>
      </c>
      <c r="G42" s="84" t="s">
        <v>532</v>
      </c>
      <c r="H42" s="61" t="s">
        <v>66</v>
      </c>
      <c r="I42" s="82"/>
      <c r="J42" s="63" t="s">
        <v>68</v>
      </c>
      <c r="K42" s="88" t="s">
        <v>533</v>
      </c>
      <c r="L42" s="110" t="s">
        <v>79</v>
      </c>
      <c r="M42" s="92" t="s">
        <v>534</v>
      </c>
      <c r="N42" s="92" t="s">
        <v>534</v>
      </c>
      <c r="O42" s="92" t="s">
        <v>535</v>
      </c>
      <c r="P42" s="67" t="str">
        <f t="shared" si="1"/>
        <v>52.924819, 36.021649</v>
      </c>
      <c r="Q42" s="67" t="str">
        <f t="shared" si="2"/>
        <v>52.924559, 36.020845</v>
      </c>
      <c r="R42" s="67">
        <f t="shared" si="3"/>
        <v>52.924559</v>
      </c>
      <c r="S42" s="67">
        <f t="shared" si="4"/>
        <v>36.020845</v>
      </c>
      <c r="T42" s="71" t="s">
        <v>536</v>
      </c>
      <c r="U42" s="69"/>
      <c r="V42" s="65" t="s">
        <v>537</v>
      </c>
      <c r="W42" s="71" t="s">
        <v>74</v>
      </c>
      <c r="X42" s="72" t="s">
        <v>75</v>
      </c>
      <c r="Y42" s="61" t="s">
        <v>76</v>
      </c>
      <c r="Z42" s="73"/>
      <c r="AA42" s="61" t="s">
        <v>77</v>
      </c>
      <c r="AB42" s="61" t="s">
        <v>78</v>
      </c>
      <c r="AC42" s="73"/>
      <c r="AD42" s="73"/>
      <c r="AE42" s="73"/>
      <c r="AF42" s="73"/>
      <c r="AG42" s="73"/>
      <c r="AH42" s="73"/>
      <c r="AI42" s="71" t="s">
        <v>79</v>
      </c>
      <c r="AJ42" s="109"/>
      <c r="AK42" s="76" t="s">
        <v>80</v>
      </c>
      <c r="AL42" s="77" t="s">
        <v>538</v>
      </c>
      <c r="AM42" s="71" t="s">
        <v>539</v>
      </c>
      <c r="AN42" s="98" t="s">
        <v>540</v>
      </c>
      <c r="AO42" s="71" t="s">
        <v>541</v>
      </c>
      <c r="AP42" s="99" t="str">
        <f>IMAGE("https://bellingcat-archive.nyc3.cdn.digitaloceanspaces.com/ukraine_witness_test/Worksheet/yotube_dl_1484791666024271874/out2.jpg")</f>
        <v/>
      </c>
      <c r="AQ42" s="98" t="s">
        <v>542</v>
      </c>
      <c r="AR42" s="71" t="s">
        <v>543</v>
      </c>
      <c r="AS42" s="71" t="s">
        <v>544</v>
      </c>
      <c r="AT42" s="71">
        <v>28.733</v>
      </c>
      <c r="AU42" s="79" t="s">
        <v>362</v>
      </c>
      <c r="AV42" s="80" t="s">
        <v>63</v>
      </c>
      <c r="AW42" s="81"/>
    </row>
    <row r="43" ht="15.75" customHeight="1">
      <c r="A43" s="95" t="s">
        <v>63</v>
      </c>
      <c r="B43" s="61"/>
      <c r="C43" s="57" t="s">
        <v>442</v>
      </c>
      <c r="D43" s="58">
        <v>50.224832</v>
      </c>
      <c r="E43" s="58">
        <v>38.077846</v>
      </c>
      <c r="F43" s="59">
        <v>1.0</v>
      </c>
      <c r="G43" s="84" t="s">
        <v>545</v>
      </c>
      <c r="H43" s="61" t="s">
        <v>66</v>
      </c>
      <c r="I43" s="82"/>
      <c r="J43" s="63" t="s">
        <v>546</v>
      </c>
      <c r="K43" s="69"/>
      <c r="L43" s="110" t="s">
        <v>79</v>
      </c>
      <c r="M43" s="92" t="s">
        <v>547</v>
      </c>
      <c r="N43" s="111"/>
      <c r="O43" s="92" t="s">
        <v>548</v>
      </c>
      <c r="P43" s="67" t="str">
        <f t="shared" si="1"/>
        <v>50.224832, 38.077846</v>
      </c>
      <c r="Q43" s="67" t="str">
        <f t="shared" si="2"/>
        <v>50.224488, 38.077731</v>
      </c>
      <c r="R43" s="67">
        <f t="shared" si="3"/>
        <v>50.224488</v>
      </c>
      <c r="S43" s="67">
        <f t="shared" si="4"/>
        <v>38.077731</v>
      </c>
      <c r="T43" s="71" t="s">
        <v>549</v>
      </c>
      <c r="U43" s="69"/>
      <c r="V43" s="65" t="s">
        <v>550</v>
      </c>
      <c r="W43" s="71" t="s">
        <v>74</v>
      </c>
      <c r="X43" s="72" t="s">
        <v>75</v>
      </c>
      <c r="Y43" s="61" t="s">
        <v>551</v>
      </c>
      <c r="Z43" s="61" t="s">
        <v>552</v>
      </c>
      <c r="AA43" s="61" t="s">
        <v>553</v>
      </c>
      <c r="AB43" s="61" t="s">
        <v>554</v>
      </c>
      <c r="AC43" s="73"/>
      <c r="AD43" s="73"/>
      <c r="AE43" s="73"/>
      <c r="AF43" s="73"/>
      <c r="AG43" s="73"/>
      <c r="AH43" s="73"/>
      <c r="AI43" s="71" t="s">
        <v>79</v>
      </c>
      <c r="AJ43" s="75"/>
      <c r="AK43" s="76" t="s">
        <v>80</v>
      </c>
      <c r="AL43" s="83" t="s">
        <v>555</v>
      </c>
      <c r="AM43" s="71" t="s">
        <v>556</v>
      </c>
      <c r="AN43" s="105" t="s">
        <v>557</v>
      </c>
      <c r="AO43" s="71" t="s">
        <v>558</v>
      </c>
      <c r="AP43" s="99" t="str">
        <f>IMAGE("https://bellingcat-archive.nyc3.cdn.digitaloceanspaces.com/ukraine_witness_test/Worksheet/tiktok_7058529998977699073/out2.jpg")</f>
        <v/>
      </c>
      <c r="AQ43" s="105" t="s">
        <v>559</v>
      </c>
      <c r="AR43" s="71" t="s">
        <v>560</v>
      </c>
      <c r="AS43" s="71" t="s">
        <v>561</v>
      </c>
      <c r="AT43" s="71">
        <v>28.0</v>
      </c>
      <c r="AU43" s="79" t="s">
        <v>63</v>
      </c>
      <c r="AV43" s="90"/>
      <c r="AW43" s="81"/>
    </row>
    <row r="44" ht="15.75" customHeight="1">
      <c r="A44" s="95" t="s">
        <v>63</v>
      </c>
      <c r="B44" s="61"/>
      <c r="C44" s="57" t="s">
        <v>442</v>
      </c>
      <c r="D44" s="58">
        <v>50.81899</v>
      </c>
      <c r="E44" s="58">
        <v>40.64414</v>
      </c>
      <c r="F44" s="59">
        <v>1.0</v>
      </c>
      <c r="G44" s="84" t="s">
        <v>562</v>
      </c>
      <c r="H44" s="61" t="s">
        <v>66</v>
      </c>
      <c r="I44" s="82"/>
      <c r="J44" s="63" t="s">
        <v>68</v>
      </c>
      <c r="K44" s="69"/>
      <c r="L44" s="110" t="s">
        <v>79</v>
      </c>
      <c r="M44" s="92" t="s">
        <v>563</v>
      </c>
      <c r="N44" s="92" t="s">
        <v>564</v>
      </c>
      <c r="O44" s="92" t="s">
        <v>565</v>
      </c>
      <c r="P44" s="67" t="str">
        <f t="shared" si="1"/>
        <v>50.81899, 40.64414</v>
      </c>
      <c r="Q44" s="67" t="str">
        <f t="shared" si="2"/>
        <v>50.818837, 40.643255</v>
      </c>
      <c r="R44" s="67">
        <f t="shared" si="3"/>
        <v>50.818837</v>
      </c>
      <c r="S44" s="67">
        <f t="shared" si="4"/>
        <v>40.643255</v>
      </c>
      <c r="T44" s="71" t="s">
        <v>566</v>
      </c>
      <c r="U44" s="64" t="s">
        <v>567</v>
      </c>
      <c r="V44" s="65" t="s">
        <v>568</v>
      </c>
      <c r="W44" s="71" t="s">
        <v>74</v>
      </c>
      <c r="X44" s="72" t="s">
        <v>75</v>
      </c>
      <c r="Y44" s="61" t="s">
        <v>76</v>
      </c>
      <c r="Z44" s="73"/>
      <c r="AA44" s="61" t="s">
        <v>77</v>
      </c>
      <c r="AB44" s="61" t="s">
        <v>78</v>
      </c>
      <c r="AC44" s="73"/>
      <c r="AD44" s="73"/>
      <c r="AE44" s="73"/>
      <c r="AF44" s="73"/>
      <c r="AG44" s="73"/>
      <c r="AH44" s="73"/>
      <c r="AI44" s="71" t="s">
        <v>79</v>
      </c>
      <c r="AJ44" s="113"/>
      <c r="AK44" s="76" t="s">
        <v>80</v>
      </c>
      <c r="AL44" s="83" t="s">
        <v>569</v>
      </c>
      <c r="AM44" s="71" t="s">
        <v>570</v>
      </c>
      <c r="AN44" s="105" t="s">
        <v>571</v>
      </c>
      <c r="AO44" s="71" t="s">
        <v>572</v>
      </c>
      <c r="AP44" s="99" t="str">
        <f>IMAGE("https://bellingcat-archive.nyc3.cdn.digitaloceanspaces.com/ukraine_witness_test/Worksheet/tiktok_7058593644382522626/out2.jpg")</f>
        <v/>
      </c>
      <c r="AQ44" s="105" t="s">
        <v>573</v>
      </c>
      <c r="AR44" s="71" t="s">
        <v>574</v>
      </c>
      <c r="AS44" s="71" t="s">
        <v>575</v>
      </c>
      <c r="AT44" s="71">
        <v>30.0</v>
      </c>
      <c r="AU44" s="79" t="s">
        <v>63</v>
      </c>
      <c r="AV44" s="90"/>
      <c r="AW44" s="81"/>
    </row>
    <row r="45" ht="15.75" customHeight="1">
      <c r="A45" s="87" t="s">
        <v>63</v>
      </c>
      <c r="B45" s="61"/>
      <c r="C45" s="57" t="s">
        <v>237</v>
      </c>
      <c r="D45" s="58">
        <v>51.636441</v>
      </c>
      <c r="E45" s="58">
        <v>38.929421</v>
      </c>
      <c r="F45" s="59">
        <v>1.0</v>
      </c>
      <c r="G45" s="60" t="s">
        <v>576</v>
      </c>
      <c r="H45" s="61" t="s">
        <v>66</v>
      </c>
      <c r="I45" s="82"/>
      <c r="J45" s="63" t="s">
        <v>406</v>
      </c>
      <c r="K45" s="114" t="s">
        <v>577</v>
      </c>
      <c r="L45" s="110" t="s">
        <v>79</v>
      </c>
      <c r="M45" s="92" t="s">
        <v>563</v>
      </c>
      <c r="N45" s="92" t="s">
        <v>578</v>
      </c>
      <c r="O45" s="92" t="s">
        <v>579</v>
      </c>
      <c r="P45" s="67" t="str">
        <f t="shared" si="1"/>
        <v>51.636441, 38.929421</v>
      </c>
      <c r="Q45" s="67" t="str">
        <f t="shared" si="2"/>
        <v>51.636422, 38.928648</v>
      </c>
      <c r="R45" s="67">
        <f t="shared" si="3"/>
        <v>51.636422</v>
      </c>
      <c r="S45" s="67">
        <f t="shared" si="4"/>
        <v>38.928648</v>
      </c>
      <c r="T45" s="71" t="s">
        <v>580</v>
      </c>
      <c r="U45" s="69"/>
      <c r="V45" s="65" t="s">
        <v>581</v>
      </c>
      <c r="W45" s="71" t="s">
        <v>74</v>
      </c>
      <c r="X45" s="72" t="s">
        <v>75</v>
      </c>
      <c r="Y45" s="61" t="s">
        <v>76</v>
      </c>
      <c r="Z45" s="73"/>
      <c r="AA45" s="61" t="s">
        <v>77</v>
      </c>
      <c r="AB45" s="61" t="s">
        <v>78</v>
      </c>
      <c r="AC45" s="73"/>
      <c r="AD45" s="73"/>
      <c r="AE45" s="73"/>
      <c r="AF45" s="73"/>
      <c r="AG45" s="73"/>
      <c r="AH45" s="73"/>
      <c r="AI45" s="71" t="s">
        <v>79</v>
      </c>
      <c r="AJ45" s="75"/>
      <c r="AK45" s="76" t="s">
        <v>80</v>
      </c>
      <c r="AL45" s="77" t="s">
        <v>582</v>
      </c>
      <c r="AM45" s="71" t="s">
        <v>583</v>
      </c>
      <c r="AN45" s="98" t="s">
        <v>584</v>
      </c>
      <c r="AO45" s="71" t="s">
        <v>585</v>
      </c>
      <c r="AP45" s="99" t="str">
        <f>IMAGE("https://bellingcat-archive.nyc3.cdn.digitaloceanspaces.com/ukraine_witness_test/Worksheet/yotube_dl_1486776568118665218/out2.jpg")</f>
        <v/>
      </c>
      <c r="AQ45" s="98" t="s">
        <v>586</v>
      </c>
      <c r="AR45" s="71" t="s">
        <v>587</v>
      </c>
      <c r="AS45" s="71" t="s">
        <v>588</v>
      </c>
      <c r="AT45" s="71">
        <v>13.978</v>
      </c>
      <c r="AU45" s="79" t="s">
        <v>362</v>
      </c>
      <c r="AV45" s="80" t="s">
        <v>63</v>
      </c>
      <c r="AW45" s="81"/>
    </row>
    <row r="46" ht="15.75" customHeight="1">
      <c r="A46" s="87" t="s">
        <v>63</v>
      </c>
      <c r="B46" s="85"/>
      <c r="C46" s="86" t="s">
        <v>237</v>
      </c>
      <c r="D46" s="58">
        <v>51.669824</v>
      </c>
      <c r="E46" s="58">
        <v>39.122653</v>
      </c>
      <c r="F46" s="59">
        <v>1.0</v>
      </c>
      <c r="G46" s="84" t="s">
        <v>589</v>
      </c>
      <c r="H46" s="61" t="s">
        <v>66</v>
      </c>
      <c r="I46" s="82"/>
      <c r="J46" s="63" t="s">
        <v>406</v>
      </c>
      <c r="K46" s="88" t="s">
        <v>590</v>
      </c>
      <c r="L46" s="110" t="s">
        <v>79</v>
      </c>
      <c r="M46" s="92" t="s">
        <v>563</v>
      </c>
      <c r="N46" s="111"/>
      <c r="O46" s="92" t="s">
        <v>563</v>
      </c>
      <c r="P46" s="67" t="str">
        <f t="shared" si="1"/>
        <v>51.669824, 39.122653</v>
      </c>
      <c r="Q46" s="67" t="str">
        <f t="shared" si="2"/>
        <v>51.669811, 39.123694</v>
      </c>
      <c r="R46" s="67">
        <f t="shared" si="3"/>
        <v>51.669811</v>
      </c>
      <c r="S46" s="67">
        <f t="shared" si="4"/>
        <v>39.123694</v>
      </c>
      <c r="T46" s="71" t="s">
        <v>591</v>
      </c>
      <c r="U46" s="69"/>
      <c r="V46" s="65" t="s">
        <v>592</v>
      </c>
      <c r="W46" s="71" t="s">
        <v>74</v>
      </c>
      <c r="X46" s="72" t="s">
        <v>75</v>
      </c>
      <c r="Y46" s="61" t="s">
        <v>76</v>
      </c>
      <c r="Z46" s="73"/>
      <c r="AA46" s="61" t="s">
        <v>77</v>
      </c>
      <c r="AB46" s="61" t="s">
        <v>78</v>
      </c>
      <c r="AC46" s="73"/>
      <c r="AD46" s="73"/>
      <c r="AE46" s="73"/>
      <c r="AF46" s="73"/>
      <c r="AG46" s="73"/>
      <c r="AH46" s="73"/>
      <c r="AI46" s="71" t="s">
        <v>79</v>
      </c>
      <c r="AJ46" s="62" t="s">
        <v>593</v>
      </c>
      <c r="AK46" s="76" t="s">
        <v>80</v>
      </c>
      <c r="AL46" s="77" t="s">
        <v>594</v>
      </c>
      <c r="AM46" s="71" t="s">
        <v>595</v>
      </c>
      <c r="AN46" s="98" t="s">
        <v>596</v>
      </c>
      <c r="AO46" s="71" t="s">
        <v>597</v>
      </c>
      <c r="AP46" s="99" t="str">
        <f>IMAGE("https://bellingcat-archive.nyc3.cdn.digitaloceanspaces.com/ukraine_witness_test/Worksheet/yotube_dl_1486934318425456644/out3.jpg")</f>
        <v/>
      </c>
      <c r="AQ46" s="98" t="s">
        <v>598</v>
      </c>
      <c r="AR46" s="71" t="s">
        <v>599</v>
      </c>
      <c r="AS46" s="71" t="s">
        <v>600</v>
      </c>
      <c r="AT46" s="71">
        <v>72.633</v>
      </c>
      <c r="AU46" s="79" t="s">
        <v>362</v>
      </c>
      <c r="AV46" s="80" t="s">
        <v>63</v>
      </c>
      <c r="AW46" s="81"/>
    </row>
    <row r="47" ht="15.75" customHeight="1">
      <c r="A47" s="87" t="s">
        <v>63</v>
      </c>
      <c r="B47" s="61"/>
      <c r="C47" s="57" t="s">
        <v>520</v>
      </c>
      <c r="D47" s="58">
        <v>53.211935</v>
      </c>
      <c r="E47" s="58">
        <v>34.408736</v>
      </c>
      <c r="F47" s="59">
        <v>1.0</v>
      </c>
      <c r="G47" s="84" t="s">
        <v>601</v>
      </c>
      <c r="H47" s="61" t="s">
        <v>66</v>
      </c>
      <c r="I47" s="82"/>
      <c r="J47" s="63" t="s">
        <v>365</v>
      </c>
      <c r="K47" s="88" t="s">
        <v>602</v>
      </c>
      <c r="L47" s="110" t="s">
        <v>79</v>
      </c>
      <c r="M47" s="92" t="s">
        <v>240</v>
      </c>
      <c r="N47" s="92" t="s">
        <v>240</v>
      </c>
      <c r="O47" s="92" t="s">
        <v>603</v>
      </c>
      <c r="P47" s="67" t="str">
        <f t="shared" si="1"/>
        <v>53.211935, 34.408736</v>
      </c>
      <c r="Q47" s="67" t="str">
        <f t="shared" si="2"/>
        <v>53.211537, 34.40943</v>
      </c>
      <c r="R47" s="67">
        <f t="shared" si="3"/>
        <v>53.211537</v>
      </c>
      <c r="S47" s="67">
        <f t="shared" si="4"/>
        <v>34.40943</v>
      </c>
      <c r="T47" s="71" t="s">
        <v>604</v>
      </c>
      <c r="U47" s="64" t="s">
        <v>605</v>
      </c>
      <c r="V47" s="65" t="s">
        <v>606</v>
      </c>
      <c r="W47" s="71" t="s">
        <v>74</v>
      </c>
      <c r="X47" s="72" t="s">
        <v>75</v>
      </c>
      <c r="Y47" s="61" t="s">
        <v>76</v>
      </c>
      <c r="Z47" s="73"/>
      <c r="AA47" s="61" t="s">
        <v>77</v>
      </c>
      <c r="AB47" s="61" t="s">
        <v>78</v>
      </c>
      <c r="AC47" s="73"/>
      <c r="AD47" s="73"/>
      <c r="AE47" s="73"/>
      <c r="AF47" s="73"/>
      <c r="AG47" s="73"/>
      <c r="AH47" s="73"/>
      <c r="AI47" s="71" t="s">
        <v>79</v>
      </c>
      <c r="AJ47" s="113"/>
      <c r="AK47" s="76" t="s">
        <v>80</v>
      </c>
      <c r="AL47" s="77" t="s">
        <v>607</v>
      </c>
      <c r="AM47" s="71" t="s">
        <v>608</v>
      </c>
      <c r="AN47" s="98" t="s">
        <v>609</v>
      </c>
      <c r="AO47" s="71" t="s">
        <v>610</v>
      </c>
      <c r="AP47" s="99" t="str">
        <f>IMAGE("https://bellingcat-archive.nyc3.cdn.digitaloceanspaces.com/ukraine_witness_test/Worksheet/yotube_dl_SA0QmOg6Vu8/out5.jpg")</f>
        <v/>
      </c>
      <c r="AQ47" s="98" t="s">
        <v>611</v>
      </c>
      <c r="AR47" s="71" t="s">
        <v>612</v>
      </c>
      <c r="AS47" s="71" t="s">
        <v>613</v>
      </c>
      <c r="AT47" s="71">
        <v>1371.0</v>
      </c>
      <c r="AU47" s="79" t="s">
        <v>362</v>
      </c>
      <c r="AV47" s="80" t="s">
        <v>63</v>
      </c>
      <c r="AW47" s="81"/>
    </row>
    <row r="48" ht="15.75" customHeight="1">
      <c r="A48" s="95" t="s">
        <v>63</v>
      </c>
      <c r="B48" s="61"/>
      <c r="C48" s="57" t="s">
        <v>520</v>
      </c>
      <c r="D48" s="104">
        <v>52.475971</v>
      </c>
      <c r="E48" s="104">
        <v>30.934431</v>
      </c>
      <c r="F48" s="59">
        <v>1.0</v>
      </c>
      <c r="G48" s="84" t="s">
        <v>614</v>
      </c>
      <c r="H48" s="61" t="s">
        <v>66</v>
      </c>
      <c r="I48" s="82"/>
      <c r="J48" s="63" t="s">
        <v>406</v>
      </c>
      <c r="K48" s="64"/>
      <c r="L48" s="110" t="s">
        <v>69</v>
      </c>
      <c r="M48" s="92" t="s">
        <v>70</v>
      </c>
      <c r="N48" s="111"/>
      <c r="O48" s="92" t="s">
        <v>615</v>
      </c>
      <c r="P48" s="67" t="str">
        <f t="shared" si="1"/>
        <v>52.475971, 30.934431</v>
      </c>
      <c r="Q48" s="67" t="str">
        <f t="shared" si="2"/>
        <v>52.475733, 30.933869</v>
      </c>
      <c r="R48" s="67">
        <f t="shared" si="3"/>
        <v>52.475733</v>
      </c>
      <c r="S48" s="67">
        <f t="shared" si="4"/>
        <v>30.933869</v>
      </c>
      <c r="T48" s="71" t="s">
        <v>616</v>
      </c>
      <c r="U48" s="115"/>
      <c r="V48" s="65" t="s">
        <v>617</v>
      </c>
      <c r="W48" s="71" t="s">
        <v>74</v>
      </c>
      <c r="X48" s="72" t="s">
        <v>75</v>
      </c>
      <c r="Y48" s="61" t="s">
        <v>76</v>
      </c>
      <c r="Z48" s="73"/>
      <c r="AA48" s="61" t="s">
        <v>77</v>
      </c>
      <c r="AB48" s="61" t="s">
        <v>421</v>
      </c>
      <c r="AC48" s="73"/>
      <c r="AD48" s="73"/>
      <c r="AE48" s="73"/>
      <c r="AF48" s="73"/>
      <c r="AG48" s="73"/>
      <c r="AH48" s="73"/>
      <c r="AI48" s="71" t="s">
        <v>79</v>
      </c>
      <c r="AJ48" s="109"/>
      <c r="AK48" s="76" t="s">
        <v>80</v>
      </c>
      <c r="AL48" s="83" t="s">
        <v>618</v>
      </c>
      <c r="AM48" s="71" t="s">
        <v>619</v>
      </c>
      <c r="AN48" s="105" t="s">
        <v>620</v>
      </c>
      <c r="AO48" s="71" t="s">
        <v>621</v>
      </c>
      <c r="AP48" s="99" t="str">
        <f>IMAGE("https://bellingcat-archive.nyc3.cdn.digitaloceanspaces.com/ukraine_witness_test/Worksheet/tiktok_7056698808381541637/out2.jpg")</f>
        <v/>
      </c>
      <c r="AQ48" s="105" t="s">
        <v>622</v>
      </c>
      <c r="AR48" s="71" t="s">
        <v>623</v>
      </c>
      <c r="AS48" s="71" t="s">
        <v>624</v>
      </c>
      <c r="AT48" s="71">
        <v>18.0</v>
      </c>
      <c r="AU48" s="79" t="s">
        <v>63</v>
      </c>
      <c r="AV48" s="90"/>
      <c r="AW48" s="81"/>
    </row>
    <row r="49" ht="15.75" customHeight="1">
      <c r="A49" s="95" t="s">
        <v>63</v>
      </c>
      <c r="B49" s="85"/>
      <c r="C49" s="86" t="s">
        <v>520</v>
      </c>
      <c r="D49" s="58">
        <v>51.991183</v>
      </c>
      <c r="E49" s="58">
        <v>29.115142</v>
      </c>
      <c r="F49" s="59">
        <v>1.0</v>
      </c>
      <c r="G49" s="84" t="s">
        <v>625</v>
      </c>
      <c r="H49" s="61" t="s">
        <v>66</v>
      </c>
      <c r="I49" s="82"/>
      <c r="J49" s="63" t="s">
        <v>626</v>
      </c>
      <c r="K49" s="64"/>
      <c r="L49" s="110" t="s">
        <v>69</v>
      </c>
      <c r="M49" s="92" t="s">
        <v>70</v>
      </c>
      <c r="N49" s="111"/>
      <c r="O49" s="92" t="s">
        <v>627</v>
      </c>
      <c r="P49" s="67" t="str">
        <f t="shared" si="1"/>
        <v>51.991183, 29.115142</v>
      </c>
      <c r="Q49" s="67" t="str">
        <f t="shared" si="2"/>
        <v>51.990874, 29.1146</v>
      </c>
      <c r="R49" s="67">
        <f t="shared" si="3"/>
        <v>51.990874</v>
      </c>
      <c r="S49" s="67">
        <f t="shared" si="4"/>
        <v>29.1146</v>
      </c>
      <c r="T49" s="71" t="s">
        <v>628</v>
      </c>
      <c r="U49" s="108" t="s">
        <v>629</v>
      </c>
      <c r="V49" s="65" t="s">
        <v>630</v>
      </c>
      <c r="W49" s="71" t="s">
        <v>74</v>
      </c>
      <c r="X49" s="72" t="s">
        <v>75</v>
      </c>
      <c r="Y49" s="61" t="s">
        <v>76</v>
      </c>
      <c r="Z49" s="73"/>
      <c r="AA49" s="61" t="s">
        <v>553</v>
      </c>
      <c r="AB49" s="61" t="s">
        <v>78</v>
      </c>
      <c r="AC49" s="73"/>
      <c r="AD49" s="73"/>
      <c r="AE49" s="73"/>
      <c r="AF49" s="73"/>
      <c r="AG49" s="73"/>
      <c r="AH49" s="73"/>
      <c r="AI49" s="71" t="s">
        <v>631</v>
      </c>
      <c r="AJ49" s="116"/>
      <c r="AK49" s="76" t="s">
        <v>80</v>
      </c>
      <c r="AL49" s="83" t="s">
        <v>632</v>
      </c>
      <c r="AM49" s="71" t="s">
        <v>633</v>
      </c>
      <c r="AN49" s="105" t="s">
        <v>634</v>
      </c>
      <c r="AO49" s="71" t="s">
        <v>635</v>
      </c>
      <c r="AP49" s="99" t="str">
        <f>IMAGE("https://bellingcat-archive.nyc3.cdn.digitaloceanspaces.com/ukraine_witness_test/Worksheet/tiktok_7057074329506417925/out5.jpg")</f>
        <v/>
      </c>
      <c r="AQ49" s="105" t="s">
        <v>636</v>
      </c>
      <c r="AR49" s="99"/>
      <c r="AS49" s="71" t="s">
        <v>637</v>
      </c>
      <c r="AT49" s="71">
        <v>160.0</v>
      </c>
      <c r="AU49" s="79" t="s">
        <v>63</v>
      </c>
      <c r="AV49" s="80"/>
      <c r="AW49" s="81"/>
    </row>
    <row r="50" ht="15.75" customHeight="1">
      <c r="A50" s="87" t="s">
        <v>63</v>
      </c>
      <c r="B50" s="117"/>
      <c r="C50" s="118" t="s">
        <v>638</v>
      </c>
      <c r="D50" s="58">
        <v>45.053722</v>
      </c>
      <c r="E50" s="58">
        <v>41.916466</v>
      </c>
      <c r="F50" s="59">
        <v>1.0</v>
      </c>
      <c r="G50" s="84" t="s">
        <v>639</v>
      </c>
      <c r="H50" s="61" t="s">
        <v>66</v>
      </c>
      <c r="I50" s="82"/>
      <c r="J50" s="63" t="s">
        <v>406</v>
      </c>
      <c r="K50" s="88" t="s">
        <v>640</v>
      </c>
      <c r="L50" s="110" t="s">
        <v>79</v>
      </c>
      <c r="M50" s="92" t="s">
        <v>641</v>
      </c>
      <c r="N50" s="111"/>
      <c r="O50" s="92" t="s">
        <v>642</v>
      </c>
      <c r="P50" s="67" t="str">
        <f t="shared" si="1"/>
        <v>45.053722, 41.916466</v>
      </c>
      <c r="Q50" s="67" t="str">
        <f t="shared" si="2"/>
        <v>45.053448, 41.915882</v>
      </c>
      <c r="R50" s="67">
        <f t="shared" si="3"/>
        <v>45.053448</v>
      </c>
      <c r="S50" s="67">
        <f t="shared" si="4"/>
        <v>41.915882</v>
      </c>
      <c r="T50" s="71" t="s">
        <v>643</v>
      </c>
      <c r="U50" s="64" t="s">
        <v>644</v>
      </c>
      <c r="V50" s="65" t="s">
        <v>645</v>
      </c>
      <c r="W50" s="71" t="s">
        <v>74</v>
      </c>
      <c r="X50" s="72" t="s">
        <v>75</v>
      </c>
      <c r="Y50" s="61" t="s">
        <v>76</v>
      </c>
      <c r="Z50" s="73"/>
      <c r="AA50" s="61" t="s">
        <v>77</v>
      </c>
      <c r="AB50" s="61" t="s">
        <v>78</v>
      </c>
      <c r="AC50" s="73"/>
      <c r="AD50" s="73"/>
      <c r="AE50" s="73"/>
      <c r="AF50" s="73"/>
      <c r="AG50" s="73"/>
      <c r="AH50" s="73"/>
      <c r="AI50" s="71" t="s">
        <v>79</v>
      </c>
      <c r="AJ50" s="112"/>
      <c r="AK50" s="76" t="s">
        <v>80</v>
      </c>
      <c r="AL50" s="77" t="s">
        <v>646</v>
      </c>
      <c r="AM50" s="71" t="s">
        <v>647</v>
      </c>
      <c r="AN50" s="98" t="s">
        <v>648</v>
      </c>
      <c r="AO50" s="71" t="s">
        <v>649</v>
      </c>
      <c r="AP50" s="99" t="str">
        <f>IMAGE("https://bellingcat-archive.nyc3.cdn.digitaloceanspaces.com/ukraine_witness_test/Worksheet/yotube_dl_ohY2GBG7yk8/out5.jpg")</f>
        <v/>
      </c>
      <c r="AQ50" s="98" t="s">
        <v>650</v>
      </c>
      <c r="AR50" s="71" t="s">
        <v>651</v>
      </c>
      <c r="AS50" s="71" t="s">
        <v>652</v>
      </c>
      <c r="AT50" s="71">
        <v>186.0</v>
      </c>
      <c r="AU50" s="79" t="s">
        <v>362</v>
      </c>
      <c r="AV50" s="80" t="s">
        <v>63</v>
      </c>
      <c r="AW50" s="81"/>
    </row>
    <row r="51" ht="15.75" customHeight="1">
      <c r="A51" s="87" t="s">
        <v>63</v>
      </c>
      <c r="B51" s="61"/>
      <c r="C51" s="57" t="s">
        <v>520</v>
      </c>
      <c r="D51" s="58">
        <v>52.085241</v>
      </c>
      <c r="E51" s="58">
        <v>29.235666</v>
      </c>
      <c r="F51" s="59">
        <v>1.0</v>
      </c>
      <c r="G51" s="84" t="s">
        <v>653</v>
      </c>
      <c r="H51" s="61" t="s">
        <v>66</v>
      </c>
      <c r="I51" s="82"/>
      <c r="J51" s="63" t="s">
        <v>68</v>
      </c>
      <c r="K51" s="88" t="s">
        <v>654</v>
      </c>
      <c r="L51" s="110" t="s">
        <v>69</v>
      </c>
      <c r="M51" s="92" t="s">
        <v>70</v>
      </c>
      <c r="N51" s="92" t="s">
        <v>510</v>
      </c>
      <c r="O51" s="92" t="s">
        <v>510</v>
      </c>
      <c r="P51" s="67" t="str">
        <f t="shared" si="1"/>
        <v>52.085241, 29.235666</v>
      </c>
      <c r="Q51" s="67" t="str">
        <f t="shared" si="2"/>
        <v>52.0848, 29.236297</v>
      </c>
      <c r="R51" s="67">
        <f t="shared" si="3"/>
        <v>52.0848</v>
      </c>
      <c r="S51" s="67">
        <f t="shared" si="4"/>
        <v>29.236297</v>
      </c>
      <c r="T51" s="71" t="s">
        <v>655</v>
      </c>
      <c r="U51" s="115" t="s">
        <v>656</v>
      </c>
      <c r="V51" s="65" t="s">
        <v>657</v>
      </c>
      <c r="W51" s="71" t="s">
        <v>74</v>
      </c>
      <c r="X51" s="72" t="s">
        <v>75</v>
      </c>
      <c r="Y51" s="61" t="s">
        <v>76</v>
      </c>
      <c r="Z51" s="73"/>
      <c r="AA51" s="61" t="s">
        <v>77</v>
      </c>
      <c r="AB51" s="61" t="s">
        <v>78</v>
      </c>
      <c r="AC51" s="73"/>
      <c r="AD51" s="73"/>
      <c r="AE51" s="73"/>
      <c r="AF51" s="73"/>
      <c r="AG51" s="73"/>
      <c r="AH51" s="73"/>
      <c r="AI51" s="71" t="s">
        <v>658</v>
      </c>
      <c r="AJ51" s="119"/>
      <c r="AK51" s="76" t="s">
        <v>80</v>
      </c>
      <c r="AL51" s="77" t="s">
        <v>659</v>
      </c>
      <c r="AM51" s="71" t="s">
        <v>660</v>
      </c>
      <c r="AN51" s="98" t="s">
        <v>661</v>
      </c>
      <c r="AO51" s="71" t="s">
        <v>662</v>
      </c>
      <c r="AP51" s="99" t="str">
        <f>IMAGE("https://bellingcat-archive.nyc3.cdn.digitaloceanspaces.com/ukraine_witness_test/Worksheet/yotube_dl_1485721493199892485/out2.jpg")</f>
        <v/>
      </c>
      <c r="AQ51" s="98" t="s">
        <v>663</v>
      </c>
      <c r="AR51" s="71" t="s">
        <v>664</v>
      </c>
      <c r="AS51" s="71" t="s">
        <v>665</v>
      </c>
      <c r="AT51" s="71">
        <v>11.284</v>
      </c>
      <c r="AU51" s="79" t="s">
        <v>362</v>
      </c>
      <c r="AV51" s="80" t="s">
        <v>63</v>
      </c>
      <c r="AW51" s="81"/>
    </row>
    <row r="52" ht="15.75" customHeight="1">
      <c r="A52" s="87" t="s">
        <v>63</v>
      </c>
      <c r="B52" s="61"/>
      <c r="C52" s="57" t="s">
        <v>209</v>
      </c>
      <c r="D52" s="58">
        <v>52.350031</v>
      </c>
      <c r="E52" s="58">
        <v>30.404642</v>
      </c>
      <c r="F52" s="59">
        <v>1.0</v>
      </c>
      <c r="G52" s="84" t="s">
        <v>666</v>
      </c>
      <c r="H52" s="61" t="s">
        <v>66</v>
      </c>
      <c r="I52" s="82"/>
      <c r="J52" s="63" t="s">
        <v>68</v>
      </c>
      <c r="K52" s="88" t="s">
        <v>667</v>
      </c>
      <c r="L52" s="110" t="s">
        <v>69</v>
      </c>
      <c r="M52" s="92" t="s">
        <v>70</v>
      </c>
      <c r="N52" s="92" t="s">
        <v>71</v>
      </c>
      <c r="O52" s="92" t="s">
        <v>71</v>
      </c>
      <c r="P52" s="67" t="str">
        <f t="shared" si="1"/>
        <v>52.350031, 30.404642</v>
      </c>
      <c r="Q52" s="67" t="str">
        <f t="shared" si="2"/>
        <v>52.349926, 30.405889</v>
      </c>
      <c r="R52" s="67">
        <f t="shared" si="3"/>
        <v>52.349926</v>
      </c>
      <c r="S52" s="67">
        <f t="shared" si="4"/>
        <v>30.405889</v>
      </c>
      <c r="T52" s="71" t="s">
        <v>668</v>
      </c>
      <c r="U52" s="64" t="s">
        <v>669</v>
      </c>
      <c r="V52" s="65" t="s">
        <v>670</v>
      </c>
      <c r="W52" s="71" t="s">
        <v>74</v>
      </c>
      <c r="X52" s="72" t="s">
        <v>75</v>
      </c>
      <c r="Y52" s="61" t="s">
        <v>76</v>
      </c>
      <c r="Z52" s="73"/>
      <c r="AA52" s="61" t="s">
        <v>77</v>
      </c>
      <c r="AB52" s="61" t="s">
        <v>78</v>
      </c>
      <c r="AC52" s="73"/>
      <c r="AD52" s="73"/>
      <c r="AE52" s="73"/>
      <c r="AF52" s="73"/>
      <c r="AG52" s="73"/>
      <c r="AH52" s="73"/>
      <c r="AI52" s="61" t="s">
        <v>79</v>
      </c>
      <c r="AJ52" s="109"/>
      <c r="AK52" s="76" t="s">
        <v>80</v>
      </c>
      <c r="AL52" s="77" t="s">
        <v>671</v>
      </c>
      <c r="AM52" s="71" t="s">
        <v>647</v>
      </c>
      <c r="AN52" s="98" t="s">
        <v>672</v>
      </c>
      <c r="AO52" s="71" t="s">
        <v>673</v>
      </c>
      <c r="AP52" s="99" t="str">
        <f>IMAGE("https://bellingcat-archive.nyc3.cdn.digitaloceanspaces.com/ukraine_witness_test/Worksheet/yotube_dl_1485924749653983235/out2.jpg")</f>
        <v/>
      </c>
      <c r="AQ52" s="98" t="s">
        <v>674</v>
      </c>
      <c r="AR52" s="71" t="s">
        <v>675</v>
      </c>
      <c r="AS52" s="71" t="s">
        <v>676</v>
      </c>
      <c r="AT52" s="71">
        <v>24.427</v>
      </c>
      <c r="AU52" s="79" t="s">
        <v>362</v>
      </c>
      <c r="AV52" s="80" t="s">
        <v>63</v>
      </c>
      <c r="AW52" s="81"/>
    </row>
    <row r="53" ht="15.75" customHeight="1">
      <c r="A53" s="120" t="s">
        <v>63</v>
      </c>
      <c r="B53" s="61"/>
      <c r="C53" s="57"/>
      <c r="D53" s="121"/>
      <c r="E53" s="121"/>
      <c r="F53" s="59">
        <v>1.0</v>
      </c>
      <c r="G53" s="84" t="s">
        <v>677</v>
      </c>
      <c r="H53" s="61" t="s">
        <v>66</v>
      </c>
      <c r="I53" s="82"/>
      <c r="J53" s="63" t="s">
        <v>678</v>
      </c>
      <c r="K53" s="69"/>
      <c r="L53" s="110" t="s">
        <v>79</v>
      </c>
      <c r="M53" s="92"/>
      <c r="N53" s="111"/>
      <c r="O53" s="111"/>
      <c r="P53" s="67" t="str">
        <f t="shared" si="1"/>
        <v/>
      </c>
      <c r="Q53" s="67" t="str">
        <f t="shared" si="2"/>
        <v/>
      </c>
      <c r="R53" s="67" t="str">
        <f t="shared" si="3"/>
        <v/>
      </c>
      <c r="S53" s="67" t="str">
        <f t="shared" si="4"/>
        <v/>
      </c>
      <c r="T53" s="99"/>
      <c r="U53" s="64" t="s">
        <v>679</v>
      </c>
      <c r="V53" s="65" t="s">
        <v>680</v>
      </c>
      <c r="W53" s="71"/>
      <c r="X53" s="122"/>
      <c r="Y53" s="61" t="s">
        <v>76</v>
      </c>
      <c r="Z53" s="73"/>
      <c r="AA53" s="61" t="s">
        <v>77</v>
      </c>
      <c r="AB53" s="61" t="s">
        <v>681</v>
      </c>
      <c r="AC53" s="73"/>
      <c r="AD53" s="73"/>
      <c r="AE53" s="73"/>
      <c r="AF53" s="73"/>
      <c r="AG53" s="73"/>
      <c r="AH53" s="73"/>
      <c r="AI53" s="61" t="s">
        <v>79</v>
      </c>
      <c r="AJ53" s="109"/>
      <c r="AK53" s="76" t="s">
        <v>80</v>
      </c>
      <c r="AL53" s="77" t="s">
        <v>682</v>
      </c>
      <c r="AM53" s="71" t="s">
        <v>683</v>
      </c>
      <c r="AN53" s="98" t="s">
        <v>684</v>
      </c>
      <c r="AO53" s="71" t="s">
        <v>685</v>
      </c>
      <c r="AP53" s="99" t="str">
        <f>IMAGE("https://bellingcat-archive.nyc3.cdn.digitaloceanspaces.com/ukraine_witness_test/Worksheet/yotube_dl_1487647994296033283/out2.jpg")</f>
        <v/>
      </c>
      <c r="AQ53" s="98" t="s">
        <v>686</v>
      </c>
      <c r="AR53" s="71" t="s">
        <v>687</v>
      </c>
      <c r="AS53" s="71" t="s">
        <v>688</v>
      </c>
      <c r="AT53" s="71">
        <v>7.066</v>
      </c>
      <c r="AU53" s="89"/>
      <c r="AV53" s="90"/>
      <c r="AW53" s="81"/>
    </row>
    <row r="54" ht="15.75" customHeight="1">
      <c r="A54" s="120" t="s">
        <v>63</v>
      </c>
      <c r="B54" s="61"/>
      <c r="C54" s="57" t="s">
        <v>442</v>
      </c>
      <c r="D54" s="121"/>
      <c r="E54" s="121"/>
      <c r="F54" s="59">
        <v>1.0</v>
      </c>
      <c r="G54" s="84" t="s">
        <v>689</v>
      </c>
      <c r="H54" s="61" t="s">
        <v>66</v>
      </c>
      <c r="I54" s="82"/>
      <c r="J54" s="63" t="s">
        <v>690</v>
      </c>
      <c r="K54" s="69"/>
      <c r="L54" s="110" t="s">
        <v>79</v>
      </c>
      <c r="M54" s="92" t="s">
        <v>430</v>
      </c>
      <c r="N54" s="111"/>
      <c r="O54" s="111"/>
      <c r="P54" s="67" t="str">
        <f t="shared" si="1"/>
        <v/>
      </c>
      <c r="Q54" s="67" t="str">
        <f t="shared" si="2"/>
        <v/>
      </c>
      <c r="R54" s="67" t="str">
        <f t="shared" si="3"/>
        <v/>
      </c>
      <c r="S54" s="67" t="str">
        <f t="shared" si="4"/>
        <v/>
      </c>
      <c r="T54" s="99"/>
      <c r="U54" s="64" t="s">
        <v>691</v>
      </c>
      <c r="V54" s="65" t="s">
        <v>692</v>
      </c>
      <c r="W54" s="71"/>
      <c r="X54" s="122"/>
      <c r="Y54" s="61" t="s">
        <v>76</v>
      </c>
      <c r="Z54" s="73"/>
      <c r="AA54" s="61" t="s">
        <v>77</v>
      </c>
      <c r="AB54" s="61" t="s">
        <v>421</v>
      </c>
      <c r="AC54" s="73"/>
      <c r="AD54" s="73"/>
      <c r="AE54" s="73"/>
      <c r="AF54" s="73"/>
      <c r="AG54" s="73"/>
      <c r="AH54" s="73"/>
      <c r="AI54" s="61" t="s">
        <v>79</v>
      </c>
      <c r="AJ54" s="75"/>
      <c r="AK54" s="76" t="s">
        <v>80</v>
      </c>
      <c r="AL54" s="77" t="s">
        <v>693</v>
      </c>
      <c r="AM54" s="71" t="s">
        <v>694</v>
      </c>
      <c r="AN54" s="98" t="s">
        <v>695</v>
      </c>
      <c r="AO54" s="71" t="s">
        <v>696</v>
      </c>
      <c r="AP54" s="99" t="str">
        <f>IMAGE("https://bellingcat-archive.nyc3.cdn.digitaloceanspaces.com/ukraine_witness_test/Worksheet/yotube_dl_1487505180455227394/out2.jpg")</f>
        <v/>
      </c>
      <c r="AQ54" s="98" t="s">
        <v>697</v>
      </c>
      <c r="AR54" s="71" t="s">
        <v>530</v>
      </c>
      <c r="AS54" s="71" t="s">
        <v>698</v>
      </c>
      <c r="AT54" s="71">
        <v>27.166</v>
      </c>
      <c r="AU54" s="89"/>
      <c r="AV54" s="90"/>
      <c r="AW54" s="81"/>
    </row>
    <row r="55" ht="15.75" customHeight="1">
      <c r="A55" s="95" t="s">
        <v>63</v>
      </c>
      <c r="B55" s="61"/>
      <c r="C55" s="57" t="s">
        <v>699</v>
      </c>
      <c r="D55" s="58">
        <v>51.469283</v>
      </c>
      <c r="E55" s="58">
        <v>39.553725</v>
      </c>
      <c r="F55" s="59">
        <v>1.0</v>
      </c>
      <c r="G55" s="84" t="s">
        <v>700</v>
      </c>
      <c r="H55" s="61" t="s">
        <v>66</v>
      </c>
      <c r="I55" s="82"/>
      <c r="J55" s="63" t="s">
        <v>701</v>
      </c>
      <c r="K55" s="69"/>
      <c r="L55" s="110" t="s">
        <v>79</v>
      </c>
      <c r="M55" s="92" t="s">
        <v>563</v>
      </c>
      <c r="N55" s="111"/>
      <c r="O55" s="92" t="s">
        <v>702</v>
      </c>
      <c r="P55" s="67" t="str">
        <f t="shared" si="1"/>
        <v>51.469283, 39.553725</v>
      </c>
      <c r="Q55" s="67" t="str">
        <f t="shared" si="2"/>
        <v>51.469021, 39.554186</v>
      </c>
      <c r="R55" s="67">
        <f t="shared" si="3"/>
        <v>51.469021</v>
      </c>
      <c r="S55" s="67">
        <f t="shared" si="4"/>
        <v>39.554186</v>
      </c>
      <c r="T55" s="71" t="s">
        <v>703</v>
      </c>
      <c r="U55" s="64" t="s">
        <v>704</v>
      </c>
      <c r="V55" s="65" t="s">
        <v>705</v>
      </c>
      <c r="W55" s="71" t="s">
        <v>74</v>
      </c>
      <c r="X55" s="72" t="s">
        <v>75</v>
      </c>
      <c r="Y55" s="61" t="s">
        <v>76</v>
      </c>
      <c r="Z55" s="73"/>
      <c r="AA55" s="61" t="s">
        <v>77</v>
      </c>
      <c r="AB55" s="61" t="s">
        <v>706</v>
      </c>
      <c r="AC55" s="73"/>
      <c r="AD55" s="73"/>
      <c r="AE55" s="73"/>
      <c r="AF55" s="73"/>
      <c r="AG55" s="73"/>
      <c r="AH55" s="73"/>
      <c r="AI55" s="61" t="s">
        <v>79</v>
      </c>
      <c r="AJ55" s="75"/>
      <c r="AK55" s="76" t="s">
        <v>80</v>
      </c>
      <c r="AL55" s="77" t="s">
        <v>707</v>
      </c>
      <c r="AM55" s="71" t="s">
        <v>708</v>
      </c>
      <c r="AN55" s="98" t="s">
        <v>709</v>
      </c>
      <c r="AO55" s="71" t="s">
        <v>710</v>
      </c>
      <c r="AP55" s="99" t="str">
        <f>IMAGE("https://bellingcat-archive.nyc3.cdn.digitaloceanspaces.com/ukraine_witness_test/Worksheet/yotube_dl_1487773497346732036/out2.jpg")</f>
        <v/>
      </c>
      <c r="AQ55" s="98" t="s">
        <v>711</v>
      </c>
      <c r="AR55" s="71" t="s">
        <v>712</v>
      </c>
      <c r="AS55" s="71" t="s">
        <v>713</v>
      </c>
      <c r="AT55" s="71">
        <v>13.797</v>
      </c>
      <c r="AU55" s="79" t="s">
        <v>63</v>
      </c>
      <c r="AV55" s="90"/>
      <c r="AW55" s="81"/>
    </row>
    <row r="56" ht="15.75" customHeight="1">
      <c r="A56" s="95" t="s">
        <v>63</v>
      </c>
      <c r="B56" s="61"/>
      <c r="C56" s="57" t="s">
        <v>699</v>
      </c>
      <c r="D56" s="74">
        <v>57.145359</v>
      </c>
      <c r="E56" s="74">
        <v>65.522252</v>
      </c>
      <c r="F56" s="59">
        <v>1.0</v>
      </c>
      <c r="G56" s="84" t="s">
        <v>714</v>
      </c>
      <c r="H56" s="61" t="s">
        <v>66</v>
      </c>
      <c r="I56" s="82"/>
      <c r="J56" s="63" t="s">
        <v>68</v>
      </c>
      <c r="K56" s="69"/>
      <c r="L56" s="110" t="s">
        <v>79</v>
      </c>
      <c r="M56" s="92" t="s">
        <v>283</v>
      </c>
      <c r="N56" s="92" t="s">
        <v>284</v>
      </c>
      <c r="O56" s="92" t="s">
        <v>283</v>
      </c>
      <c r="P56" s="67" t="str">
        <f t="shared" si="1"/>
        <v>57.145359, 65.522252</v>
      </c>
      <c r="Q56" s="67" t="str">
        <f t="shared" si="2"/>
        <v>57.145321, 65.521239</v>
      </c>
      <c r="R56" s="67">
        <f t="shared" si="3"/>
        <v>57.145321</v>
      </c>
      <c r="S56" s="67">
        <f t="shared" si="4"/>
        <v>65.521239</v>
      </c>
      <c r="T56" s="107" t="s">
        <v>285</v>
      </c>
      <c r="U56" s="69"/>
      <c r="V56" s="65" t="s">
        <v>715</v>
      </c>
      <c r="W56" s="71" t="s">
        <v>74</v>
      </c>
      <c r="X56" s="72" t="s">
        <v>75</v>
      </c>
      <c r="Y56" s="61" t="s">
        <v>76</v>
      </c>
      <c r="Z56" s="73"/>
      <c r="AA56" s="61" t="s">
        <v>77</v>
      </c>
      <c r="AB56" s="61" t="s">
        <v>421</v>
      </c>
      <c r="AC56" s="73"/>
      <c r="AD56" s="73"/>
      <c r="AE56" s="73"/>
      <c r="AF56" s="73"/>
      <c r="AG56" s="73"/>
      <c r="AH56" s="73"/>
      <c r="AI56" s="61" t="s">
        <v>79</v>
      </c>
      <c r="AJ56" s="75"/>
      <c r="AK56" s="76" t="s">
        <v>80</v>
      </c>
      <c r="AL56" s="83" t="s">
        <v>716</v>
      </c>
      <c r="AM56" s="71" t="s">
        <v>717</v>
      </c>
      <c r="AN56" s="105" t="s">
        <v>718</v>
      </c>
      <c r="AO56" s="71" t="s">
        <v>719</v>
      </c>
      <c r="AP56" s="99" t="str">
        <f>IMAGE("https://bellingcat-archive.nyc3.cdn.digitaloceanspaces.com/ukraine_witness_test/Worksheet/tiktok_7058989146882247937/out3.jpg")</f>
        <v/>
      </c>
      <c r="AQ56" s="105" t="s">
        <v>720</v>
      </c>
      <c r="AR56" s="71" t="s">
        <v>721</v>
      </c>
      <c r="AS56" s="71" t="s">
        <v>722</v>
      </c>
      <c r="AT56" s="71">
        <v>62.0</v>
      </c>
      <c r="AU56" s="79" t="s">
        <v>63</v>
      </c>
      <c r="AV56" s="90"/>
      <c r="AW56" s="81"/>
    </row>
    <row r="57" ht="15.75" customHeight="1">
      <c r="A57" s="87" t="s">
        <v>170</v>
      </c>
      <c r="B57" s="61"/>
      <c r="C57" s="57" t="s">
        <v>699</v>
      </c>
      <c r="D57" s="74">
        <v>52.923684</v>
      </c>
      <c r="E57" s="74">
        <v>36.081506</v>
      </c>
      <c r="F57" s="59">
        <v>1.0</v>
      </c>
      <c r="G57" s="84" t="s">
        <v>723</v>
      </c>
      <c r="H57" s="61" t="s">
        <v>66</v>
      </c>
      <c r="I57" s="82"/>
      <c r="J57" s="63" t="s">
        <v>68</v>
      </c>
      <c r="K57" s="88" t="s">
        <v>724</v>
      </c>
      <c r="L57" s="110" t="s">
        <v>79</v>
      </c>
      <c r="M57" s="92" t="s">
        <v>534</v>
      </c>
      <c r="N57" s="92" t="s">
        <v>534</v>
      </c>
      <c r="O57" s="92" t="s">
        <v>534</v>
      </c>
      <c r="P57" s="67" t="str">
        <f t="shared" si="1"/>
        <v>52.923684, 36.081506</v>
      </c>
      <c r="Q57" s="67" t="str">
        <f t="shared" si="2"/>
        <v>52.923203, 36.081552</v>
      </c>
      <c r="R57" s="67">
        <f t="shared" si="3"/>
        <v>52.923203</v>
      </c>
      <c r="S57" s="67">
        <f t="shared" si="4"/>
        <v>36.081552</v>
      </c>
      <c r="T57" s="71" t="s">
        <v>725</v>
      </c>
      <c r="U57" s="69"/>
      <c r="V57" s="65" t="s">
        <v>726</v>
      </c>
      <c r="W57" s="71" t="s">
        <v>74</v>
      </c>
      <c r="X57" s="72" t="s">
        <v>75</v>
      </c>
      <c r="Y57" s="61" t="s">
        <v>76</v>
      </c>
      <c r="Z57" s="73"/>
      <c r="AA57" s="61" t="s">
        <v>77</v>
      </c>
      <c r="AB57" s="61" t="s">
        <v>421</v>
      </c>
      <c r="AC57" s="73"/>
      <c r="AD57" s="73"/>
      <c r="AE57" s="73"/>
      <c r="AF57" s="73"/>
      <c r="AG57" s="73"/>
      <c r="AH57" s="73"/>
      <c r="AI57" s="61" t="s">
        <v>79</v>
      </c>
      <c r="AJ57" s="75"/>
      <c r="AK57" s="76" t="s">
        <v>80</v>
      </c>
      <c r="AL57" s="77" t="s">
        <v>727</v>
      </c>
      <c r="AM57" s="71" t="s">
        <v>728</v>
      </c>
      <c r="AN57" s="98" t="s">
        <v>729</v>
      </c>
      <c r="AO57" s="71" t="s">
        <v>730</v>
      </c>
      <c r="AP57" s="99" t="str">
        <f>IMAGE("https://bellingcat-archive.nyc3.cdn.digitaloceanspaces.com/ukraine_witness_test/Worksheet/yotube_dl_1487873819826139143/out2.jpg")</f>
        <v/>
      </c>
      <c r="AQ57" s="98" t="s">
        <v>731</v>
      </c>
      <c r="AR57" s="71" t="s">
        <v>732</v>
      </c>
      <c r="AS57" s="71" t="s">
        <v>733</v>
      </c>
      <c r="AT57" s="71">
        <v>34.833</v>
      </c>
      <c r="AU57" s="79" t="s">
        <v>362</v>
      </c>
      <c r="AV57" s="80" t="s">
        <v>183</v>
      </c>
      <c r="AW57" s="81"/>
    </row>
    <row r="58" ht="15.75" customHeight="1">
      <c r="A58" s="87" t="s">
        <v>170</v>
      </c>
      <c r="B58" s="61"/>
      <c r="C58" s="57" t="s">
        <v>699</v>
      </c>
      <c r="D58" s="74">
        <v>52.140611</v>
      </c>
      <c r="E58" s="74">
        <v>29.342333</v>
      </c>
      <c r="F58" s="59">
        <v>1.0</v>
      </c>
      <c r="G58" s="60" t="s">
        <v>734</v>
      </c>
      <c r="H58" s="61" t="s">
        <v>66</v>
      </c>
      <c r="I58" s="82"/>
      <c r="J58" s="63" t="s">
        <v>68</v>
      </c>
      <c r="K58" s="88" t="s">
        <v>735</v>
      </c>
      <c r="L58" s="110" t="s">
        <v>69</v>
      </c>
      <c r="M58" s="92" t="s">
        <v>70</v>
      </c>
      <c r="N58" s="111"/>
      <c r="O58" s="92" t="s">
        <v>736</v>
      </c>
      <c r="P58" s="67" t="str">
        <f t="shared" si="1"/>
        <v>52.140611, 29.342333</v>
      </c>
      <c r="Q58" s="67" t="str">
        <f t="shared" si="2"/>
        <v>52.140183, 29.342245</v>
      </c>
      <c r="R58" s="67">
        <f t="shared" si="3"/>
        <v>52.140183</v>
      </c>
      <c r="S58" s="67">
        <f t="shared" si="4"/>
        <v>29.342245</v>
      </c>
      <c r="T58" s="71" t="s">
        <v>737</v>
      </c>
      <c r="U58" s="69"/>
      <c r="V58" s="65" t="s">
        <v>738</v>
      </c>
      <c r="W58" s="71" t="s">
        <v>74</v>
      </c>
      <c r="X58" s="72" t="s">
        <v>75</v>
      </c>
      <c r="Y58" s="61" t="s">
        <v>76</v>
      </c>
      <c r="Z58" s="73"/>
      <c r="AA58" s="61" t="s">
        <v>77</v>
      </c>
      <c r="AB58" s="61" t="s">
        <v>739</v>
      </c>
      <c r="AC58" s="73"/>
      <c r="AD58" s="73"/>
      <c r="AE58" s="73"/>
      <c r="AF58" s="73"/>
      <c r="AG58" s="73"/>
      <c r="AH58" s="73"/>
      <c r="AI58" s="61" t="s">
        <v>79</v>
      </c>
      <c r="AJ58" s="75"/>
      <c r="AK58" s="76" t="s">
        <v>80</v>
      </c>
      <c r="AL58" s="77" t="s">
        <v>740</v>
      </c>
      <c r="AM58" s="71" t="s">
        <v>741</v>
      </c>
      <c r="AN58" s="98" t="s">
        <v>742</v>
      </c>
      <c r="AO58" s="71" t="s">
        <v>743</v>
      </c>
      <c r="AP58" s="99" t="str">
        <f>IMAGE("https://bellingcat-archive.nyc3.cdn.digitaloceanspaces.com/ukraine_witness_test/Worksheet/yotube_dl_1487871906216914946/out3.jpg")</f>
        <v/>
      </c>
      <c r="AQ58" s="98" t="s">
        <v>744</v>
      </c>
      <c r="AR58" s="71" t="s">
        <v>344</v>
      </c>
      <c r="AS58" s="71" t="s">
        <v>745</v>
      </c>
      <c r="AT58" s="71">
        <v>83.766</v>
      </c>
      <c r="AU58" s="79" t="s">
        <v>362</v>
      </c>
      <c r="AV58" s="80" t="s">
        <v>183</v>
      </c>
      <c r="AW58" s="81"/>
    </row>
    <row r="59" ht="15.75" customHeight="1">
      <c r="A59" s="87" t="s">
        <v>170</v>
      </c>
      <c r="B59" s="61"/>
      <c r="C59" s="57" t="s">
        <v>442</v>
      </c>
      <c r="D59" s="74">
        <v>52.429701</v>
      </c>
      <c r="E59" s="74">
        <v>30.991176</v>
      </c>
      <c r="F59" s="59">
        <v>1.0</v>
      </c>
      <c r="G59" s="84" t="s">
        <v>746</v>
      </c>
      <c r="H59" s="61" t="s">
        <v>66</v>
      </c>
      <c r="I59" s="82"/>
      <c r="J59" s="63" t="s">
        <v>68</v>
      </c>
      <c r="K59" s="64"/>
      <c r="L59" s="110" t="s">
        <v>69</v>
      </c>
      <c r="M59" s="92" t="s">
        <v>70</v>
      </c>
      <c r="N59" s="92" t="s">
        <v>70</v>
      </c>
      <c r="O59" s="92" t="s">
        <v>70</v>
      </c>
      <c r="P59" s="67" t="str">
        <f t="shared" si="1"/>
        <v>52.429701, 30.991176</v>
      </c>
      <c r="Q59" s="67" t="str">
        <f t="shared" si="2"/>
        <v>52.429539, 30.991788</v>
      </c>
      <c r="R59" s="67">
        <f t="shared" si="3"/>
        <v>52.429539</v>
      </c>
      <c r="S59" s="67">
        <f t="shared" si="4"/>
        <v>30.991788</v>
      </c>
      <c r="T59" s="71" t="s">
        <v>747</v>
      </c>
      <c r="U59" s="69"/>
      <c r="V59" s="65" t="s">
        <v>748</v>
      </c>
      <c r="W59" s="71" t="s">
        <v>74</v>
      </c>
      <c r="X59" s="72" t="s">
        <v>75</v>
      </c>
      <c r="Y59" s="61" t="s">
        <v>76</v>
      </c>
      <c r="Z59" s="73"/>
      <c r="AA59" s="61" t="s">
        <v>77</v>
      </c>
      <c r="AB59" s="61" t="s">
        <v>739</v>
      </c>
      <c r="AC59" s="73"/>
      <c r="AD59" s="73"/>
      <c r="AE59" s="73"/>
      <c r="AF59" s="73"/>
      <c r="AG59" s="73"/>
      <c r="AH59" s="73"/>
      <c r="AI59" s="61" t="s">
        <v>79</v>
      </c>
      <c r="AJ59" s="75"/>
      <c r="AK59" s="76" t="s">
        <v>80</v>
      </c>
      <c r="AL59" s="77" t="s">
        <v>749</v>
      </c>
      <c r="AM59" s="71" t="s">
        <v>750</v>
      </c>
      <c r="AN59" s="98" t="s">
        <v>751</v>
      </c>
      <c r="AO59" s="71" t="s">
        <v>752</v>
      </c>
      <c r="AP59" s="99" t="str">
        <f>IMAGE("https://bellingcat-archive.nyc3.cdn.digitaloceanspaces.com/ukraine_witness_test/Worksheet/yotube_dl_1487842167053852674/out2.jpg")</f>
        <v/>
      </c>
      <c r="AQ59" s="98" t="s">
        <v>753</v>
      </c>
      <c r="AR59" s="71" t="s">
        <v>754</v>
      </c>
      <c r="AS59" s="71" t="s">
        <v>755</v>
      </c>
      <c r="AT59" s="71">
        <v>11.679</v>
      </c>
      <c r="AU59" s="89"/>
      <c r="AV59" s="90"/>
      <c r="AW59" s="81"/>
    </row>
    <row r="60" ht="15.75" customHeight="1">
      <c r="A60" s="87" t="s">
        <v>170</v>
      </c>
      <c r="B60" s="61"/>
      <c r="C60" s="57" t="s">
        <v>442</v>
      </c>
      <c r="D60" s="74">
        <v>51.81575</v>
      </c>
      <c r="E60" s="74">
        <v>29.150833</v>
      </c>
      <c r="F60" s="59">
        <v>1.0</v>
      </c>
      <c r="G60" s="84" t="s">
        <v>756</v>
      </c>
      <c r="H60" s="61" t="s">
        <v>66</v>
      </c>
      <c r="I60" s="82"/>
      <c r="J60" s="63" t="s">
        <v>68</v>
      </c>
      <c r="K60" s="88" t="s">
        <v>757</v>
      </c>
      <c r="L60" s="110" t="s">
        <v>69</v>
      </c>
      <c r="M60" s="92" t="s">
        <v>70</v>
      </c>
      <c r="N60" s="111"/>
      <c r="O60" s="92" t="s">
        <v>758</v>
      </c>
      <c r="P60" s="67" t="str">
        <f t="shared" si="1"/>
        <v>51.81575, 29.150833</v>
      </c>
      <c r="Q60" s="67" t="str">
        <f t="shared" si="2"/>
        <v>51.815313, 29.151559</v>
      </c>
      <c r="R60" s="67">
        <f t="shared" si="3"/>
        <v>51.815313</v>
      </c>
      <c r="S60" s="67">
        <f t="shared" si="4"/>
        <v>29.151559</v>
      </c>
      <c r="T60" s="71" t="s">
        <v>759</v>
      </c>
      <c r="U60" s="69"/>
      <c r="V60" s="65" t="s">
        <v>760</v>
      </c>
      <c r="W60" s="71" t="s">
        <v>74</v>
      </c>
      <c r="X60" s="72" t="s">
        <v>75</v>
      </c>
      <c r="Y60" s="61" t="s">
        <v>76</v>
      </c>
      <c r="Z60" s="73"/>
      <c r="AA60" s="61" t="s">
        <v>77</v>
      </c>
      <c r="AB60" s="61" t="s">
        <v>761</v>
      </c>
      <c r="AC60" s="73"/>
      <c r="AD60" s="73"/>
      <c r="AE60" s="73"/>
      <c r="AF60" s="73"/>
      <c r="AG60" s="73"/>
      <c r="AH60" s="73"/>
      <c r="AI60" s="61" t="s">
        <v>79</v>
      </c>
      <c r="AJ60" s="75"/>
      <c r="AK60" s="76" t="s">
        <v>80</v>
      </c>
      <c r="AL60" s="77" t="s">
        <v>762</v>
      </c>
      <c r="AM60" s="71" t="s">
        <v>763</v>
      </c>
      <c r="AN60" s="98" t="s">
        <v>764</v>
      </c>
      <c r="AO60" s="71" t="s">
        <v>765</v>
      </c>
      <c r="AP60" s="99" t="str">
        <f>IMAGE("https://bellingcat-archive.nyc3.cdn.digitaloceanspaces.com/ukraine_witness_test/Worksheet/yotube_dl_1487778133168304129/out5.jpg")</f>
        <v/>
      </c>
      <c r="AQ60" s="98" t="s">
        <v>766</v>
      </c>
      <c r="AR60" s="71" t="s">
        <v>767</v>
      </c>
      <c r="AS60" s="71" t="s">
        <v>768</v>
      </c>
      <c r="AT60" s="71">
        <v>140.006</v>
      </c>
      <c r="AU60" s="89"/>
      <c r="AV60" s="90"/>
      <c r="AW60" s="81"/>
    </row>
    <row r="61" ht="15.75" customHeight="1">
      <c r="A61" s="87" t="s">
        <v>170</v>
      </c>
      <c r="B61" s="61"/>
      <c r="C61" s="57" t="s">
        <v>769</v>
      </c>
      <c r="D61" s="123">
        <v>53.2156881814655</v>
      </c>
      <c r="E61" s="123">
        <v>34.596825219732</v>
      </c>
      <c r="F61" s="59">
        <v>1.0</v>
      </c>
      <c r="G61" s="84" t="s">
        <v>770</v>
      </c>
      <c r="H61" s="61" t="s">
        <v>66</v>
      </c>
      <c r="I61" s="82"/>
      <c r="J61" s="63" t="s">
        <v>68</v>
      </c>
      <c r="K61" s="88" t="s">
        <v>771</v>
      </c>
      <c r="L61" s="110" t="s">
        <v>79</v>
      </c>
      <c r="M61" s="92" t="s">
        <v>772</v>
      </c>
      <c r="N61" s="111"/>
      <c r="O61" s="92" t="s">
        <v>240</v>
      </c>
      <c r="P61" s="67" t="str">
        <f t="shared" si="1"/>
        <v>53.2156881814655, 34.596825219732</v>
      </c>
      <c r="Q61" s="67" t="str">
        <f t="shared" si="2"/>
        <v>53.215602, 34.596223</v>
      </c>
      <c r="R61" s="67">
        <f t="shared" si="3"/>
        <v>53.215602</v>
      </c>
      <c r="S61" s="67">
        <f t="shared" si="4"/>
        <v>34.596223</v>
      </c>
      <c r="T61" s="71" t="s">
        <v>773</v>
      </c>
      <c r="U61" s="69"/>
      <c r="V61" s="65" t="s">
        <v>774</v>
      </c>
      <c r="W61" s="71" t="s">
        <v>74</v>
      </c>
      <c r="X61" s="72" t="s">
        <v>75</v>
      </c>
      <c r="Y61" s="61" t="s">
        <v>76</v>
      </c>
      <c r="Z61" s="73"/>
      <c r="AA61" s="61" t="s">
        <v>77</v>
      </c>
      <c r="AB61" s="61" t="s">
        <v>78</v>
      </c>
      <c r="AC61" s="73"/>
      <c r="AD61" s="73"/>
      <c r="AE61" s="73"/>
      <c r="AF61" s="73"/>
      <c r="AG61" s="73"/>
      <c r="AH61" s="73"/>
      <c r="AI61" s="61" t="s">
        <v>79</v>
      </c>
      <c r="AJ61" s="75"/>
      <c r="AK61" s="76" t="s">
        <v>80</v>
      </c>
      <c r="AL61" s="77" t="s">
        <v>775</v>
      </c>
      <c r="AM61" s="71" t="s">
        <v>776</v>
      </c>
      <c r="AN61" s="98" t="s">
        <v>777</v>
      </c>
      <c r="AO61" s="71" t="s">
        <v>778</v>
      </c>
      <c r="AP61" s="99" t="str">
        <f>IMAGE("https://bellingcat-archive.nyc3.cdn.digitaloceanspaces.com/ukraine_witness_test/Worksheet/yotube_dl_1488028300941434881/out2.jpg")</f>
        <v/>
      </c>
      <c r="AQ61" s="98" t="s">
        <v>779</v>
      </c>
      <c r="AR61" s="71" t="s">
        <v>780</v>
      </c>
      <c r="AS61" s="71" t="s">
        <v>781</v>
      </c>
      <c r="AT61" s="71">
        <v>28.5</v>
      </c>
      <c r="AU61" s="89"/>
      <c r="AV61" s="90"/>
      <c r="AW61" s="81"/>
    </row>
    <row r="62" ht="15.75" customHeight="1">
      <c r="A62" s="120" t="s">
        <v>170</v>
      </c>
      <c r="B62" s="61"/>
      <c r="C62" s="57" t="s">
        <v>404</v>
      </c>
      <c r="D62" s="124">
        <v>52.2555</v>
      </c>
      <c r="E62" s="124">
        <v>29.82685</v>
      </c>
      <c r="F62" s="59">
        <v>1.0</v>
      </c>
      <c r="G62" s="84" t="s">
        <v>782</v>
      </c>
      <c r="H62" s="61" t="s">
        <v>66</v>
      </c>
      <c r="I62" s="82"/>
      <c r="J62" s="63" t="s">
        <v>68</v>
      </c>
      <c r="K62" s="69"/>
      <c r="L62" s="110" t="s">
        <v>69</v>
      </c>
      <c r="M62" s="92" t="s">
        <v>70</v>
      </c>
      <c r="N62" s="92" t="s">
        <v>71</v>
      </c>
      <c r="O62" s="92" t="s">
        <v>783</v>
      </c>
      <c r="P62" s="67" t="str">
        <f t="shared" si="1"/>
        <v>52.2555, 29.82685</v>
      </c>
      <c r="Q62" s="67" t="str">
        <f t="shared" si="2"/>
        <v>52.255001, 29.827573</v>
      </c>
      <c r="R62" s="67">
        <f t="shared" si="3"/>
        <v>52.255001</v>
      </c>
      <c r="S62" s="67">
        <f t="shared" si="4"/>
        <v>29.827573</v>
      </c>
      <c r="T62" s="71" t="s">
        <v>784</v>
      </c>
      <c r="U62" s="69"/>
      <c r="V62" s="65" t="s">
        <v>785</v>
      </c>
      <c r="W62" s="71" t="s">
        <v>74</v>
      </c>
      <c r="X62" s="72" t="s">
        <v>75</v>
      </c>
      <c r="Y62" s="61" t="s">
        <v>76</v>
      </c>
      <c r="Z62" s="73"/>
      <c r="AA62" s="61" t="s">
        <v>77</v>
      </c>
      <c r="AB62" s="61" t="s">
        <v>78</v>
      </c>
      <c r="AC62" s="73"/>
      <c r="AD62" s="73"/>
      <c r="AE62" s="73"/>
      <c r="AF62" s="73"/>
      <c r="AG62" s="73"/>
      <c r="AH62" s="73"/>
      <c r="AI62" s="61" t="s">
        <v>79</v>
      </c>
      <c r="AJ62" s="75"/>
      <c r="AK62" s="76" t="s">
        <v>80</v>
      </c>
      <c r="AL62" s="77" t="s">
        <v>786</v>
      </c>
      <c r="AM62" s="71" t="s">
        <v>787</v>
      </c>
      <c r="AN62" s="98" t="s">
        <v>788</v>
      </c>
      <c r="AO62" s="71" t="s">
        <v>789</v>
      </c>
      <c r="AP62" s="99" t="str">
        <f>IMAGE("https://bellingcat-archive.nyc3.cdn.digitaloceanspaces.com/ukraine_witness_test/Worksheet/yotube_dl_1487855713212850185/out2.jpg")</f>
        <v/>
      </c>
      <c r="AQ62" s="98" t="s">
        <v>790</v>
      </c>
      <c r="AR62" s="71" t="s">
        <v>791</v>
      </c>
      <c r="AS62" s="71" t="s">
        <v>792</v>
      </c>
      <c r="AT62" s="71">
        <v>18.8</v>
      </c>
      <c r="AU62" s="89"/>
      <c r="AV62" s="90"/>
      <c r="AW62" s="81"/>
    </row>
    <row r="63" ht="15.75" customHeight="1">
      <c r="A63" s="120" t="s">
        <v>170</v>
      </c>
      <c r="B63" s="61"/>
      <c r="C63" s="57" t="s">
        <v>769</v>
      </c>
      <c r="D63" s="124">
        <v>57.601075</v>
      </c>
      <c r="E63" s="124">
        <v>39.868975</v>
      </c>
      <c r="F63" s="59">
        <v>1.0</v>
      </c>
      <c r="G63" s="84" t="s">
        <v>793</v>
      </c>
      <c r="H63" s="61" t="s">
        <v>66</v>
      </c>
      <c r="I63" s="82"/>
      <c r="J63" s="63" t="s">
        <v>68</v>
      </c>
      <c r="K63" s="64"/>
      <c r="L63" s="110" t="s">
        <v>79</v>
      </c>
      <c r="M63" s="92" t="s">
        <v>794</v>
      </c>
      <c r="N63" s="111"/>
      <c r="O63" s="92" t="s">
        <v>795</v>
      </c>
      <c r="P63" s="67" t="str">
        <f t="shared" si="1"/>
        <v>57.601075, 39.868975</v>
      </c>
      <c r="Q63" s="67" t="str">
        <f t="shared" si="2"/>
        <v>57.600759, 39.869696</v>
      </c>
      <c r="R63" s="67">
        <f t="shared" si="3"/>
        <v>57.600759</v>
      </c>
      <c r="S63" s="67">
        <f t="shared" si="4"/>
        <v>39.869696</v>
      </c>
      <c r="T63" s="71" t="s">
        <v>796</v>
      </c>
      <c r="U63" s="69"/>
      <c r="V63" s="65" t="s">
        <v>797</v>
      </c>
      <c r="W63" s="71" t="s">
        <v>74</v>
      </c>
      <c r="X63" s="72" t="s">
        <v>75</v>
      </c>
      <c r="Y63" s="61" t="s">
        <v>76</v>
      </c>
      <c r="Z63" s="73"/>
      <c r="AA63" s="61" t="s">
        <v>77</v>
      </c>
      <c r="AB63" s="61" t="s">
        <v>78</v>
      </c>
      <c r="AC63" s="73"/>
      <c r="AD63" s="73"/>
      <c r="AE63" s="73"/>
      <c r="AF63" s="73"/>
      <c r="AG63" s="73"/>
      <c r="AH63" s="73"/>
      <c r="AI63" s="61" t="s">
        <v>79</v>
      </c>
      <c r="AJ63" s="75"/>
      <c r="AK63" s="76" t="s">
        <v>798</v>
      </c>
      <c r="AL63" s="77" t="s">
        <v>799</v>
      </c>
      <c r="AM63" s="71" t="s">
        <v>800</v>
      </c>
      <c r="AN63" s="98" t="s">
        <v>801</v>
      </c>
      <c r="AO63" s="71" t="s">
        <v>802</v>
      </c>
      <c r="AP63" s="99" t="str">
        <f>IMAGE("https://bellingcat-archive.nyc3.cdn.digitaloceanspaces.com/ukraine_witness_test/Worksheet/yotube_dl_1488104475051147265/out2.jpg")</f>
        <v/>
      </c>
      <c r="AQ63" s="98" t="s">
        <v>803</v>
      </c>
      <c r="AR63" s="71" t="s">
        <v>804</v>
      </c>
      <c r="AS63" s="71" t="s">
        <v>805</v>
      </c>
      <c r="AT63" s="71">
        <v>7.574</v>
      </c>
      <c r="AU63" s="89"/>
      <c r="AV63" s="90"/>
      <c r="AW63" s="81"/>
    </row>
    <row r="64" ht="15.75" customHeight="1">
      <c r="A64" s="95" t="s">
        <v>170</v>
      </c>
      <c r="B64" s="61"/>
      <c r="C64" s="57" t="s">
        <v>769</v>
      </c>
      <c r="D64" s="74">
        <v>42.987378</v>
      </c>
      <c r="E64" s="74">
        <v>47.504169</v>
      </c>
      <c r="F64" s="59">
        <v>1.0</v>
      </c>
      <c r="G64" s="84" t="s">
        <v>806</v>
      </c>
      <c r="H64" s="61" t="s">
        <v>66</v>
      </c>
      <c r="I64" s="82"/>
      <c r="J64" s="63" t="s">
        <v>807</v>
      </c>
      <c r="K64" s="64"/>
      <c r="L64" s="110" t="s">
        <v>79</v>
      </c>
      <c r="M64" s="92" t="s">
        <v>808</v>
      </c>
      <c r="N64" s="111"/>
      <c r="O64" s="92" t="s">
        <v>212</v>
      </c>
      <c r="P64" s="67" t="str">
        <f t="shared" si="1"/>
        <v>42.987378, 47.504169</v>
      </c>
      <c r="Q64" s="67" t="str">
        <f t="shared" si="2"/>
        <v>42.986743, 47.503811</v>
      </c>
      <c r="R64" s="67">
        <f t="shared" si="3"/>
        <v>42.986743</v>
      </c>
      <c r="S64" s="67">
        <f t="shared" si="4"/>
        <v>47.503811</v>
      </c>
      <c r="T64" s="71" t="s">
        <v>809</v>
      </c>
      <c r="U64" s="69"/>
      <c r="V64" s="65" t="s">
        <v>810</v>
      </c>
      <c r="W64" s="71" t="s">
        <v>74</v>
      </c>
      <c r="X64" s="72" t="s">
        <v>75</v>
      </c>
      <c r="Y64" s="61" t="s">
        <v>76</v>
      </c>
      <c r="Z64" s="73"/>
      <c r="AA64" s="61" t="s">
        <v>811</v>
      </c>
      <c r="AB64" s="61" t="s">
        <v>812</v>
      </c>
      <c r="AC64" s="73"/>
      <c r="AD64" s="73"/>
      <c r="AE64" s="73"/>
      <c r="AF64" s="73"/>
      <c r="AG64" s="73"/>
      <c r="AH64" s="73"/>
      <c r="AI64" s="61" t="s">
        <v>79</v>
      </c>
      <c r="AJ64" s="75"/>
      <c r="AK64" s="76" t="s">
        <v>798</v>
      </c>
      <c r="AL64" s="77" t="s">
        <v>813</v>
      </c>
      <c r="AM64" s="71" t="s">
        <v>814</v>
      </c>
      <c r="AN64" s="98" t="s">
        <v>815</v>
      </c>
      <c r="AO64" s="71" t="s">
        <v>816</v>
      </c>
      <c r="AP64" s="99" t="str">
        <f>IMAGE("https://bellingcat-archive.nyc3.cdn.digitaloceanspaces.com/ukraine_witness_test/Worksheet/yotube_dl_1488115563754885122/out2.jpg")</f>
        <v/>
      </c>
      <c r="AQ64" s="98" t="s">
        <v>817</v>
      </c>
      <c r="AR64" s="71" t="s">
        <v>220</v>
      </c>
      <c r="AS64" s="71" t="s">
        <v>818</v>
      </c>
      <c r="AT64" s="71">
        <v>24.219</v>
      </c>
      <c r="AU64" s="79" t="s">
        <v>183</v>
      </c>
      <c r="AV64" s="80" t="s">
        <v>63</v>
      </c>
      <c r="AW64" s="81"/>
    </row>
    <row r="65" ht="15.75" customHeight="1">
      <c r="A65" s="87" t="s">
        <v>170</v>
      </c>
      <c r="B65" s="61"/>
      <c r="C65" s="57" t="s">
        <v>769</v>
      </c>
      <c r="D65" s="74">
        <v>57.607466</v>
      </c>
      <c r="E65" s="74">
        <v>39.848765</v>
      </c>
      <c r="F65" s="59">
        <v>1.0</v>
      </c>
      <c r="G65" s="84" t="s">
        <v>819</v>
      </c>
      <c r="H65" s="61" t="s">
        <v>66</v>
      </c>
      <c r="I65" s="82"/>
      <c r="J65" s="63" t="s">
        <v>68</v>
      </c>
      <c r="K65" s="88" t="s">
        <v>820</v>
      </c>
      <c r="L65" s="110" t="s">
        <v>79</v>
      </c>
      <c r="M65" s="92" t="s">
        <v>794</v>
      </c>
      <c r="N65" s="111"/>
      <c r="O65" s="92" t="s">
        <v>795</v>
      </c>
      <c r="P65" s="67" t="str">
        <f t="shared" si="1"/>
        <v>57.607466, 39.848765</v>
      </c>
      <c r="Q65" s="67" t="str">
        <f t="shared" si="2"/>
        <v>57.606941, 39.849302</v>
      </c>
      <c r="R65" s="67">
        <f t="shared" si="3"/>
        <v>57.606941</v>
      </c>
      <c r="S65" s="67">
        <f t="shared" si="4"/>
        <v>39.849302</v>
      </c>
      <c r="T65" s="71" t="s">
        <v>821</v>
      </c>
      <c r="U65" s="69"/>
      <c r="V65" s="65" t="s">
        <v>822</v>
      </c>
      <c r="W65" s="71" t="s">
        <v>74</v>
      </c>
      <c r="X65" s="72" t="s">
        <v>75</v>
      </c>
      <c r="Y65" s="61" t="s">
        <v>76</v>
      </c>
      <c r="Z65" s="73"/>
      <c r="AA65" s="61" t="s">
        <v>77</v>
      </c>
      <c r="AB65" s="61" t="s">
        <v>78</v>
      </c>
      <c r="AC65" s="73"/>
      <c r="AD65" s="73"/>
      <c r="AE65" s="73"/>
      <c r="AF65" s="73"/>
      <c r="AG65" s="73"/>
      <c r="AH65" s="73"/>
      <c r="AI65" s="61" t="s">
        <v>79</v>
      </c>
      <c r="AJ65" s="75"/>
      <c r="AK65" s="76" t="s">
        <v>798</v>
      </c>
      <c r="AL65" s="77" t="s">
        <v>823</v>
      </c>
      <c r="AM65" s="71" t="s">
        <v>824</v>
      </c>
      <c r="AN65" s="98" t="s">
        <v>825</v>
      </c>
      <c r="AO65" s="71" t="s">
        <v>826</v>
      </c>
      <c r="AP65" s="99" t="str">
        <f>IMAGE("https://bellingcat-archive.nyc3.cdn.digitaloceanspaces.com/ukraine_witness_test/Worksheet/yotube_dl_1488127790583009281/out2.jpg")</f>
        <v/>
      </c>
      <c r="AQ65" s="98" t="s">
        <v>827</v>
      </c>
      <c r="AR65" s="71" t="s">
        <v>828</v>
      </c>
      <c r="AS65" s="71" t="s">
        <v>829</v>
      </c>
      <c r="AT65" s="71">
        <v>11.913</v>
      </c>
      <c r="AU65" s="89"/>
      <c r="AV65" s="90"/>
      <c r="AW65" s="81"/>
    </row>
    <row r="66" ht="15.75" customHeight="1">
      <c r="A66" s="87" t="s">
        <v>63</v>
      </c>
      <c r="B66" s="61"/>
      <c r="C66" s="57" t="s">
        <v>769</v>
      </c>
      <c r="D66" s="58">
        <v>66.072117</v>
      </c>
      <c r="E66" s="58">
        <v>33.068848</v>
      </c>
      <c r="F66" s="59">
        <v>1.0</v>
      </c>
      <c r="G66" s="84" t="s">
        <v>830</v>
      </c>
      <c r="H66" s="61" t="s">
        <v>66</v>
      </c>
      <c r="I66" s="82"/>
      <c r="J66" s="63" t="s">
        <v>68</v>
      </c>
      <c r="K66" s="88" t="s">
        <v>831</v>
      </c>
      <c r="L66" s="110" t="s">
        <v>79</v>
      </c>
      <c r="M66" s="92" t="s">
        <v>832</v>
      </c>
      <c r="N66" s="111"/>
      <c r="O66" s="92" t="s">
        <v>833</v>
      </c>
      <c r="P66" s="67" t="str">
        <f t="shared" si="1"/>
        <v>66.072117, 33.068848</v>
      </c>
      <c r="Q66" s="67" t="str">
        <f t="shared" si="2"/>
        <v>66.071907, 33.068089</v>
      </c>
      <c r="R66" s="67">
        <f t="shared" si="3"/>
        <v>66.071907</v>
      </c>
      <c r="S66" s="67">
        <f t="shared" si="4"/>
        <v>33.068089</v>
      </c>
      <c r="T66" s="71" t="s">
        <v>834</v>
      </c>
      <c r="U66" s="69"/>
      <c r="V66" s="65" t="s">
        <v>835</v>
      </c>
      <c r="W66" s="71" t="s">
        <v>74</v>
      </c>
      <c r="X66" s="72" t="s">
        <v>75</v>
      </c>
      <c r="Y66" s="61" t="s">
        <v>76</v>
      </c>
      <c r="Z66" s="73"/>
      <c r="AA66" s="61" t="s">
        <v>77</v>
      </c>
      <c r="AB66" s="61" t="s">
        <v>421</v>
      </c>
      <c r="AC66" s="73"/>
      <c r="AD66" s="73"/>
      <c r="AE66" s="73"/>
      <c r="AF66" s="73"/>
      <c r="AG66" s="73"/>
      <c r="AH66" s="73"/>
      <c r="AI66" s="61" t="s">
        <v>79</v>
      </c>
      <c r="AJ66" s="75"/>
      <c r="AK66" s="76" t="s">
        <v>798</v>
      </c>
      <c r="AL66" s="77" t="s">
        <v>836</v>
      </c>
      <c r="AM66" s="71" t="s">
        <v>837</v>
      </c>
      <c r="AN66" s="98" t="s">
        <v>838</v>
      </c>
      <c r="AO66" s="71" t="s">
        <v>839</v>
      </c>
      <c r="AP66" s="99" t="str">
        <f>IMAGE("https://bellingcat-archive.nyc3.cdn.digitaloceanspaces.com/ukraine_witness_test/Worksheet/yotube_dl_1488224940293771271/out2.jpg")</f>
        <v/>
      </c>
      <c r="AQ66" s="98" t="s">
        <v>840</v>
      </c>
      <c r="AR66" s="71" t="s">
        <v>687</v>
      </c>
      <c r="AS66" s="71" t="s">
        <v>841</v>
      </c>
      <c r="AT66" s="71">
        <v>25.055</v>
      </c>
      <c r="AU66" s="79" t="s">
        <v>63</v>
      </c>
      <c r="AV66" s="90"/>
      <c r="AW66" s="81"/>
    </row>
    <row r="67" ht="15.75" customHeight="1">
      <c r="A67" s="87" t="s">
        <v>170</v>
      </c>
      <c r="B67" s="100"/>
      <c r="C67" s="101" t="s">
        <v>842</v>
      </c>
      <c r="D67" s="74">
        <v>52.999632</v>
      </c>
      <c r="E67" s="74">
        <v>49.767769</v>
      </c>
      <c r="F67" s="59">
        <v>1.0</v>
      </c>
      <c r="G67" s="84" t="s">
        <v>843</v>
      </c>
      <c r="H67" s="61" t="s">
        <v>66</v>
      </c>
      <c r="I67" s="82"/>
      <c r="J67" s="63" t="s">
        <v>844</v>
      </c>
      <c r="K67" s="88" t="s">
        <v>845</v>
      </c>
      <c r="L67" s="110" t="s">
        <v>79</v>
      </c>
      <c r="M67" s="92" t="s">
        <v>846</v>
      </c>
      <c r="N67" s="125" t="s">
        <v>847</v>
      </c>
      <c r="O67" s="92" t="s">
        <v>848</v>
      </c>
      <c r="P67" s="67" t="str">
        <f t="shared" si="1"/>
        <v>52.999632, 49.767769</v>
      </c>
      <c r="Q67" s="67" t="str">
        <f t="shared" si="2"/>
        <v>52.999288, 49.76733</v>
      </c>
      <c r="R67" s="67">
        <f t="shared" si="3"/>
        <v>52.999288</v>
      </c>
      <c r="S67" s="67">
        <f t="shared" si="4"/>
        <v>49.76733</v>
      </c>
      <c r="T67" s="71" t="s">
        <v>849</v>
      </c>
      <c r="U67" s="69"/>
      <c r="V67" s="65" t="s">
        <v>850</v>
      </c>
      <c r="W67" s="71" t="s">
        <v>74</v>
      </c>
      <c r="X67" s="72" t="s">
        <v>75</v>
      </c>
      <c r="Y67" s="61" t="s">
        <v>76</v>
      </c>
      <c r="Z67" s="73"/>
      <c r="AA67" s="61" t="s">
        <v>77</v>
      </c>
      <c r="AB67" s="61" t="s">
        <v>739</v>
      </c>
      <c r="AC67" s="73"/>
      <c r="AD67" s="73"/>
      <c r="AE67" s="73"/>
      <c r="AF67" s="73"/>
      <c r="AG67" s="73"/>
      <c r="AH67" s="73"/>
      <c r="AI67" s="61" t="s">
        <v>79</v>
      </c>
      <c r="AJ67" s="75"/>
      <c r="AK67" s="76" t="s">
        <v>798</v>
      </c>
      <c r="AL67" s="77" t="s">
        <v>851</v>
      </c>
      <c r="AM67" s="71" t="s">
        <v>852</v>
      </c>
      <c r="AN67" s="98" t="s">
        <v>853</v>
      </c>
      <c r="AO67" s="71" t="s">
        <v>854</v>
      </c>
      <c r="AP67" s="99" t="str">
        <f>IMAGE("https://bellingcat-archive.nyc3.cdn.digitaloceanspaces.com/ukraine_witness_test/Worksheet/yotube_dl_1488434485884604418/out3.jpg")</f>
        <v/>
      </c>
      <c r="AQ67" s="98" t="s">
        <v>855</v>
      </c>
      <c r="AR67" s="71" t="s">
        <v>856</v>
      </c>
      <c r="AS67" s="71" t="s">
        <v>857</v>
      </c>
      <c r="AT67" s="71">
        <v>64.4</v>
      </c>
      <c r="AU67" s="89"/>
      <c r="AV67" s="90"/>
      <c r="AW67" s="81"/>
    </row>
    <row r="68" ht="15.75" customHeight="1">
      <c r="A68" s="95" t="s">
        <v>63</v>
      </c>
      <c r="B68" s="61"/>
      <c r="C68" s="57" t="s">
        <v>858</v>
      </c>
      <c r="D68" s="74">
        <v>57.145359</v>
      </c>
      <c r="E68" s="74">
        <v>65.522252</v>
      </c>
      <c r="F68" s="59">
        <v>1.0</v>
      </c>
      <c r="G68" s="60" t="s">
        <v>859</v>
      </c>
      <c r="H68" s="61" t="s">
        <v>66</v>
      </c>
      <c r="I68" s="82"/>
      <c r="J68" s="63" t="s">
        <v>68</v>
      </c>
      <c r="K68" s="69"/>
      <c r="L68" s="126" t="s">
        <v>79</v>
      </c>
      <c r="M68" s="92" t="s">
        <v>283</v>
      </c>
      <c r="N68" s="92" t="s">
        <v>284</v>
      </c>
      <c r="O68" s="92" t="s">
        <v>283</v>
      </c>
      <c r="P68" s="67" t="str">
        <f t="shared" si="1"/>
        <v>57.145359, 65.522252</v>
      </c>
      <c r="Q68" s="67" t="str">
        <f t="shared" si="2"/>
        <v>57.145243, 65.52341</v>
      </c>
      <c r="R68" s="67">
        <f t="shared" si="3"/>
        <v>57.145243</v>
      </c>
      <c r="S68" s="67">
        <f t="shared" si="4"/>
        <v>65.52341</v>
      </c>
      <c r="T68" s="127" t="s">
        <v>285</v>
      </c>
      <c r="U68" s="64" t="s">
        <v>860</v>
      </c>
      <c r="V68" s="65" t="s">
        <v>861</v>
      </c>
      <c r="W68" s="71" t="s">
        <v>74</v>
      </c>
      <c r="X68" s="72" t="s">
        <v>75</v>
      </c>
      <c r="Y68" s="61" t="s">
        <v>76</v>
      </c>
      <c r="Z68" s="73"/>
      <c r="AA68" s="61" t="s">
        <v>77</v>
      </c>
      <c r="AB68" s="61" t="s">
        <v>78</v>
      </c>
      <c r="AC68" s="73"/>
      <c r="AD68" s="73"/>
      <c r="AE68" s="73"/>
      <c r="AF68" s="73"/>
      <c r="AG68" s="73"/>
      <c r="AH68" s="73"/>
      <c r="AI68" s="61" t="s">
        <v>79</v>
      </c>
      <c r="AJ68" s="75"/>
      <c r="AK68" s="76" t="s">
        <v>798</v>
      </c>
      <c r="AL68" s="77" t="s">
        <v>862</v>
      </c>
      <c r="AM68" s="71" t="s">
        <v>863</v>
      </c>
      <c r="AN68" s="98" t="s">
        <v>864</v>
      </c>
      <c r="AO68" s="71" t="s">
        <v>865</v>
      </c>
      <c r="AP68" s="99" t="str">
        <f>IMAGE("https://bellingcat-archive.nyc3.cdn.digitaloceanspaces.com/ukraine_witness_test/Worksheet/yotube_dl_1483069960599523330/out2.jpg")</f>
        <v/>
      </c>
      <c r="AQ68" s="98" t="s">
        <v>866</v>
      </c>
      <c r="AR68" s="71" t="s">
        <v>867</v>
      </c>
      <c r="AS68" s="71" t="s">
        <v>868</v>
      </c>
      <c r="AT68" s="71">
        <v>19.833</v>
      </c>
      <c r="AU68" s="79" t="s">
        <v>63</v>
      </c>
      <c r="AV68" s="90"/>
      <c r="AW68" s="81"/>
    </row>
    <row r="69" ht="15.75" customHeight="1">
      <c r="A69" s="87" t="s">
        <v>170</v>
      </c>
      <c r="B69" s="61"/>
      <c r="C69" s="57" t="s">
        <v>404</v>
      </c>
      <c r="D69" s="123">
        <v>52.349423</v>
      </c>
      <c r="E69" s="123">
        <v>30.395217</v>
      </c>
      <c r="F69" s="59">
        <v>1.0</v>
      </c>
      <c r="G69" s="84" t="s">
        <v>869</v>
      </c>
      <c r="H69" s="61" t="s">
        <v>66</v>
      </c>
      <c r="I69" s="82"/>
      <c r="J69" s="63" t="s">
        <v>68</v>
      </c>
      <c r="K69" s="128" t="s">
        <v>870</v>
      </c>
      <c r="L69" s="110" t="s">
        <v>69</v>
      </c>
      <c r="M69" s="92" t="s">
        <v>70</v>
      </c>
      <c r="N69" s="92" t="s">
        <v>71</v>
      </c>
      <c r="O69" s="92" t="s">
        <v>71</v>
      </c>
      <c r="P69" s="67" t="str">
        <f t="shared" si="1"/>
        <v>52.349423, 30.395217</v>
      </c>
      <c r="Q69" s="67" t="str">
        <f t="shared" si="2"/>
        <v>52.348899, 30.394243</v>
      </c>
      <c r="R69" s="67">
        <f t="shared" si="3"/>
        <v>52.348899</v>
      </c>
      <c r="S69" s="67">
        <f t="shared" si="4"/>
        <v>30.394243</v>
      </c>
      <c r="T69" s="71" t="s">
        <v>871</v>
      </c>
      <c r="U69" s="69"/>
      <c r="V69" s="65" t="s">
        <v>872</v>
      </c>
      <c r="W69" s="71" t="s">
        <v>74</v>
      </c>
      <c r="X69" s="72" t="s">
        <v>75</v>
      </c>
      <c r="Y69" s="61" t="s">
        <v>76</v>
      </c>
      <c r="Z69" s="73"/>
      <c r="AA69" s="61" t="s">
        <v>77</v>
      </c>
      <c r="AB69" s="61" t="s">
        <v>78</v>
      </c>
      <c r="AC69" s="73"/>
      <c r="AD69" s="73"/>
      <c r="AE69" s="73"/>
      <c r="AF69" s="73"/>
      <c r="AG69" s="73"/>
      <c r="AH69" s="73"/>
      <c r="AI69" s="61" t="s">
        <v>873</v>
      </c>
      <c r="AJ69" s="75"/>
      <c r="AK69" s="76" t="s">
        <v>798</v>
      </c>
      <c r="AL69" s="77" t="s">
        <v>874</v>
      </c>
      <c r="AM69" s="71" t="s">
        <v>875</v>
      </c>
      <c r="AN69" s="98" t="s">
        <v>876</v>
      </c>
      <c r="AO69" s="71" t="s">
        <v>877</v>
      </c>
      <c r="AP69" s="99" t="str">
        <f>IMAGE("https://bellingcat-archive.nyc3.cdn.digitaloceanspaces.com/ukraine_witness_test/Worksheet/yotube_dl_1487445178487119874/out3.jpg")</f>
        <v/>
      </c>
      <c r="AQ69" s="98" t="s">
        <v>878</v>
      </c>
      <c r="AR69" s="71" t="s">
        <v>879</v>
      </c>
      <c r="AS69" s="71" t="s">
        <v>880</v>
      </c>
      <c r="AT69" s="71">
        <v>63.297</v>
      </c>
      <c r="AU69" s="89"/>
      <c r="AV69" s="90"/>
      <c r="AW69" s="81"/>
    </row>
    <row r="70" ht="15.75" customHeight="1">
      <c r="A70" s="87" t="s">
        <v>170</v>
      </c>
      <c r="B70" s="129"/>
      <c r="C70" s="101" t="s">
        <v>881</v>
      </c>
      <c r="D70" s="74">
        <v>54.069385</v>
      </c>
      <c r="E70" s="74">
        <v>27.211645</v>
      </c>
      <c r="F70" s="59">
        <v>1.0</v>
      </c>
      <c r="G70" s="84" t="s">
        <v>882</v>
      </c>
      <c r="H70" s="61" t="s">
        <v>66</v>
      </c>
      <c r="I70" s="82"/>
      <c r="J70" s="63" t="s">
        <v>883</v>
      </c>
      <c r="K70" s="88" t="s">
        <v>884</v>
      </c>
      <c r="L70" s="110" t="s">
        <v>69</v>
      </c>
      <c r="M70" s="111"/>
      <c r="N70" s="111"/>
      <c r="O70" s="92" t="s">
        <v>885</v>
      </c>
      <c r="P70" s="67" t="str">
        <f t="shared" si="1"/>
        <v>54.069385, 27.211645</v>
      </c>
      <c r="Q70" s="67" t="str">
        <f t="shared" si="2"/>
        <v>54.068674, 27.211323</v>
      </c>
      <c r="R70" s="67">
        <f t="shared" si="3"/>
        <v>54.068674</v>
      </c>
      <c r="S70" s="67">
        <f t="shared" si="4"/>
        <v>27.211323</v>
      </c>
      <c r="T70" s="71" t="s">
        <v>886</v>
      </c>
      <c r="U70" s="69"/>
      <c r="V70" s="65" t="s">
        <v>887</v>
      </c>
      <c r="W70" s="71" t="s">
        <v>74</v>
      </c>
      <c r="X70" s="72" t="s">
        <v>75</v>
      </c>
      <c r="Y70" s="61" t="s">
        <v>76</v>
      </c>
      <c r="Z70" s="73"/>
      <c r="AA70" s="61" t="s">
        <v>77</v>
      </c>
      <c r="AB70" s="61" t="s">
        <v>78</v>
      </c>
      <c r="AC70" s="73"/>
      <c r="AD70" s="73"/>
      <c r="AE70" s="73"/>
      <c r="AF70" s="73"/>
      <c r="AG70" s="73"/>
      <c r="AH70" s="73"/>
      <c r="AI70" s="61" t="s">
        <v>79</v>
      </c>
      <c r="AJ70" s="75"/>
      <c r="AK70" s="76" t="s">
        <v>798</v>
      </c>
      <c r="AL70" s="77" t="s">
        <v>888</v>
      </c>
      <c r="AM70" s="71" t="s">
        <v>889</v>
      </c>
      <c r="AN70" s="98" t="s">
        <v>890</v>
      </c>
      <c r="AO70" s="71" t="s">
        <v>891</v>
      </c>
      <c r="AP70" s="99" t="str">
        <f>IMAGE("https://bellingcat-archive.nyc3.cdn.digitaloceanspaces.com/ukraine_witness_test/Worksheet/yotube_dl_1488544876908187650/out2.jpg")</f>
        <v/>
      </c>
      <c r="AQ70" s="98" t="s">
        <v>892</v>
      </c>
      <c r="AR70" s="71" t="s">
        <v>893</v>
      </c>
      <c r="AS70" s="71" t="s">
        <v>894</v>
      </c>
      <c r="AT70" s="71">
        <v>31.1</v>
      </c>
      <c r="AU70" s="89"/>
      <c r="AV70" s="90"/>
      <c r="AW70" s="81"/>
    </row>
    <row r="71" ht="15.75" customHeight="1">
      <c r="A71" s="87" t="s">
        <v>170</v>
      </c>
      <c r="B71" s="129"/>
      <c r="C71" s="101" t="s">
        <v>881</v>
      </c>
      <c r="D71" s="74">
        <v>52.429772</v>
      </c>
      <c r="E71" s="74">
        <v>30.991183</v>
      </c>
      <c r="F71" s="59">
        <v>1.0</v>
      </c>
      <c r="G71" s="130" t="s">
        <v>895</v>
      </c>
      <c r="H71" s="61" t="s">
        <v>66</v>
      </c>
      <c r="I71" s="82"/>
      <c r="J71" s="63" t="s">
        <v>896</v>
      </c>
      <c r="K71" s="131" t="s">
        <v>897</v>
      </c>
      <c r="L71" s="110" t="s">
        <v>69</v>
      </c>
      <c r="M71" s="92" t="s">
        <v>70</v>
      </c>
      <c r="N71" s="92" t="s">
        <v>70</v>
      </c>
      <c r="O71" s="92" t="s">
        <v>70</v>
      </c>
      <c r="P71" s="67" t="str">
        <f t="shared" si="1"/>
        <v>52.429772, 30.991183</v>
      </c>
      <c r="Q71" s="67" t="str">
        <f t="shared" si="2"/>
        <v>52.429548, 30.990608</v>
      </c>
      <c r="R71" s="67">
        <f t="shared" si="3"/>
        <v>52.429548</v>
      </c>
      <c r="S71" s="67">
        <f t="shared" si="4"/>
        <v>30.990608</v>
      </c>
      <c r="T71" s="71" t="s">
        <v>898</v>
      </c>
      <c r="U71" s="69"/>
      <c r="V71" s="65" t="s">
        <v>899</v>
      </c>
      <c r="W71" s="71" t="s">
        <v>74</v>
      </c>
      <c r="X71" s="72" t="s">
        <v>75</v>
      </c>
      <c r="Y71" s="61" t="s">
        <v>76</v>
      </c>
      <c r="Z71" s="73"/>
      <c r="AA71" s="61" t="s">
        <v>77</v>
      </c>
      <c r="AB71" s="61" t="s">
        <v>739</v>
      </c>
      <c r="AC71" s="73"/>
      <c r="AD71" s="73"/>
      <c r="AE71" s="73"/>
      <c r="AF71" s="73"/>
      <c r="AG71" s="73"/>
      <c r="AH71" s="73"/>
      <c r="AI71" s="61" t="s">
        <v>79</v>
      </c>
      <c r="AJ71" s="75"/>
      <c r="AK71" s="76" t="s">
        <v>798</v>
      </c>
      <c r="AL71" s="77" t="s">
        <v>900</v>
      </c>
      <c r="AM71" s="71" t="s">
        <v>901</v>
      </c>
      <c r="AN71" s="98" t="s">
        <v>902</v>
      </c>
      <c r="AO71" s="71" t="s">
        <v>903</v>
      </c>
      <c r="AP71" s="99" t="str">
        <f>IMAGE("https://bellingcat-archive.nyc3.cdn.digitaloceanspaces.com/ukraine_witness_test/Worksheet/yotube_dl_1488579685411921921/out3.jpg")</f>
        <v/>
      </c>
      <c r="AQ71" s="98" t="s">
        <v>904</v>
      </c>
      <c r="AR71" s="71" t="s">
        <v>905</v>
      </c>
      <c r="AS71" s="71" t="s">
        <v>906</v>
      </c>
      <c r="AT71" s="71">
        <v>60.433</v>
      </c>
      <c r="AU71" s="89"/>
      <c r="AV71" s="90"/>
      <c r="AW71" s="81"/>
    </row>
    <row r="72" ht="15.75" customHeight="1">
      <c r="A72" s="87" t="s">
        <v>170</v>
      </c>
      <c r="B72" s="104"/>
      <c r="C72" s="101" t="s">
        <v>769</v>
      </c>
      <c r="D72" s="74">
        <v>60.977078</v>
      </c>
      <c r="E72" s="74">
        <v>40.250808</v>
      </c>
      <c r="F72" s="59">
        <v>1.0</v>
      </c>
      <c r="G72" s="84" t="s">
        <v>907</v>
      </c>
      <c r="H72" s="61" t="s">
        <v>66</v>
      </c>
      <c r="I72" s="82"/>
      <c r="J72" s="63" t="s">
        <v>896</v>
      </c>
      <c r="K72" s="88" t="s">
        <v>908</v>
      </c>
      <c r="L72" s="110" t="s">
        <v>79</v>
      </c>
      <c r="M72" s="92" t="s">
        <v>909</v>
      </c>
      <c r="N72" s="111"/>
      <c r="O72" s="92" t="s">
        <v>910</v>
      </c>
      <c r="P72" s="67" t="str">
        <f t="shared" si="1"/>
        <v>60.977078, 40.250808</v>
      </c>
      <c r="Q72" s="67" t="str">
        <f t="shared" si="2"/>
        <v>60.976432, 40.250728</v>
      </c>
      <c r="R72" s="67">
        <f t="shared" si="3"/>
        <v>60.976432</v>
      </c>
      <c r="S72" s="67">
        <f t="shared" si="4"/>
        <v>40.250728</v>
      </c>
      <c r="T72" s="71" t="s">
        <v>911</v>
      </c>
      <c r="U72" s="69"/>
      <c r="V72" s="65" t="s">
        <v>912</v>
      </c>
      <c r="W72" s="71" t="s">
        <v>74</v>
      </c>
      <c r="X72" s="72" t="s">
        <v>75</v>
      </c>
      <c r="Y72" s="61" t="s">
        <v>76</v>
      </c>
      <c r="Z72" s="73"/>
      <c r="AA72" s="61" t="s">
        <v>77</v>
      </c>
      <c r="AB72" s="61" t="s">
        <v>78</v>
      </c>
      <c r="AC72" s="73"/>
      <c r="AD72" s="73"/>
      <c r="AE72" s="73"/>
      <c r="AF72" s="73"/>
      <c r="AG72" s="73"/>
      <c r="AH72" s="73"/>
      <c r="AI72" s="61" t="s">
        <v>79</v>
      </c>
      <c r="AJ72" s="75"/>
      <c r="AK72" s="76" t="s">
        <v>798</v>
      </c>
      <c r="AL72" s="77" t="s">
        <v>913</v>
      </c>
      <c r="AM72" s="71" t="s">
        <v>914</v>
      </c>
      <c r="AN72" s="98" t="s">
        <v>915</v>
      </c>
      <c r="AO72" s="71" t="s">
        <v>916</v>
      </c>
      <c r="AP72" s="99" t="str">
        <f>IMAGE("https://bellingcat-archive.nyc3.cdn.digitaloceanspaces.com/ukraine_witness_test/Worksheet/yotube_dl_1488420641661501445/out3.jpg")</f>
        <v/>
      </c>
      <c r="AQ72" s="98" t="s">
        <v>917</v>
      </c>
      <c r="AR72" s="71" t="s">
        <v>918</v>
      </c>
      <c r="AS72" s="71" t="s">
        <v>919</v>
      </c>
      <c r="AT72" s="71">
        <v>96.866</v>
      </c>
      <c r="AU72" s="89"/>
      <c r="AV72" s="90"/>
      <c r="AW72" s="81"/>
    </row>
    <row r="73" ht="15.75" customHeight="1">
      <c r="A73" s="120" t="s">
        <v>63</v>
      </c>
      <c r="B73" s="121"/>
      <c r="C73" s="132"/>
      <c r="D73" s="121"/>
      <c r="E73" s="121"/>
      <c r="F73" s="59">
        <v>1.0</v>
      </c>
      <c r="G73" s="84" t="s">
        <v>920</v>
      </c>
      <c r="H73" s="61" t="s">
        <v>66</v>
      </c>
      <c r="I73" s="82"/>
      <c r="J73" s="133"/>
      <c r="K73" s="88" t="s">
        <v>921</v>
      </c>
      <c r="L73" s="134"/>
      <c r="M73" s="111"/>
      <c r="N73" s="111"/>
      <c r="O73" s="111"/>
      <c r="P73" s="67" t="str">
        <f t="shared" si="1"/>
        <v/>
      </c>
      <c r="Q73" s="67" t="str">
        <f t="shared" si="2"/>
        <v/>
      </c>
      <c r="R73" s="67" t="str">
        <f t="shared" si="3"/>
        <v/>
      </c>
      <c r="S73" s="67" t="str">
        <f t="shared" si="4"/>
        <v/>
      </c>
      <c r="T73" s="99"/>
      <c r="U73" s="69"/>
      <c r="V73" s="65" t="s">
        <v>922</v>
      </c>
      <c r="W73" s="71"/>
      <c r="X73" s="122"/>
      <c r="Y73" s="61" t="s">
        <v>76</v>
      </c>
      <c r="Z73" s="73"/>
      <c r="AA73" s="73"/>
      <c r="AB73" s="73"/>
      <c r="AC73" s="73"/>
      <c r="AD73" s="73"/>
      <c r="AE73" s="73"/>
      <c r="AF73" s="73"/>
      <c r="AG73" s="73"/>
      <c r="AH73" s="73"/>
      <c r="AI73" s="73"/>
      <c r="AJ73" s="75"/>
      <c r="AK73" s="76" t="s">
        <v>798</v>
      </c>
      <c r="AL73" s="77" t="s">
        <v>923</v>
      </c>
      <c r="AM73" s="71" t="s">
        <v>924</v>
      </c>
      <c r="AN73" s="98" t="s">
        <v>925</v>
      </c>
      <c r="AO73" s="71" t="s">
        <v>926</v>
      </c>
      <c r="AP73" s="99" t="str">
        <f>IMAGE("https://bellingcat-archive.nyc3.cdn.digitaloceanspaces.com/ukraine_witness_test/Worksheet/yotube_dl_1486763036857835528/out2.jpg")</f>
        <v/>
      </c>
      <c r="AQ73" s="98" t="s">
        <v>927</v>
      </c>
      <c r="AR73" s="71" t="s">
        <v>344</v>
      </c>
      <c r="AS73" s="71" t="s">
        <v>928</v>
      </c>
      <c r="AT73" s="71">
        <v>56.4</v>
      </c>
      <c r="AU73" s="89"/>
      <c r="AV73" s="90"/>
      <c r="AW73" s="81"/>
    </row>
    <row r="74" ht="15.75" customHeight="1">
      <c r="A74" s="120" t="s">
        <v>63</v>
      </c>
      <c r="B74" s="121"/>
      <c r="C74" s="132"/>
      <c r="D74" s="121"/>
      <c r="E74" s="121"/>
      <c r="F74" s="59">
        <v>1.0</v>
      </c>
      <c r="G74" s="84" t="s">
        <v>830</v>
      </c>
      <c r="H74" s="61" t="s">
        <v>66</v>
      </c>
      <c r="I74" s="82"/>
      <c r="J74" s="133"/>
      <c r="K74" s="88" t="s">
        <v>831</v>
      </c>
      <c r="L74" s="134"/>
      <c r="M74" s="111"/>
      <c r="N74" s="111"/>
      <c r="O74" s="111"/>
      <c r="P74" s="67" t="str">
        <f t="shared" si="1"/>
        <v/>
      </c>
      <c r="Q74" s="67" t="str">
        <f t="shared" si="2"/>
        <v/>
      </c>
      <c r="R74" s="67" t="str">
        <f t="shared" si="3"/>
        <v/>
      </c>
      <c r="S74" s="67" t="str">
        <f t="shared" si="4"/>
        <v/>
      </c>
      <c r="T74" s="99"/>
      <c r="U74" s="69"/>
      <c r="V74" s="65" t="s">
        <v>929</v>
      </c>
      <c r="W74" s="71"/>
      <c r="X74" s="122"/>
      <c r="Y74" s="61" t="s">
        <v>76</v>
      </c>
      <c r="Z74" s="73"/>
      <c r="AA74" s="73"/>
      <c r="AB74" s="73"/>
      <c r="AC74" s="73"/>
      <c r="AD74" s="73"/>
      <c r="AE74" s="73"/>
      <c r="AF74" s="73"/>
      <c r="AG74" s="73"/>
      <c r="AH74" s="73"/>
      <c r="AI74" s="73"/>
      <c r="AJ74" s="75"/>
      <c r="AK74" s="76" t="s">
        <v>930</v>
      </c>
      <c r="AL74" s="77" t="s">
        <v>836</v>
      </c>
      <c r="AM74" s="71" t="s">
        <v>931</v>
      </c>
      <c r="AN74" s="98" t="s">
        <v>932</v>
      </c>
      <c r="AO74" s="71" t="s">
        <v>839</v>
      </c>
      <c r="AP74" s="99" t="str">
        <f>IMAGE("https://bellingcat-archive.nyc3.cdn.digitaloceanspaces.com/ukraine_witness_test/Worksheet/yotube_dl_1488224940293771271/out2.jpg")</f>
        <v/>
      </c>
      <c r="AQ74" s="98" t="s">
        <v>840</v>
      </c>
      <c r="AR74" s="71" t="s">
        <v>687</v>
      </c>
      <c r="AS74" s="71" t="s">
        <v>841</v>
      </c>
      <c r="AT74" s="71">
        <v>25.055</v>
      </c>
      <c r="AU74" s="89"/>
      <c r="AV74" s="90"/>
      <c r="AW74" s="81"/>
    </row>
    <row r="75" ht="15.75" customHeight="1">
      <c r="A75" s="95" t="s">
        <v>170</v>
      </c>
      <c r="B75" s="100"/>
      <c r="C75" s="101" t="s">
        <v>842</v>
      </c>
      <c r="D75" s="74">
        <v>52.349821</v>
      </c>
      <c r="E75" s="74">
        <v>30.400919</v>
      </c>
      <c r="F75" s="59">
        <v>1.0</v>
      </c>
      <c r="G75" s="84" t="s">
        <v>933</v>
      </c>
      <c r="H75" s="61" t="s">
        <v>66</v>
      </c>
      <c r="I75" s="82"/>
      <c r="J75" s="63" t="s">
        <v>896</v>
      </c>
      <c r="K75" s="69"/>
      <c r="L75" s="110" t="s">
        <v>69</v>
      </c>
      <c r="M75" s="92" t="s">
        <v>70</v>
      </c>
      <c r="N75" s="92" t="s">
        <v>71</v>
      </c>
      <c r="O75" s="92" t="s">
        <v>71</v>
      </c>
      <c r="P75" s="67" t="str">
        <f t="shared" si="1"/>
        <v>52.349821, 30.400919</v>
      </c>
      <c r="Q75" s="67" t="str">
        <f t="shared" si="2"/>
        <v>52.349555, 30.401488</v>
      </c>
      <c r="R75" s="67">
        <f t="shared" si="3"/>
        <v>52.349555</v>
      </c>
      <c r="S75" s="67">
        <f t="shared" si="4"/>
        <v>30.401488</v>
      </c>
      <c r="T75" s="71" t="s">
        <v>934</v>
      </c>
      <c r="U75" s="69"/>
      <c r="V75" s="65" t="s">
        <v>935</v>
      </c>
      <c r="W75" s="71" t="s">
        <v>74</v>
      </c>
      <c r="X75" s="72" t="s">
        <v>75</v>
      </c>
      <c r="Y75" s="61" t="s">
        <v>76</v>
      </c>
      <c r="Z75" s="73"/>
      <c r="AA75" s="61" t="s">
        <v>936</v>
      </c>
      <c r="AB75" s="61" t="s">
        <v>761</v>
      </c>
      <c r="AC75" s="73"/>
      <c r="AD75" s="73"/>
      <c r="AE75" s="73"/>
      <c r="AF75" s="73"/>
      <c r="AG75" s="73"/>
      <c r="AH75" s="73"/>
      <c r="AI75" s="61" t="s">
        <v>79</v>
      </c>
      <c r="AJ75" s="75"/>
      <c r="AK75" s="76" t="s">
        <v>798</v>
      </c>
      <c r="AL75" s="77" t="s">
        <v>937</v>
      </c>
      <c r="AM75" s="71" t="s">
        <v>938</v>
      </c>
      <c r="AN75" s="98" t="s">
        <v>939</v>
      </c>
      <c r="AO75" s="71" t="s">
        <v>940</v>
      </c>
      <c r="AP75" s="99" t="str">
        <f>IMAGE("https://bellingcat-archive.nyc3.cdn.digitaloceanspaces.com/ukraine_witness_test/Worksheet/yotube_dl_1488497810324475909/out2.jpg")</f>
        <v/>
      </c>
      <c r="AQ75" s="98" t="s">
        <v>941</v>
      </c>
      <c r="AR75" s="71" t="s">
        <v>942</v>
      </c>
      <c r="AS75" s="71" t="s">
        <v>943</v>
      </c>
      <c r="AT75" s="71">
        <v>5.503</v>
      </c>
      <c r="AU75" s="89"/>
      <c r="AV75" s="90"/>
      <c r="AW75" s="81"/>
    </row>
    <row r="76" ht="15.75" customHeight="1">
      <c r="A76" s="95" t="s">
        <v>63</v>
      </c>
      <c r="B76" s="104"/>
      <c r="C76" s="101" t="s">
        <v>769</v>
      </c>
      <c r="D76" s="135">
        <v>51.23397</v>
      </c>
      <c r="E76" s="135">
        <v>36.69807</v>
      </c>
      <c r="F76" s="59">
        <v>1.0</v>
      </c>
      <c r="G76" s="84" t="s">
        <v>944</v>
      </c>
      <c r="H76" s="61" t="s">
        <v>66</v>
      </c>
      <c r="I76" s="82"/>
      <c r="J76" s="63" t="s">
        <v>945</v>
      </c>
      <c r="K76" s="69"/>
      <c r="L76" s="110" t="s">
        <v>79</v>
      </c>
      <c r="M76" s="92" t="s">
        <v>946</v>
      </c>
      <c r="N76" s="111"/>
      <c r="O76" s="92" t="s">
        <v>947</v>
      </c>
      <c r="P76" s="67" t="str">
        <f t="shared" si="1"/>
        <v>51.23397, 36.69807</v>
      </c>
      <c r="Q76" s="67" t="str">
        <f t="shared" si="2"/>
        <v>51.233611, 36.697886</v>
      </c>
      <c r="R76" s="67">
        <f t="shared" si="3"/>
        <v>51.233611</v>
      </c>
      <c r="S76" s="67">
        <f t="shared" si="4"/>
        <v>36.697886</v>
      </c>
      <c r="T76" s="71" t="s">
        <v>948</v>
      </c>
      <c r="U76" s="69"/>
      <c r="V76" s="65" t="s">
        <v>949</v>
      </c>
      <c r="W76" s="71" t="s">
        <v>74</v>
      </c>
      <c r="X76" s="72" t="s">
        <v>75</v>
      </c>
      <c r="Y76" s="61" t="s">
        <v>76</v>
      </c>
      <c r="Z76" s="73"/>
      <c r="AA76" s="61" t="s">
        <v>936</v>
      </c>
      <c r="AB76" s="61" t="s">
        <v>761</v>
      </c>
      <c r="AC76" s="73"/>
      <c r="AD76" s="73"/>
      <c r="AE76" s="73"/>
      <c r="AF76" s="73"/>
      <c r="AG76" s="73"/>
      <c r="AH76" s="73"/>
      <c r="AI76" s="61" t="s">
        <v>79</v>
      </c>
      <c r="AJ76" s="75"/>
      <c r="AK76" s="76" t="s">
        <v>798</v>
      </c>
      <c r="AL76" s="77" t="s">
        <v>950</v>
      </c>
      <c r="AM76" s="71" t="s">
        <v>951</v>
      </c>
      <c r="AN76" s="98" t="s">
        <v>952</v>
      </c>
      <c r="AO76" s="71" t="s">
        <v>953</v>
      </c>
      <c r="AP76" s="99" t="str">
        <f>IMAGE("https://bellingcat-archive.nyc3.cdn.digitaloceanspaces.com/ukraine_witness_test/Worksheet/yotube_dl_1488496031901917184/out2.jpg")</f>
        <v/>
      </c>
      <c r="AQ76" s="98" t="s">
        <v>954</v>
      </c>
      <c r="AR76" s="71" t="s">
        <v>955</v>
      </c>
      <c r="AS76" s="71" t="s">
        <v>956</v>
      </c>
      <c r="AT76" s="71">
        <v>13.235</v>
      </c>
      <c r="AU76" s="79"/>
      <c r="AV76" s="90"/>
      <c r="AW76" s="81"/>
    </row>
    <row r="77" ht="15.75" customHeight="1">
      <c r="A77" s="87" t="s">
        <v>63</v>
      </c>
      <c r="B77" s="104"/>
      <c r="C77" s="101" t="s">
        <v>769</v>
      </c>
      <c r="D77" s="104">
        <v>52.357323</v>
      </c>
      <c r="E77" s="104">
        <v>30.684277</v>
      </c>
      <c r="F77" s="59">
        <v>1.0</v>
      </c>
      <c r="G77" s="60" t="s">
        <v>957</v>
      </c>
      <c r="H77" s="61" t="s">
        <v>66</v>
      </c>
      <c r="I77" s="82"/>
      <c r="J77" s="63" t="s">
        <v>883</v>
      </c>
      <c r="K77" s="114" t="s">
        <v>958</v>
      </c>
      <c r="L77" s="110" t="s">
        <v>69</v>
      </c>
      <c r="M77" s="92" t="s">
        <v>70</v>
      </c>
      <c r="N77" s="111"/>
      <c r="O77" s="92" t="s">
        <v>959</v>
      </c>
      <c r="P77" s="67" t="str">
        <f t="shared" si="1"/>
        <v>52.357323, 30.684277</v>
      </c>
      <c r="Q77" s="67" t="str">
        <f t="shared" si="2"/>
        <v>52.357124, 30.683455</v>
      </c>
      <c r="R77" s="67">
        <f t="shared" si="3"/>
        <v>52.357124</v>
      </c>
      <c r="S77" s="67">
        <f t="shared" si="4"/>
        <v>30.683455</v>
      </c>
      <c r="T77" s="71" t="s">
        <v>960</v>
      </c>
      <c r="U77" s="69"/>
      <c r="V77" s="65" t="s">
        <v>961</v>
      </c>
      <c r="W77" s="71" t="s">
        <v>74</v>
      </c>
      <c r="X77" s="72" t="s">
        <v>75</v>
      </c>
      <c r="Y77" s="61" t="s">
        <v>76</v>
      </c>
      <c r="Z77" s="73"/>
      <c r="AA77" s="61" t="s">
        <v>936</v>
      </c>
      <c r="AB77" s="61" t="s">
        <v>421</v>
      </c>
      <c r="AC77" s="73"/>
      <c r="AD77" s="73"/>
      <c r="AE77" s="73"/>
      <c r="AF77" s="73"/>
      <c r="AG77" s="73"/>
      <c r="AH77" s="73"/>
      <c r="AI77" s="61" t="s">
        <v>79</v>
      </c>
      <c r="AJ77" s="75"/>
      <c r="AK77" s="76" t="s">
        <v>962</v>
      </c>
      <c r="AL77" s="83" t="s">
        <v>963</v>
      </c>
      <c r="AM77" s="71" t="s">
        <v>964</v>
      </c>
      <c r="AN77" s="105" t="s">
        <v>965</v>
      </c>
      <c r="AO77" s="71" t="s">
        <v>966</v>
      </c>
      <c r="AP77" s="99" t="str">
        <f>IMAGE("https://bellingcat-archive.nyc3.cdn.digitaloceanspaces.com/ukraine_witness_test/Worksheet/tiktok_7059050323675073797/out2.jpg")</f>
        <v/>
      </c>
      <c r="AQ77" s="105" t="s">
        <v>967</v>
      </c>
      <c r="AR77" s="71" t="s">
        <v>968</v>
      </c>
      <c r="AS77" s="71" t="s">
        <v>969</v>
      </c>
      <c r="AT77" s="71">
        <v>30.0</v>
      </c>
      <c r="AU77" s="79" t="s">
        <v>63</v>
      </c>
      <c r="AV77" s="90"/>
      <c r="AW77" s="81"/>
    </row>
    <row r="78" ht="15.75" customHeight="1">
      <c r="A78" s="87" t="s">
        <v>63</v>
      </c>
      <c r="B78" s="100"/>
      <c r="C78" s="101" t="s">
        <v>842</v>
      </c>
      <c r="D78" s="104">
        <v>52.357323</v>
      </c>
      <c r="E78" s="104">
        <v>30.684277</v>
      </c>
      <c r="F78" s="59">
        <v>1.0</v>
      </c>
      <c r="G78" s="84" t="s">
        <v>970</v>
      </c>
      <c r="H78" s="61" t="s">
        <v>66</v>
      </c>
      <c r="I78" s="82"/>
      <c r="J78" s="63" t="s">
        <v>883</v>
      </c>
      <c r="K78" s="88" t="s">
        <v>971</v>
      </c>
      <c r="L78" s="110" t="s">
        <v>69</v>
      </c>
      <c r="M78" s="92" t="s">
        <v>70</v>
      </c>
      <c r="N78" s="111"/>
      <c r="O78" s="92" t="s">
        <v>959</v>
      </c>
      <c r="P78" s="67" t="str">
        <f t="shared" si="1"/>
        <v>52.357323, 30.684277</v>
      </c>
      <c r="Q78" s="67" t="str">
        <f t="shared" si="2"/>
        <v>52.356954, 30.684002</v>
      </c>
      <c r="R78" s="67">
        <f t="shared" si="3"/>
        <v>52.356954</v>
      </c>
      <c r="S78" s="67">
        <f t="shared" si="4"/>
        <v>30.684002</v>
      </c>
      <c r="T78" s="71" t="s">
        <v>960</v>
      </c>
      <c r="U78" s="69"/>
      <c r="V78" s="65" t="s">
        <v>972</v>
      </c>
      <c r="W78" s="71" t="s">
        <v>74</v>
      </c>
      <c r="X78" s="72" t="s">
        <v>75</v>
      </c>
      <c r="Y78" s="61" t="s">
        <v>76</v>
      </c>
      <c r="Z78" s="73"/>
      <c r="AA78" s="61" t="s">
        <v>936</v>
      </c>
      <c r="AB78" s="61" t="s">
        <v>421</v>
      </c>
      <c r="AC78" s="73"/>
      <c r="AD78" s="73"/>
      <c r="AE78" s="73"/>
      <c r="AF78" s="73"/>
      <c r="AG78" s="73"/>
      <c r="AH78" s="73"/>
      <c r="AI78" s="61" t="s">
        <v>79</v>
      </c>
      <c r="AJ78" s="75"/>
      <c r="AK78" s="136" t="s">
        <v>973</v>
      </c>
      <c r="AL78" s="137"/>
      <c r="AM78" s="138" t="s">
        <v>974</v>
      </c>
      <c r="AN78" s="139"/>
      <c r="AO78" s="139"/>
      <c r="AP78" s="139"/>
      <c r="AQ78" s="139"/>
      <c r="AR78" s="139"/>
      <c r="AS78" s="139"/>
      <c r="AT78" s="139"/>
      <c r="AU78" s="79" t="s">
        <v>63</v>
      </c>
      <c r="AV78" s="90"/>
      <c r="AW78" s="81"/>
    </row>
    <row r="79" ht="15.75" customHeight="1">
      <c r="A79" s="87" t="s">
        <v>63</v>
      </c>
      <c r="B79" s="100"/>
      <c r="C79" s="101" t="s">
        <v>975</v>
      </c>
      <c r="D79" s="58">
        <v>43.787218</v>
      </c>
      <c r="E79" s="58">
        <v>43.969123</v>
      </c>
      <c r="F79" s="59">
        <v>1.0</v>
      </c>
      <c r="G79" s="84" t="s">
        <v>976</v>
      </c>
      <c r="H79" s="61" t="s">
        <v>66</v>
      </c>
      <c r="I79" s="82"/>
      <c r="J79" s="63" t="s">
        <v>977</v>
      </c>
      <c r="K79" s="88" t="s">
        <v>978</v>
      </c>
      <c r="L79" s="110" t="s">
        <v>79</v>
      </c>
      <c r="M79" s="140" t="s">
        <v>979</v>
      </c>
      <c r="N79" s="111"/>
      <c r="O79" s="92" t="s">
        <v>980</v>
      </c>
      <c r="P79" s="67" t="str">
        <f t="shared" si="1"/>
        <v>43.787218, 43.969123</v>
      </c>
      <c r="Q79" s="67" t="str">
        <f t="shared" si="2"/>
        <v>43.787206, 43.970347</v>
      </c>
      <c r="R79" s="67">
        <f t="shared" si="3"/>
        <v>43.787206</v>
      </c>
      <c r="S79" s="67">
        <f t="shared" si="4"/>
        <v>43.970347</v>
      </c>
      <c r="T79" s="71" t="s">
        <v>981</v>
      </c>
      <c r="U79" s="69"/>
      <c r="V79" s="65" t="s">
        <v>982</v>
      </c>
      <c r="W79" s="71" t="s">
        <v>74</v>
      </c>
      <c r="X79" s="72" t="s">
        <v>75</v>
      </c>
      <c r="Y79" s="61" t="s">
        <v>76</v>
      </c>
      <c r="Z79" s="73"/>
      <c r="AA79" s="61" t="s">
        <v>936</v>
      </c>
      <c r="AB79" s="61" t="s">
        <v>421</v>
      </c>
      <c r="AC79" s="73"/>
      <c r="AD79" s="73"/>
      <c r="AE79" s="73"/>
      <c r="AF79" s="73"/>
      <c r="AG79" s="73"/>
      <c r="AH79" s="73"/>
      <c r="AI79" s="61" t="s">
        <v>983</v>
      </c>
      <c r="AJ79" s="75"/>
      <c r="AK79" s="76" t="s">
        <v>798</v>
      </c>
      <c r="AL79" s="77" t="s">
        <v>984</v>
      </c>
      <c r="AM79" s="71" t="s">
        <v>985</v>
      </c>
      <c r="AN79" s="98" t="s">
        <v>986</v>
      </c>
      <c r="AO79" s="71" t="s">
        <v>987</v>
      </c>
      <c r="AP79" s="99" t="str">
        <f>IMAGE("https://bellingcat-archive.nyc3.cdn.digitaloceanspaces.com/ukraine_witness_test/Worksheet/yotube_dl_1488749359911079941/out2.jpg")</f>
        <v/>
      </c>
      <c r="AQ79" s="98" t="s">
        <v>988</v>
      </c>
      <c r="AR79" s="71" t="s">
        <v>989</v>
      </c>
      <c r="AS79" s="71" t="s">
        <v>990</v>
      </c>
      <c r="AT79" s="71">
        <v>54.637</v>
      </c>
      <c r="AU79" s="79" t="s">
        <v>63</v>
      </c>
      <c r="AV79" s="90"/>
      <c r="AW79" s="81"/>
    </row>
    <row r="80" ht="15.75" customHeight="1">
      <c r="A80" s="87" t="s">
        <v>63</v>
      </c>
      <c r="B80" s="100"/>
      <c r="C80" s="101" t="s">
        <v>991</v>
      </c>
      <c r="D80" s="104">
        <v>53.386298</v>
      </c>
      <c r="E80" s="104">
        <v>33.205495</v>
      </c>
      <c r="F80" s="59">
        <v>1.0</v>
      </c>
      <c r="G80" s="60" t="s">
        <v>992</v>
      </c>
      <c r="H80" s="61" t="s">
        <v>66</v>
      </c>
      <c r="I80" s="82"/>
      <c r="J80" s="63" t="s">
        <v>993</v>
      </c>
      <c r="K80" s="88" t="s">
        <v>992</v>
      </c>
      <c r="L80" s="110" t="s">
        <v>79</v>
      </c>
      <c r="M80" s="92" t="s">
        <v>240</v>
      </c>
      <c r="N80" s="111"/>
      <c r="O80" s="92" t="s">
        <v>994</v>
      </c>
      <c r="P80" s="67" t="str">
        <f t="shared" si="1"/>
        <v>53.386298, 33.205495</v>
      </c>
      <c r="Q80" s="67" t="str">
        <f t="shared" si="2"/>
        <v>53.385505, 33.2051</v>
      </c>
      <c r="R80" s="67">
        <f t="shared" si="3"/>
        <v>53.385505</v>
      </c>
      <c r="S80" s="67">
        <f t="shared" si="4"/>
        <v>33.2051</v>
      </c>
      <c r="T80" s="71" t="s">
        <v>995</v>
      </c>
      <c r="U80" s="69"/>
      <c r="V80" s="65" t="s">
        <v>996</v>
      </c>
      <c r="W80" s="71" t="s">
        <v>74</v>
      </c>
      <c r="X80" s="72" t="s">
        <v>75</v>
      </c>
      <c r="Y80" s="61" t="s">
        <v>551</v>
      </c>
      <c r="Z80" s="61" t="s">
        <v>552</v>
      </c>
      <c r="AA80" s="61" t="s">
        <v>936</v>
      </c>
      <c r="AB80" s="61" t="s">
        <v>421</v>
      </c>
      <c r="AC80" s="73"/>
      <c r="AD80" s="73"/>
      <c r="AE80" s="73"/>
      <c r="AF80" s="73"/>
      <c r="AG80" s="73"/>
      <c r="AH80" s="73"/>
      <c r="AI80" s="73"/>
      <c r="AJ80" s="75"/>
      <c r="AK80" s="76" t="s">
        <v>798</v>
      </c>
      <c r="AL80" s="77" t="s">
        <v>997</v>
      </c>
      <c r="AM80" s="71" t="s">
        <v>998</v>
      </c>
      <c r="AN80" s="98" t="s">
        <v>999</v>
      </c>
      <c r="AO80" s="71" t="s">
        <v>1000</v>
      </c>
      <c r="AP80" s="99" t="str">
        <f>IMAGE("https://bellingcat-archive.nyc3.cdn.digitaloceanspaces.com/ukraine_witness_test/Worksheet/yotube_dl_1489018901346275332/out2.jpg")</f>
        <v/>
      </c>
      <c r="AQ80" s="98" t="s">
        <v>1001</v>
      </c>
      <c r="AR80" s="71" t="s">
        <v>1002</v>
      </c>
      <c r="AS80" s="71" t="s">
        <v>1003</v>
      </c>
      <c r="AT80" s="71">
        <v>44.0</v>
      </c>
      <c r="AU80" s="89"/>
      <c r="AV80" s="90"/>
      <c r="AW80" s="81"/>
    </row>
    <row r="81" ht="15.75" customHeight="1">
      <c r="A81" s="87" t="s">
        <v>63</v>
      </c>
      <c r="B81" s="100"/>
      <c r="C81" s="101" t="s">
        <v>991</v>
      </c>
      <c r="D81" s="121"/>
      <c r="E81" s="121"/>
      <c r="F81" s="59">
        <v>1.0</v>
      </c>
      <c r="G81" s="60" t="s">
        <v>1004</v>
      </c>
      <c r="H81" s="61" t="s">
        <v>66</v>
      </c>
      <c r="I81" s="82"/>
      <c r="J81" s="106"/>
      <c r="K81" s="88" t="s">
        <v>1005</v>
      </c>
      <c r="L81" s="134"/>
      <c r="M81" s="111"/>
      <c r="N81" s="111"/>
      <c r="O81" s="111"/>
      <c r="P81" s="67" t="str">
        <f t="shared" si="1"/>
        <v/>
      </c>
      <c r="Q81" s="67" t="str">
        <f t="shared" si="2"/>
        <v/>
      </c>
      <c r="R81" s="67" t="str">
        <f t="shared" si="3"/>
        <v/>
      </c>
      <c r="S81" s="67" t="str">
        <f t="shared" si="4"/>
        <v/>
      </c>
      <c r="T81" s="99"/>
      <c r="U81" s="69"/>
      <c r="V81" s="65" t="s">
        <v>1006</v>
      </c>
      <c r="W81" s="71"/>
      <c r="X81" s="122"/>
      <c r="Y81" s="61" t="s">
        <v>76</v>
      </c>
      <c r="Z81" s="73"/>
      <c r="AA81" s="73"/>
      <c r="AB81" s="73"/>
      <c r="AC81" s="73"/>
      <c r="AD81" s="73"/>
      <c r="AE81" s="73"/>
      <c r="AF81" s="73"/>
      <c r="AG81" s="73"/>
      <c r="AH81" s="73"/>
      <c r="AI81" s="73"/>
      <c r="AJ81" s="75"/>
      <c r="AK81" s="76" t="s">
        <v>798</v>
      </c>
      <c r="AL81" s="77" t="s">
        <v>1007</v>
      </c>
      <c r="AM81" s="71" t="s">
        <v>1008</v>
      </c>
      <c r="AN81" s="98" t="s">
        <v>1009</v>
      </c>
      <c r="AO81" s="71" t="s">
        <v>1010</v>
      </c>
      <c r="AP81" s="99" t="str">
        <f>IMAGE("https://bellingcat-archive.nyc3.cdn.digitaloceanspaces.com/ukraine_witness_test/Worksheet/yotube_dl_1489128841905852416/out3.jpg")</f>
        <v/>
      </c>
      <c r="AQ81" s="98" t="s">
        <v>1011</v>
      </c>
      <c r="AR81" s="71" t="s">
        <v>1012</v>
      </c>
      <c r="AS81" s="71" t="s">
        <v>1013</v>
      </c>
      <c r="AT81" s="71">
        <v>108.778</v>
      </c>
      <c r="AU81" s="89"/>
      <c r="AV81" s="90"/>
      <c r="AW81" s="81"/>
    </row>
    <row r="82" ht="15.75" customHeight="1">
      <c r="A82" s="87" t="s">
        <v>63</v>
      </c>
      <c r="B82" s="100"/>
      <c r="C82" s="101" t="s">
        <v>991</v>
      </c>
      <c r="D82" s="58">
        <v>44.942333</v>
      </c>
      <c r="E82" s="58">
        <v>38.917917</v>
      </c>
      <c r="F82" s="59">
        <v>1.0</v>
      </c>
      <c r="G82" s="84" t="s">
        <v>1014</v>
      </c>
      <c r="H82" s="61" t="s">
        <v>66</v>
      </c>
      <c r="I82" s="82"/>
      <c r="J82" s="106" t="s">
        <v>68</v>
      </c>
      <c r="K82" s="114" t="s">
        <v>1015</v>
      </c>
      <c r="L82" s="110" t="s">
        <v>79</v>
      </c>
      <c r="M82" s="92" t="s">
        <v>1016</v>
      </c>
      <c r="N82" s="111"/>
      <c r="O82" s="92" t="s">
        <v>1017</v>
      </c>
      <c r="P82" s="67" t="str">
        <f t="shared" si="1"/>
        <v>44.942333, 38.917917</v>
      </c>
      <c r="Q82" s="67" t="str">
        <f t="shared" si="2"/>
        <v>44.941606, 38.917791</v>
      </c>
      <c r="R82" s="67">
        <f t="shared" si="3"/>
        <v>44.941606</v>
      </c>
      <c r="S82" s="67">
        <f t="shared" si="4"/>
        <v>38.917791</v>
      </c>
      <c r="T82" s="71" t="s">
        <v>1018</v>
      </c>
      <c r="U82" s="69"/>
      <c r="V82" s="65" t="s">
        <v>1019</v>
      </c>
      <c r="W82" s="71" t="s">
        <v>74</v>
      </c>
      <c r="X82" s="72" t="s">
        <v>75</v>
      </c>
      <c r="Y82" s="61" t="s">
        <v>76</v>
      </c>
      <c r="Z82" s="73"/>
      <c r="AA82" s="61" t="s">
        <v>77</v>
      </c>
      <c r="AB82" s="61" t="s">
        <v>421</v>
      </c>
      <c r="AC82" s="73"/>
      <c r="AD82" s="73"/>
      <c r="AE82" s="73"/>
      <c r="AF82" s="73"/>
      <c r="AG82" s="73"/>
      <c r="AH82" s="73"/>
      <c r="AI82" s="61" t="s">
        <v>79</v>
      </c>
      <c r="AJ82" s="75"/>
      <c r="AK82" s="76" t="s">
        <v>798</v>
      </c>
      <c r="AL82" s="77" t="s">
        <v>1020</v>
      </c>
      <c r="AM82" s="71" t="s">
        <v>1021</v>
      </c>
      <c r="AN82" s="98" t="s">
        <v>1022</v>
      </c>
      <c r="AO82" s="71" t="s">
        <v>1023</v>
      </c>
      <c r="AP82" s="99" t="str">
        <f>IMAGE("https://bellingcat-archive.nyc3.cdn.digitaloceanspaces.com/ukraine_witness_test/Worksheet/yotube_dl_1489297244566302726/out2.jpg")</f>
        <v/>
      </c>
      <c r="AQ82" s="98" t="s">
        <v>1024</v>
      </c>
      <c r="AR82" s="71" t="s">
        <v>530</v>
      </c>
      <c r="AS82" s="71" t="s">
        <v>1025</v>
      </c>
      <c r="AT82" s="71">
        <v>29.885</v>
      </c>
      <c r="AU82" s="89"/>
      <c r="AV82" s="90"/>
      <c r="AW82" s="81"/>
    </row>
    <row r="83" ht="15.75" customHeight="1">
      <c r="A83" s="95" t="s">
        <v>63</v>
      </c>
      <c r="B83" s="100"/>
      <c r="C83" s="101" t="s">
        <v>1026</v>
      </c>
      <c r="D83" s="58">
        <v>51.648156</v>
      </c>
      <c r="E83" s="58">
        <v>35.948542</v>
      </c>
      <c r="F83" s="59">
        <v>1.0</v>
      </c>
      <c r="G83" s="84" t="s">
        <v>1027</v>
      </c>
      <c r="H83" s="61" t="s">
        <v>66</v>
      </c>
      <c r="I83" s="82"/>
      <c r="J83" s="106" t="s">
        <v>68</v>
      </c>
      <c r="K83" s="69"/>
      <c r="L83" s="110" t="s">
        <v>79</v>
      </c>
      <c r="M83" s="92" t="s">
        <v>1028</v>
      </c>
      <c r="N83" s="92" t="s">
        <v>1029</v>
      </c>
      <c r="O83" s="92" t="s">
        <v>1030</v>
      </c>
      <c r="P83" s="67" t="str">
        <f t="shared" si="1"/>
        <v>51.648156, 35.948542</v>
      </c>
      <c r="Q83" s="67" t="str">
        <f t="shared" si="2"/>
        <v>51.647683, 35.948381</v>
      </c>
      <c r="R83" s="67">
        <f t="shared" si="3"/>
        <v>51.647683</v>
      </c>
      <c r="S83" s="67">
        <f t="shared" si="4"/>
        <v>35.948381</v>
      </c>
      <c r="T83" s="71" t="s">
        <v>1031</v>
      </c>
      <c r="U83" s="69"/>
      <c r="V83" s="65" t="s">
        <v>1032</v>
      </c>
      <c r="W83" s="71" t="s">
        <v>74</v>
      </c>
      <c r="X83" s="72" t="s">
        <v>75</v>
      </c>
      <c r="Y83" s="61" t="s">
        <v>76</v>
      </c>
      <c r="Z83" s="73"/>
      <c r="AA83" s="61" t="s">
        <v>77</v>
      </c>
      <c r="AB83" s="61" t="s">
        <v>78</v>
      </c>
      <c r="AC83" s="73"/>
      <c r="AD83" s="73"/>
      <c r="AE83" s="73"/>
      <c r="AF83" s="73"/>
      <c r="AG83" s="73"/>
      <c r="AH83" s="73"/>
      <c r="AI83" s="61" t="s">
        <v>79</v>
      </c>
      <c r="AJ83" s="75"/>
      <c r="AK83" s="76" t="s">
        <v>798</v>
      </c>
      <c r="AL83" s="77" t="s">
        <v>1033</v>
      </c>
      <c r="AM83" s="71" t="s">
        <v>1034</v>
      </c>
      <c r="AN83" s="98" t="s">
        <v>1035</v>
      </c>
      <c r="AO83" s="71" t="s">
        <v>1036</v>
      </c>
      <c r="AP83" s="99" t="str">
        <f>IMAGE("https://bellingcat-archive.nyc3.cdn.digitaloceanspaces.com/ukraine_witness_test/Worksheet/yotube_dl_1489829249167106049/out2.jpg")</f>
        <v/>
      </c>
      <c r="AQ83" s="98" t="s">
        <v>1037</v>
      </c>
      <c r="AR83" s="71" t="s">
        <v>1038</v>
      </c>
      <c r="AS83" s="71" t="s">
        <v>1039</v>
      </c>
      <c r="AT83" s="71">
        <v>25.666</v>
      </c>
      <c r="AU83" s="79" t="s">
        <v>63</v>
      </c>
      <c r="AV83" s="90"/>
      <c r="AW83" s="81"/>
    </row>
    <row r="84" ht="15.75" customHeight="1">
      <c r="A84" s="87" t="s">
        <v>63</v>
      </c>
      <c r="B84" s="100"/>
      <c r="C84" s="101" t="s">
        <v>1026</v>
      </c>
      <c r="D84" s="74">
        <v>50.656477</v>
      </c>
      <c r="E84" s="74">
        <v>36.694563</v>
      </c>
      <c r="F84" s="59">
        <v>1.0</v>
      </c>
      <c r="G84" s="84" t="s">
        <v>1040</v>
      </c>
      <c r="H84" s="61" t="s">
        <v>66</v>
      </c>
      <c r="I84" s="82"/>
      <c r="J84" s="63" t="s">
        <v>1041</v>
      </c>
      <c r="K84" s="88" t="s">
        <v>1042</v>
      </c>
      <c r="L84" s="110" t="s">
        <v>79</v>
      </c>
      <c r="M84" s="92" t="s">
        <v>547</v>
      </c>
      <c r="N84" s="111"/>
      <c r="O84" s="92" t="s">
        <v>1043</v>
      </c>
      <c r="P84" s="67" t="str">
        <f t="shared" si="1"/>
        <v>50.656477, 36.694563</v>
      </c>
      <c r="Q84" s="67" t="str">
        <f t="shared" si="2"/>
        <v>50.656125, 36.695241</v>
      </c>
      <c r="R84" s="67">
        <f t="shared" si="3"/>
        <v>50.656125</v>
      </c>
      <c r="S84" s="67">
        <f t="shared" si="4"/>
        <v>36.695241</v>
      </c>
      <c r="T84" s="99"/>
      <c r="U84" s="69"/>
      <c r="V84" s="65" t="s">
        <v>1044</v>
      </c>
      <c r="W84" s="71" t="s">
        <v>74</v>
      </c>
      <c r="X84" s="72" t="s">
        <v>75</v>
      </c>
      <c r="Y84" s="61" t="s">
        <v>76</v>
      </c>
      <c r="Z84" s="73"/>
      <c r="AA84" s="61" t="s">
        <v>77</v>
      </c>
      <c r="AB84" s="61" t="s">
        <v>1045</v>
      </c>
      <c r="AC84" s="73"/>
      <c r="AD84" s="73"/>
      <c r="AE84" s="73"/>
      <c r="AF84" s="73"/>
      <c r="AG84" s="73"/>
      <c r="AH84" s="73"/>
      <c r="AI84" s="61" t="s">
        <v>79</v>
      </c>
      <c r="AJ84" s="75"/>
      <c r="AK84" s="76" t="s">
        <v>798</v>
      </c>
      <c r="AL84" s="77" t="s">
        <v>1046</v>
      </c>
      <c r="AM84" s="71" t="s">
        <v>1047</v>
      </c>
      <c r="AN84" s="98" t="s">
        <v>1048</v>
      </c>
      <c r="AO84" s="71" t="s">
        <v>1049</v>
      </c>
      <c r="AP84" s="99" t="str">
        <f>IMAGE("https://bellingcat-archive.nyc3.cdn.digitaloceanspaces.com/ukraine_witness_test/Worksheet/yotube_dl_1489964591736102912/out3.jpg")</f>
        <v/>
      </c>
      <c r="AQ84" s="98" t="s">
        <v>1050</v>
      </c>
      <c r="AR84" s="71" t="s">
        <v>1051</v>
      </c>
      <c r="AS84" s="71" t="s">
        <v>1052</v>
      </c>
      <c r="AT84" s="71">
        <v>62.229</v>
      </c>
      <c r="AU84" s="89"/>
      <c r="AV84" s="90"/>
      <c r="AW84" s="81"/>
    </row>
    <row r="85" ht="15.75" customHeight="1">
      <c r="A85" s="87" t="s">
        <v>63</v>
      </c>
      <c r="B85" s="100"/>
      <c r="C85" s="101" t="s">
        <v>1053</v>
      </c>
      <c r="D85" s="58">
        <v>51.212</v>
      </c>
      <c r="E85" s="58">
        <v>36.277639</v>
      </c>
      <c r="F85" s="59">
        <v>1.0</v>
      </c>
      <c r="G85" s="84" t="s">
        <v>1054</v>
      </c>
      <c r="H85" s="61" t="s">
        <v>66</v>
      </c>
      <c r="I85" s="82"/>
      <c r="J85" s="63" t="s">
        <v>1041</v>
      </c>
      <c r="K85" s="114" t="s">
        <v>1055</v>
      </c>
      <c r="L85" s="110" t="s">
        <v>79</v>
      </c>
      <c r="M85" s="92" t="s">
        <v>1028</v>
      </c>
      <c r="N85" s="92" t="s">
        <v>1056</v>
      </c>
      <c r="O85" s="92" t="s">
        <v>1057</v>
      </c>
      <c r="P85" s="67" t="str">
        <f t="shared" si="1"/>
        <v>51.212, 36.277639</v>
      </c>
      <c r="Q85" s="67" t="str">
        <f t="shared" si="2"/>
        <v>51.211288, 36.27789</v>
      </c>
      <c r="R85" s="67">
        <f t="shared" si="3"/>
        <v>51.211288</v>
      </c>
      <c r="S85" s="67">
        <f t="shared" si="4"/>
        <v>36.27789</v>
      </c>
      <c r="T85" s="99"/>
      <c r="U85" s="69"/>
      <c r="V85" s="65" t="s">
        <v>1058</v>
      </c>
      <c r="W85" s="71" t="s">
        <v>74</v>
      </c>
      <c r="X85" s="72" t="s">
        <v>75</v>
      </c>
      <c r="Y85" s="61" t="s">
        <v>76</v>
      </c>
      <c r="Z85" s="73"/>
      <c r="AA85" s="61" t="s">
        <v>77</v>
      </c>
      <c r="AB85" s="61" t="s">
        <v>1045</v>
      </c>
      <c r="AC85" s="73"/>
      <c r="AD85" s="73"/>
      <c r="AE85" s="73"/>
      <c r="AF85" s="73"/>
      <c r="AG85" s="73"/>
      <c r="AH85" s="73"/>
      <c r="AI85" s="61" t="s">
        <v>79</v>
      </c>
      <c r="AJ85" s="75"/>
      <c r="AK85" s="76" t="s">
        <v>798</v>
      </c>
      <c r="AL85" s="83" t="s">
        <v>1059</v>
      </c>
      <c r="AM85" s="71" t="s">
        <v>1060</v>
      </c>
      <c r="AN85" s="105" t="s">
        <v>1061</v>
      </c>
      <c r="AO85" s="71" t="s">
        <v>1062</v>
      </c>
      <c r="AP85" s="99" t="str">
        <f>IMAGE("https://bellingcat-archive.nyc3.cdn.digitaloceanspaces.com/Ukraine_Witness_Datasheet/Worksheet/youtube_dl_1490472689273823233/out3.jpg")</f>
        <v/>
      </c>
      <c r="AQ85" s="105" t="s">
        <v>1063</v>
      </c>
      <c r="AR85" s="71" t="s">
        <v>1064</v>
      </c>
      <c r="AS85" s="71" t="s">
        <v>1065</v>
      </c>
      <c r="AT85" s="71">
        <v>103.003</v>
      </c>
      <c r="AU85" s="89"/>
      <c r="AV85" s="90"/>
      <c r="AW85" s="81"/>
    </row>
    <row r="86" ht="15.75" customHeight="1">
      <c r="A86" s="87" t="s">
        <v>63</v>
      </c>
      <c r="B86" s="100"/>
      <c r="C86" s="101" t="s">
        <v>1066</v>
      </c>
      <c r="D86" s="58">
        <v>51.159799</v>
      </c>
      <c r="E86" s="58">
        <v>36.382767</v>
      </c>
      <c r="F86" s="59">
        <v>1.0</v>
      </c>
      <c r="G86" s="141" t="s">
        <v>1067</v>
      </c>
      <c r="H86" s="61" t="s">
        <v>66</v>
      </c>
      <c r="I86" s="82"/>
      <c r="J86" s="63" t="s">
        <v>1068</v>
      </c>
      <c r="K86" s="142" t="s">
        <v>1069</v>
      </c>
      <c r="L86" s="110" t="s">
        <v>79</v>
      </c>
      <c r="M86" s="92" t="s">
        <v>1028</v>
      </c>
      <c r="N86" s="92" t="s">
        <v>1056</v>
      </c>
      <c r="O86" s="92" t="s">
        <v>1070</v>
      </c>
      <c r="P86" s="67" t="str">
        <f t="shared" si="1"/>
        <v>51.159799, 36.382767</v>
      </c>
      <c r="Q86" s="67" t="str">
        <f t="shared" si="2"/>
        <v>51.159156, 36.3824</v>
      </c>
      <c r="R86" s="67">
        <f t="shared" si="3"/>
        <v>51.159156</v>
      </c>
      <c r="S86" s="67">
        <f t="shared" si="4"/>
        <v>36.3824</v>
      </c>
      <c r="T86" s="99"/>
      <c r="U86" s="69"/>
      <c r="V86" s="65" t="s">
        <v>1071</v>
      </c>
      <c r="W86" s="71" t="s">
        <v>74</v>
      </c>
      <c r="X86" s="72" t="s">
        <v>75</v>
      </c>
      <c r="Y86" s="61" t="s">
        <v>76</v>
      </c>
      <c r="Z86" s="73"/>
      <c r="AA86" s="61" t="s">
        <v>77</v>
      </c>
      <c r="AB86" s="61" t="s">
        <v>1072</v>
      </c>
      <c r="AC86" s="73"/>
      <c r="AD86" s="73"/>
      <c r="AE86" s="73"/>
      <c r="AF86" s="73"/>
      <c r="AG86" s="73"/>
      <c r="AH86" s="73"/>
      <c r="AI86" s="61" t="s">
        <v>79</v>
      </c>
      <c r="AJ86" s="75"/>
      <c r="AK86" s="76" t="s">
        <v>798</v>
      </c>
      <c r="AL86" s="83" t="s">
        <v>1073</v>
      </c>
      <c r="AM86" s="71" t="s">
        <v>1074</v>
      </c>
      <c r="AN86" s="105" t="s">
        <v>1075</v>
      </c>
      <c r="AO86" s="71" t="s">
        <v>1076</v>
      </c>
      <c r="AP86" s="99" t="str">
        <f>IMAGE("https://bellingcat-archive.nyc3.cdn.digitaloceanspaces.com/Ukraine_Witness_Datasheet/Worksheet/youtube_dl_1490502986715516931/out2.jpg")</f>
        <v/>
      </c>
      <c r="AQ86" s="105" t="s">
        <v>1077</v>
      </c>
      <c r="AR86" s="71" t="s">
        <v>1078</v>
      </c>
      <c r="AS86" s="71" t="s">
        <v>1079</v>
      </c>
      <c r="AT86" s="71">
        <v>20.0</v>
      </c>
      <c r="AU86" s="89"/>
      <c r="AV86" s="90"/>
      <c r="AW86" s="81"/>
    </row>
    <row r="87" ht="15.75" customHeight="1">
      <c r="A87" s="87" t="s">
        <v>63</v>
      </c>
      <c r="B87" s="100"/>
      <c r="C87" s="101" t="s">
        <v>1053</v>
      </c>
      <c r="D87" s="58">
        <v>52.749584</v>
      </c>
      <c r="E87" s="58">
        <v>32.256918</v>
      </c>
      <c r="F87" s="59">
        <v>1.0</v>
      </c>
      <c r="G87" s="84" t="s">
        <v>1080</v>
      </c>
      <c r="H87" s="61" t="s">
        <v>66</v>
      </c>
      <c r="I87" s="82"/>
      <c r="J87" s="63" t="s">
        <v>1081</v>
      </c>
      <c r="K87" s="88" t="s">
        <v>1082</v>
      </c>
      <c r="L87" s="110" t="s">
        <v>79</v>
      </c>
      <c r="M87" s="92" t="s">
        <v>240</v>
      </c>
      <c r="N87" s="111"/>
      <c r="O87" s="92" t="s">
        <v>1083</v>
      </c>
      <c r="P87" s="67" t="str">
        <f t="shared" si="1"/>
        <v>52.749584, 32.256918</v>
      </c>
      <c r="Q87" s="67" t="str">
        <f t="shared" si="2"/>
        <v>52.748963, 32.256654</v>
      </c>
      <c r="R87" s="67">
        <f t="shared" si="3"/>
        <v>52.748963</v>
      </c>
      <c r="S87" s="67">
        <f t="shared" si="4"/>
        <v>32.256654</v>
      </c>
      <c r="T87" s="99"/>
      <c r="U87" s="69"/>
      <c r="V87" s="65" t="s">
        <v>1084</v>
      </c>
      <c r="W87" s="71" t="s">
        <v>74</v>
      </c>
      <c r="X87" s="72" t="s">
        <v>75</v>
      </c>
      <c r="Y87" s="61" t="s">
        <v>76</v>
      </c>
      <c r="Z87" s="73"/>
      <c r="AA87" s="61" t="s">
        <v>77</v>
      </c>
      <c r="AB87" s="61" t="s">
        <v>78</v>
      </c>
      <c r="AC87" s="73"/>
      <c r="AD87" s="73"/>
      <c r="AE87" s="73"/>
      <c r="AF87" s="73"/>
      <c r="AG87" s="73"/>
      <c r="AH87" s="73"/>
      <c r="AI87" s="61" t="s">
        <v>79</v>
      </c>
      <c r="AJ87" s="75"/>
      <c r="AK87" s="76" t="s">
        <v>930</v>
      </c>
      <c r="AL87" s="83" t="s">
        <v>1085</v>
      </c>
      <c r="AM87" s="71" t="s">
        <v>1086</v>
      </c>
      <c r="AN87" s="105" t="s">
        <v>1087</v>
      </c>
      <c r="AO87" s="71" t="s">
        <v>1088</v>
      </c>
      <c r="AP87" s="99" t="str">
        <f>IMAGE("https://bellingcat-archive.nyc3.cdn.digitaloceanspaces.com/Ukraine_Witness_Datasheet/Worksheet/youtube_dl_1490309374274904065/out3.jpg")</f>
        <v/>
      </c>
      <c r="AQ87" s="105" t="s">
        <v>1089</v>
      </c>
      <c r="AR87" s="71" t="s">
        <v>1090</v>
      </c>
      <c r="AS87" s="71" t="s">
        <v>1091</v>
      </c>
      <c r="AT87" s="71">
        <v>102.467</v>
      </c>
      <c r="AU87" s="89"/>
      <c r="AV87" s="90"/>
      <c r="AW87" s="81"/>
    </row>
    <row r="88" ht="15.75" customHeight="1">
      <c r="A88" s="87" t="s">
        <v>63</v>
      </c>
      <c r="B88" s="100"/>
      <c r="C88" s="101" t="s">
        <v>1053</v>
      </c>
      <c r="D88" s="58">
        <v>47.260406</v>
      </c>
      <c r="E88" s="58">
        <v>39.651867</v>
      </c>
      <c r="F88" s="59">
        <v>1.0</v>
      </c>
      <c r="G88" s="84" t="s">
        <v>1092</v>
      </c>
      <c r="H88" s="61" t="s">
        <v>66</v>
      </c>
      <c r="I88" s="82"/>
      <c r="J88" s="63" t="s">
        <v>1081</v>
      </c>
      <c r="K88" s="88" t="s">
        <v>1093</v>
      </c>
      <c r="L88" s="110" t="s">
        <v>79</v>
      </c>
      <c r="M88" s="92" t="s">
        <v>349</v>
      </c>
      <c r="N88" s="111"/>
      <c r="O88" s="92" t="s">
        <v>1094</v>
      </c>
      <c r="P88" s="67" t="str">
        <f t="shared" si="1"/>
        <v>47.260406, 39.651867</v>
      </c>
      <c r="Q88" s="67" t="str">
        <f t="shared" si="2"/>
        <v>47.259645, 39.651673</v>
      </c>
      <c r="R88" s="67">
        <f t="shared" si="3"/>
        <v>47.259645</v>
      </c>
      <c r="S88" s="67">
        <f t="shared" si="4"/>
        <v>39.651673</v>
      </c>
      <c r="T88" s="99"/>
      <c r="U88" s="69"/>
      <c r="V88" s="65" t="s">
        <v>1095</v>
      </c>
      <c r="W88" s="71" t="s">
        <v>74</v>
      </c>
      <c r="X88" s="72" t="s">
        <v>75</v>
      </c>
      <c r="Y88" s="61" t="s">
        <v>76</v>
      </c>
      <c r="Z88" s="73"/>
      <c r="AA88" s="61" t="s">
        <v>77</v>
      </c>
      <c r="AB88" s="61" t="s">
        <v>78</v>
      </c>
      <c r="AC88" s="73"/>
      <c r="AD88" s="73"/>
      <c r="AE88" s="73"/>
      <c r="AF88" s="73"/>
      <c r="AG88" s="73"/>
      <c r="AH88" s="73"/>
      <c r="AI88" s="61" t="s">
        <v>79</v>
      </c>
      <c r="AJ88" s="75"/>
      <c r="AK88" s="76" t="s">
        <v>798</v>
      </c>
      <c r="AL88" s="83" t="s">
        <v>1096</v>
      </c>
      <c r="AM88" s="71" t="s">
        <v>1097</v>
      </c>
      <c r="AN88" s="105" t="s">
        <v>1098</v>
      </c>
      <c r="AO88" s="71" t="s">
        <v>1099</v>
      </c>
      <c r="AP88" s="99" t="str">
        <f>IMAGE("https://bellingcat-archive.nyc3.cdn.digitaloceanspaces.com/Ukraine_Witness_Datasheet/Worksheet/youtube_dl_1490364203080863745/out2.jpg")</f>
        <v/>
      </c>
      <c r="AQ88" s="105" t="s">
        <v>1100</v>
      </c>
      <c r="AR88" s="71" t="s">
        <v>1101</v>
      </c>
      <c r="AS88" s="71" t="s">
        <v>1102</v>
      </c>
      <c r="AT88" s="71">
        <v>13.567</v>
      </c>
      <c r="AU88" s="89"/>
      <c r="AV88" s="90"/>
      <c r="AW88" s="81"/>
    </row>
    <row r="89" ht="15.75" customHeight="1">
      <c r="A89" s="87" t="s">
        <v>63</v>
      </c>
      <c r="B89" s="100"/>
      <c r="C89" s="101" t="s">
        <v>1066</v>
      </c>
      <c r="D89" s="58">
        <v>51.410602</v>
      </c>
      <c r="E89" s="58">
        <v>34.900503</v>
      </c>
      <c r="F89" s="59">
        <v>1.0</v>
      </c>
      <c r="G89" s="60" t="s">
        <v>1103</v>
      </c>
      <c r="H89" s="61" t="s">
        <v>66</v>
      </c>
      <c r="I89" s="82"/>
      <c r="J89" s="63" t="s">
        <v>68</v>
      </c>
      <c r="K89" s="114" t="s">
        <v>1104</v>
      </c>
      <c r="L89" s="110" t="s">
        <v>79</v>
      </c>
      <c r="M89" s="92" t="s">
        <v>1028</v>
      </c>
      <c r="N89" s="92" t="s">
        <v>1105</v>
      </c>
      <c r="O89" s="92" t="s">
        <v>1106</v>
      </c>
      <c r="P89" s="67" t="str">
        <f t="shared" si="1"/>
        <v>51.410602, 34.900503</v>
      </c>
      <c r="Q89" s="67" t="str">
        <f t="shared" si="2"/>
        <v>51.410363, 34.901468</v>
      </c>
      <c r="R89" s="67">
        <f t="shared" si="3"/>
        <v>51.410363</v>
      </c>
      <c r="S89" s="67">
        <f t="shared" si="4"/>
        <v>34.901468</v>
      </c>
      <c r="T89" s="99"/>
      <c r="U89" s="69"/>
      <c r="V89" s="65" t="s">
        <v>1107</v>
      </c>
      <c r="W89" s="71" t="s">
        <v>74</v>
      </c>
      <c r="X89" s="72" t="s">
        <v>75</v>
      </c>
      <c r="Y89" s="61" t="s">
        <v>76</v>
      </c>
      <c r="Z89" s="73"/>
      <c r="AA89" s="61" t="s">
        <v>77</v>
      </c>
      <c r="AB89" s="61" t="s">
        <v>1045</v>
      </c>
      <c r="AC89" s="73"/>
      <c r="AD89" s="73"/>
      <c r="AE89" s="73"/>
      <c r="AF89" s="73"/>
      <c r="AG89" s="73"/>
      <c r="AH89" s="73"/>
      <c r="AI89" s="61" t="s">
        <v>79</v>
      </c>
      <c r="AJ89" s="75"/>
      <c r="AK89" s="76" t="s">
        <v>798</v>
      </c>
      <c r="AL89" s="83" t="s">
        <v>1108</v>
      </c>
      <c r="AM89" s="71" t="s">
        <v>1109</v>
      </c>
      <c r="AN89" s="105" t="s">
        <v>1110</v>
      </c>
      <c r="AO89" s="71" t="s">
        <v>1111</v>
      </c>
      <c r="AP89" s="99" t="str">
        <f>IMAGE("https://bellingcat-archive.nyc3.cdn.digitaloceanspaces.com/Ukraine_Witness_Datasheet/Worksheet/youtube_dl_1490600036878716929/out2.jpg")</f>
        <v/>
      </c>
      <c r="AQ89" s="105" t="s">
        <v>1112</v>
      </c>
      <c r="AR89" s="71" t="s">
        <v>1113</v>
      </c>
      <c r="AS89" s="71" t="s">
        <v>1114</v>
      </c>
      <c r="AT89" s="71">
        <v>16.1</v>
      </c>
      <c r="AU89" s="89"/>
      <c r="AV89" s="90"/>
      <c r="AW89" s="81"/>
    </row>
    <row r="90" ht="15.75" customHeight="1">
      <c r="A90" s="87" t="s">
        <v>63</v>
      </c>
      <c r="B90" s="100"/>
      <c r="C90" s="101" t="s">
        <v>1066</v>
      </c>
      <c r="D90" s="58">
        <v>51.414613</v>
      </c>
      <c r="E90" s="58">
        <v>34.900497</v>
      </c>
      <c r="F90" s="59">
        <v>1.0</v>
      </c>
      <c r="G90" s="84" t="s">
        <v>1115</v>
      </c>
      <c r="H90" s="61" t="s">
        <v>66</v>
      </c>
      <c r="I90" s="82"/>
      <c r="J90" s="63" t="s">
        <v>1116</v>
      </c>
      <c r="K90" s="88" t="s">
        <v>1117</v>
      </c>
      <c r="L90" s="110" t="s">
        <v>79</v>
      </c>
      <c r="M90" s="92" t="s">
        <v>1028</v>
      </c>
      <c r="N90" s="92" t="s">
        <v>1105</v>
      </c>
      <c r="O90" s="92" t="s">
        <v>1106</v>
      </c>
      <c r="P90" s="67" t="str">
        <f t="shared" si="1"/>
        <v>51.414613, 34.900497</v>
      </c>
      <c r="Q90" s="67" t="str">
        <f t="shared" si="2"/>
        <v>51.414306, 34.900972</v>
      </c>
      <c r="R90" s="67">
        <f t="shared" si="3"/>
        <v>51.414306</v>
      </c>
      <c r="S90" s="67">
        <f t="shared" si="4"/>
        <v>34.900972</v>
      </c>
      <c r="T90" s="99"/>
      <c r="U90" s="69"/>
      <c r="V90" s="65" t="s">
        <v>1118</v>
      </c>
      <c r="W90" s="71" t="s">
        <v>74</v>
      </c>
      <c r="X90" s="72" t="s">
        <v>75</v>
      </c>
      <c r="Y90" s="61" t="s">
        <v>76</v>
      </c>
      <c r="Z90" s="73"/>
      <c r="AA90" s="61" t="s">
        <v>77</v>
      </c>
      <c r="AB90" s="61" t="s">
        <v>1045</v>
      </c>
      <c r="AC90" s="73"/>
      <c r="AD90" s="73"/>
      <c r="AE90" s="73"/>
      <c r="AF90" s="73"/>
      <c r="AG90" s="73"/>
      <c r="AH90" s="73"/>
      <c r="AI90" s="61" t="s">
        <v>79</v>
      </c>
      <c r="AJ90" s="75"/>
      <c r="AK90" s="76" t="s">
        <v>798</v>
      </c>
      <c r="AL90" s="83" t="s">
        <v>1119</v>
      </c>
      <c r="AM90" s="71" t="s">
        <v>1120</v>
      </c>
      <c r="AN90" s="105" t="s">
        <v>1121</v>
      </c>
      <c r="AO90" s="71" t="s">
        <v>1122</v>
      </c>
      <c r="AP90" s="99" t="str">
        <f>IMAGE("https://bellingcat-archive.nyc3.cdn.digitaloceanspaces.com/Ukraine_Witness_Datasheet/Worksheet/youtube_dl_1490601026428313601/out3.jpg")</f>
        <v/>
      </c>
      <c r="AQ90" s="105" t="s">
        <v>1123</v>
      </c>
      <c r="AR90" s="71" t="s">
        <v>1124</v>
      </c>
      <c r="AS90" s="71" t="s">
        <v>1125</v>
      </c>
      <c r="AT90" s="71">
        <v>62.166</v>
      </c>
      <c r="AU90" s="89"/>
      <c r="AV90" s="90"/>
      <c r="AW90" s="81"/>
    </row>
    <row r="91" ht="15.75" customHeight="1">
      <c r="A91" s="87" t="s">
        <v>63</v>
      </c>
      <c r="B91" s="100"/>
      <c r="C91" s="101" t="s">
        <v>1066</v>
      </c>
      <c r="D91" s="58">
        <v>51.410602</v>
      </c>
      <c r="E91" s="58">
        <v>34.900503</v>
      </c>
      <c r="F91" s="59">
        <v>1.0</v>
      </c>
      <c r="G91" s="84" t="s">
        <v>1126</v>
      </c>
      <c r="H91" s="61" t="s">
        <v>66</v>
      </c>
      <c r="I91" s="82"/>
      <c r="J91" s="63" t="s">
        <v>68</v>
      </c>
      <c r="K91" s="143" t="s">
        <v>1104</v>
      </c>
      <c r="L91" s="110" t="s">
        <v>79</v>
      </c>
      <c r="M91" s="92" t="s">
        <v>1028</v>
      </c>
      <c r="N91" s="92" t="s">
        <v>1105</v>
      </c>
      <c r="O91" s="92" t="s">
        <v>1106</v>
      </c>
      <c r="P91" s="67" t="str">
        <f t="shared" si="1"/>
        <v>51.410602, 34.900503</v>
      </c>
      <c r="Q91" s="67" t="str">
        <f t="shared" si="2"/>
        <v>51.410185, 34.900966</v>
      </c>
      <c r="R91" s="67">
        <f t="shared" si="3"/>
        <v>51.410185</v>
      </c>
      <c r="S91" s="67">
        <f t="shared" si="4"/>
        <v>34.900966</v>
      </c>
      <c r="T91" s="99"/>
      <c r="U91" s="69"/>
      <c r="V91" s="65" t="s">
        <v>1127</v>
      </c>
      <c r="W91" s="71" t="s">
        <v>74</v>
      </c>
      <c r="X91" s="72" t="s">
        <v>75</v>
      </c>
      <c r="Y91" s="61" t="s">
        <v>76</v>
      </c>
      <c r="Z91" s="73"/>
      <c r="AA91" s="61" t="s">
        <v>77</v>
      </c>
      <c r="AB91" s="61" t="s">
        <v>78</v>
      </c>
      <c r="AC91" s="73"/>
      <c r="AD91" s="73"/>
      <c r="AE91" s="73"/>
      <c r="AF91" s="73"/>
      <c r="AG91" s="73"/>
      <c r="AH91" s="73"/>
      <c r="AI91" s="61" t="s">
        <v>79</v>
      </c>
      <c r="AJ91" s="75"/>
      <c r="AK91" s="76" t="s">
        <v>798</v>
      </c>
      <c r="AL91" s="83" t="s">
        <v>1128</v>
      </c>
      <c r="AM91" s="71" t="s">
        <v>1129</v>
      </c>
      <c r="AN91" s="105" t="s">
        <v>1130</v>
      </c>
      <c r="AO91" s="71" t="s">
        <v>1131</v>
      </c>
      <c r="AP91" s="99" t="str">
        <f>IMAGE("https://bellingcat-archive.nyc3.cdn.digitaloceanspaces.com/Ukraine_Witness_Datasheet/Worksheet/youtube_dl_1490608655816970241/out2.jpg")</f>
        <v/>
      </c>
      <c r="AQ91" s="105" t="s">
        <v>1132</v>
      </c>
      <c r="AR91" s="71" t="s">
        <v>1133</v>
      </c>
      <c r="AS91" s="71" t="s">
        <v>1134</v>
      </c>
      <c r="AT91" s="71">
        <v>14.766</v>
      </c>
      <c r="AU91" s="89"/>
      <c r="AV91" s="90"/>
      <c r="AW91" s="81"/>
    </row>
    <row r="92" ht="15.75" customHeight="1">
      <c r="A92" s="87" t="s">
        <v>170</v>
      </c>
      <c r="B92" s="100"/>
      <c r="C92" s="101" t="s">
        <v>1066</v>
      </c>
      <c r="D92" s="74">
        <v>48.92373</v>
      </c>
      <c r="E92" s="74">
        <v>40.376717</v>
      </c>
      <c r="F92" s="59">
        <v>1.0</v>
      </c>
      <c r="G92" s="84" t="s">
        <v>1135</v>
      </c>
      <c r="H92" s="61" t="s">
        <v>66</v>
      </c>
      <c r="I92" s="82"/>
      <c r="J92" s="63" t="s">
        <v>68</v>
      </c>
      <c r="K92" s="88" t="s">
        <v>1136</v>
      </c>
      <c r="L92" s="110" t="s">
        <v>79</v>
      </c>
      <c r="M92" s="92" t="s">
        <v>349</v>
      </c>
      <c r="N92" s="111"/>
      <c r="O92" s="92" t="s">
        <v>1137</v>
      </c>
      <c r="P92" s="67" t="str">
        <f t="shared" si="1"/>
        <v>48.92373, 40.376717</v>
      </c>
      <c r="Q92" s="67" t="str">
        <f t="shared" si="2"/>
        <v>48.923663, 40.375502</v>
      </c>
      <c r="R92" s="67">
        <f t="shared" si="3"/>
        <v>48.923663</v>
      </c>
      <c r="S92" s="67">
        <f t="shared" si="4"/>
        <v>40.375502</v>
      </c>
      <c r="T92" s="99"/>
      <c r="U92" s="69"/>
      <c r="V92" s="65" t="s">
        <v>1138</v>
      </c>
      <c r="W92" s="71" t="s">
        <v>74</v>
      </c>
      <c r="X92" s="72" t="s">
        <v>75</v>
      </c>
      <c r="Y92" s="61" t="s">
        <v>76</v>
      </c>
      <c r="Z92" s="73"/>
      <c r="AA92" s="61" t="s">
        <v>77</v>
      </c>
      <c r="AB92" s="61" t="s">
        <v>1139</v>
      </c>
      <c r="AC92" s="73"/>
      <c r="AD92" s="73"/>
      <c r="AE92" s="73"/>
      <c r="AF92" s="73"/>
      <c r="AG92" s="73"/>
      <c r="AH92" s="73"/>
      <c r="AI92" s="61" t="s">
        <v>79</v>
      </c>
      <c r="AJ92" s="75"/>
      <c r="AK92" s="76" t="s">
        <v>798</v>
      </c>
      <c r="AL92" s="83" t="s">
        <v>1140</v>
      </c>
      <c r="AM92" s="71" t="s">
        <v>1141</v>
      </c>
      <c r="AN92" s="105" t="s">
        <v>1142</v>
      </c>
      <c r="AO92" s="71" t="s">
        <v>1143</v>
      </c>
      <c r="AP92" s="99" t="str">
        <f>IMAGE("https://bellingcat-archive.nyc3.cdn.digitaloceanspaces.com/Ukraine_Witness_Datasheet/Worksheet/youtube_dl_1490766954503757826/out3.jpg")</f>
        <v/>
      </c>
      <c r="AQ92" s="105" t="s">
        <v>1144</v>
      </c>
      <c r="AR92" s="71" t="s">
        <v>1101</v>
      </c>
      <c r="AS92" s="71" t="s">
        <v>1145</v>
      </c>
      <c r="AT92" s="71">
        <v>60.333</v>
      </c>
      <c r="AU92" s="89"/>
      <c r="AV92" s="90"/>
      <c r="AW92" s="81"/>
    </row>
    <row r="93" ht="15.75" customHeight="1">
      <c r="A93" s="144" t="s">
        <v>254</v>
      </c>
      <c r="B93" s="100"/>
      <c r="C93" s="101" t="s">
        <v>1066</v>
      </c>
      <c r="D93" s="121"/>
      <c r="E93" s="121"/>
      <c r="F93" s="59">
        <v>1.0</v>
      </c>
      <c r="G93" s="145" t="s">
        <v>1146</v>
      </c>
      <c r="H93" s="61" t="s">
        <v>66</v>
      </c>
      <c r="I93" s="82"/>
      <c r="J93" s="63" t="s">
        <v>1147</v>
      </c>
      <c r="K93" s="69"/>
      <c r="L93" s="110" t="s">
        <v>79</v>
      </c>
      <c r="M93" s="92" t="s">
        <v>1028</v>
      </c>
      <c r="N93" s="111"/>
      <c r="O93" s="111"/>
      <c r="P93" s="67" t="str">
        <f t="shared" si="1"/>
        <v/>
      </c>
      <c r="Q93" s="67" t="str">
        <f t="shared" si="2"/>
        <v/>
      </c>
      <c r="R93" s="67" t="str">
        <f t="shared" si="3"/>
        <v/>
      </c>
      <c r="S93" s="67" t="str">
        <f t="shared" si="4"/>
        <v/>
      </c>
      <c r="T93" s="99"/>
      <c r="U93" s="64" t="s">
        <v>1148</v>
      </c>
      <c r="V93" s="65" t="s">
        <v>1149</v>
      </c>
      <c r="W93" s="71"/>
      <c r="X93" s="146"/>
      <c r="Y93" s="73"/>
      <c r="Z93" s="73"/>
      <c r="AA93" s="61" t="s">
        <v>77</v>
      </c>
      <c r="AB93" s="61" t="s">
        <v>421</v>
      </c>
      <c r="AC93" s="73"/>
      <c r="AD93" s="73"/>
      <c r="AE93" s="73"/>
      <c r="AF93" s="73"/>
      <c r="AG93" s="73"/>
      <c r="AH93" s="73"/>
      <c r="AI93" s="61" t="s">
        <v>79</v>
      </c>
      <c r="AJ93" s="75"/>
      <c r="AK93" s="76" t="s">
        <v>798</v>
      </c>
      <c r="AL93" s="83" t="s">
        <v>1150</v>
      </c>
      <c r="AM93" s="71" t="s">
        <v>1151</v>
      </c>
      <c r="AN93" s="105" t="s">
        <v>1152</v>
      </c>
      <c r="AO93" s="71" t="s">
        <v>1153</v>
      </c>
      <c r="AP93" s="99" t="str">
        <f>IMAGE("https://bellingcat-archive.nyc3.cdn.digitaloceanspaces.com/Ukraine_Witness_Datasheet/Worksheet/youtube_dl_1491044474575007745/out2.jpg")</f>
        <v/>
      </c>
      <c r="AQ93" s="105" t="s">
        <v>1154</v>
      </c>
      <c r="AR93" s="71" t="s">
        <v>1155</v>
      </c>
      <c r="AS93" s="71" t="s">
        <v>1156</v>
      </c>
      <c r="AT93" s="71">
        <v>20.533</v>
      </c>
      <c r="AU93" s="89"/>
      <c r="AV93" s="90"/>
      <c r="AW93" s="81"/>
    </row>
    <row r="94" ht="15.75" customHeight="1">
      <c r="A94" s="144" t="s">
        <v>254</v>
      </c>
      <c r="B94" s="121"/>
      <c r="C94" s="132"/>
      <c r="D94" s="121"/>
      <c r="E94" s="121"/>
      <c r="F94" s="59">
        <v>1.0</v>
      </c>
      <c r="G94" s="84" t="s">
        <v>1157</v>
      </c>
      <c r="H94" s="61" t="s">
        <v>66</v>
      </c>
      <c r="I94" s="82"/>
      <c r="J94" s="133"/>
      <c r="K94" s="69"/>
      <c r="L94" s="134"/>
      <c r="M94" s="111"/>
      <c r="N94" s="111"/>
      <c r="O94" s="111"/>
      <c r="P94" s="67" t="str">
        <f t="shared" si="1"/>
        <v/>
      </c>
      <c r="Q94" s="67" t="str">
        <f t="shared" si="2"/>
        <v/>
      </c>
      <c r="R94" s="67" t="str">
        <f t="shared" si="3"/>
        <v/>
      </c>
      <c r="S94" s="67" t="str">
        <f t="shared" si="4"/>
        <v/>
      </c>
      <c r="T94" s="99"/>
      <c r="U94" s="69"/>
      <c r="V94" s="65" t="s">
        <v>1158</v>
      </c>
      <c r="W94" s="71"/>
      <c r="X94" s="146"/>
      <c r="Y94" s="73"/>
      <c r="Z94" s="73"/>
      <c r="AA94" s="73"/>
      <c r="AB94" s="73"/>
      <c r="AC94" s="73"/>
      <c r="AD94" s="73"/>
      <c r="AE94" s="73"/>
      <c r="AF94" s="73"/>
      <c r="AG94" s="73"/>
      <c r="AH94" s="73"/>
      <c r="AI94" s="73"/>
      <c r="AJ94" s="75"/>
      <c r="AK94" s="76" t="s">
        <v>798</v>
      </c>
      <c r="AL94" s="83" t="s">
        <v>1159</v>
      </c>
      <c r="AM94" s="71" t="s">
        <v>1160</v>
      </c>
      <c r="AN94" s="105" t="s">
        <v>1161</v>
      </c>
      <c r="AO94" s="71" t="s">
        <v>1162</v>
      </c>
      <c r="AP94" s="99" t="str">
        <f>IMAGE("https://bellingcat-archive.nyc3.cdn.digitaloceanspaces.com/Ukraine_Witness_Datasheet/Worksheet/youtube_dl_1491113219259199492/out3.jpg")</f>
        <v/>
      </c>
      <c r="AQ94" s="105" t="s">
        <v>1163</v>
      </c>
      <c r="AR94" s="71" t="s">
        <v>1051</v>
      </c>
      <c r="AS94" s="71" t="s">
        <v>1164</v>
      </c>
      <c r="AT94" s="71">
        <v>96.531</v>
      </c>
      <c r="AU94" s="89"/>
      <c r="AV94" s="90"/>
      <c r="AW94" s="81"/>
    </row>
    <row r="95" ht="15.75" customHeight="1">
      <c r="A95" s="87" t="s">
        <v>170</v>
      </c>
      <c r="B95" s="100"/>
      <c r="C95" s="101" t="s">
        <v>1165</v>
      </c>
      <c r="D95" s="74">
        <v>55.10955</v>
      </c>
      <c r="E95" s="74">
        <v>36.625588</v>
      </c>
      <c r="F95" s="59">
        <v>1.0</v>
      </c>
      <c r="G95" s="84" t="s">
        <v>1166</v>
      </c>
      <c r="H95" s="61" t="s">
        <v>66</v>
      </c>
      <c r="I95" s="82"/>
      <c r="J95" s="63" t="s">
        <v>1167</v>
      </c>
      <c r="K95" s="88" t="s">
        <v>1168</v>
      </c>
      <c r="L95" s="110" t="s">
        <v>79</v>
      </c>
      <c r="M95" s="92" t="s">
        <v>1169</v>
      </c>
      <c r="N95" s="111"/>
      <c r="O95" s="92" t="s">
        <v>1170</v>
      </c>
      <c r="P95" s="67" t="str">
        <f t="shared" si="1"/>
        <v>55.10955, 36.625588</v>
      </c>
      <c r="Q95" s="67" t="str">
        <f t="shared" si="2"/>
        <v>55.109506, 36.62499</v>
      </c>
      <c r="R95" s="67">
        <f t="shared" si="3"/>
        <v>55.109506</v>
      </c>
      <c r="S95" s="67">
        <f t="shared" si="4"/>
        <v>36.62499</v>
      </c>
      <c r="T95" s="99"/>
      <c r="U95" s="69"/>
      <c r="V95" s="65" t="s">
        <v>1171</v>
      </c>
      <c r="W95" s="71" t="s">
        <v>74</v>
      </c>
      <c r="X95" s="72" t="s">
        <v>75</v>
      </c>
      <c r="Y95" s="61" t="s">
        <v>76</v>
      </c>
      <c r="Z95" s="73"/>
      <c r="AA95" s="61" t="s">
        <v>77</v>
      </c>
      <c r="AB95" s="61" t="s">
        <v>78</v>
      </c>
      <c r="AC95" s="73"/>
      <c r="AD95" s="73"/>
      <c r="AE95" s="73"/>
      <c r="AF95" s="73"/>
      <c r="AG95" s="73"/>
      <c r="AH95" s="73"/>
      <c r="AI95" s="61" t="s">
        <v>79</v>
      </c>
      <c r="AJ95" s="75"/>
      <c r="AK95" s="76" t="s">
        <v>798</v>
      </c>
      <c r="AL95" s="83" t="s">
        <v>1172</v>
      </c>
      <c r="AM95" s="71" t="s">
        <v>1173</v>
      </c>
      <c r="AN95" s="105" t="s">
        <v>1174</v>
      </c>
      <c r="AO95" s="71" t="s">
        <v>1175</v>
      </c>
      <c r="AP95" s="99" t="str">
        <f>IMAGE("https://bellingcat-archive.nyc3.cdn.digitaloceanspaces.com/Ukraine_Witness_Datasheet/Worksheet/youtube_dl_1491221587768807424/out2.jpg")</f>
        <v/>
      </c>
      <c r="AQ95" s="105" t="s">
        <v>1176</v>
      </c>
      <c r="AR95" s="71" t="s">
        <v>1177</v>
      </c>
      <c r="AS95" s="71" t="s">
        <v>1178</v>
      </c>
      <c r="AT95" s="71">
        <v>11.495</v>
      </c>
      <c r="AU95" s="89"/>
      <c r="AV95" s="90"/>
      <c r="AW95" s="81"/>
    </row>
    <row r="96" ht="15.75" customHeight="1">
      <c r="A96" s="87" t="s">
        <v>63</v>
      </c>
      <c r="B96" s="100"/>
      <c r="C96" s="101" t="s">
        <v>1179</v>
      </c>
      <c r="D96" s="58">
        <v>50.613615</v>
      </c>
      <c r="E96" s="58">
        <v>37.197322</v>
      </c>
      <c r="F96" s="59">
        <v>1.0</v>
      </c>
      <c r="G96" s="84" t="s">
        <v>1180</v>
      </c>
      <c r="H96" s="61" t="s">
        <v>66</v>
      </c>
      <c r="I96" s="82"/>
      <c r="J96" s="63" t="s">
        <v>1181</v>
      </c>
      <c r="K96" s="88" t="s">
        <v>1182</v>
      </c>
      <c r="L96" s="110" t="s">
        <v>79</v>
      </c>
      <c r="M96" s="92" t="s">
        <v>547</v>
      </c>
      <c r="N96" s="111"/>
      <c r="O96" s="92" t="s">
        <v>1183</v>
      </c>
      <c r="P96" s="67" t="str">
        <f t="shared" si="1"/>
        <v>50.613615, 37.197322</v>
      </c>
      <c r="Q96" s="67" t="str">
        <f t="shared" si="2"/>
        <v>50.613599, 37.197899</v>
      </c>
      <c r="R96" s="67">
        <f t="shared" si="3"/>
        <v>50.613599</v>
      </c>
      <c r="S96" s="67">
        <f t="shared" si="4"/>
        <v>37.197899</v>
      </c>
      <c r="T96" s="99"/>
      <c r="U96" s="64" t="s">
        <v>1184</v>
      </c>
      <c r="V96" s="65" t="s">
        <v>1185</v>
      </c>
      <c r="W96" s="71" t="s">
        <v>74</v>
      </c>
      <c r="X96" s="72" t="s">
        <v>75</v>
      </c>
      <c r="Y96" s="61" t="s">
        <v>76</v>
      </c>
      <c r="Z96" s="73"/>
      <c r="AA96" s="61" t="s">
        <v>77</v>
      </c>
      <c r="AB96" s="61" t="s">
        <v>1186</v>
      </c>
      <c r="AC96" s="73"/>
      <c r="AD96" s="73"/>
      <c r="AE96" s="73"/>
      <c r="AF96" s="73"/>
      <c r="AG96" s="73"/>
      <c r="AH96" s="73"/>
      <c r="AI96" s="61" t="s">
        <v>79</v>
      </c>
      <c r="AJ96" s="75"/>
      <c r="AK96" s="76" t="s">
        <v>798</v>
      </c>
      <c r="AL96" s="83" t="s">
        <v>1187</v>
      </c>
      <c r="AM96" s="71" t="s">
        <v>1188</v>
      </c>
      <c r="AN96" s="105" t="s">
        <v>1189</v>
      </c>
      <c r="AO96" s="71" t="s">
        <v>1190</v>
      </c>
      <c r="AP96" s="99" t="str">
        <f>IMAGE("https://bellingcat-archive.nyc3.cdn.digitaloceanspaces.com/Ukraine_Witness_Datasheet/Worksheet/youtube_dl_1490953643029577728/out2.jpg")</f>
        <v/>
      </c>
      <c r="AQ96" s="105" t="s">
        <v>1191</v>
      </c>
      <c r="AR96" s="71" t="s">
        <v>1192</v>
      </c>
      <c r="AS96" s="71" t="s">
        <v>1193</v>
      </c>
      <c r="AT96" s="71">
        <v>13.0</v>
      </c>
      <c r="AU96" s="89"/>
      <c r="AV96" s="90"/>
      <c r="AW96" s="81"/>
    </row>
    <row r="97" ht="15.75" customHeight="1">
      <c r="A97" s="95" t="s">
        <v>63</v>
      </c>
      <c r="B97" s="100"/>
      <c r="C97" s="101" t="s">
        <v>1066</v>
      </c>
      <c r="D97" s="58">
        <v>45.262083</v>
      </c>
      <c r="E97" s="58">
        <v>35.907066</v>
      </c>
      <c r="F97" s="59">
        <v>1.0</v>
      </c>
      <c r="G97" s="84" t="s">
        <v>1194</v>
      </c>
      <c r="H97" s="61" t="s">
        <v>66</v>
      </c>
      <c r="I97" s="82"/>
      <c r="J97" s="63" t="s">
        <v>1195</v>
      </c>
      <c r="K97" s="69"/>
      <c r="L97" s="110"/>
      <c r="M97" s="92" t="s">
        <v>407</v>
      </c>
      <c r="N97" s="111"/>
      <c r="O97" s="92" t="s">
        <v>1196</v>
      </c>
      <c r="P97" s="67" t="str">
        <f t="shared" si="1"/>
        <v>45.262083, 35.907066</v>
      </c>
      <c r="Q97" s="67" t="str">
        <f t="shared" si="2"/>
        <v>45.261815, 35.907468</v>
      </c>
      <c r="R97" s="67">
        <f t="shared" si="3"/>
        <v>45.261815</v>
      </c>
      <c r="S97" s="67">
        <f t="shared" si="4"/>
        <v>35.907468</v>
      </c>
      <c r="T97" s="99"/>
      <c r="U97" s="69"/>
      <c r="V97" s="65" t="s">
        <v>1197</v>
      </c>
      <c r="W97" s="71" t="s">
        <v>74</v>
      </c>
      <c r="X97" s="72" t="s">
        <v>75</v>
      </c>
      <c r="Y97" s="61" t="s">
        <v>76</v>
      </c>
      <c r="Z97" s="73"/>
      <c r="AA97" s="61" t="s">
        <v>77</v>
      </c>
      <c r="AB97" s="61" t="s">
        <v>78</v>
      </c>
      <c r="AC97" s="73"/>
      <c r="AD97" s="73"/>
      <c r="AE97" s="73"/>
      <c r="AF97" s="73"/>
      <c r="AG97" s="73"/>
      <c r="AH97" s="73"/>
      <c r="AI97" s="61" t="s">
        <v>79</v>
      </c>
      <c r="AJ97" s="75"/>
      <c r="AK97" s="76" t="s">
        <v>798</v>
      </c>
      <c r="AL97" s="83" t="s">
        <v>1198</v>
      </c>
      <c r="AM97" s="71" t="s">
        <v>1199</v>
      </c>
      <c r="AN97" s="105" t="s">
        <v>1200</v>
      </c>
      <c r="AO97" s="71" t="s">
        <v>1201</v>
      </c>
      <c r="AP97" s="99" t="str">
        <f>IMAGE("https://bellingcat-archive.nyc3.cdn.digitaloceanspaces.com/Ukraine_Witness_Datasheet/Worksheet/youtube_dl_1490621504333230085/out2.jpg")</f>
        <v/>
      </c>
      <c r="AQ97" s="105" t="s">
        <v>1202</v>
      </c>
      <c r="AR97" s="71" t="s">
        <v>1203</v>
      </c>
      <c r="AS97" s="71" t="s">
        <v>1204</v>
      </c>
      <c r="AT97" s="71">
        <v>25.799</v>
      </c>
      <c r="AU97" s="89"/>
      <c r="AV97" s="90"/>
      <c r="AW97" s="81"/>
    </row>
    <row r="98" ht="15.75" customHeight="1">
      <c r="A98" s="87" t="s">
        <v>63</v>
      </c>
      <c r="B98" s="100"/>
      <c r="C98" s="101" t="s">
        <v>1179</v>
      </c>
      <c r="D98" s="58">
        <v>51.580447</v>
      </c>
      <c r="E98" s="58">
        <v>34.675445</v>
      </c>
      <c r="F98" s="59">
        <v>1.0</v>
      </c>
      <c r="G98" s="84" t="s">
        <v>1205</v>
      </c>
      <c r="H98" s="61" t="s">
        <v>66</v>
      </c>
      <c r="I98" s="82"/>
      <c r="J98" s="63" t="s">
        <v>1195</v>
      </c>
      <c r="K98" s="88" t="s">
        <v>1206</v>
      </c>
      <c r="L98" s="110" t="s">
        <v>79</v>
      </c>
      <c r="M98" s="92" t="s">
        <v>1028</v>
      </c>
      <c r="N98" s="92" t="s">
        <v>1207</v>
      </c>
      <c r="O98" s="92" t="s">
        <v>1208</v>
      </c>
      <c r="P98" s="67" t="str">
        <f t="shared" si="1"/>
        <v>51.580447, 34.675445</v>
      </c>
      <c r="Q98" s="67" t="str">
        <f t="shared" si="2"/>
        <v>51.579981, 34.675842</v>
      </c>
      <c r="R98" s="67">
        <f t="shared" si="3"/>
        <v>51.579981</v>
      </c>
      <c r="S98" s="67">
        <f t="shared" si="4"/>
        <v>34.675842</v>
      </c>
      <c r="T98" s="99"/>
      <c r="U98" s="69"/>
      <c r="V98" s="65" t="s">
        <v>1209</v>
      </c>
      <c r="W98" s="71" t="s">
        <v>74</v>
      </c>
      <c r="X98" s="72" t="s">
        <v>75</v>
      </c>
      <c r="Y98" s="61" t="s">
        <v>76</v>
      </c>
      <c r="Z98" s="73"/>
      <c r="AA98" s="61" t="s">
        <v>77</v>
      </c>
      <c r="AB98" s="61" t="s">
        <v>78</v>
      </c>
      <c r="AC98" s="73"/>
      <c r="AD98" s="73"/>
      <c r="AE98" s="73"/>
      <c r="AF98" s="73"/>
      <c r="AG98" s="73"/>
      <c r="AH98" s="73"/>
      <c r="AI98" s="61" t="s">
        <v>79</v>
      </c>
      <c r="AJ98" s="75"/>
      <c r="AK98" s="76" t="s">
        <v>798</v>
      </c>
      <c r="AL98" s="83" t="s">
        <v>1210</v>
      </c>
      <c r="AM98" s="71" t="s">
        <v>1211</v>
      </c>
      <c r="AN98" s="105" t="s">
        <v>1212</v>
      </c>
      <c r="AO98" s="71" t="s">
        <v>1213</v>
      </c>
      <c r="AP98" s="99" t="str">
        <f>IMAGE("https://bellingcat-archive.nyc3.cdn.digitaloceanspaces.com/Ukraine_Witness_Datasheet/Worksheet/youtube_dl_1491085146531201025/out2.jpg")</f>
        <v/>
      </c>
      <c r="AQ98" s="105" t="s">
        <v>1214</v>
      </c>
      <c r="AR98" s="71" t="s">
        <v>1215</v>
      </c>
      <c r="AS98" s="71" t="s">
        <v>1216</v>
      </c>
      <c r="AT98" s="71">
        <v>12.515</v>
      </c>
      <c r="AU98" s="89"/>
      <c r="AV98" s="90"/>
      <c r="AW98" s="81"/>
    </row>
    <row r="99" ht="15.75" customHeight="1">
      <c r="A99" s="95" t="s">
        <v>63</v>
      </c>
      <c r="B99" s="100"/>
      <c r="C99" s="101" t="s">
        <v>1066</v>
      </c>
      <c r="D99" s="58">
        <v>51.417205</v>
      </c>
      <c r="E99" s="104">
        <v>34.901391</v>
      </c>
      <c r="F99" s="59">
        <v>1.0</v>
      </c>
      <c r="G99" s="84" t="s">
        <v>1217</v>
      </c>
      <c r="H99" s="61" t="s">
        <v>66</v>
      </c>
      <c r="I99" s="82"/>
      <c r="J99" s="63" t="s">
        <v>1218</v>
      </c>
      <c r="K99" s="64"/>
      <c r="L99" s="110" t="s">
        <v>79</v>
      </c>
      <c r="M99" s="92" t="s">
        <v>1028</v>
      </c>
      <c r="N99" s="92" t="s">
        <v>1105</v>
      </c>
      <c r="O99" s="92" t="s">
        <v>1219</v>
      </c>
      <c r="P99" s="67" t="str">
        <f t="shared" si="1"/>
        <v>51.417205, 34.901391</v>
      </c>
      <c r="Q99" s="67" t="str">
        <f t="shared" si="2"/>
        <v>51.416975, 34.90179</v>
      </c>
      <c r="R99" s="67">
        <f t="shared" si="3"/>
        <v>51.416975</v>
      </c>
      <c r="S99" s="67">
        <f t="shared" si="4"/>
        <v>34.90179</v>
      </c>
      <c r="T99" s="99"/>
      <c r="U99" s="69"/>
      <c r="V99" s="65" t="s">
        <v>1220</v>
      </c>
      <c r="W99" s="71" t="s">
        <v>74</v>
      </c>
      <c r="X99" s="72" t="s">
        <v>75</v>
      </c>
      <c r="Y99" s="61" t="s">
        <v>76</v>
      </c>
      <c r="Z99" s="73"/>
      <c r="AA99" s="61" t="s">
        <v>77</v>
      </c>
      <c r="AB99" s="61" t="s">
        <v>78</v>
      </c>
      <c r="AC99" s="73"/>
      <c r="AD99" s="73"/>
      <c r="AE99" s="73"/>
      <c r="AF99" s="73"/>
      <c r="AG99" s="73"/>
      <c r="AH99" s="73"/>
      <c r="AI99" s="61" t="s">
        <v>79</v>
      </c>
      <c r="AJ99" s="75"/>
      <c r="AK99" s="76" t="s">
        <v>798</v>
      </c>
      <c r="AL99" s="83" t="s">
        <v>1221</v>
      </c>
      <c r="AM99" s="71" t="s">
        <v>1222</v>
      </c>
      <c r="AN99" s="105" t="s">
        <v>1223</v>
      </c>
      <c r="AO99" s="71" t="s">
        <v>1224</v>
      </c>
      <c r="AP99" s="99" t="str">
        <f>IMAGE("https://bellingcat-archive.nyc3.cdn.digitaloceanspaces.com/Ukraine_Witness_Datasheet/Worksheet/youtube_dl_1490699410489192458/out2.jpg")</f>
        <v/>
      </c>
      <c r="AQ99" s="105" t="s">
        <v>1225</v>
      </c>
      <c r="AR99" s="71" t="s">
        <v>1226</v>
      </c>
      <c r="AS99" s="71" t="s">
        <v>1227</v>
      </c>
      <c r="AT99" s="71">
        <v>47.733</v>
      </c>
      <c r="AU99" s="89"/>
      <c r="AV99" s="90"/>
      <c r="AW99" s="81"/>
    </row>
    <row r="100" ht="15.75" customHeight="1">
      <c r="A100" s="87" t="s">
        <v>63</v>
      </c>
      <c r="B100" s="100"/>
      <c r="C100" s="101" t="s">
        <v>1179</v>
      </c>
      <c r="D100" s="58">
        <v>47.40474</v>
      </c>
      <c r="E100" s="58">
        <v>38.92011</v>
      </c>
      <c r="F100" s="59">
        <v>1.0</v>
      </c>
      <c r="G100" s="84" t="s">
        <v>1228</v>
      </c>
      <c r="H100" s="61" t="s">
        <v>66</v>
      </c>
      <c r="I100" s="82"/>
      <c r="J100" s="63" t="s">
        <v>1229</v>
      </c>
      <c r="K100" s="88" t="s">
        <v>1230</v>
      </c>
      <c r="L100" s="110" t="s">
        <v>79</v>
      </c>
      <c r="M100" s="92" t="s">
        <v>349</v>
      </c>
      <c r="N100" s="92" t="s">
        <v>1231</v>
      </c>
      <c r="O100" s="92" t="s">
        <v>1232</v>
      </c>
      <c r="P100" s="67" t="str">
        <f t="shared" si="1"/>
        <v>47.40474, 38.92011</v>
      </c>
      <c r="Q100" s="67" t="str">
        <f t="shared" si="2"/>
        <v>47.404408, 38.920958</v>
      </c>
      <c r="R100" s="67">
        <f t="shared" si="3"/>
        <v>47.404408</v>
      </c>
      <c r="S100" s="67">
        <f t="shared" si="4"/>
        <v>38.920958</v>
      </c>
      <c r="T100" s="99"/>
      <c r="U100" s="64" t="s">
        <v>1233</v>
      </c>
      <c r="V100" s="65" t="s">
        <v>1234</v>
      </c>
      <c r="W100" s="71" t="s">
        <v>74</v>
      </c>
      <c r="X100" s="72" t="s">
        <v>75</v>
      </c>
      <c r="Y100" s="61" t="s">
        <v>76</v>
      </c>
      <c r="Z100" s="73"/>
      <c r="AA100" s="61" t="s">
        <v>77</v>
      </c>
      <c r="AB100" s="61" t="s">
        <v>1235</v>
      </c>
      <c r="AC100" s="73"/>
      <c r="AD100" s="73"/>
      <c r="AE100" s="73"/>
      <c r="AF100" s="73"/>
      <c r="AG100" s="73"/>
      <c r="AH100" s="73"/>
      <c r="AI100" s="61" t="s">
        <v>79</v>
      </c>
      <c r="AJ100" s="75"/>
      <c r="AK100" s="76" t="s">
        <v>798</v>
      </c>
      <c r="AL100" s="83" t="s">
        <v>1236</v>
      </c>
      <c r="AM100" s="71" t="s">
        <v>1237</v>
      </c>
      <c r="AN100" s="105" t="s">
        <v>1238</v>
      </c>
      <c r="AO100" s="71" t="s">
        <v>1239</v>
      </c>
      <c r="AP100" s="99" t="str">
        <f>IMAGE("https://bellingcat-archive.nyc3.cdn.digitaloceanspaces.com/Ukraine_Witness_Datasheet/Worksheet/youtube_dl_1491080325384257537/out2.jpg")</f>
        <v/>
      </c>
      <c r="AQ100" s="105" t="s">
        <v>1240</v>
      </c>
      <c r="AR100" s="71" t="s">
        <v>1241</v>
      </c>
      <c r="AS100" s="71" t="s">
        <v>1242</v>
      </c>
      <c r="AT100" s="71">
        <v>9.433</v>
      </c>
      <c r="AU100" s="89"/>
      <c r="AV100" s="90"/>
      <c r="AW100" s="81"/>
    </row>
    <row r="101" ht="15.75" customHeight="1">
      <c r="A101" s="95" t="s">
        <v>63</v>
      </c>
      <c r="B101" s="100"/>
      <c r="C101" s="101" t="s">
        <v>1179</v>
      </c>
      <c r="D101" s="58">
        <v>55.418838</v>
      </c>
      <c r="E101" s="58">
        <v>36.871511</v>
      </c>
      <c r="F101" s="59">
        <v>1.0</v>
      </c>
      <c r="G101" s="84" t="s">
        <v>1243</v>
      </c>
      <c r="H101" s="61" t="s">
        <v>66</v>
      </c>
      <c r="I101" s="82"/>
      <c r="J101" s="63" t="s">
        <v>1244</v>
      </c>
      <c r="K101" s="69"/>
      <c r="L101" s="110" t="s">
        <v>79</v>
      </c>
      <c r="M101" s="92" t="s">
        <v>1245</v>
      </c>
      <c r="N101" s="111"/>
      <c r="O101" s="92" t="s">
        <v>1246</v>
      </c>
      <c r="P101" s="67" t="str">
        <f t="shared" si="1"/>
        <v>55.418838, 36.871511</v>
      </c>
      <c r="Q101" s="67" t="str">
        <f t="shared" si="2"/>
        <v>55.418339, 36.871</v>
      </c>
      <c r="R101" s="67">
        <f t="shared" si="3"/>
        <v>55.418339</v>
      </c>
      <c r="S101" s="67">
        <f t="shared" si="4"/>
        <v>36.871</v>
      </c>
      <c r="T101" s="99"/>
      <c r="U101" s="69"/>
      <c r="V101" s="65" t="s">
        <v>1247</v>
      </c>
      <c r="W101" s="71" t="s">
        <v>74</v>
      </c>
      <c r="X101" s="72" t="s">
        <v>75</v>
      </c>
      <c r="Y101" s="61" t="s">
        <v>76</v>
      </c>
      <c r="Z101" s="73"/>
      <c r="AA101" s="61" t="s">
        <v>77</v>
      </c>
      <c r="AB101" s="61" t="s">
        <v>421</v>
      </c>
      <c r="AC101" s="73"/>
      <c r="AD101" s="73"/>
      <c r="AE101" s="73"/>
      <c r="AF101" s="73"/>
      <c r="AG101" s="73"/>
      <c r="AH101" s="73"/>
      <c r="AI101" s="61" t="s">
        <v>79</v>
      </c>
      <c r="AJ101" s="75"/>
      <c r="AK101" s="76" t="s">
        <v>798</v>
      </c>
      <c r="AL101" s="83" t="s">
        <v>1248</v>
      </c>
      <c r="AM101" s="71" t="s">
        <v>1249</v>
      </c>
      <c r="AN101" s="105" t="s">
        <v>1250</v>
      </c>
      <c r="AO101" s="71" t="s">
        <v>1251</v>
      </c>
      <c r="AP101" s="99" t="str">
        <f>IMAGE("https://bellingcat-archive.nyc3.cdn.digitaloceanspaces.com/Ukraine_Witness_Datasheet/Worksheet/youtube_dl_1491108245678993410/out2.jpg")</f>
        <v/>
      </c>
      <c r="AQ101" s="105" t="s">
        <v>1252</v>
      </c>
      <c r="AR101" s="71" t="s">
        <v>1253</v>
      </c>
      <c r="AS101" s="71" t="s">
        <v>1254</v>
      </c>
      <c r="AT101" s="71">
        <v>59.733</v>
      </c>
      <c r="AU101" s="89"/>
      <c r="AV101" s="90"/>
      <c r="AW101" s="81"/>
    </row>
    <row r="102" ht="15.75" customHeight="1">
      <c r="A102" s="87" t="s">
        <v>63</v>
      </c>
      <c r="B102" s="100"/>
      <c r="C102" s="101" t="s">
        <v>1179</v>
      </c>
      <c r="D102" s="104">
        <v>50.496498</v>
      </c>
      <c r="E102" s="104">
        <v>36.389863</v>
      </c>
      <c r="F102" s="59">
        <v>1.0</v>
      </c>
      <c r="G102" s="60" t="s">
        <v>1255</v>
      </c>
      <c r="H102" s="61" t="s">
        <v>66</v>
      </c>
      <c r="I102" s="82"/>
      <c r="J102" s="63" t="s">
        <v>1256</v>
      </c>
      <c r="K102" s="88" t="s">
        <v>1257</v>
      </c>
      <c r="L102" s="110" t="s">
        <v>79</v>
      </c>
      <c r="M102" s="92" t="s">
        <v>547</v>
      </c>
      <c r="N102" s="92" t="s">
        <v>1258</v>
      </c>
      <c r="O102" s="92" t="s">
        <v>1259</v>
      </c>
      <c r="P102" s="67" t="str">
        <f t="shared" si="1"/>
        <v>50.496498, 36.389863</v>
      </c>
      <c r="Q102" s="67" t="str">
        <f t="shared" si="2"/>
        <v>50.495855, 36.389568</v>
      </c>
      <c r="R102" s="67">
        <f t="shared" si="3"/>
        <v>50.495855</v>
      </c>
      <c r="S102" s="67">
        <f t="shared" si="4"/>
        <v>36.389568</v>
      </c>
      <c r="T102" s="99"/>
      <c r="U102" s="69"/>
      <c r="V102" s="65" t="s">
        <v>1260</v>
      </c>
      <c r="W102" s="71" t="s">
        <v>74</v>
      </c>
      <c r="X102" s="72" t="s">
        <v>75</v>
      </c>
      <c r="Y102" s="61" t="s">
        <v>76</v>
      </c>
      <c r="Z102" s="73"/>
      <c r="AA102" s="61" t="s">
        <v>77</v>
      </c>
      <c r="AB102" s="61" t="s">
        <v>78</v>
      </c>
      <c r="AC102" s="73"/>
      <c r="AD102" s="73"/>
      <c r="AE102" s="73"/>
      <c r="AF102" s="73"/>
      <c r="AG102" s="73"/>
      <c r="AH102" s="73"/>
      <c r="AI102" s="61" t="s">
        <v>79</v>
      </c>
      <c r="AJ102" s="75"/>
      <c r="AK102" s="136" t="s">
        <v>1261</v>
      </c>
      <c r="AL102" s="147" t="s">
        <v>1262</v>
      </c>
      <c r="AM102" s="138" t="s">
        <v>1263</v>
      </c>
      <c r="AN102" s="148" t="s">
        <v>1264</v>
      </c>
      <c r="AO102" s="139"/>
      <c r="AP102" s="139"/>
      <c r="AQ102" s="139"/>
      <c r="AR102" s="138" t="s">
        <v>1265</v>
      </c>
      <c r="AS102" s="139"/>
      <c r="AT102" s="139"/>
      <c r="AU102" s="89"/>
      <c r="AV102" s="90"/>
      <c r="AW102" s="81"/>
    </row>
    <row r="103" ht="15.75" customHeight="1">
      <c r="A103" s="87" t="s">
        <v>63</v>
      </c>
      <c r="B103" s="100"/>
      <c r="C103" s="101" t="s">
        <v>1066</v>
      </c>
      <c r="D103" s="104">
        <v>51.648611</v>
      </c>
      <c r="E103" s="104">
        <v>36.151111</v>
      </c>
      <c r="F103" s="59">
        <v>1.0</v>
      </c>
      <c r="G103" s="84" t="s">
        <v>1266</v>
      </c>
      <c r="H103" s="61" t="s">
        <v>66</v>
      </c>
      <c r="I103" s="82"/>
      <c r="J103" s="63" t="s">
        <v>1267</v>
      </c>
      <c r="K103" s="88" t="s">
        <v>1268</v>
      </c>
      <c r="L103" s="110" t="s">
        <v>79</v>
      </c>
      <c r="M103" s="92" t="s">
        <v>1028</v>
      </c>
      <c r="N103" s="111"/>
      <c r="O103" s="92" t="s">
        <v>1028</v>
      </c>
      <c r="P103" s="67" t="str">
        <f t="shared" si="1"/>
        <v>51.648611, 36.151111</v>
      </c>
      <c r="Q103" s="67" t="str">
        <f t="shared" si="2"/>
        <v>51.648515, 36.150159</v>
      </c>
      <c r="R103" s="67">
        <f t="shared" si="3"/>
        <v>51.648515</v>
      </c>
      <c r="S103" s="67">
        <f t="shared" si="4"/>
        <v>36.150159</v>
      </c>
      <c r="T103" s="99"/>
      <c r="U103" s="64" t="s">
        <v>1269</v>
      </c>
      <c r="V103" s="65" t="s">
        <v>1270</v>
      </c>
      <c r="W103" s="71" t="s">
        <v>74</v>
      </c>
      <c r="X103" s="72" t="s">
        <v>75</v>
      </c>
      <c r="Y103" s="61" t="s">
        <v>76</v>
      </c>
      <c r="Z103" s="73"/>
      <c r="AA103" s="61" t="s">
        <v>77</v>
      </c>
      <c r="AB103" s="61" t="s">
        <v>78</v>
      </c>
      <c r="AC103" s="73"/>
      <c r="AD103" s="73"/>
      <c r="AE103" s="73"/>
      <c r="AF103" s="73"/>
      <c r="AG103" s="73"/>
      <c r="AH103" s="73"/>
      <c r="AI103" s="61" t="s">
        <v>79</v>
      </c>
      <c r="AJ103" s="75"/>
      <c r="AK103" s="76" t="s">
        <v>798</v>
      </c>
      <c r="AL103" s="83" t="s">
        <v>1271</v>
      </c>
      <c r="AM103" s="71" t="s">
        <v>1272</v>
      </c>
      <c r="AN103" s="105" t="s">
        <v>1273</v>
      </c>
      <c r="AO103" s="71" t="s">
        <v>1274</v>
      </c>
      <c r="AP103" s="99" t="str">
        <f>IMAGE("https://bellingcat-archive.nyc3.cdn.digitaloceanspaces.com/Ukraine_Witness_Datasheet/Worksheet/youtube_dl_1490682550343421954/out2.jpg")</f>
        <v/>
      </c>
      <c r="AQ103" s="105" t="s">
        <v>1275</v>
      </c>
      <c r="AR103" s="71" t="s">
        <v>1038</v>
      </c>
      <c r="AS103" s="71" t="s">
        <v>1276</v>
      </c>
      <c r="AT103" s="71">
        <v>49.399</v>
      </c>
      <c r="AU103" s="89"/>
      <c r="AV103" s="90"/>
      <c r="AW103" s="81"/>
    </row>
    <row r="104" ht="15.75" customHeight="1">
      <c r="A104" s="87" t="s">
        <v>170</v>
      </c>
      <c r="B104" s="100"/>
      <c r="C104" s="101" t="s">
        <v>1165</v>
      </c>
      <c r="D104" s="74">
        <v>48.45375</v>
      </c>
      <c r="E104" s="74">
        <v>40.340861</v>
      </c>
      <c r="F104" s="59">
        <v>1.0</v>
      </c>
      <c r="G104" s="84" t="s">
        <v>1277</v>
      </c>
      <c r="H104" s="61" t="s">
        <v>66</v>
      </c>
      <c r="I104" s="82"/>
      <c r="J104" s="63" t="s">
        <v>1278</v>
      </c>
      <c r="K104" s="88" t="s">
        <v>1279</v>
      </c>
      <c r="L104" s="110" t="s">
        <v>79</v>
      </c>
      <c r="M104" s="92" t="s">
        <v>349</v>
      </c>
      <c r="N104" s="92" t="s">
        <v>1280</v>
      </c>
      <c r="O104" s="111"/>
      <c r="P104" s="67" t="str">
        <f t="shared" si="1"/>
        <v>48.45375, 40.340861</v>
      </c>
      <c r="Q104" s="67" t="str">
        <f t="shared" si="2"/>
        <v>48.45357, 40.34172</v>
      </c>
      <c r="R104" s="67">
        <f t="shared" si="3"/>
        <v>48.45357</v>
      </c>
      <c r="S104" s="67">
        <f t="shared" si="4"/>
        <v>40.34172</v>
      </c>
      <c r="T104" s="99"/>
      <c r="U104" s="69"/>
      <c r="V104" s="65" t="s">
        <v>1281</v>
      </c>
      <c r="W104" s="71" t="s">
        <v>74</v>
      </c>
      <c r="X104" s="72" t="s">
        <v>75</v>
      </c>
      <c r="Y104" s="61" t="s">
        <v>76</v>
      </c>
      <c r="Z104" s="73"/>
      <c r="AA104" s="61" t="s">
        <v>77</v>
      </c>
      <c r="AB104" s="61" t="s">
        <v>1139</v>
      </c>
      <c r="AC104" s="73"/>
      <c r="AD104" s="73"/>
      <c r="AE104" s="73"/>
      <c r="AF104" s="73"/>
      <c r="AG104" s="73"/>
      <c r="AH104" s="73"/>
      <c r="AI104" s="61" t="s">
        <v>79</v>
      </c>
      <c r="AJ104" s="75"/>
      <c r="AK104" s="76" t="s">
        <v>798</v>
      </c>
      <c r="AL104" s="83" t="s">
        <v>1282</v>
      </c>
      <c r="AM104" s="71" t="s">
        <v>1283</v>
      </c>
      <c r="AN104" s="105" t="s">
        <v>1284</v>
      </c>
      <c r="AO104" s="71" t="s">
        <v>1285</v>
      </c>
      <c r="AP104" s="99" t="str">
        <f>IMAGE("https://bellingcat-archive.nyc3.cdn.digitaloceanspaces.com/Ukraine_Witness_Datasheet/Worksheet/youtube_dl_1491421002613792768/out3.jpg")</f>
        <v/>
      </c>
      <c r="AQ104" s="105" t="s">
        <v>1286</v>
      </c>
      <c r="AR104" s="71" t="s">
        <v>712</v>
      </c>
      <c r="AS104" s="71" t="s">
        <v>1287</v>
      </c>
      <c r="AT104" s="71">
        <v>61.184</v>
      </c>
      <c r="AU104" s="89"/>
      <c r="AV104" s="90"/>
      <c r="AW104" s="81"/>
    </row>
    <row r="105" ht="15.75" customHeight="1">
      <c r="A105" s="87" t="s">
        <v>170</v>
      </c>
      <c r="B105" s="100"/>
      <c r="C105" s="101" t="s">
        <v>1165</v>
      </c>
      <c r="D105" s="74">
        <v>51.789722</v>
      </c>
      <c r="E105" s="74">
        <v>36.434778</v>
      </c>
      <c r="F105" s="59">
        <v>1.0</v>
      </c>
      <c r="G105" s="84" t="s">
        <v>1288</v>
      </c>
      <c r="H105" s="61" t="s">
        <v>66</v>
      </c>
      <c r="I105" s="82"/>
      <c r="J105" s="63" t="s">
        <v>1278</v>
      </c>
      <c r="K105" s="88" t="s">
        <v>1289</v>
      </c>
      <c r="L105" s="110" t="s">
        <v>79</v>
      </c>
      <c r="M105" s="92" t="s">
        <v>1290</v>
      </c>
      <c r="N105" s="111"/>
      <c r="O105" s="92" t="s">
        <v>1291</v>
      </c>
      <c r="P105" s="67" t="str">
        <f t="shared" si="1"/>
        <v>51.789722, 36.434778</v>
      </c>
      <c r="Q105" s="67" t="str">
        <f t="shared" si="2"/>
        <v>51.789321, 36.434548</v>
      </c>
      <c r="R105" s="67">
        <f t="shared" si="3"/>
        <v>51.789321</v>
      </c>
      <c r="S105" s="67">
        <f t="shared" si="4"/>
        <v>36.434548</v>
      </c>
      <c r="T105" s="99"/>
      <c r="U105" s="69"/>
      <c r="V105" s="65" t="s">
        <v>1292</v>
      </c>
      <c r="W105" s="71" t="s">
        <v>74</v>
      </c>
      <c r="X105" s="72" t="s">
        <v>75</v>
      </c>
      <c r="Y105" s="61" t="s">
        <v>76</v>
      </c>
      <c r="Z105" s="73"/>
      <c r="AA105" s="61" t="s">
        <v>77</v>
      </c>
      <c r="AB105" s="61" t="s">
        <v>1139</v>
      </c>
      <c r="AC105" s="73"/>
      <c r="AD105" s="73"/>
      <c r="AE105" s="73"/>
      <c r="AF105" s="73"/>
      <c r="AG105" s="73"/>
      <c r="AH105" s="73"/>
      <c r="AI105" s="61" t="s">
        <v>79</v>
      </c>
      <c r="AJ105" s="75"/>
      <c r="AK105" s="76" t="s">
        <v>798</v>
      </c>
      <c r="AL105" s="83" t="s">
        <v>1293</v>
      </c>
      <c r="AM105" s="71" t="s">
        <v>1294</v>
      </c>
      <c r="AN105" s="105" t="s">
        <v>1295</v>
      </c>
      <c r="AO105" s="71" t="s">
        <v>1296</v>
      </c>
      <c r="AP105" s="99" t="str">
        <f>IMAGE("https://bellingcat-archive.nyc3.cdn.digitaloceanspaces.com/Ukraine_Witness_Datasheet/Worksheet/youtube_dl_1491418129414914048/out2.jpg")</f>
        <v/>
      </c>
      <c r="AQ105" s="105" t="s">
        <v>1297</v>
      </c>
      <c r="AR105" s="71" t="s">
        <v>1298</v>
      </c>
      <c r="AS105" s="71" t="s">
        <v>1299</v>
      </c>
      <c r="AT105" s="71">
        <v>24.404</v>
      </c>
      <c r="AU105" s="89"/>
      <c r="AV105" s="90"/>
      <c r="AW105" s="81"/>
    </row>
    <row r="106" ht="15.75" customHeight="1">
      <c r="A106" s="87" t="s">
        <v>170</v>
      </c>
      <c r="B106" s="100"/>
      <c r="C106" s="101" t="s">
        <v>991</v>
      </c>
      <c r="D106" s="74">
        <v>53.948861</v>
      </c>
      <c r="E106" s="74">
        <v>30.326889</v>
      </c>
      <c r="F106" s="59">
        <v>1.0</v>
      </c>
      <c r="G106" s="84" t="s">
        <v>1300</v>
      </c>
      <c r="H106" s="61" t="s">
        <v>66</v>
      </c>
      <c r="I106" s="82"/>
      <c r="J106" s="63" t="s">
        <v>1278</v>
      </c>
      <c r="K106" s="88" t="s">
        <v>1301</v>
      </c>
      <c r="L106" s="110" t="s">
        <v>69</v>
      </c>
      <c r="M106" s="111"/>
      <c r="N106" s="92" t="s">
        <v>1302</v>
      </c>
      <c r="O106" s="92" t="s">
        <v>1303</v>
      </c>
      <c r="P106" s="67" t="str">
        <f t="shared" si="1"/>
        <v>53.948861, 30.326889</v>
      </c>
      <c r="Q106" s="67" t="str">
        <f t="shared" si="2"/>
        <v>53.948152, 30.327435</v>
      </c>
      <c r="R106" s="67">
        <f t="shared" si="3"/>
        <v>53.948152</v>
      </c>
      <c r="S106" s="67">
        <f t="shared" si="4"/>
        <v>30.327435</v>
      </c>
      <c r="T106" s="99"/>
      <c r="U106" s="69"/>
      <c r="V106" s="65" t="s">
        <v>1304</v>
      </c>
      <c r="W106" s="71" t="s">
        <v>74</v>
      </c>
      <c r="X106" s="72" t="s">
        <v>75</v>
      </c>
      <c r="Y106" s="61" t="s">
        <v>76</v>
      </c>
      <c r="Z106" s="73"/>
      <c r="AA106" s="61" t="s">
        <v>77</v>
      </c>
      <c r="AB106" s="61" t="s">
        <v>1139</v>
      </c>
      <c r="AC106" s="73"/>
      <c r="AD106" s="73"/>
      <c r="AE106" s="73"/>
      <c r="AF106" s="73"/>
      <c r="AG106" s="73"/>
      <c r="AH106" s="73"/>
      <c r="AI106" s="61" t="s">
        <v>79</v>
      </c>
      <c r="AJ106" s="75"/>
      <c r="AK106" s="76" t="s">
        <v>798</v>
      </c>
      <c r="AL106" s="83" t="s">
        <v>1305</v>
      </c>
      <c r="AM106" s="71" t="s">
        <v>1306</v>
      </c>
      <c r="AN106" s="105" t="s">
        <v>1307</v>
      </c>
      <c r="AO106" s="71" t="s">
        <v>1308</v>
      </c>
      <c r="AP106" s="99" t="str">
        <f>IMAGE("https://bellingcat-archive.nyc3.cdn.digitaloceanspaces.com/Ukraine_Witness_Datasheet/Worksheet/youtube_dl_1491367231812702215/out3.jpg")</f>
        <v/>
      </c>
      <c r="AQ106" s="105" t="s">
        <v>1309</v>
      </c>
      <c r="AR106" s="71" t="s">
        <v>1310</v>
      </c>
      <c r="AS106" s="71" t="s">
        <v>1311</v>
      </c>
      <c r="AT106" s="71">
        <v>89.373</v>
      </c>
      <c r="AU106" s="89"/>
      <c r="AV106" s="90"/>
      <c r="AW106" s="81"/>
    </row>
    <row r="107" ht="15.75" customHeight="1">
      <c r="A107" s="87" t="s">
        <v>63</v>
      </c>
      <c r="B107" s="100"/>
      <c r="C107" s="101" t="s">
        <v>1165</v>
      </c>
      <c r="D107" s="58">
        <v>51.558928</v>
      </c>
      <c r="E107" s="58">
        <v>34.688654</v>
      </c>
      <c r="F107" s="59">
        <v>1.0</v>
      </c>
      <c r="G107" s="84" t="s">
        <v>1312</v>
      </c>
      <c r="H107" s="61" t="s">
        <v>66</v>
      </c>
      <c r="I107" s="82"/>
      <c r="J107" s="63" t="s">
        <v>1313</v>
      </c>
      <c r="K107" s="88" t="s">
        <v>1314</v>
      </c>
      <c r="L107" s="110" t="s">
        <v>79</v>
      </c>
      <c r="M107" s="92" t="s">
        <v>1028</v>
      </c>
      <c r="N107" s="92" t="s">
        <v>1207</v>
      </c>
      <c r="O107" s="92" t="s">
        <v>1208</v>
      </c>
      <c r="P107" s="67" t="str">
        <f t="shared" si="1"/>
        <v>51.558928, 34.688654</v>
      </c>
      <c r="Q107" s="67" t="str">
        <f t="shared" si="2"/>
        <v>51.558322, 34.689028</v>
      </c>
      <c r="R107" s="67">
        <f t="shared" si="3"/>
        <v>51.558322</v>
      </c>
      <c r="S107" s="67">
        <f t="shared" si="4"/>
        <v>34.689028</v>
      </c>
      <c r="T107" s="99"/>
      <c r="U107" s="69"/>
      <c r="V107" s="65" t="s">
        <v>1315</v>
      </c>
      <c r="W107" s="71" t="s">
        <v>74</v>
      </c>
      <c r="X107" s="72" t="s">
        <v>75</v>
      </c>
      <c r="Y107" s="61" t="s">
        <v>76</v>
      </c>
      <c r="Z107" s="73"/>
      <c r="AA107" s="61" t="s">
        <v>77</v>
      </c>
      <c r="AB107" s="61" t="s">
        <v>1139</v>
      </c>
      <c r="AC107" s="73"/>
      <c r="AD107" s="73"/>
      <c r="AE107" s="73"/>
      <c r="AF107" s="73"/>
      <c r="AG107" s="73"/>
      <c r="AH107" s="73"/>
      <c r="AI107" s="61" t="s">
        <v>79</v>
      </c>
      <c r="AJ107" s="75"/>
      <c r="AK107" s="76" t="s">
        <v>798</v>
      </c>
      <c r="AL107" s="83" t="s">
        <v>1316</v>
      </c>
      <c r="AM107" s="71" t="s">
        <v>1317</v>
      </c>
      <c r="AN107" s="105" t="s">
        <v>1318</v>
      </c>
      <c r="AO107" s="71" t="s">
        <v>1319</v>
      </c>
      <c r="AP107" s="99" t="str">
        <f>IMAGE("https://bellingcat-archive.nyc3.cdn.digitaloceanspaces.com/Ukraine_Witness_Datasheet/Worksheet/youtube_dl_1491374811553333250/out2.jpg")</f>
        <v/>
      </c>
      <c r="AQ107" s="105" t="s">
        <v>1320</v>
      </c>
      <c r="AR107" s="71" t="s">
        <v>1321</v>
      </c>
      <c r="AS107" s="71" t="s">
        <v>1322</v>
      </c>
      <c r="AT107" s="71">
        <v>43.166</v>
      </c>
      <c r="AU107" s="89"/>
      <c r="AV107" s="90"/>
      <c r="AW107" s="81"/>
    </row>
    <row r="108" ht="15.75" customHeight="1">
      <c r="A108" s="87" t="s">
        <v>63</v>
      </c>
      <c r="B108" s="100"/>
      <c r="C108" s="101" t="s">
        <v>1165</v>
      </c>
      <c r="D108" s="58">
        <v>51.278757</v>
      </c>
      <c r="E108" s="58">
        <v>37.916347</v>
      </c>
      <c r="F108" s="59">
        <v>1.0</v>
      </c>
      <c r="G108" s="60" t="s">
        <v>1323</v>
      </c>
      <c r="H108" s="61" t="s">
        <v>66</v>
      </c>
      <c r="I108" s="82"/>
      <c r="J108" s="63" t="s">
        <v>1313</v>
      </c>
      <c r="K108" s="88" t="s">
        <v>1324</v>
      </c>
      <c r="L108" s="110" t="s">
        <v>79</v>
      </c>
      <c r="M108" s="92" t="s">
        <v>1325</v>
      </c>
      <c r="N108" s="111"/>
      <c r="O108" s="92" t="s">
        <v>1326</v>
      </c>
      <c r="P108" s="67" t="str">
        <f t="shared" si="1"/>
        <v>51.278757, 37.916347</v>
      </c>
      <c r="Q108" s="67" t="str">
        <f t="shared" si="2"/>
        <v>51.278721, 37.91744</v>
      </c>
      <c r="R108" s="67">
        <f t="shared" si="3"/>
        <v>51.278721</v>
      </c>
      <c r="S108" s="67">
        <f t="shared" si="4"/>
        <v>37.91744</v>
      </c>
      <c r="T108" s="99"/>
      <c r="U108" s="69"/>
      <c r="V108" s="65" t="s">
        <v>1327</v>
      </c>
      <c r="W108" s="71" t="s">
        <v>74</v>
      </c>
      <c r="X108" s="72" t="s">
        <v>75</v>
      </c>
      <c r="Y108" s="61" t="s">
        <v>76</v>
      </c>
      <c r="Z108" s="73"/>
      <c r="AA108" s="61" t="s">
        <v>77</v>
      </c>
      <c r="AB108" s="61" t="s">
        <v>1139</v>
      </c>
      <c r="AC108" s="73"/>
      <c r="AD108" s="73"/>
      <c r="AE108" s="73"/>
      <c r="AF108" s="73"/>
      <c r="AG108" s="73"/>
      <c r="AH108" s="73"/>
      <c r="AI108" s="61" t="s">
        <v>79</v>
      </c>
      <c r="AJ108" s="75"/>
      <c r="AK108" s="136" t="s">
        <v>1261</v>
      </c>
      <c r="AL108" s="147" t="s">
        <v>1328</v>
      </c>
      <c r="AM108" s="138" t="s">
        <v>1329</v>
      </c>
      <c r="AN108" s="148" t="s">
        <v>1330</v>
      </c>
      <c r="AO108" s="139"/>
      <c r="AP108" s="139"/>
      <c r="AQ108" s="139"/>
      <c r="AR108" s="138" t="s">
        <v>1331</v>
      </c>
      <c r="AS108" s="139"/>
      <c r="AT108" s="139"/>
      <c r="AU108" s="89"/>
      <c r="AV108" s="90"/>
      <c r="AW108" s="81"/>
    </row>
    <row r="109" ht="15.75" customHeight="1">
      <c r="A109" s="87" t="s">
        <v>170</v>
      </c>
      <c r="B109" s="100"/>
      <c r="C109" s="101" t="s">
        <v>1179</v>
      </c>
      <c r="D109" s="74">
        <v>44.567972</v>
      </c>
      <c r="E109" s="74">
        <v>33.461167</v>
      </c>
      <c r="F109" s="59">
        <v>1.0</v>
      </c>
      <c r="G109" s="84" t="s">
        <v>1332</v>
      </c>
      <c r="H109" s="61" t="s">
        <v>66</v>
      </c>
      <c r="I109" s="82"/>
      <c r="J109" s="63" t="s">
        <v>1333</v>
      </c>
      <c r="K109" s="88" t="s">
        <v>1334</v>
      </c>
      <c r="L109" s="110"/>
      <c r="M109" s="92" t="s">
        <v>407</v>
      </c>
      <c r="N109" s="111"/>
      <c r="O109" s="92" t="s">
        <v>1335</v>
      </c>
      <c r="P109" s="67" t="str">
        <f t="shared" si="1"/>
        <v>44.567972, 33.461167</v>
      </c>
      <c r="Q109" s="67" t="str">
        <f t="shared" si="2"/>
        <v>44.567697, 33.460516</v>
      </c>
      <c r="R109" s="67">
        <f t="shared" si="3"/>
        <v>44.567697</v>
      </c>
      <c r="S109" s="67">
        <f t="shared" si="4"/>
        <v>33.460516</v>
      </c>
      <c r="T109" s="99"/>
      <c r="U109" s="69"/>
      <c r="V109" s="65" t="s">
        <v>1315</v>
      </c>
      <c r="W109" s="71" t="s">
        <v>74</v>
      </c>
      <c r="X109" s="72" t="s">
        <v>75</v>
      </c>
      <c r="Y109" s="61" t="s">
        <v>76</v>
      </c>
      <c r="Z109" s="73"/>
      <c r="AA109" s="61" t="s">
        <v>77</v>
      </c>
      <c r="AB109" s="61" t="s">
        <v>1139</v>
      </c>
      <c r="AC109" s="73"/>
      <c r="AD109" s="73"/>
      <c r="AE109" s="73"/>
      <c r="AF109" s="73"/>
      <c r="AG109" s="73"/>
      <c r="AH109" s="73"/>
      <c r="AI109" s="61" t="s">
        <v>79</v>
      </c>
      <c r="AJ109" s="75"/>
      <c r="AK109" s="76" t="s">
        <v>798</v>
      </c>
      <c r="AL109" s="83" t="s">
        <v>1336</v>
      </c>
      <c r="AM109" s="71" t="s">
        <v>1337</v>
      </c>
      <c r="AN109" s="105" t="s">
        <v>1338</v>
      </c>
      <c r="AO109" s="71" t="s">
        <v>1339</v>
      </c>
      <c r="AP109" s="99" t="str">
        <f>IMAGE("https://bellingcat-archive.nyc3.cdn.digitaloceanspaces.com/Ukraine_Witness_Datasheet/Worksheet/youtube_dl_1491366702676066309/out3.jpg")</f>
        <v/>
      </c>
      <c r="AQ109" s="105" t="s">
        <v>1340</v>
      </c>
      <c r="AR109" s="71" t="s">
        <v>1341</v>
      </c>
      <c r="AS109" s="71" t="s">
        <v>1342</v>
      </c>
      <c r="AT109" s="71">
        <v>80.573</v>
      </c>
      <c r="AU109" s="89"/>
      <c r="AV109" s="90"/>
      <c r="AW109" s="81"/>
    </row>
    <row r="110" ht="15.75" customHeight="1">
      <c r="A110" s="87" t="s">
        <v>170</v>
      </c>
      <c r="B110" s="100"/>
      <c r="C110" s="101" t="s">
        <v>1165</v>
      </c>
      <c r="D110" s="74">
        <v>44.858389</v>
      </c>
      <c r="E110" s="74">
        <v>38.132972</v>
      </c>
      <c r="F110" s="59">
        <v>1.0</v>
      </c>
      <c r="G110" s="84" t="s">
        <v>1343</v>
      </c>
      <c r="H110" s="61" t="s">
        <v>66</v>
      </c>
      <c r="I110" s="82"/>
      <c r="J110" s="63" t="s">
        <v>1344</v>
      </c>
      <c r="K110" s="88" t="s">
        <v>1345</v>
      </c>
      <c r="L110" s="110" t="s">
        <v>79</v>
      </c>
      <c r="M110" s="92" t="s">
        <v>1346</v>
      </c>
      <c r="N110" s="111"/>
      <c r="O110" s="92" t="s">
        <v>1347</v>
      </c>
      <c r="P110" s="67" t="str">
        <f t="shared" si="1"/>
        <v>44.858389, 38.132972</v>
      </c>
      <c r="Q110" s="67" t="str">
        <f t="shared" si="2"/>
        <v>44.857643, 38.132731</v>
      </c>
      <c r="R110" s="67">
        <f t="shared" si="3"/>
        <v>44.857643</v>
      </c>
      <c r="S110" s="67">
        <f t="shared" si="4"/>
        <v>38.132731</v>
      </c>
      <c r="T110" s="99"/>
      <c r="U110" s="69"/>
      <c r="V110" s="65" t="s">
        <v>1327</v>
      </c>
      <c r="W110" s="71" t="s">
        <v>74</v>
      </c>
      <c r="X110" s="72" t="s">
        <v>75</v>
      </c>
      <c r="Y110" s="61" t="s">
        <v>76</v>
      </c>
      <c r="Z110" s="73"/>
      <c r="AA110" s="61" t="s">
        <v>77</v>
      </c>
      <c r="AB110" s="61" t="s">
        <v>1139</v>
      </c>
      <c r="AC110" s="73"/>
      <c r="AD110" s="73"/>
      <c r="AE110" s="73"/>
      <c r="AF110" s="73"/>
      <c r="AG110" s="73"/>
      <c r="AH110" s="73"/>
      <c r="AI110" s="61" t="s">
        <v>79</v>
      </c>
      <c r="AJ110" s="75"/>
      <c r="AK110" s="76" t="s">
        <v>798</v>
      </c>
      <c r="AL110" s="83" t="s">
        <v>1348</v>
      </c>
      <c r="AM110" s="71" t="s">
        <v>1349</v>
      </c>
      <c r="AN110" s="105" t="s">
        <v>1350</v>
      </c>
      <c r="AO110" s="71" t="s">
        <v>1351</v>
      </c>
      <c r="AP110" s="99" t="str">
        <f>IMAGE("https://bellingcat-archive.nyc3.cdn.digitaloceanspaces.com/Ukraine_Witness_Datasheet/Worksheet/youtube_dl_1491427946468618249/out2.jpg")</f>
        <v/>
      </c>
      <c r="AQ110" s="105" t="s">
        <v>1352</v>
      </c>
      <c r="AR110" s="71" t="s">
        <v>1353</v>
      </c>
      <c r="AS110" s="71" t="s">
        <v>1354</v>
      </c>
      <c r="AT110" s="71">
        <v>24.566</v>
      </c>
      <c r="AU110" s="89"/>
      <c r="AV110" s="90"/>
      <c r="AW110" s="81"/>
    </row>
    <row r="111" ht="15.75" customHeight="1">
      <c r="A111" s="87" t="s">
        <v>170</v>
      </c>
      <c r="B111" s="100"/>
      <c r="C111" s="101" t="s">
        <v>1165</v>
      </c>
      <c r="D111" s="74">
        <v>50.497111</v>
      </c>
      <c r="E111" s="74">
        <v>36.389639</v>
      </c>
      <c r="F111" s="59">
        <v>1.0</v>
      </c>
      <c r="G111" s="84" t="s">
        <v>1355</v>
      </c>
      <c r="H111" s="61" t="s">
        <v>66</v>
      </c>
      <c r="I111" s="82"/>
      <c r="J111" s="63" t="s">
        <v>1356</v>
      </c>
      <c r="K111" s="88" t="s">
        <v>1357</v>
      </c>
      <c r="L111" s="110" t="s">
        <v>79</v>
      </c>
      <c r="M111" s="92" t="s">
        <v>1325</v>
      </c>
      <c r="N111" s="111"/>
      <c r="O111" s="92" t="s">
        <v>1259</v>
      </c>
      <c r="P111" s="67" t="str">
        <f t="shared" si="1"/>
        <v>50.497111, 36.389639</v>
      </c>
      <c r="Q111" s="67" t="str">
        <f t="shared" si="2"/>
        <v>50.496756, 36.390148</v>
      </c>
      <c r="R111" s="67">
        <f t="shared" si="3"/>
        <v>50.496756</v>
      </c>
      <c r="S111" s="67">
        <f t="shared" si="4"/>
        <v>36.390148</v>
      </c>
      <c r="T111" s="99"/>
      <c r="U111" s="69"/>
      <c r="V111" s="65" t="s">
        <v>1358</v>
      </c>
      <c r="W111" s="71" t="s">
        <v>74</v>
      </c>
      <c r="X111" s="72" t="s">
        <v>75</v>
      </c>
      <c r="Y111" s="61" t="s">
        <v>76</v>
      </c>
      <c r="Z111" s="73"/>
      <c r="AA111" s="61" t="s">
        <v>77</v>
      </c>
      <c r="AB111" s="61" t="s">
        <v>1139</v>
      </c>
      <c r="AC111" s="73"/>
      <c r="AD111" s="73"/>
      <c r="AE111" s="73"/>
      <c r="AF111" s="73"/>
      <c r="AG111" s="73"/>
      <c r="AH111" s="73"/>
      <c r="AI111" s="61" t="s">
        <v>79</v>
      </c>
      <c r="AJ111" s="75"/>
      <c r="AK111" s="76" t="s">
        <v>798</v>
      </c>
      <c r="AL111" s="83" t="s">
        <v>1359</v>
      </c>
      <c r="AM111" s="71" t="s">
        <v>1360</v>
      </c>
      <c r="AN111" s="105" t="s">
        <v>1361</v>
      </c>
      <c r="AO111" s="71" t="s">
        <v>1362</v>
      </c>
      <c r="AP111" s="99" t="str">
        <f>IMAGE("https://bellingcat-archive.nyc3.cdn.digitaloceanspaces.com/Ukraine_Witness_Datasheet/Worksheet/youtube_dl_1491283672359923713/out2.jpg")</f>
        <v/>
      </c>
      <c r="AQ111" s="105" t="s">
        <v>1363</v>
      </c>
      <c r="AR111" s="71" t="s">
        <v>1364</v>
      </c>
      <c r="AS111" s="71" t="s">
        <v>1365</v>
      </c>
      <c r="AT111" s="71">
        <v>28.0</v>
      </c>
      <c r="AU111" s="89"/>
      <c r="AV111" s="90"/>
      <c r="AW111" s="81"/>
    </row>
    <row r="112" ht="15.75" customHeight="1">
      <c r="A112" s="87" t="s">
        <v>170</v>
      </c>
      <c r="B112" s="100"/>
      <c r="C112" s="101" t="s">
        <v>1165</v>
      </c>
      <c r="D112" s="74">
        <v>54.456194</v>
      </c>
      <c r="E112" s="74">
        <v>36.283333</v>
      </c>
      <c r="F112" s="59">
        <v>1.0</v>
      </c>
      <c r="G112" s="84" t="s">
        <v>1366</v>
      </c>
      <c r="H112" s="61" t="s">
        <v>66</v>
      </c>
      <c r="I112" s="82"/>
      <c r="J112" s="63" t="s">
        <v>1367</v>
      </c>
      <c r="K112" s="88" t="s">
        <v>1368</v>
      </c>
      <c r="L112" s="110" t="s">
        <v>79</v>
      </c>
      <c r="M112" s="92" t="s">
        <v>1369</v>
      </c>
      <c r="N112" s="111"/>
      <c r="O112" s="92" t="s">
        <v>1370</v>
      </c>
      <c r="P112" s="67" t="str">
        <f t="shared" si="1"/>
        <v>54.456194, 36.283333</v>
      </c>
      <c r="Q112" s="67" t="str">
        <f t="shared" si="2"/>
        <v>54.456045, 36.283983</v>
      </c>
      <c r="R112" s="67">
        <f t="shared" si="3"/>
        <v>54.456045</v>
      </c>
      <c r="S112" s="67">
        <f t="shared" si="4"/>
        <v>36.283983</v>
      </c>
      <c r="T112" s="99"/>
      <c r="U112" s="69"/>
      <c r="V112" s="65" t="s">
        <v>1371</v>
      </c>
      <c r="W112" s="71" t="s">
        <v>74</v>
      </c>
      <c r="X112" s="72" t="s">
        <v>75</v>
      </c>
      <c r="Y112" s="61" t="s">
        <v>76</v>
      </c>
      <c r="Z112" s="73"/>
      <c r="AA112" s="61" t="s">
        <v>77</v>
      </c>
      <c r="AB112" s="61" t="s">
        <v>1139</v>
      </c>
      <c r="AC112" s="73"/>
      <c r="AD112" s="73"/>
      <c r="AE112" s="73"/>
      <c r="AF112" s="73"/>
      <c r="AG112" s="73"/>
      <c r="AH112" s="73"/>
      <c r="AI112" s="61" t="s">
        <v>79</v>
      </c>
      <c r="AJ112" s="75"/>
      <c r="AK112" s="76" t="s">
        <v>798</v>
      </c>
      <c r="AL112" s="83" t="s">
        <v>1372</v>
      </c>
      <c r="AM112" s="71" t="s">
        <v>1373</v>
      </c>
      <c r="AN112" s="105" t="s">
        <v>1374</v>
      </c>
      <c r="AO112" s="71" t="s">
        <v>1375</v>
      </c>
      <c r="AP112" s="99" t="str">
        <f>IMAGE("https://bellingcat-archive.nyc3.cdn.digitaloceanspaces.com/Ukraine_Witness_Datasheet/Worksheet/youtube_dl_1491358100410224640/out2.jpg")</f>
        <v/>
      </c>
      <c r="AQ112" s="105" t="s">
        <v>1376</v>
      </c>
      <c r="AR112" s="71" t="s">
        <v>1377</v>
      </c>
      <c r="AS112" s="71" t="s">
        <v>1378</v>
      </c>
      <c r="AT112" s="71">
        <v>33.566</v>
      </c>
      <c r="AU112" s="89"/>
      <c r="AV112" s="90"/>
      <c r="AW112" s="81"/>
    </row>
    <row r="113" ht="15.75" customHeight="1">
      <c r="A113" s="87" t="s">
        <v>170</v>
      </c>
      <c r="B113" s="100"/>
      <c r="C113" s="101" t="s">
        <v>1179</v>
      </c>
      <c r="D113" s="74">
        <v>45.03225</v>
      </c>
      <c r="E113" s="74">
        <v>39.045944</v>
      </c>
      <c r="F113" s="59">
        <v>1.0</v>
      </c>
      <c r="G113" s="84" t="s">
        <v>1379</v>
      </c>
      <c r="H113" s="61" t="s">
        <v>66</v>
      </c>
      <c r="I113" s="82"/>
      <c r="J113" s="63" t="s">
        <v>1333</v>
      </c>
      <c r="K113" s="88" t="s">
        <v>1380</v>
      </c>
      <c r="L113" s="110" t="s">
        <v>79</v>
      </c>
      <c r="M113" s="92"/>
      <c r="N113" s="92"/>
      <c r="O113" s="92" t="s">
        <v>445</v>
      </c>
      <c r="P113" s="67" t="str">
        <f t="shared" si="1"/>
        <v>45.03225, 39.045944</v>
      </c>
      <c r="Q113" s="67" t="str">
        <f t="shared" si="2"/>
        <v>45.031581, 39.045812</v>
      </c>
      <c r="R113" s="67">
        <f t="shared" si="3"/>
        <v>45.031581</v>
      </c>
      <c r="S113" s="67">
        <f t="shared" si="4"/>
        <v>39.045812</v>
      </c>
      <c r="T113" s="99"/>
      <c r="U113" s="69"/>
      <c r="V113" s="65" t="s">
        <v>1381</v>
      </c>
      <c r="W113" s="71" t="s">
        <v>74</v>
      </c>
      <c r="X113" s="72" t="s">
        <v>75</v>
      </c>
      <c r="Y113" s="61" t="s">
        <v>76</v>
      </c>
      <c r="Z113" s="73"/>
      <c r="AA113" s="61" t="s">
        <v>77</v>
      </c>
      <c r="AB113" s="61" t="s">
        <v>1139</v>
      </c>
      <c r="AC113" s="73"/>
      <c r="AD113" s="73"/>
      <c r="AE113" s="73"/>
      <c r="AF113" s="73"/>
      <c r="AG113" s="73"/>
      <c r="AH113" s="73"/>
      <c r="AI113" s="61" t="s">
        <v>79</v>
      </c>
      <c r="AJ113" s="75"/>
      <c r="AK113" s="76" t="s">
        <v>798</v>
      </c>
      <c r="AL113" s="83" t="s">
        <v>1382</v>
      </c>
      <c r="AM113" s="71" t="s">
        <v>1383</v>
      </c>
      <c r="AN113" s="105" t="s">
        <v>1384</v>
      </c>
      <c r="AO113" s="71" t="s">
        <v>1385</v>
      </c>
      <c r="AP113" s="99" t="str">
        <f>IMAGE("https://bellingcat-archive.nyc3.cdn.digitaloceanspaces.com/Ukraine_Witness_Datasheet/Worksheet/youtube_dl_1491079146797420547/out2.jpg")</f>
        <v/>
      </c>
      <c r="AQ113" s="105" t="s">
        <v>1386</v>
      </c>
      <c r="AR113" s="71" t="s">
        <v>1387</v>
      </c>
      <c r="AS113" s="71" t="s">
        <v>1388</v>
      </c>
      <c r="AT113" s="71">
        <v>9.775</v>
      </c>
      <c r="AU113" s="89"/>
      <c r="AV113" s="90"/>
      <c r="AW113" s="81"/>
    </row>
    <row r="114" ht="15.75" customHeight="1">
      <c r="A114" s="87" t="s">
        <v>170</v>
      </c>
      <c r="B114" s="100"/>
      <c r="C114" s="101" t="s">
        <v>1179</v>
      </c>
      <c r="D114" s="74">
        <v>52.8415</v>
      </c>
      <c r="E114" s="74">
        <v>32.677222</v>
      </c>
      <c r="F114" s="59">
        <v>1.0</v>
      </c>
      <c r="G114" s="84" t="s">
        <v>1389</v>
      </c>
      <c r="H114" s="61" t="s">
        <v>66</v>
      </c>
      <c r="I114" s="82"/>
      <c r="J114" s="63" t="s">
        <v>1390</v>
      </c>
      <c r="K114" s="88" t="s">
        <v>1391</v>
      </c>
      <c r="L114" s="110" t="s">
        <v>79</v>
      </c>
      <c r="M114" s="92" t="s">
        <v>240</v>
      </c>
      <c r="N114" s="111"/>
      <c r="O114" s="92" t="s">
        <v>1392</v>
      </c>
      <c r="P114" s="67" t="str">
        <f t="shared" si="1"/>
        <v>52.8415, 32.677222</v>
      </c>
      <c r="Q114" s="67" t="str">
        <f t="shared" si="2"/>
        <v>52.841273, 32.677689</v>
      </c>
      <c r="R114" s="67">
        <f t="shared" si="3"/>
        <v>52.841273</v>
      </c>
      <c r="S114" s="67">
        <f t="shared" si="4"/>
        <v>32.677689</v>
      </c>
      <c r="T114" s="99"/>
      <c r="U114" s="69"/>
      <c r="V114" s="65" t="s">
        <v>1393</v>
      </c>
      <c r="W114" s="71" t="s">
        <v>74</v>
      </c>
      <c r="X114" s="72" t="s">
        <v>75</v>
      </c>
      <c r="Y114" s="61" t="s">
        <v>76</v>
      </c>
      <c r="Z114" s="73"/>
      <c r="AA114" s="61" t="s">
        <v>77</v>
      </c>
      <c r="AB114" s="61" t="s">
        <v>1139</v>
      </c>
      <c r="AC114" s="73"/>
      <c r="AD114" s="73"/>
      <c r="AE114" s="73"/>
      <c r="AF114" s="73"/>
      <c r="AG114" s="73"/>
      <c r="AH114" s="73"/>
      <c r="AI114" s="61" t="s">
        <v>79</v>
      </c>
      <c r="AJ114" s="75"/>
      <c r="AK114" s="76" t="s">
        <v>798</v>
      </c>
      <c r="AL114" s="83" t="s">
        <v>1394</v>
      </c>
      <c r="AM114" s="71" t="s">
        <v>1395</v>
      </c>
      <c r="AN114" s="105" t="s">
        <v>1396</v>
      </c>
      <c r="AO114" s="71" t="s">
        <v>1397</v>
      </c>
      <c r="AP114" s="99" t="str">
        <f>IMAGE("https://bellingcat-archive.nyc3.cdn.digitaloceanspaces.com/Ukraine_Witness_Datasheet/Worksheet/youtube_dl_1491127848559472642/out2.jpg")</f>
        <v/>
      </c>
      <c r="AQ114" s="105" t="s">
        <v>1398</v>
      </c>
      <c r="AR114" s="71" t="s">
        <v>1399</v>
      </c>
      <c r="AS114" s="71" t="s">
        <v>1400</v>
      </c>
      <c r="AT114" s="71">
        <v>6.867</v>
      </c>
      <c r="AU114" s="89"/>
      <c r="AV114" s="90"/>
      <c r="AW114" s="81"/>
    </row>
    <row r="115" ht="15.75" customHeight="1">
      <c r="A115" s="87" t="s">
        <v>170</v>
      </c>
      <c r="B115" s="100"/>
      <c r="C115" s="101" t="s">
        <v>1179</v>
      </c>
      <c r="D115" s="74">
        <v>45.233722</v>
      </c>
      <c r="E115" s="74">
        <v>37.020889</v>
      </c>
      <c r="F115" s="59">
        <v>1.0</v>
      </c>
      <c r="G115" s="84" t="s">
        <v>1401</v>
      </c>
      <c r="H115" s="61" t="s">
        <v>66</v>
      </c>
      <c r="I115" s="82"/>
      <c r="J115" s="63" t="s">
        <v>1402</v>
      </c>
      <c r="K115" s="88" t="s">
        <v>1403</v>
      </c>
      <c r="L115" s="110" t="s">
        <v>79</v>
      </c>
      <c r="M115" s="92" t="s">
        <v>1404</v>
      </c>
      <c r="N115" s="111"/>
      <c r="O115" s="92" t="s">
        <v>1405</v>
      </c>
      <c r="P115" s="67" t="str">
        <f t="shared" si="1"/>
        <v>45.233722, 37.020889</v>
      </c>
      <c r="Q115" s="67" t="str">
        <f t="shared" si="2"/>
        <v>45.233582, 37.020058</v>
      </c>
      <c r="R115" s="67">
        <f t="shared" si="3"/>
        <v>45.233582</v>
      </c>
      <c r="S115" s="67">
        <f t="shared" si="4"/>
        <v>37.020058</v>
      </c>
      <c r="T115" s="99"/>
      <c r="U115" s="69"/>
      <c r="V115" s="65" t="s">
        <v>1406</v>
      </c>
      <c r="W115" s="71" t="s">
        <v>74</v>
      </c>
      <c r="X115" s="72" t="s">
        <v>75</v>
      </c>
      <c r="Y115" s="61" t="s">
        <v>76</v>
      </c>
      <c r="Z115" s="73"/>
      <c r="AA115" s="61" t="s">
        <v>77</v>
      </c>
      <c r="AB115" s="61" t="s">
        <v>421</v>
      </c>
      <c r="AC115" s="73"/>
      <c r="AD115" s="73"/>
      <c r="AE115" s="73"/>
      <c r="AF115" s="73"/>
      <c r="AG115" s="73"/>
      <c r="AH115" s="73"/>
      <c r="AI115" s="61" t="s">
        <v>79</v>
      </c>
      <c r="AJ115" s="75"/>
      <c r="AK115" s="76" t="s">
        <v>798</v>
      </c>
      <c r="AL115" s="83" t="s">
        <v>1407</v>
      </c>
      <c r="AM115" s="71" t="s">
        <v>1408</v>
      </c>
      <c r="AN115" s="105" t="s">
        <v>1409</v>
      </c>
      <c r="AO115" s="71" t="s">
        <v>1410</v>
      </c>
      <c r="AP115" s="99" t="str">
        <f>IMAGE("https://bellingcat-archive.nyc3.cdn.digitaloceanspaces.com/Ukraine_Witness_Datasheet/Worksheet/youtube_dl_1491118036694487040/out2.jpg")</f>
        <v/>
      </c>
      <c r="AQ115" s="105" t="s">
        <v>1411</v>
      </c>
      <c r="AR115" s="71" t="s">
        <v>530</v>
      </c>
      <c r="AS115" s="71" t="s">
        <v>1412</v>
      </c>
      <c r="AT115" s="71">
        <v>31.833</v>
      </c>
      <c r="AU115" s="89"/>
      <c r="AV115" s="90"/>
      <c r="AW115" s="81"/>
    </row>
    <row r="116" ht="15.75" customHeight="1">
      <c r="A116" s="87" t="s">
        <v>170</v>
      </c>
      <c r="B116" s="100"/>
      <c r="C116" s="101" t="s">
        <v>1066</v>
      </c>
      <c r="D116" s="74">
        <v>53.263528</v>
      </c>
      <c r="E116" s="74">
        <v>34.405583</v>
      </c>
      <c r="F116" s="59">
        <v>1.0</v>
      </c>
      <c r="G116" s="84" t="s">
        <v>1413</v>
      </c>
      <c r="H116" s="61" t="s">
        <v>66</v>
      </c>
      <c r="I116" s="82"/>
      <c r="J116" s="63" t="s">
        <v>1414</v>
      </c>
      <c r="K116" s="88" t="s">
        <v>1415</v>
      </c>
      <c r="L116" s="110" t="s">
        <v>79</v>
      </c>
      <c r="M116" s="92" t="s">
        <v>240</v>
      </c>
      <c r="N116" s="111"/>
      <c r="O116" s="92" t="s">
        <v>1416</v>
      </c>
      <c r="P116" s="67" t="str">
        <f t="shared" si="1"/>
        <v>53.263528, 34.405583</v>
      </c>
      <c r="Q116" s="67" t="str">
        <f t="shared" si="2"/>
        <v>53.263204, 34.405129</v>
      </c>
      <c r="R116" s="67">
        <f t="shared" si="3"/>
        <v>53.263204</v>
      </c>
      <c r="S116" s="67">
        <f t="shared" si="4"/>
        <v>34.405129</v>
      </c>
      <c r="T116" s="99"/>
      <c r="U116" s="69"/>
      <c r="V116" s="65" t="s">
        <v>1417</v>
      </c>
      <c r="W116" s="71" t="s">
        <v>74</v>
      </c>
      <c r="X116" s="72" t="s">
        <v>75</v>
      </c>
      <c r="Y116" s="61" t="s">
        <v>76</v>
      </c>
      <c r="Z116" s="73"/>
      <c r="AA116" s="61" t="s">
        <v>77</v>
      </c>
      <c r="AB116" s="61" t="s">
        <v>1139</v>
      </c>
      <c r="AC116" s="73"/>
      <c r="AD116" s="73"/>
      <c r="AE116" s="73"/>
      <c r="AF116" s="73"/>
      <c r="AG116" s="73"/>
      <c r="AH116" s="73"/>
      <c r="AI116" s="61" t="s">
        <v>79</v>
      </c>
      <c r="AJ116" s="75"/>
      <c r="AK116" s="76" t="s">
        <v>798</v>
      </c>
      <c r="AL116" s="83" t="s">
        <v>1418</v>
      </c>
      <c r="AM116" s="71" t="s">
        <v>1419</v>
      </c>
      <c r="AN116" s="105" t="s">
        <v>1420</v>
      </c>
      <c r="AO116" s="71" t="s">
        <v>1421</v>
      </c>
      <c r="AP116" s="99" t="str">
        <f>IMAGE("https://bellingcat-archive.nyc3.cdn.digitaloceanspaces.com/Ukraine_Witness_Datasheet/Worksheet/youtube_dl_1490765928916783108/out2.jpg")</f>
        <v/>
      </c>
      <c r="AQ116" s="105" t="s">
        <v>1422</v>
      </c>
      <c r="AR116" s="71" t="s">
        <v>780</v>
      </c>
      <c r="AS116" s="71" t="s">
        <v>1423</v>
      </c>
      <c r="AT116" s="71">
        <v>14.699</v>
      </c>
      <c r="AU116" s="89"/>
      <c r="AV116" s="90"/>
      <c r="AW116" s="81"/>
    </row>
    <row r="117" ht="15.75" customHeight="1">
      <c r="A117" s="87" t="s">
        <v>1424</v>
      </c>
      <c r="B117" s="100"/>
      <c r="C117" s="101" t="s">
        <v>1179</v>
      </c>
      <c r="D117" s="74">
        <v>51.636889</v>
      </c>
      <c r="E117" s="74">
        <v>35.269167</v>
      </c>
      <c r="F117" s="59">
        <v>1.0</v>
      </c>
      <c r="G117" s="84" t="s">
        <v>1425</v>
      </c>
      <c r="H117" s="61" t="s">
        <v>66</v>
      </c>
      <c r="I117" s="82"/>
      <c r="J117" s="63" t="s">
        <v>1426</v>
      </c>
      <c r="K117" s="88" t="s">
        <v>1427</v>
      </c>
      <c r="L117" s="110" t="s">
        <v>79</v>
      </c>
      <c r="M117" s="92" t="s">
        <v>1028</v>
      </c>
      <c r="N117" s="111"/>
      <c r="O117" s="92" t="s">
        <v>1428</v>
      </c>
      <c r="P117" s="67" t="str">
        <f t="shared" si="1"/>
        <v>51.636889, 35.269167</v>
      </c>
      <c r="Q117" s="67" t="str">
        <f t="shared" si="2"/>
        <v>51.636735, 35.268556</v>
      </c>
      <c r="R117" s="67">
        <f t="shared" si="3"/>
        <v>51.636735</v>
      </c>
      <c r="S117" s="67">
        <f t="shared" si="4"/>
        <v>35.268556</v>
      </c>
      <c r="T117" s="99"/>
      <c r="U117" s="69"/>
      <c r="V117" s="65" t="s">
        <v>1429</v>
      </c>
      <c r="W117" s="71" t="s">
        <v>74</v>
      </c>
      <c r="X117" s="72" t="s">
        <v>75</v>
      </c>
      <c r="Y117" s="61" t="s">
        <v>76</v>
      </c>
      <c r="Z117" s="73"/>
      <c r="AA117" s="61" t="s">
        <v>77</v>
      </c>
      <c r="AB117" s="61" t="s">
        <v>1139</v>
      </c>
      <c r="AC117" s="73"/>
      <c r="AD117" s="73"/>
      <c r="AE117" s="73"/>
      <c r="AF117" s="73"/>
      <c r="AG117" s="73"/>
      <c r="AH117" s="73"/>
      <c r="AI117" s="61" t="s">
        <v>79</v>
      </c>
      <c r="AJ117" s="75"/>
      <c r="AK117" s="76" t="s">
        <v>798</v>
      </c>
      <c r="AL117" s="83" t="s">
        <v>1430</v>
      </c>
      <c r="AM117" s="71" t="s">
        <v>1431</v>
      </c>
      <c r="AN117" s="105" t="s">
        <v>1432</v>
      </c>
      <c r="AO117" s="71" t="s">
        <v>1433</v>
      </c>
      <c r="AP117" s="99" t="str">
        <f>IMAGE("https://bellingcat-archive.nyc3.cdn.digitaloceanspaces.com/Ukraine_Witness_Datasheet/Worksheet/youtube_dl_1491087825579966467/out2.jpg")</f>
        <v/>
      </c>
      <c r="AQ117" s="105" t="s">
        <v>1434</v>
      </c>
      <c r="AR117" s="71" t="s">
        <v>1435</v>
      </c>
      <c r="AS117" s="71" t="s">
        <v>1436</v>
      </c>
      <c r="AT117" s="71">
        <v>15.092</v>
      </c>
      <c r="AU117" s="89"/>
      <c r="AV117" s="90"/>
      <c r="AW117" s="81"/>
    </row>
    <row r="118" ht="15.75" customHeight="1">
      <c r="A118" s="87" t="s">
        <v>170</v>
      </c>
      <c r="B118" s="100"/>
      <c r="C118" s="101" t="s">
        <v>1066</v>
      </c>
      <c r="D118" s="74">
        <v>55.533</v>
      </c>
      <c r="E118" s="74">
        <v>36.368417</v>
      </c>
      <c r="F118" s="59">
        <v>1.0</v>
      </c>
      <c r="G118" s="60" t="s">
        <v>1437</v>
      </c>
      <c r="H118" s="61" t="s">
        <v>66</v>
      </c>
      <c r="I118" s="82"/>
      <c r="J118" s="63" t="s">
        <v>1367</v>
      </c>
      <c r="K118" s="131" t="s">
        <v>1438</v>
      </c>
      <c r="L118" s="110" t="s">
        <v>79</v>
      </c>
      <c r="M118" s="92" t="s">
        <v>1439</v>
      </c>
      <c r="N118" s="92" t="s">
        <v>1440</v>
      </c>
      <c r="O118" s="111"/>
      <c r="P118" s="67" t="str">
        <f t="shared" si="1"/>
        <v>55.533, 36.368417</v>
      </c>
      <c r="Q118" s="67" t="str">
        <f t="shared" si="2"/>
        <v>55.532553, 36.36761</v>
      </c>
      <c r="R118" s="67">
        <f t="shared" si="3"/>
        <v>55.532553</v>
      </c>
      <c r="S118" s="67">
        <f t="shared" si="4"/>
        <v>36.36761</v>
      </c>
      <c r="T118" s="99"/>
      <c r="U118" s="69"/>
      <c r="V118" s="65" t="s">
        <v>1441</v>
      </c>
      <c r="W118" s="71" t="s">
        <v>74</v>
      </c>
      <c r="X118" s="72" t="s">
        <v>75</v>
      </c>
      <c r="Y118" s="61" t="s">
        <v>76</v>
      </c>
      <c r="Z118" s="73"/>
      <c r="AA118" s="61" t="s">
        <v>77</v>
      </c>
      <c r="AB118" s="61" t="s">
        <v>1139</v>
      </c>
      <c r="AC118" s="73"/>
      <c r="AD118" s="73"/>
      <c r="AE118" s="73"/>
      <c r="AF118" s="73"/>
      <c r="AG118" s="73"/>
      <c r="AH118" s="73"/>
      <c r="AI118" s="61" t="s">
        <v>79</v>
      </c>
      <c r="AJ118" s="75"/>
      <c r="AK118" s="76" t="s">
        <v>798</v>
      </c>
      <c r="AL118" s="83" t="s">
        <v>1442</v>
      </c>
      <c r="AM118" s="71" t="s">
        <v>1443</v>
      </c>
      <c r="AN118" s="105" t="s">
        <v>1444</v>
      </c>
      <c r="AO118" s="71" t="s">
        <v>1445</v>
      </c>
      <c r="AP118" s="99" t="str">
        <f>IMAGE("https://bellingcat-archive.nyc3.cdn.digitaloceanspaces.com/Ukraine_Witness_Datasheet/Worksheet/youtube_dl_1490804886950273024/out3.jpg")</f>
        <v/>
      </c>
      <c r="AQ118" s="105" t="s">
        <v>1446</v>
      </c>
      <c r="AR118" s="71" t="s">
        <v>1447</v>
      </c>
      <c r="AS118" s="71" t="s">
        <v>1448</v>
      </c>
      <c r="AT118" s="71">
        <v>72.88</v>
      </c>
      <c r="AU118" s="89"/>
      <c r="AV118" s="90"/>
      <c r="AW118" s="81"/>
    </row>
    <row r="119" ht="15.75" customHeight="1">
      <c r="A119" s="87" t="s">
        <v>170</v>
      </c>
      <c r="B119" s="100"/>
      <c r="C119" s="101" t="s">
        <v>1066</v>
      </c>
      <c r="D119" s="74">
        <v>49.407944</v>
      </c>
      <c r="E119" s="74">
        <v>40.573556</v>
      </c>
      <c r="F119" s="59">
        <v>1.0</v>
      </c>
      <c r="G119" s="60" t="s">
        <v>1449</v>
      </c>
      <c r="H119" s="61" t="s">
        <v>66</v>
      </c>
      <c r="I119" s="82"/>
      <c r="J119" s="63" t="s">
        <v>1367</v>
      </c>
      <c r="K119" s="88" t="s">
        <v>1450</v>
      </c>
      <c r="L119" s="110" t="s">
        <v>79</v>
      </c>
      <c r="M119" s="92" t="s">
        <v>1451</v>
      </c>
      <c r="N119" s="92"/>
      <c r="O119" s="92" t="s">
        <v>1452</v>
      </c>
      <c r="P119" s="67" t="str">
        <f t="shared" si="1"/>
        <v>49.407944, 40.573556</v>
      </c>
      <c r="Q119" s="67" t="str">
        <f t="shared" si="2"/>
        <v>49.407892, 40.57446</v>
      </c>
      <c r="R119" s="67">
        <f t="shared" si="3"/>
        <v>49.407892</v>
      </c>
      <c r="S119" s="67">
        <f t="shared" si="4"/>
        <v>40.57446</v>
      </c>
      <c r="T119" s="99"/>
      <c r="U119" s="69"/>
      <c r="V119" s="65" t="s">
        <v>1453</v>
      </c>
      <c r="W119" s="71" t="s">
        <v>74</v>
      </c>
      <c r="X119" s="72" t="s">
        <v>75</v>
      </c>
      <c r="Y119" s="61" t="s">
        <v>76</v>
      </c>
      <c r="Z119" s="73"/>
      <c r="AA119" s="61" t="s">
        <v>77</v>
      </c>
      <c r="AB119" s="61" t="s">
        <v>1139</v>
      </c>
      <c r="AC119" s="73"/>
      <c r="AD119" s="73"/>
      <c r="AE119" s="73"/>
      <c r="AF119" s="73"/>
      <c r="AG119" s="73"/>
      <c r="AH119" s="73"/>
      <c r="AI119" s="61" t="s">
        <v>79</v>
      </c>
      <c r="AJ119" s="75"/>
      <c r="AK119" s="76" t="s">
        <v>798</v>
      </c>
      <c r="AL119" s="83" t="s">
        <v>1454</v>
      </c>
      <c r="AM119" s="71" t="s">
        <v>1455</v>
      </c>
      <c r="AN119" s="105" t="s">
        <v>1456</v>
      </c>
      <c r="AO119" s="71" t="s">
        <v>1457</v>
      </c>
      <c r="AP119" s="99" t="str">
        <f>IMAGE("https://bellingcat-archive.nyc3.cdn.digitaloceanspaces.com/Ukraine_Witness_Datasheet/Worksheet/youtube_dl_1490811870453940231/out2.jpg")</f>
        <v/>
      </c>
      <c r="AQ119" s="105" t="s">
        <v>1458</v>
      </c>
      <c r="AR119" s="71" t="s">
        <v>1459</v>
      </c>
      <c r="AS119" s="71" t="s">
        <v>1460</v>
      </c>
      <c r="AT119" s="71">
        <v>48.48</v>
      </c>
      <c r="AU119" s="89"/>
      <c r="AV119" s="90"/>
      <c r="AW119" s="81"/>
    </row>
    <row r="120" ht="15.75" customHeight="1">
      <c r="A120" s="87" t="s">
        <v>170</v>
      </c>
      <c r="B120" s="100"/>
      <c r="C120" s="101" t="s">
        <v>1053</v>
      </c>
      <c r="D120" s="74">
        <v>56.26675</v>
      </c>
      <c r="E120" s="74">
        <v>41.855583</v>
      </c>
      <c r="F120" s="59">
        <v>1.0</v>
      </c>
      <c r="G120" s="84" t="s">
        <v>1461</v>
      </c>
      <c r="H120" s="61" t="s">
        <v>66</v>
      </c>
      <c r="I120" s="82"/>
      <c r="J120" s="63" t="s">
        <v>1462</v>
      </c>
      <c r="K120" s="88" t="s">
        <v>1463</v>
      </c>
      <c r="L120" s="110" t="s">
        <v>79</v>
      </c>
      <c r="M120" s="92" t="s">
        <v>1464</v>
      </c>
      <c r="N120" s="92" t="s">
        <v>1465</v>
      </c>
      <c r="O120" s="92" t="s">
        <v>1466</v>
      </c>
      <c r="P120" s="67" t="str">
        <f t="shared" si="1"/>
        <v>56.26675, 41.855583</v>
      </c>
      <c r="Q120" s="67" t="str">
        <f t="shared" si="2"/>
        <v>56.266046, 41.855865</v>
      </c>
      <c r="R120" s="67">
        <f t="shared" si="3"/>
        <v>56.266046</v>
      </c>
      <c r="S120" s="67">
        <f t="shared" si="4"/>
        <v>41.855865</v>
      </c>
      <c r="T120" s="99"/>
      <c r="U120" s="69"/>
      <c r="V120" s="65" t="s">
        <v>1467</v>
      </c>
      <c r="W120" s="71" t="s">
        <v>74</v>
      </c>
      <c r="X120" s="72" t="s">
        <v>75</v>
      </c>
      <c r="Y120" s="61" t="s">
        <v>76</v>
      </c>
      <c r="Z120" s="73"/>
      <c r="AA120" s="61" t="s">
        <v>77</v>
      </c>
      <c r="AB120" s="61" t="s">
        <v>1139</v>
      </c>
      <c r="AC120" s="73"/>
      <c r="AD120" s="73"/>
      <c r="AE120" s="73"/>
      <c r="AF120" s="73"/>
      <c r="AG120" s="73"/>
      <c r="AH120" s="73"/>
      <c r="AI120" s="61" t="s">
        <v>79</v>
      </c>
      <c r="AJ120" s="75"/>
      <c r="AK120" s="76" t="s">
        <v>798</v>
      </c>
      <c r="AL120" s="83" t="s">
        <v>1468</v>
      </c>
      <c r="AM120" s="71" t="s">
        <v>1469</v>
      </c>
      <c r="AN120" s="105" t="s">
        <v>1470</v>
      </c>
      <c r="AO120" s="71" t="s">
        <v>1471</v>
      </c>
      <c r="AP120" s="99" t="str">
        <f>IMAGE("https://bellingcat-archive.nyc3.cdn.digitaloceanspaces.com/Ukraine_Witness_Datasheet/Worksheet/youtube_dl_1490306155540844544/out2.jpg")</f>
        <v/>
      </c>
      <c r="AQ120" s="105" t="s">
        <v>1472</v>
      </c>
      <c r="AR120" s="71" t="s">
        <v>1473</v>
      </c>
      <c r="AS120" s="71" t="s">
        <v>1474</v>
      </c>
      <c r="AT120" s="71">
        <v>17.933</v>
      </c>
      <c r="AU120" s="89"/>
      <c r="AV120" s="90"/>
      <c r="AW120" s="81"/>
    </row>
    <row r="121" ht="15.75" customHeight="1">
      <c r="A121" s="87" t="s">
        <v>170</v>
      </c>
      <c r="B121" s="100"/>
      <c r="C121" s="101" t="s">
        <v>1053</v>
      </c>
      <c r="D121" s="74">
        <v>51.212</v>
      </c>
      <c r="E121" s="74">
        <v>36.277639</v>
      </c>
      <c r="F121" s="59">
        <v>1.0</v>
      </c>
      <c r="G121" s="84" t="s">
        <v>1054</v>
      </c>
      <c r="H121" s="61" t="s">
        <v>66</v>
      </c>
      <c r="I121" s="82"/>
      <c r="J121" s="63" t="s">
        <v>1402</v>
      </c>
      <c r="K121" s="88" t="s">
        <v>1475</v>
      </c>
      <c r="L121" s="110" t="s">
        <v>79</v>
      </c>
      <c r="M121" s="92" t="s">
        <v>1028</v>
      </c>
      <c r="N121" s="111"/>
      <c r="O121" s="92" t="s">
        <v>1057</v>
      </c>
      <c r="P121" s="67" t="str">
        <f t="shared" si="1"/>
        <v>51.212, 36.277639</v>
      </c>
      <c r="Q121" s="67" t="str">
        <f t="shared" si="2"/>
        <v>51.211905, 36.277125</v>
      </c>
      <c r="R121" s="67">
        <f t="shared" si="3"/>
        <v>51.211905</v>
      </c>
      <c r="S121" s="67">
        <f t="shared" si="4"/>
        <v>36.277125</v>
      </c>
      <c r="T121" s="99"/>
      <c r="U121" s="69"/>
      <c r="V121" s="65" t="s">
        <v>1476</v>
      </c>
      <c r="W121" s="71" t="s">
        <v>74</v>
      </c>
      <c r="X121" s="72" t="s">
        <v>75</v>
      </c>
      <c r="Y121" s="61" t="s">
        <v>76</v>
      </c>
      <c r="Z121" s="73"/>
      <c r="AA121" s="61" t="s">
        <v>77</v>
      </c>
      <c r="AB121" s="61" t="s">
        <v>1139</v>
      </c>
      <c r="AC121" s="73"/>
      <c r="AD121" s="73"/>
      <c r="AE121" s="73"/>
      <c r="AF121" s="73"/>
      <c r="AG121" s="73"/>
      <c r="AH121" s="73"/>
      <c r="AI121" s="61" t="s">
        <v>79</v>
      </c>
      <c r="AJ121" s="75"/>
      <c r="AK121" s="76" t="s">
        <v>930</v>
      </c>
      <c r="AL121" s="83" t="s">
        <v>1059</v>
      </c>
      <c r="AM121" s="71" t="s">
        <v>1477</v>
      </c>
      <c r="AN121" s="105" t="s">
        <v>1478</v>
      </c>
      <c r="AO121" s="71" t="s">
        <v>1062</v>
      </c>
      <c r="AP121" s="99" t="str">
        <f>IMAGE("https://bellingcat-archive.nyc3.cdn.digitaloceanspaces.com/Ukraine_Witness_Datasheet/Worksheet/youtube_dl_1490472689273823233/out3.jpg")</f>
        <v/>
      </c>
      <c r="AQ121" s="105" t="s">
        <v>1063</v>
      </c>
      <c r="AR121" s="71" t="s">
        <v>1064</v>
      </c>
      <c r="AS121" s="71" t="s">
        <v>1065</v>
      </c>
      <c r="AT121" s="71">
        <v>103.003</v>
      </c>
      <c r="AU121" s="89"/>
      <c r="AV121" s="90"/>
      <c r="AW121" s="81"/>
    </row>
    <row r="122" ht="15.75" customHeight="1">
      <c r="A122" s="87" t="s">
        <v>170</v>
      </c>
      <c r="B122" s="100"/>
      <c r="C122" s="101" t="s">
        <v>1066</v>
      </c>
      <c r="D122" s="74">
        <v>50.750583</v>
      </c>
      <c r="E122" s="74">
        <v>40.047333</v>
      </c>
      <c r="F122" s="59">
        <v>1.0</v>
      </c>
      <c r="G122" s="84" t="s">
        <v>1479</v>
      </c>
      <c r="H122" s="61" t="s">
        <v>66</v>
      </c>
      <c r="I122" s="82"/>
      <c r="J122" s="63" t="s">
        <v>1402</v>
      </c>
      <c r="K122" s="88" t="s">
        <v>1480</v>
      </c>
      <c r="L122" s="110" t="s">
        <v>79</v>
      </c>
      <c r="M122" s="92" t="s">
        <v>563</v>
      </c>
      <c r="N122" s="92" t="s">
        <v>1481</v>
      </c>
      <c r="O122" s="111"/>
      <c r="P122" s="67" t="str">
        <f t="shared" si="1"/>
        <v>50.750583, 40.047333</v>
      </c>
      <c r="Q122" s="67" t="str">
        <f t="shared" si="2"/>
        <v>50.75017, 40.046997</v>
      </c>
      <c r="R122" s="67">
        <f t="shared" si="3"/>
        <v>50.75017</v>
      </c>
      <c r="S122" s="67">
        <f t="shared" si="4"/>
        <v>40.046997</v>
      </c>
      <c r="T122" s="99"/>
      <c r="U122" s="69"/>
      <c r="V122" s="65" t="s">
        <v>1482</v>
      </c>
      <c r="W122" s="71" t="s">
        <v>74</v>
      </c>
      <c r="X122" s="72" t="s">
        <v>75</v>
      </c>
      <c r="Y122" s="61" t="s">
        <v>76</v>
      </c>
      <c r="Z122" s="73"/>
      <c r="AA122" s="61" t="s">
        <v>77</v>
      </c>
      <c r="AB122" s="61" t="s">
        <v>421</v>
      </c>
      <c r="AC122" s="73"/>
      <c r="AD122" s="73"/>
      <c r="AE122" s="73"/>
      <c r="AF122" s="73"/>
      <c r="AG122" s="73"/>
      <c r="AH122" s="73"/>
      <c r="AI122" s="61" t="s">
        <v>79</v>
      </c>
      <c r="AJ122" s="75"/>
      <c r="AK122" s="76" t="s">
        <v>798</v>
      </c>
      <c r="AL122" s="83" t="s">
        <v>1483</v>
      </c>
      <c r="AM122" s="71" t="s">
        <v>1484</v>
      </c>
      <c r="AN122" s="105" t="s">
        <v>1485</v>
      </c>
      <c r="AO122" s="71" t="s">
        <v>1486</v>
      </c>
      <c r="AP122" s="99" t="str">
        <f>IMAGE("https://bellingcat-archive.nyc3.cdn.digitaloceanspaces.com/Ukraine_Witness_Datasheet/Worksheet/youtube_dl_1490414225579286528/out2.jpg")</f>
        <v/>
      </c>
      <c r="AQ122" s="105" t="s">
        <v>1487</v>
      </c>
      <c r="AR122" s="71" t="s">
        <v>1488</v>
      </c>
      <c r="AS122" s="71" t="s">
        <v>1489</v>
      </c>
      <c r="AT122" s="71">
        <v>30.511</v>
      </c>
      <c r="AU122" s="89"/>
      <c r="AV122" s="90"/>
      <c r="AW122" s="81"/>
    </row>
    <row r="123" ht="15.75" customHeight="1">
      <c r="A123" s="87" t="s">
        <v>170</v>
      </c>
      <c r="B123" s="100"/>
      <c r="C123" s="101" t="s">
        <v>1053</v>
      </c>
      <c r="D123" s="74">
        <v>51.261333</v>
      </c>
      <c r="E123" s="74">
        <v>37.930139</v>
      </c>
      <c r="F123" s="59">
        <v>1.0</v>
      </c>
      <c r="G123" s="84" t="s">
        <v>1490</v>
      </c>
      <c r="H123" s="61" t="s">
        <v>66</v>
      </c>
      <c r="I123" s="82"/>
      <c r="J123" s="63" t="s">
        <v>1402</v>
      </c>
      <c r="K123" s="88" t="s">
        <v>1491</v>
      </c>
      <c r="L123" s="110" t="s">
        <v>79</v>
      </c>
      <c r="M123" s="92" t="s">
        <v>1492</v>
      </c>
      <c r="N123" s="92" t="s">
        <v>1493</v>
      </c>
      <c r="O123" s="111"/>
      <c r="P123" s="67" t="str">
        <f t="shared" si="1"/>
        <v>51.261333, 37.930139</v>
      </c>
      <c r="Q123" s="67" t="str">
        <f t="shared" si="2"/>
        <v>51.26124, 37.929017</v>
      </c>
      <c r="R123" s="67">
        <f t="shared" si="3"/>
        <v>51.26124</v>
      </c>
      <c r="S123" s="67">
        <f t="shared" si="4"/>
        <v>37.929017</v>
      </c>
      <c r="T123" s="99"/>
      <c r="U123" s="69"/>
      <c r="V123" s="65" t="s">
        <v>1494</v>
      </c>
      <c r="W123" s="71" t="s">
        <v>74</v>
      </c>
      <c r="X123" s="72" t="s">
        <v>75</v>
      </c>
      <c r="Y123" s="61" t="s">
        <v>76</v>
      </c>
      <c r="Z123" s="73"/>
      <c r="AA123" s="61" t="s">
        <v>77</v>
      </c>
      <c r="AB123" s="61" t="s">
        <v>421</v>
      </c>
      <c r="AC123" s="73"/>
      <c r="AD123" s="73"/>
      <c r="AE123" s="73"/>
      <c r="AF123" s="73"/>
      <c r="AG123" s="73"/>
      <c r="AH123" s="73"/>
      <c r="AI123" s="61" t="s">
        <v>79</v>
      </c>
      <c r="AJ123" s="75"/>
      <c r="AK123" s="76" t="s">
        <v>798</v>
      </c>
      <c r="AL123" s="83" t="s">
        <v>1495</v>
      </c>
      <c r="AM123" s="71" t="s">
        <v>1496</v>
      </c>
      <c r="AN123" s="105" t="s">
        <v>1497</v>
      </c>
      <c r="AO123" s="71" t="s">
        <v>1498</v>
      </c>
      <c r="AP123" s="99" t="str">
        <f>IMAGE("https://bellingcat-archive.nyc3.cdn.digitaloceanspaces.com/Ukraine_Witness_Datasheet/Worksheet/youtube_dl_1490270307558510593/out2.jpg")</f>
        <v/>
      </c>
      <c r="AQ123" s="105" t="s">
        <v>1499</v>
      </c>
      <c r="AR123" s="71" t="s">
        <v>1500</v>
      </c>
      <c r="AS123" s="71" t="s">
        <v>1501</v>
      </c>
      <c r="AT123" s="71">
        <v>33.533</v>
      </c>
      <c r="AU123" s="89"/>
      <c r="AV123" s="90"/>
      <c r="AW123" s="81"/>
    </row>
    <row r="124" ht="15.75" customHeight="1">
      <c r="A124" s="87" t="s">
        <v>63</v>
      </c>
      <c r="B124" s="104"/>
      <c r="C124" s="101" t="s">
        <v>195</v>
      </c>
      <c r="D124" s="149">
        <v>56.859233</v>
      </c>
      <c r="E124" s="149">
        <v>60.613233</v>
      </c>
      <c r="F124" s="59">
        <v>1.0</v>
      </c>
      <c r="G124" s="84" t="s">
        <v>1502</v>
      </c>
      <c r="H124" s="61" t="s">
        <v>66</v>
      </c>
      <c r="I124" s="82"/>
      <c r="J124" s="63" t="s">
        <v>1503</v>
      </c>
      <c r="K124" s="88" t="s">
        <v>1504</v>
      </c>
      <c r="L124" s="110" t="s">
        <v>79</v>
      </c>
      <c r="M124" s="92" t="s">
        <v>1505</v>
      </c>
      <c r="N124" s="111"/>
      <c r="O124" s="92" t="s">
        <v>1506</v>
      </c>
      <c r="P124" s="67" t="str">
        <f t="shared" si="1"/>
        <v>56.859233, 60.613233</v>
      </c>
      <c r="Q124" s="67" t="str">
        <f t="shared" si="2"/>
        <v>56.858762, 60.613749</v>
      </c>
      <c r="R124" s="67">
        <f t="shared" si="3"/>
        <v>56.858762</v>
      </c>
      <c r="S124" s="67">
        <f t="shared" si="4"/>
        <v>60.613749</v>
      </c>
      <c r="T124" s="99"/>
      <c r="U124" s="69"/>
      <c r="V124" s="65" t="s">
        <v>1507</v>
      </c>
      <c r="W124" s="71" t="s">
        <v>74</v>
      </c>
      <c r="X124" s="72" t="s">
        <v>75</v>
      </c>
      <c r="Y124" s="61" t="s">
        <v>76</v>
      </c>
      <c r="Z124" s="73"/>
      <c r="AA124" s="61" t="s">
        <v>77</v>
      </c>
      <c r="AB124" s="61" t="s">
        <v>1139</v>
      </c>
      <c r="AC124" s="73"/>
      <c r="AD124" s="73"/>
      <c r="AE124" s="73"/>
      <c r="AF124" s="73"/>
      <c r="AG124" s="73"/>
      <c r="AH124" s="73"/>
      <c r="AI124" s="61" t="s">
        <v>79</v>
      </c>
      <c r="AJ124" s="75"/>
      <c r="AK124" s="76" t="s">
        <v>798</v>
      </c>
      <c r="AL124" s="83" t="s">
        <v>1508</v>
      </c>
      <c r="AM124" s="71" t="s">
        <v>1509</v>
      </c>
      <c r="AN124" s="105" t="s">
        <v>1510</v>
      </c>
      <c r="AO124" s="71" t="s">
        <v>1511</v>
      </c>
      <c r="AP124" s="99" t="str">
        <f>IMAGE("https://bellingcat-archive.nyc3.cdn.digitaloceanspaces.com/Ukraine_Witness_Datasheet/Worksheet/youtube_dl_1482924741400924160/out2.jpg")</f>
        <v/>
      </c>
      <c r="AQ124" s="105" t="s">
        <v>1512</v>
      </c>
      <c r="AR124" s="71" t="s">
        <v>1513</v>
      </c>
      <c r="AS124" s="71" t="s">
        <v>1514</v>
      </c>
      <c r="AT124" s="71">
        <v>13.76</v>
      </c>
      <c r="AU124" s="89"/>
      <c r="AV124" s="90"/>
      <c r="AW124" s="81"/>
    </row>
    <row r="125" ht="15.75" customHeight="1">
      <c r="A125" s="87" t="s">
        <v>63</v>
      </c>
      <c r="B125" s="104"/>
      <c r="C125" s="101" t="s">
        <v>858</v>
      </c>
      <c r="D125" s="58">
        <v>56.240307</v>
      </c>
      <c r="E125" s="58">
        <v>90.00305</v>
      </c>
      <c r="F125" s="59">
        <v>1.0</v>
      </c>
      <c r="G125" s="84" t="s">
        <v>1515</v>
      </c>
      <c r="H125" s="61" t="s">
        <v>66</v>
      </c>
      <c r="I125" s="82"/>
      <c r="J125" s="63" t="s">
        <v>1503</v>
      </c>
      <c r="K125" s="88" t="s">
        <v>1516</v>
      </c>
      <c r="L125" s="110" t="s">
        <v>79</v>
      </c>
      <c r="M125" s="92" t="s">
        <v>1517</v>
      </c>
      <c r="N125" s="111"/>
      <c r="O125" s="92" t="s">
        <v>1518</v>
      </c>
      <c r="P125" s="67" t="str">
        <f t="shared" si="1"/>
        <v>56.240307, 90.00305</v>
      </c>
      <c r="Q125" s="67" t="str">
        <f t="shared" si="2"/>
        <v>56.239867, 90.003479</v>
      </c>
      <c r="R125" s="67">
        <f t="shared" si="3"/>
        <v>56.239867</v>
      </c>
      <c r="S125" s="67">
        <f t="shared" si="4"/>
        <v>90.003479</v>
      </c>
      <c r="T125" s="99"/>
      <c r="U125" s="69"/>
      <c r="V125" s="65" t="s">
        <v>1519</v>
      </c>
      <c r="W125" s="71" t="s">
        <v>74</v>
      </c>
      <c r="X125" s="72" t="s">
        <v>75</v>
      </c>
      <c r="Y125" s="61" t="s">
        <v>76</v>
      </c>
      <c r="Z125" s="73"/>
      <c r="AA125" s="61" t="s">
        <v>77</v>
      </c>
      <c r="AB125" s="61" t="s">
        <v>1139</v>
      </c>
      <c r="AC125" s="73"/>
      <c r="AD125" s="73"/>
      <c r="AE125" s="73"/>
      <c r="AF125" s="73"/>
      <c r="AG125" s="73"/>
      <c r="AH125" s="73"/>
      <c r="AI125" s="61" t="s">
        <v>79</v>
      </c>
      <c r="AJ125" s="75"/>
      <c r="AK125" s="76" t="s">
        <v>798</v>
      </c>
      <c r="AL125" s="83" t="s">
        <v>1520</v>
      </c>
      <c r="AM125" s="71" t="s">
        <v>1521</v>
      </c>
      <c r="AN125" s="105" t="s">
        <v>1522</v>
      </c>
      <c r="AO125" s="71" t="s">
        <v>1523</v>
      </c>
      <c r="AP125" s="99" t="str">
        <f>IMAGE("https://bellingcat-archive.nyc3.cdn.digitaloceanspaces.com/Ukraine_Witness_Datasheet/Worksheet/youtube_dl_1482809379166597121/out2.jpg")</f>
        <v/>
      </c>
      <c r="AQ125" s="105" t="s">
        <v>1524</v>
      </c>
      <c r="AR125" s="71" t="s">
        <v>1525</v>
      </c>
      <c r="AS125" s="71" t="s">
        <v>1526</v>
      </c>
      <c r="AT125" s="71">
        <v>27.956</v>
      </c>
      <c r="AU125" s="89"/>
      <c r="AV125" s="90"/>
      <c r="AW125" s="81"/>
    </row>
    <row r="126" ht="15.75" customHeight="1">
      <c r="A126" s="87" t="s">
        <v>170</v>
      </c>
      <c r="B126" s="100"/>
      <c r="C126" s="101" t="s">
        <v>1053</v>
      </c>
      <c r="D126" s="74">
        <v>48.670528</v>
      </c>
      <c r="E126" s="74">
        <v>40.368222</v>
      </c>
      <c r="F126" s="59">
        <v>1.0</v>
      </c>
      <c r="G126" s="84" t="s">
        <v>1527</v>
      </c>
      <c r="H126" s="61" t="s">
        <v>66</v>
      </c>
      <c r="I126" s="82"/>
      <c r="J126" s="63" t="s">
        <v>1402</v>
      </c>
      <c r="K126" s="88" t="s">
        <v>1528</v>
      </c>
      <c r="L126" s="110" t="s">
        <v>79</v>
      </c>
      <c r="M126" s="92" t="s">
        <v>349</v>
      </c>
      <c r="N126" s="92" t="s">
        <v>1529</v>
      </c>
      <c r="O126" s="111"/>
      <c r="P126" s="67" t="str">
        <f t="shared" si="1"/>
        <v>48.670528, 40.368222</v>
      </c>
      <c r="Q126" s="67" t="str">
        <f t="shared" si="2"/>
        <v>48.670072, 40.367186</v>
      </c>
      <c r="R126" s="67">
        <f t="shared" si="3"/>
        <v>48.670072</v>
      </c>
      <c r="S126" s="67">
        <f t="shared" si="4"/>
        <v>40.367186</v>
      </c>
      <c r="T126" s="99"/>
      <c r="U126" s="69"/>
      <c r="V126" s="65" t="s">
        <v>1530</v>
      </c>
      <c r="W126" s="71" t="s">
        <v>74</v>
      </c>
      <c r="X126" s="72" t="s">
        <v>75</v>
      </c>
      <c r="Y126" s="61" t="s">
        <v>76</v>
      </c>
      <c r="Z126" s="73"/>
      <c r="AA126" s="61" t="s">
        <v>77</v>
      </c>
      <c r="AB126" s="61" t="s">
        <v>421</v>
      </c>
      <c r="AC126" s="73"/>
      <c r="AD126" s="73"/>
      <c r="AE126" s="73"/>
      <c r="AF126" s="73"/>
      <c r="AG126" s="73"/>
      <c r="AH126" s="73"/>
      <c r="AI126" s="61" t="s">
        <v>79</v>
      </c>
      <c r="AJ126" s="75"/>
      <c r="AK126" s="76" t="s">
        <v>798</v>
      </c>
      <c r="AL126" s="83" t="s">
        <v>1531</v>
      </c>
      <c r="AM126" s="71" t="s">
        <v>1532</v>
      </c>
      <c r="AN126" s="105" t="s">
        <v>1533</v>
      </c>
      <c r="AO126" s="71" t="s">
        <v>1534</v>
      </c>
      <c r="AP126" s="99" t="str">
        <f>IMAGE("https://bellingcat-archive.nyc3.cdn.digitaloceanspaces.com/Ukraine_Witness_Datasheet/Worksheet/youtube_dl_1490368912244056064/out2.jpg")</f>
        <v/>
      </c>
      <c r="AQ126" s="105" t="s">
        <v>1535</v>
      </c>
      <c r="AR126" s="71" t="s">
        <v>1536</v>
      </c>
      <c r="AS126" s="71" t="s">
        <v>1537</v>
      </c>
      <c r="AT126" s="71">
        <v>50.566</v>
      </c>
      <c r="AU126" s="89"/>
      <c r="AV126" s="90"/>
      <c r="AW126" s="81"/>
    </row>
    <row r="127" ht="15.75" customHeight="1">
      <c r="A127" s="87" t="s">
        <v>63</v>
      </c>
      <c r="B127" s="104"/>
      <c r="C127" s="101" t="s">
        <v>1538</v>
      </c>
      <c r="D127" s="58">
        <v>54.205432</v>
      </c>
      <c r="E127" s="104">
        <v>49.643859</v>
      </c>
      <c r="F127" s="59">
        <v>1.0</v>
      </c>
      <c r="G127" s="84" t="s">
        <v>1539</v>
      </c>
      <c r="H127" s="61" t="s">
        <v>66</v>
      </c>
      <c r="I127" s="82"/>
      <c r="J127" s="63" t="s">
        <v>1503</v>
      </c>
      <c r="K127" s="88" t="s">
        <v>1540</v>
      </c>
      <c r="L127" s="110" t="s">
        <v>79</v>
      </c>
      <c r="M127" s="92" t="s">
        <v>1541</v>
      </c>
      <c r="N127" s="111"/>
      <c r="O127" s="92" t="s">
        <v>1542</v>
      </c>
      <c r="P127" s="67" t="str">
        <f t="shared" si="1"/>
        <v>54.205432, 49.643859</v>
      </c>
      <c r="Q127" s="67" t="str">
        <f t="shared" si="2"/>
        <v>54.205135, 49.643405</v>
      </c>
      <c r="R127" s="67">
        <f t="shared" si="3"/>
        <v>54.205135</v>
      </c>
      <c r="S127" s="67">
        <f t="shared" si="4"/>
        <v>49.643405</v>
      </c>
      <c r="T127" s="99"/>
      <c r="U127" s="69"/>
      <c r="V127" s="65" t="s">
        <v>1543</v>
      </c>
      <c r="W127" s="71" t="s">
        <v>74</v>
      </c>
      <c r="X127" s="72" t="s">
        <v>75</v>
      </c>
      <c r="Y127" s="61" t="s">
        <v>76</v>
      </c>
      <c r="Z127" s="73"/>
      <c r="AA127" s="61" t="s">
        <v>77</v>
      </c>
      <c r="AB127" s="61" t="s">
        <v>1139</v>
      </c>
      <c r="AC127" s="73"/>
      <c r="AD127" s="73"/>
      <c r="AE127" s="73"/>
      <c r="AF127" s="73"/>
      <c r="AG127" s="73"/>
      <c r="AH127" s="73"/>
      <c r="AI127" s="61" t="s">
        <v>79</v>
      </c>
      <c r="AJ127" s="75"/>
      <c r="AK127" s="76" t="s">
        <v>798</v>
      </c>
      <c r="AL127" s="83" t="s">
        <v>1544</v>
      </c>
      <c r="AM127" s="71" t="s">
        <v>1545</v>
      </c>
      <c r="AN127" s="105" t="s">
        <v>1546</v>
      </c>
      <c r="AO127" s="71" t="s">
        <v>1547</v>
      </c>
      <c r="AP127" s="99" t="str">
        <f>IMAGE("https://bellingcat-archive.nyc3.cdn.digitaloceanspaces.com/Ukraine_Witness_Datasheet/Worksheet/youtube_dl_1482434887621689347/out2.jpg")</f>
        <v/>
      </c>
      <c r="AQ127" s="105" t="s">
        <v>1548</v>
      </c>
      <c r="AR127" s="71" t="s">
        <v>1549</v>
      </c>
      <c r="AS127" s="71" t="s">
        <v>1550</v>
      </c>
      <c r="AT127" s="71">
        <v>24.267</v>
      </c>
      <c r="AU127" s="89"/>
      <c r="AV127" s="90"/>
      <c r="AW127" s="81"/>
    </row>
    <row r="128" ht="15.75" customHeight="1">
      <c r="A128" s="87" t="s">
        <v>63</v>
      </c>
      <c r="B128" s="104"/>
      <c r="C128" s="101" t="s">
        <v>858</v>
      </c>
      <c r="D128" s="58">
        <v>53.3144</v>
      </c>
      <c r="E128" s="104">
        <v>34.308615</v>
      </c>
      <c r="F128" s="59">
        <v>1.0</v>
      </c>
      <c r="G128" s="84" t="s">
        <v>1551</v>
      </c>
      <c r="H128" s="61" t="s">
        <v>66</v>
      </c>
      <c r="I128" s="82"/>
      <c r="J128" s="63" t="s">
        <v>1503</v>
      </c>
      <c r="K128" s="88" t="s">
        <v>1552</v>
      </c>
      <c r="L128" s="110" t="s">
        <v>79</v>
      </c>
      <c r="M128" s="92" t="s">
        <v>240</v>
      </c>
      <c r="N128" s="111"/>
      <c r="O128" s="92" t="s">
        <v>240</v>
      </c>
      <c r="P128" s="67" t="str">
        <f t="shared" si="1"/>
        <v>53.3144, 34.308615</v>
      </c>
      <c r="Q128" s="67" t="str">
        <f t="shared" si="2"/>
        <v>53.314101, 34.309071</v>
      </c>
      <c r="R128" s="67">
        <f t="shared" si="3"/>
        <v>53.314101</v>
      </c>
      <c r="S128" s="67">
        <f t="shared" si="4"/>
        <v>34.309071</v>
      </c>
      <c r="T128" s="99"/>
      <c r="U128" s="69"/>
      <c r="V128" s="65" t="s">
        <v>1553</v>
      </c>
      <c r="W128" s="71" t="s">
        <v>74</v>
      </c>
      <c r="X128" s="72" t="s">
        <v>75</v>
      </c>
      <c r="Y128" s="61" t="s">
        <v>76</v>
      </c>
      <c r="Z128" s="73"/>
      <c r="AA128" s="61" t="s">
        <v>77</v>
      </c>
      <c r="AB128" s="61" t="s">
        <v>1139</v>
      </c>
      <c r="AC128" s="73"/>
      <c r="AD128" s="73"/>
      <c r="AE128" s="73"/>
      <c r="AF128" s="73"/>
      <c r="AG128" s="73"/>
      <c r="AH128" s="73"/>
      <c r="AI128" s="61" t="s">
        <v>79</v>
      </c>
      <c r="AJ128" s="75"/>
      <c r="AK128" s="76" t="s">
        <v>798</v>
      </c>
      <c r="AL128" s="83" t="s">
        <v>1554</v>
      </c>
      <c r="AM128" s="71" t="s">
        <v>1555</v>
      </c>
      <c r="AN128" s="105" t="s">
        <v>1556</v>
      </c>
      <c r="AO128" s="71" t="s">
        <v>1557</v>
      </c>
      <c r="AP128" s="99" t="str">
        <f>IMAGE("https://bellingcat-archive.nyc3.cdn.digitaloceanspaces.com/Ukraine_Witness_Datasheet/Worksheet/youtube_dl_1482540686163513345/out2.jpg")</f>
        <v/>
      </c>
      <c r="AQ128" s="105" t="s">
        <v>1558</v>
      </c>
      <c r="AR128" s="71" t="s">
        <v>687</v>
      </c>
      <c r="AS128" s="71" t="s">
        <v>1559</v>
      </c>
      <c r="AT128" s="71">
        <v>8.866</v>
      </c>
      <c r="AU128" s="89"/>
      <c r="AV128" s="90"/>
      <c r="AW128" s="81"/>
    </row>
    <row r="129" ht="15.75" customHeight="1">
      <c r="A129" s="87" t="s">
        <v>63</v>
      </c>
      <c r="B129" s="100"/>
      <c r="C129" s="101" t="s">
        <v>222</v>
      </c>
      <c r="D129" s="58">
        <v>56.022341</v>
      </c>
      <c r="E129" s="58">
        <v>93.113378</v>
      </c>
      <c r="F129" s="59">
        <v>1.0</v>
      </c>
      <c r="G129" s="84" t="s">
        <v>1560</v>
      </c>
      <c r="H129" s="61" t="s">
        <v>66</v>
      </c>
      <c r="I129" s="82"/>
      <c r="J129" s="63" t="s">
        <v>1503</v>
      </c>
      <c r="K129" s="88" t="s">
        <v>1561</v>
      </c>
      <c r="L129" s="110" t="s">
        <v>79</v>
      </c>
      <c r="M129" s="92" t="s">
        <v>1517</v>
      </c>
      <c r="N129" s="111"/>
      <c r="O129" s="92" t="s">
        <v>1562</v>
      </c>
      <c r="P129" s="67" t="str">
        <f t="shared" si="1"/>
        <v>56.022341, 93.113378</v>
      </c>
      <c r="Q129" s="67" t="str">
        <f t="shared" si="2"/>
        <v>56.021733, 93.113196</v>
      </c>
      <c r="R129" s="67">
        <f t="shared" si="3"/>
        <v>56.021733</v>
      </c>
      <c r="S129" s="67">
        <f t="shared" si="4"/>
        <v>93.113196</v>
      </c>
      <c r="T129" s="99"/>
      <c r="U129" s="69"/>
      <c r="V129" s="65" t="s">
        <v>1563</v>
      </c>
      <c r="W129" s="71" t="s">
        <v>74</v>
      </c>
      <c r="X129" s="72" t="s">
        <v>75</v>
      </c>
      <c r="Y129" s="61" t="s">
        <v>76</v>
      </c>
      <c r="Z129" s="73"/>
      <c r="AA129" s="61" t="s">
        <v>77</v>
      </c>
      <c r="AB129" s="61" t="s">
        <v>1139</v>
      </c>
      <c r="AC129" s="73"/>
      <c r="AD129" s="73"/>
      <c r="AE129" s="73"/>
      <c r="AF129" s="73"/>
      <c r="AG129" s="73"/>
      <c r="AH129" s="73"/>
      <c r="AI129" s="61" t="s">
        <v>79</v>
      </c>
      <c r="AJ129" s="75"/>
      <c r="AK129" s="76" t="s">
        <v>798</v>
      </c>
      <c r="AL129" s="83" t="s">
        <v>1564</v>
      </c>
      <c r="AM129" s="71" t="s">
        <v>1565</v>
      </c>
      <c r="AN129" s="105" t="s">
        <v>1566</v>
      </c>
      <c r="AO129" s="71" t="s">
        <v>1567</v>
      </c>
      <c r="AP129" s="99" t="str">
        <f>IMAGE("https://bellingcat-archive.nyc3.cdn.digitaloceanspaces.com/Ukraine_Witness_Datasheet/Worksheet/youtube_dl_1481202086960406530/out2.jpg")</f>
        <v/>
      </c>
      <c r="AQ129" s="105" t="s">
        <v>1568</v>
      </c>
      <c r="AR129" s="71" t="s">
        <v>1569</v>
      </c>
      <c r="AS129" s="71" t="s">
        <v>1570</v>
      </c>
      <c r="AT129" s="71">
        <v>32.461</v>
      </c>
      <c r="AU129" s="89"/>
      <c r="AV129" s="90"/>
      <c r="AW129" s="81"/>
    </row>
    <row r="130" ht="15.75" customHeight="1">
      <c r="A130" s="87" t="s">
        <v>63</v>
      </c>
      <c r="B130" s="100"/>
      <c r="C130" s="101" t="s">
        <v>1571</v>
      </c>
      <c r="D130" s="58">
        <v>51.623273</v>
      </c>
      <c r="E130" s="58">
        <v>114.346724</v>
      </c>
      <c r="F130" s="59">
        <v>1.0</v>
      </c>
      <c r="G130" s="84" t="s">
        <v>1572</v>
      </c>
      <c r="H130" s="61" t="s">
        <v>66</v>
      </c>
      <c r="I130" s="82"/>
      <c r="J130" s="63" t="s">
        <v>1503</v>
      </c>
      <c r="K130" s="88" t="s">
        <v>1573</v>
      </c>
      <c r="L130" s="110" t="s">
        <v>79</v>
      </c>
      <c r="M130" s="92" t="s">
        <v>1574</v>
      </c>
      <c r="N130" s="111"/>
      <c r="O130" s="92" t="s">
        <v>1575</v>
      </c>
      <c r="P130" s="67" t="str">
        <f t="shared" si="1"/>
        <v>51.623273, 114.346724</v>
      </c>
      <c r="Q130" s="67" t="str">
        <f t="shared" si="2"/>
        <v>51.623112, 114.347375</v>
      </c>
      <c r="R130" s="67">
        <f t="shared" si="3"/>
        <v>51.623112</v>
      </c>
      <c r="S130" s="67">
        <f t="shared" si="4"/>
        <v>114.347375</v>
      </c>
      <c r="T130" s="99"/>
      <c r="U130" s="69"/>
      <c r="V130" s="65" t="s">
        <v>1576</v>
      </c>
      <c r="W130" s="71" t="s">
        <v>74</v>
      </c>
      <c r="X130" s="72" t="s">
        <v>75</v>
      </c>
      <c r="Y130" s="61" t="s">
        <v>76</v>
      </c>
      <c r="Z130" s="73"/>
      <c r="AA130" s="61" t="s">
        <v>77</v>
      </c>
      <c r="AB130" s="61" t="s">
        <v>78</v>
      </c>
      <c r="AC130" s="73"/>
      <c r="AD130" s="73"/>
      <c r="AE130" s="73"/>
      <c r="AF130" s="73"/>
      <c r="AG130" s="73"/>
      <c r="AH130" s="73"/>
      <c r="AI130" s="61" t="s">
        <v>79</v>
      </c>
      <c r="AJ130" s="75"/>
      <c r="AK130" s="76" t="s">
        <v>798</v>
      </c>
      <c r="AL130" s="83" t="s">
        <v>1577</v>
      </c>
      <c r="AM130" s="71" t="s">
        <v>1578</v>
      </c>
      <c r="AN130" s="105" t="s">
        <v>1579</v>
      </c>
      <c r="AO130" s="71" t="s">
        <v>1580</v>
      </c>
      <c r="AP130" s="99" t="str">
        <f>IMAGE("https://bellingcat-archive.nyc3.cdn.digitaloceanspaces.com/Ukraine_Witness_Datasheet/Worksheet/youtube_dl_1479494074763730946/out2.jpg")</f>
        <v/>
      </c>
      <c r="AQ130" s="105" t="s">
        <v>1581</v>
      </c>
      <c r="AR130" s="71" t="s">
        <v>1582</v>
      </c>
      <c r="AS130" s="71" t="s">
        <v>1583</v>
      </c>
      <c r="AT130" s="71">
        <v>11.355</v>
      </c>
      <c r="AU130" s="89"/>
      <c r="AV130" s="90"/>
      <c r="AW130" s="81"/>
    </row>
    <row r="131" ht="15.75" customHeight="1">
      <c r="A131" s="87" t="s">
        <v>170</v>
      </c>
      <c r="B131" s="100"/>
      <c r="C131" s="101" t="s">
        <v>1053</v>
      </c>
      <c r="D131" s="74">
        <v>49.056972</v>
      </c>
      <c r="E131" s="74">
        <v>40.532806</v>
      </c>
      <c r="F131" s="59">
        <v>1.0</v>
      </c>
      <c r="G131" s="84" t="s">
        <v>1584</v>
      </c>
      <c r="H131" s="61" t="s">
        <v>66</v>
      </c>
      <c r="I131" s="82"/>
      <c r="J131" s="63" t="s">
        <v>1402</v>
      </c>
      <c r="K131" s="88" t="s">
        <v>1585</v>
      </c>
      <c r="L131" s="110" t="s">
        <v>79</v>
      </c>
      <c r="M131" s="150"/>
      <c r="N131" s="92" t="s">
        <v>1586</v>
      </c>
      <c r="O131" s="111"/>
      <c r="P131" s="67" t="str">
        <f t="shared" si="1"/>
        <v>49.056972, 40.532806</v>
      </c>
      <c r="Q131" s="67" t="str">
        <f t="shared" si="2"/>
        <v>49.056399, 40.532921</v>
      </c>
      <c r="R131" s="67">
        <f t="shared" si="3"/>
        <v>49.056399</v>
      </c>
      <c r="S131" s="67">
        <f t="shared" si="4"/>
        <v>40.532921</v>
      </c>
      <c r="T131" s="99"/>
      <c r="U131" s="69"/>
      <c r="V131" s="65" t="s">
        <v>1587</v>
      </c>
      <c r="W131" s="71" t="s">
        <v>74</v>
      </c>
      <c r="X131" s="72" t="s">
        <v>75</v>
      </c>
      <c r="Y131" s="61" t="s">
        <v>76</v>
      </c>
      <c r="Z131" s="73"/>
      <c r="AA131" s="61" t="s">
        <v>77</v>
      </c>
      <c r="AB131" s="61" t="s">
        <v>421</v>
      </c>
      <c r="AC131" s="73"/>
      <c r="AD131" s="73"/>
      <c r="AE131" s="73"/>
      <c r="AF131" s="73"/>
      <c r="AG131" s="73"/>
      <c r="AH131" s="73"/>
      <c r="AI131" s="61" t="s">
        <v>79</v>
      </c>
      <c r="AJ131" s="75"/>
      <c r="AK131" s="76" t="s">
        <v>798</v>
      </c>
      <c r="AL131" s="83" t="s">
        <v>1588</v>
      </c>
      <c r="AM131" s="71" t="s">
        <v>1589</v>
      </c>
      <c r="AN131" s="105" t="s">
        <v>1590</v>
      </c>
      <c r="AO131" s="71" t="s">
        <v>1591</v>
      </c>
      <c r="AP131" s="99" t="str">
        <f>IMAGE("https://bellingcat-archive.nyc3.cdn.digitaloceanspaces.com/Ukraine_Witness_Datasheet/Worksheet/youtube_dl_1490390156729274371/out2.jpg")</f>
        <v/>
      </c>
      <c r="AQ131" s="105" t="s">
        <v>1592</v>
      </c>
      <c r="AR131" s="71" t="s">
        <v>1593</v>
      </c>
      <c r="AS131" s="71" t="s">
        <v>1594</v>
      </c>
      <c r="AT131" s="71">
        <v>40.067</v>
      </c>
      <c r="AU131" s="89"/>
      <c r="AV131" s="90"/>
      <c r="AW131" s="81"/>
    </row>
    <row r="132" ht="15.75" customHeight="1">
      <c r="A132" s="87" t="s">
        <v>170</v>
      </c>
      <c r="B132" s="100"/>
      <c r="C132" s="101" t="s">
        <v>1053</v>
      </c>
      <c r="D132" s="74">
        <v>47.003472</v>
      </c>
      <c r="E132" s="74">
        <v>39.731083</v>
      </c>
      <c r="F132" s="59">
        <v>1.0</v>
      </c>
      <c r="G132" s="84" t="s">
        <v>1595</v>
      </c>
      <c r="H132" s="61" t="s">
        <v>66</v>
      </c>
      <c r="I132" s="82"/>
      <c r="J132" s="63" t="s">
        <v>1596</v>
      </c>
      <c r="K132" s="88" t="s">
        <v>1597</v>
      </c>
      <c r="L132" s="110" t="s">
        <v>79</v>
      </c>
      <c r="M132" s="92" t="s">
        <v>349</v>
      </c>
      <c r="N132" s="92" t="s">
        <v>1598</v>
      </c>
      <c r="O132" s="111"/>
      <c r="P132" s="67" t="str">
        <f t="shared" si="1"/>
        <v>47.003472, 39.731083</v>
      </c>
      <c r="Q132" s="67" t="str">
        <f t="shared" si="2"/>
        <v>47.002859, 39.731753</v>
      </c>
      <c r="R132" s="67">
        <f t="shared" si="3"/>
        <v>47.002859</v>
      </c>
      <c r="S132" s="67">
        <f t="shared" si="4"/>
        <v>39.731753</v>
      </c>
      <c r="T132" s="99"/>
      <c r="U132" s="69"/>
      <c r="V132" s="65" t="s">
        <v>1599</v>
      </c>
      <c r="W132" s="71" t="s">
        <v>74</v>
      </c>
      <c r="X132" s="72" t="s">
        <v>75</v>
      </c>
      <c r="Y132" s="61" t="s">
        <v>76</v>
      </c>
      <c r="Z132" s="73"/>
      <c r="AA132" s="61" t="s">
        <v>77</v>
      </c>
      <c r="AB132" s="61" t="s">
        <v>739</v>
      </c>
      <c r="AC132" s="73"/>
      <c r="AD132" s="73"/>
      <c r="AE132" s="73"/>
      <c r="AF132" s="73"/>
      <c r="AG132" s="73"/>
      <c r="AH132" s="73"/>
      <c r="AI132" s="61" t="s">
        <v>79</v>
      </c>
      <c r="AJ132" s="75"/>
      <c r="AK132" s="76" t="s">
        <v>798</v>
      </c>
      <c r="AL132" s="83" t="s">
        <v>1600</v>
      </c>
      <c r="AM132" s="71" t="s">
        <v>1601</v>
      </c>
      <c r="AN132" s="105" t="s">
        <v>1602</v>
      </c>
      <c r="AO132" s="71" t="s">
        <v>1603</v>
      </c>
      <c r="AP132" s="99" t="str">
        <f>IMAGE("https://bellingcat-archive.nyc3.cdn.digitaloceanspaces.com/Ukraine_Witness_Datasheet/Worksheet/youtube_dl_1490355701302140929/out2.jpg")</f>
        <v/>
      </c>
      <c r="AQ132" s="105" t="s">
        <v>1604</v>
      </c>
      <c r="AR132" s="71" t="s">
        <v>1101</v>
      </c>
      <c r="AS132" s="71" t="s">
        <v>1605</v>
      </c>
      <c r="AT132" s="71">
        <v>41.333</v>
      </c>
      <c r="AU132" s="89"/>
      <c r="AV132" s="90"/>
      <c r="AW132" s="81"/>
    </row>
    <row r="133" ht="15.75" customHeight="1">
      <c r="A133" s="87" t="s">
        <v>170</v>
      </c>
      <c r="B133" s="100"/>
      <c r="C133" s="101" t="s">
        <v>1053</v>
      </c>
      <c r="D133" s="74">
        <v>52.287417</v>
      </c>
      <c r="E133" s="74">
        <v>30.320667</v>
      </c>
      <c r="F133" s="59">
        <v>1.0</v>
      </c>
      <c r="G133" s="84" t="s">
        <v>1606</v>
      </c>
      <c r="H133" s="61" t="s">
        <v>66</v>
      </c>
      <c r="I133" s="82"/>
      <c r="J133" s="63" t="s">
        <v>1596</v>
      </c>
      <c r="K133" s="88" t="s">
        <v>1607</v>
      </c>
      <c r="L133" s="110" t="s">
        <v>69</v>
      </c>
      <c r="M133" s="111"/>
      <c r="N133" s="92"/>
      <c r="O133" s="111"/>
      <c r="P133" s="67" t="str">
        <f t="shared" si="1"/>
        <v>52.287417, 30.320667</v>
      </c>
      <c r="Q133" s="67" t="str">
        <f t="shared" si="2"/>
        <v>52.286963, 30.320709</v>
      </c>
      <c r="R133" s="67">
        <f t="shared" si="3"/>
        <v>52.286963</v>
      </c>
      <c r="S133" s="67">
        <f t="shared" si="4"/>
        <v>30.320709</v>
      </c>
      <c r="T133" s="99"/>
      <c r="U133" s="69"/>
      <c r="V133" s="65" t="s">
        <v>1608</v>
      </c>
      <c r="W133" s="71" t="s">
        <v>74</v>
      </c>
      <c r="X133" s="72" t="s">
        <v>75</v>
      </c>
      <c r="Y133" s="61" t="s">
        <v>76</v>
      </c>
      <c r="Z133" s="73"/>
      <c r="AA133" s="61" t="s">
        <v>77</v>
      </c>
      <c r="AB133" s="61" t="s">
        <v>739</v>
      </c>
      <c r="AC133" s="73"/>
      <c r="AD133" s="73"/>
      <c r="AE133" s="73"/>
      <c r="AF133" s="73"/>
      <c r="AG133" s="73"/>
      <c r="AH133" s="73"/>
      <c r="AI133" s="61" t="s">
        <v>79</v>
      </c>
      <c r="AJ133" s="75"/>
      <c r="AK133" s="76" t="s">
        <v>798</v>
      </c>
      <c r="AL133" s="83" t="s">
        <v>1609</v>
      </c>
      <c r="AM133" s="71" t="s">
        <v>1610</v>
      </c>
      <c r="AN133" s="105" t="s">
        <v>1611</v>
      </c>
      <c r="AO133" s="71" t="s">
        <v>1612</v>
      </c>
      <c r="AP133" s="99" t="str">
        <f>IMAGE("https://bellingcat-archive.nyc3.cdn.digitaloceanspaces.com/Ukraine_Witness_Datasheet/Worksheet/youtube_dl_1490310167459684357/out2.jpg")</f>
        <v/>
      </c>
      <c r="AQ133" s="105" t="s">
        <v>1613</v>
      </c>
      <c r="AR133" s="71" t="s">
        <v>344</v>
      </c>
      <c r="AS133" s="71" t="s">
        <v>1614</v>
      </c>
      <c r="AT133" s="71">
        <v>8.666</v>
      </c>
      <c r="AU133" s="89"/>
      <c r="AV133" s="90"/>
      <c r="AW133" s="81"/>
    </row>
    <row r="134" ht="15.75" customHeight="1">
      <c r="A134" s="87" t="s">
        <v>63</v>
      </c>
      <c r="B134" s="100"/>
      <c r="C134" s="101" t="s">
        <v>1165</v>
      </c>
      <c r="D134" s="58">
        <v>53.121259</v>
      </c>
      <c r="E134" s="58">
        <v>34.970163</v>
      </c>
      <c r="F134" s="59">
        <v>1.0</v>
      </c>
      <c r="G134" s="84" t="s">
        <v>1615</v>
      </c>
      <c r="H134" s="61" t="s">
        <v>66</v>
      </c>
      <c r="I134" s="82"/>
      <c r="J134" s="63" t="s">
        <v>1616</v>
      </c>
      <c r="K134" s="88" t="s">
        <v>1617</v>
      </c>
      <c r="L134" s="110" t="s">
        <v>79</v>
      </c>
      <c r="M134" s="92" t="s">
        <v>240</v>
      </c>
      <c r="N134" s="111"/>
      <c r="O134" s="92" t="s">
        <v>1618</v>
      </c>
      <c r="P134" s="67" t="str">
        <f t="shared" si="1"/>
        <v>53.121259, 34.970163</v>
      </c>
      <c r="Q134" s="67" t="str">
        <f t="shared" si="2"/>
        <v>53.121211, 34.968999</v>
      </c>
      <c r="R134" s="67">
        <f t="shared" si="3"/>
        <v>53.121211</v>
      </c>
      <c r="S134" s="67">
        <f t="shared" si="4"/>
        <v>34.968999</v>
      </c>
      <c r="T134" s="99"/>
      <c r="U134" s="69"/>
      <c r="V134" s="65" t="s">
        <v>1619</v>
      </c>
      <c r="W134" s="71" t="s">
        <v>74</v>
      </c>
      <c r="X134" s="72" t="s">
        <v>75</v>
      </c>
      <c r="Y134" s="61" t="s">
        <v>76</v>
      </c>
      <c r="Z134" s="73"/>
      <c r="AA134" s="61" t="s">
        <v>77</v>
      </c>
      <c r="AB134" s="61" t="s">
        <v>421</v>
      </c>
      <c r="AC134" s="73"/>
      <c r="AD134" s="73"/>
      <c r="AE134" s="73"/>
      <c r="AF134" s="73"/>
      <c r="AG134" s="73"/>
      <c r="AH134" s="73"/>
      <c r="AI134" s="61" t="s">
        <v>79</v>
      </c>
      <c r="AJ134" s="75"/>
      <c r="AK134" s="76" t="s">
        <v>798</v>
      </c>
      <c r="AL134" s="83" t="s">
        <v>1620</v>
      </c>
      <c r="AM134" s="71" t="s">
        <v>1621</v>
      </c>
      <c r="AN134" s="105" t="s">
        <v>1622</v>
      </c>
      <c r="AO134" s="71" t="s">
        <v>1623</v>
      </c>
      <c r="AP134" s="99" t="str">
        <f>IMAGE("https://bellingcat-archive.nyc3.cdn.digitaloceanspaces.com/Ukraine_Witness_Datasheet/Worksheet/youtube_dl_1491446071003734016/out2.jpg")</f>
        <v/>
      </c>
      <c r="AQ134" s="105" t="s">
        <v>1624</v>
      </c>
      <c r="AR134" s="71" t="s">
        <v>1625</v>
      </c>
      <c r="AS134" s="71" t="s">
        <v>1626</v>
      </c>
      <c r="AT134" s="71">
        <v>19.553</v>
      </c>
      <c r="AU134" s="89"/>
      <c r="AV134" s="90"/>
      <c r="AW134" s="81"/>
    </row>
    <row r="135" ht="15.75" customHeight="1">
      <c r="A135" s="87" t="s">
        <v>170</v>
      </c>
      <c r="B135" s="100"/>
      <c r="C135" s="101" t="s">
        <v>1627</v>
      </c>
      <c r="D135" s="74">
        <v>47.137722</v>
      </c>
      <c r="E135" s="74">
        <v>39.87525</v>
      </c>
      <c r="F135" s="59">
        <v>1.0</v>
      </c>
      <c r="G135" s="60" t="s">
        <v>1628</v>
      </c>
      <c r="H135" s="61" t="s">
        <v>66</v>
      </c>
      <c r="I135" s="82"/>
      <c r="J135" s="63" t="s">
        <v>1629</v>
      </c>
      <c r="K135" s="88" t="s">
        <v>1630</v>
      </c>
      <c r="L135" s="110" t="s">
        <v>79</v>
      </c>
      <c r="M135" s="92" t="s">
        <v>349</v>
      </c>
      <c r="N135" s="92" t="s">
        <v>1631</v>
      </c>
      <c r="O135" s="111"/>
      <c r="P135" s="67" t="str">
        <f t="shared" si="1"/>
        <v>47.137722, 39.87525</v>
      </c>
      <c r="Q135" s="67" t="str">
        <f t="shared" si="2"/>
        <v>47.137589, 39.874536</v>
      </c>
      <c r="R135" s="67">
        <f t="shared" si="3"/>
        <v>47.137589</v>
      </c>
      <c r="S135" s="67">
        <f t="shared" si="4"/>
        <v>39.874536</v>
      </c>
      <c r="T135" s="99"/>
      <c r="U135" s="69"/>
      <c r="V135" s="65" t="s">
        <v>1632</v>
      </c>
      <c r="W135" s="71" t="s">
        <v>74</v>
      </c>
      <c r="X135" s="72" t="s">
        <v>75</v>
      </c>
      <c r="Y135" s="61" t="s">
        <v>76</v>
      </c>
      <c r="Z135" s="73"/>
      <c r="AA135" s="61" t="s">
        <v>77</v>
      </c>
      <c r="AB135" s="61" t="s">
        <v>421</v>
      </c>
      <c r="AC135" s="73"/>
      <c r="AD135" s="73"/>
      <c r="AE135" s="73"/>
      <c r="AF135" s="73"/>
      <c r="AG135" s="73"/>
      <c r="AH135" s="73"/>
      <c r="AI135" s="61" t="s">
        <v>79</v>
      </c>
      <c r="AJ135" s="75"/>
      <c r="AK135" s="76" t="s">
        <v>798</v>
      </c>
      <c r="AL135" s="83" t="s">
        <v>1633</v>
      </c>
      <c r="AM135" s="71" t="s">
        <v>1634</v>
      </c>
      <c r="AN135" s="105" t="s">
        <v>1635</v>
      </c>
      <c r="AO135" s="71" t="s">
        <v>1636</v>
      </c>
      <c r="AP135" s="99" t="str">
        <f>IMAGE("https://bellingcat-archive.nyc3.cdn.digitaloceanspaces.com/Ukraine_Witness_Datasheet/Worksheet/youtube_dl_1491552108885286917/out2.jpg")</f>
        <v/>
      </c>
      <c r="AQ135" s="105" t="s">
        <v>1637</v>
      </c>
      <c r="AR135" s="71" t="s">
        <v>1638</v>
      </c>
      <c r="AS135" s="71" t="s">
        <v>1639</v>
      </c>
      <c r="AT135" s="71">
        <v>57.1</v>
      </c>
      <c r="AU135" s="89"/>
      <c r="AV135" s="90"/>
      <c r="AW135" s="81"/>
    </row>
    <row r="136" ht="15.75" customHeight="1">
      <c r="A136" s="87" t="s">
        <v>170</v>
      </c>
      <c r="B136" s="100"/>
      <c r="C136" s="101" t="s">
        <v>1165</v>
      </c>
      <c r="D136" s="74">
        <v>51.016056</v>
      </c>
      <c r="E136" s="74">
        <v>37.207722</v>
      </c>
      <c r="F136" s="59">
        <v>1.0</v>
      </c>
      <c r="G136" s="84" t="s">
        <v>1640</v>
      </c>
      <c r="H136" s="61" t="s">
        <v>66</v>
      </c>
      <c r="I136" s="82"/>
      <c r="J136" s="63" t="s">
        <v>1641</v>
      </c>
      <c r="K136" s="88" t="s">
        <v>1642</v>
      </c>
      <c r="L136" s="110" t="s">
        <v>79</v>
      </c>
      <c r="M136" s="92" t="s">
        <v>547</v>
      </c>
      <c r="N136" s="92" t="s">
        <v>1643</v>
      </c>
      <c r="O136" s="111"/>
      <c r="P136" s="67" t="str">
        <f t="shared" si="1"/>
        <v>51.016056, 37.207722</v>
      </c>
      <c r="Q136" s="67" t="str">
        <f t="shared" si="2"/>
        <v>51.015534, 37.207656</v>
      </c>
      <c r="R136" s="67">
        <f t="shared" si="3"/>
        <v>51.015534</v>
      </c>
      <c r="S136" s="67">
        <f t="shared" si="4"/>
        <v>37.207656</v>
      </c>
      <c r="T136" s="99"/>
      <c r="U136" s="69"/>
      <c r="V136" s="65" t="s">
        <v>1644</v>
      </c>
      <c r="W136" s="71" t="s">
        <v>74</v>
      </c>
      <c r="X136" s="72" t="s">
        <v>75</v>
      </c>
      <c r="Y136" s="61" t="s">
        <v>76</v>
      </c>
      <c r="Z136" s="73"/>
      <c r="AA136" s="61" t="s">
        <v>77</v>
      </c>
      <c r="AB136" s="61" t="s">
        <v>78</v>
      </c>
      <c r="AC136" s="73"/>
      <c r="AD136" s="73"/>
      <c r="AE136" s="73"/>
      <c r="AF136" s="73"/>
      <c r="AG136" s="73"/>
      <c r="AH136" s="73"/>
      <c r="AI136" s="61" t="s">
        <v>79</v>
      </c>
      <c r="AJ136" s="75"/>
      <c r="AK136" s="76" t="s">
        <v>798</v>
      </c>
      <c r="AL136" s="83" t="s">
        <v>1645</v>
      </c>
      <c r="AM136" s="71" t="s">
        <v>1646</v>
      </c>
      <c r="AN136" s="105" t="s">
        <v>1647</v>
      </c>
      <c r="AO136" s="71" t="s">
        <v>1648</v>
      </c>
      <c r="AP136" s="99" t="str">
        <f>IMAGE("https://bellingcat-archive.nyc3.cdn.digitaloceanspaces.com/Ukraine_Witness_Datasheet/Worksheet/youtube_dl_1491525567308574730/out3.jpg")</f>
        <v/>
      </c>
      <c r="AQ136" s="105" t="s">
        <v>1649</v>
      </c>
      <c r="AR136" s="71" t="s">
        <v>1650</v>
      </c>
      <c r="AS136" s="71" t="s">
        <v>1651</v>
      </c>
      <c r="AT136" s="71">
        <v>60.836</v>
      </c>
      <c r="AU136" s="89"/>
      <c r="AV136" s="90"/>
      <c r="AW136" s="81"/>
    </row>
    <row r="137" ht="15.75" customHeight="1">
      <c r="A137" s="87" t="s">
        <v>170</v>
      </c>
      <c r="B137" s="100"/>
      <c r="C137" s="101" t="s">
        <v>1165</v>
      </c>
      <c r="D137" s="74">
        <v>47.094833</v>
      </c>
      <c r="E137" s="92">
        <v>39.576306</v>
      </c>
      <c r="F137" s="59">
        <v>1.0</v>
      </c>
      <c r="G137" s="84" t="s">
        <v>1652</v>
      </c>
      <c r="H137" s="61" t="s">
        <v>66</v>
      </c>
      <c r="I137" s="82"/>
      <c r="J137" s="63" t="s">
        <v>1629</v>
      </c>
      <c r="K137" s="88" t="s">
        <v>1653</v>
      </c>
      <c r="L137" s="110" t="s">
        <v>79</v>
      </c>
      <c r="M137" s="92" t="s">
        <v>349</v>
      </c>
      <c r="N137" s="92" t="s">
        <v>1654</v>
      </c>
      <c r="O137" s="111"/>
      <c r="P137" s="67" t="str">
        <f t="shared" si="1"/>
        <v>47.094833, 39.576306</v>
      </c>
      <c r="Q137" s="67" t="str">
        <f t="shared" si="2"/>
        <v>47.09458, 39.576838</v>
      </c>
      <c r="R137" s="67">
        <f t="shared" si="3"/>
        <v>47.09458</v>
      </c>
      <c r="S137" s="67">
        <f t="shared" si="4"/>
        <v>39.576838</v>
      </c>
      <c r="T137" s="99"/>
      <c r="U137" s="69"/>
      <c r="V137" s="65" t="s">
        <v>1655</v>
      </c>
      <c r="W137" s="71" t="s">
        <v>74</v>
      </c>
      <c r="X137" s="72" t="s">
        <v>75</v>
      </c>
      <c r="Y137" s="61" t="s">
        <v>76</v>
      </c>
      <c r="Z137" s="73"/>
      <c r="AA137" s="61" t="s">
        <v>77</v>
      </c>
      <c r="AB137" s="61" t="s">
        <v>421</v>
      </c>
      <c r="AC137" s="73"/>
      <c r="AD137" s="73"/>
      <c r="AE137" s="73"/>
      <c r="AF137" s="73"/>
      <c r="AG137" s="73"/>
      <c r="AH137" s="73"/>
      <c r="AI137" s="61" t="s">
        <v>79</v>
      </c>
      <c r="AJ137" s="75"/>
      <c r="AK137" s="76" t="s">
        <v>798</v>
      </c>
      <c r="AL137" s="83" t="s">
        <v>1656</v>
      </c>
      <c r="AM137" s="71" t="s">
        <v>1657</v>
      </c>
      <c r="AN137" s="105" t="s">
        <v>1658</v>
      </c>
      <c r="AO137" s="71" t="s">
        <v>1659</v>
      </c>
      <c r="AP137" s="99" t="str">
        <f>IMAGE("https://bellingcat-archive.nyc3.cdn.digitaloceanspaces.com/Ukraine_Witness_Datasheet/Worksheet/youtube_dl_1491479489871818753/out2.jpg")</f>
        <v/>
      </c>
      <c r="AQ137" s="105" t="s">
        <v>1660</v>
      </c>
      <c r="AR137" s="71" t="s">
        <v>1661</v>
      </c>
      <c r="AS137" s="71" t="s">
        <v>1662</v>
      </c>
      <c r="AT137" s="71">
        <v>29.633</v>
      </c>
      <c r="AU137" s="89"/>
      <c r="AV137" s="90"/>
      <c r="AW137" s="81"/>
    </row>
    <row r="138" ht="15.75" customHeight="1">
      <c r="A138" s="87" t="s">
        <v>170</v>
      </c>
      <c r="B138" s="100"/>
      <c r="C138" s="101" t="s">
        <v>1053</v>
      </c>
      <c r="D138" s="74">
        <v>50.815972</v>
      </c>
      <c r="E138" s="74">
        <v>40.647833</v>
      </c>
      <c r="F138" s="59">
        <v>1.0</v>
      </c>
      <c r="G138" s="84" t="s">
        <v>1663</v>
      </c>
      <c r="H138" s="61" t="s">
        <v>66</v>
      </c>
      <c r="I138" s="82"/>
      <c r="J138" s="63" t="s">
        <v>1629</v>
      </c>
      <c r="K138" s="88" t="s">
        <v>1664</v>
      </c>
      <c r="L138" s="110" t="s">
        <v>79</v>
      </c>
      <c r="M138" s="92" t="s">
        <v>563</v>
      </c>
      <c r="N138" s="92" t="s">
        <v>565</v>
      </c>
      <c r="O138" s="111"/>
      <c r="P138" s="67" t="str">
        <f t="shared" si="1"/>
        <v>50.815972, 40.647833</v>
      </c>
      <c r="Q138" s="67" t="str">
        <f t="shared" si="2"/>
        <v>50.815537, 40.647983</v>
      </c>
      <c r="R138" s="67">
        <f t="shared" si="3"/>
        <v>50.815537</v>
      </c>
      <c r="S138" s="67">
        <f t="shared" si="4"/>
        <v>40.647983</v>
      </c>
      <c r="T138" s="99"/>
      <c r="U138" s="69"/>
      <c r="V138" s="65" t="s">
        <v>1655</v>
      </c>
      <c r="W138" s="71" t="s">
        <v>74</v>
      </c>
      <c r="X138" s="72" t="s">
        <v>75</v>
      </c>
      <c r="Y138" s="61" t="s">
        <v>76</v>
      </c>
      <c r="Z138" s="73"/>
      <c r="AA138" s="61" t="s">
        <v>77</v>
      </c>
      <c r="AB138" s="61" t="s">
        <v>421</v>
      </c>
      <c r="AC138" s="73"/>
      <c r="AD138" s="73"/>
      <c r="AE138" s="73"/>
      <c r="AF138" s="73"/>
      <c r="AG138" s="73"/>
      <c r="AH138" s="73"/>
      <c r="AI138" s="61" t="s">
        <v>79</v>
      </c>
      <c r="AJ138" s="75"/>
      <c r="AK138" s="76" t="s">
        <v>798</v>
      </c>
      <c r="AL138" s="83" t="s">
        <v>1665</v>
      </c>
      <c r="AM138" s="71" t="s">
        <v>1666</v>
      </c>
      <c r="AN138" s="105" t="s">
        <v>1667</v>
      </c>
      <c r="AO138" s="71" t="s">
        <v>1668</v>
      </c>
      <c r="AP138" s="99" t="str">
        <f>IMAGE("https://bellingcat-archive.nyc3.cdn.digitaloceanspaces.com/Ukraine_Witness_Datasheet/Worksheet/youtube_dl_1490240803532386306/out2.jpg")</f>
        <v/>
      </c>
      <c r="AQ138" s="105" t="s">
        <v>1669</v>
      </c>
      <c r="AR138" s="71" t="s">
        <v>1670</v>
      </c>
      <c r="AS138" s="71" t="s">
        <v>1671</v>
      </c>
      <c r="AT138" s="71">
        <v>56.449</v>
      </c>
      <c r="AU138" s="89"/>
      <c r="AV138" s="90"/>
      <c r="AW138" s="81"/>
    </row>
    <row r="139" ht="15.75" customHeight="1">
      <c r="A139" s="87" t="s">
        <v>170</v>
      </c>
      <c r="B139" s="100"/>
      <c r="C139" s="101" t="s">
        <v>1026</v>
      </c>
      <c r="D139" s="74">
        <v>51.651417</v>
      </c>
      <c r="E139" s="74">
        <v>35.695583</v>
      </c>
      <c r="F139" s="59">
        <v>1.0</v>
      </c>
      <c r="G139" s="84" t="s">
        <v>1672</v>
      </c>
      <c r="H139" s="61" t="s">
        <v>66</v>
      </c>
      <c r="I139" s="82"/>
      <c r="J139" s="63" t="s">
        <v>1278</v>
      </c>
      <c r="K139" s="88" t="s">
        <v>1673</v>
      </c>
      <c r="L139" s="110" t="s">
        <v>79</v>
      </c>
      <c r="M139" s="92" t="s">
        <v>1028</v>
      </c>
      <c r="N139" s="111"/>
      <c r="O139" s="92" t="s">
        <v>1674</v>
      </c>
      <c r="P139" s="67" t="str">
        <f t="shared" si="1"/>
        <v>51.651417, 35.695583</v>
      </c>
      <c r="Q139" s="67" t="str">
        <f t="shared" si="2"/>
        <v>51.651227, 35.695023</v>
      </c>
      <c r="R139" s="67">
        <f t="shared" si="3"/>
        <v>51.651227</v>
      </c>
      <c r="S139" s="67">
        <f t="shared" si="4"/>
        <v>35.695023</v>
      </c>
      <c r="T139" s="99"/>
      <c r="U139" s="69"/>
      <c r="V139" s="65" t="s">
        <v>1675</v>
      </c>
      <c r="W139" s="71" t="s">
        <v>74</v>
      </c>
      <c r="X139" s="72" t="s">
        <v>75</v>
      </c>
      <c r="Y139" s="61" t="s">
        <v>76</v>
      </c>
      <c r="Z139" s="73"/>
      <c r="AA139" s="61" t="s">
        <v>77</v>
      </c>
      <c r="AB139" s="61" t="s">
        <v>78</v>
      </c>
      <c r="AC139" s="73"/>
      <c r="AD139" s="73"/>
      <c r="AE139" s="73"/>
      <c r="AF139" s="73"/>
      <c r="AG139" s="73"/>
      <c r="AH139" s="73"/>
      <c r="AI139" s="61" t="s">
        <v>79</v>
      </c>
      <c r="AJ139" s="75"/>
      <c r="AK139" s="76" t="s">
        <v>798</v>
      </c>
      <c r="AL139" s="83" t="s">
        <v>1676</v>
      </c>
      <c r="AM139" s="71" t="s">
        <v>1677</v>
      </c>
      <c r="AN139" s="105" t="s">
        <v>1678</v>
      </c>
      <c r="AO139" s="71" t="s">
        <v>1679</v>
      </c>
      <c r="AP139" s="99" t="str">
        <f>IMAGE("https://bellingcat-archive.nyc3.cdn.digitaloceanspaces.com/Ukraine_Witness_Datasheet/Worksheet/youtube_dl_1490012932037619712/out2.jpg")</f>
        <v/>
      </c>
      <c r="AQ139" s="105" t="s">
        <v>1680</v>
      </c>
      <c r="AR139" s="71" t="s">
        <v>1681</v>
      </c>
      <c r="AS139" s="71" t="s">
        <v>1682</v>
      </c>
      <c r="AT139" s="71">
        <v>12.266</v>
      </c>
      <c r="AU139" s="89"/>
      <c r="AV139" s="90"/>
      <c r="AW139" s="81"/>
    </row>
    <row r="140" ht="15.75" customHeight="1">
      <c r="A140" s="87" t="s">
        <v>170</v>
      </c>
      <c r="B140" s="100"/>
      <c r="C140" s="101" t="s">
        <v>1026</v>
      </c>
      <c r="D140" s="74">
        <v>53.806917</v>
      </c>
      <c r="E140" s="74">
        <v>28.888194</v>
      </c>
      <c r="F140" s="59">
        <v>1.0</v>
      </c>
      <c r="G140" s="84" t="s">
        <v>1683</v>
      </c>
      <c r="H140" s="61" t="s">
        <v>66</v>
      </c>
      <c r="I140" s="82"/>
      <c r="J140" s="63" t="s">
        <v>1629</v>
      </c>
      <c r="K140" s="88" t="s">
        <v>1684</v>
      </c>
      <c r="L140" s="110" t="s">
        <v>69</v>
      </c>
      <c r="M140" s="92" t="s">
        <v>1685</v>
      </c>
      <c r="N140" s="111"/>
      <c r="O140" s="111"/>
      <c r="P140" s="67" t="str">
        <f t="shared" si="1"/>
        <v>53.806917, 28.888194</v>
      </c>
      <c r="Q140" s="67" t="str">
        <f t="shared" si="2"/>
        <v>53.806696, 28.888611</v>
      </c>
      <c r="R140" s="67">
        <f t="shared" si="3"/>
        <v>53.806696</v>
      </c>
      <c r="S140" s="67">
        <f t="shared" si="4"/>
        <v>28.888611</v>
      </c>
      <c r="T140" s="99"/>
      <c r="U140" s="69"/>
      <c r="V140" s="65" t="s">
        <v>1686</v>
      </c>
      <c r="W140" s="71" t="s">
        <v>74</v>
      </c>
      <c r="X140" s="72" t="s">
        <v>75</v>
      </c>
      <c r="Y140" s="61" t="s">
        <v>76</v>
      </c>
      <c r="Z140" s="73"/>
      <c r="AA140" s="61" t="s">
        <v>77</v>
      </c>
      <c r="AB140" s="61" t="s">
        <v>421</v>
      </c>
      <c r="AC140" s="73"/>
      <c r="AD140" s="73"/>
      <c r="AE140" s="73"/>
      <c r="AF140" s="73"/>
      <c r="AG140" s="73"/>
      <c r="AH140" s="73"/>
      <c r="AI140" s="61" t="s">
        <v>79</v>
      </c>
      <c r="AJ140" s="75"/>
      <c r="AK140" s="76" t="s">
        <v>798</v>
      </c>
      <c r="AL140" s="83" t="s">
        <v>1687</v>
      </c>
      <c r="AM140" s="71" t="s">
        <v>1688</v>
      </c>
      <c r="AN140" s="105" t="s">
        <v>1689</v>
      </c>
      <c r="AO140" s="71" t="s">
        <v>1690</v>
      </c>
      <c r="AP140" s="99" t="str">
        <f>IMAGE("https://bellingcat-archive.nyc3.cdn.digitaloceanspaces.com/Ukraine_Witness_Datasheet/Worksheet/youtube_dl_1490045919789785098/out2.jpg")</f>
        <v/>
      </c>
      <c r="AQ140" s="105" t="s">
        <v>1691</v>
      </c>
      <c r="AR140" s="71" t="s">
        <v>344</v>
      </c>
      <c r="AS140" s="71" t="s">
        <v>1692</v>
      </c>
      <c r="AT140" s="71">
        <v>27.667</v>
      </c>
      <c r="AU140" s="89"/>
      <c r="AV140" s="90"/>
      <c r="AW140" s="81"/>
    </row>
    <row r="141" ht="15.75" customHeight="1">
      <c r="A141" s="87" t="s">
        <v>170</v>
      </c>
      <c r="B141" s="100"/>
      <c r="C141" s="101" t="s">
        <v>1026</v>
      </c>
      <c r="D141" s="74">
        <v>53.413861</v>
      </c>
      <c r="E141" s="74">
        <v>34.362778</v>
      </c>
      <c r="F141" s="59">
        <v>1.0</v>
      </c>
      <c r="G141" s="84" t="s">
        <v>1693</v>
      </c>
      <c r="H141" s="61" t="s">
        <v>66</v>
      </c>
      <c r="I141" s="82"/>
      <c r="J141" s="63" t="s">
        <v>1278</v>
      </c>
      <c r="K141" s="88" t="s">
        <v>1694</v>
      </c>
      <c r="L141" s="110" t="s">
        <v>79</v>
      </c>
      <c r="M141" s="92" t="s">
        <v>240</v>
      </c>
      <c r="N141" s="92" t="s">
        <v>1695</v>
      </c>
      <c r="O141" s="111"/>
      <c r="P141" s="67" t="str">
        <f t="shared" si="1"/>
        <v>53.413861, 34.362778</v>
      </c>
      <c r="Q141" s="67" t="str">
        <f t="shared" si="2"/>
        <v>53.413484, 34.362974</v>
      </c>
      <c r="R141" s="67">
        <f t="shared" si="3"/>
        <v>53.413484</v>
      </c>
      <c r="S141" s="67">
        <f t="shared" si="4"/>
        <v>34.362974</v>
      </c>
      <c r="T141" s="99"/>
      <c r="U141" s="69"/>
      <c r="V141" s="65" t="s">
        <v>1696</v>
      </c>
      <c r="W141" s="71" t="s">
        <v>74</v>
      </c>
      <c r="X141" s="72" t="s">
        <v>75</v>
      </c>
      <c r="Y141" s="61" t="s">
        <v>76</v>
      </c>
      <c r="Z141" s="73"/>
      <c r="AA141" s="61" t="s">
        <v>77</v>
      </c>
      <c r="AB141" s="61" t="s">
        <v>78</v>
      </c>
      <c r="AC141" s="73"/>
      <c r="AD141" s="73"/>
      <c r="AE141" s="73"/>
      <c r="AF141" s="73"/>
      <c r="AG141" s="73"/>
      <c r="AH141" s="73"/>
      <c r="AI141" s="61" t="s">
        <v>79</v>
      </c>
      <c r="AJ141" s="75"/>
      <c r="AK141" s="76" t="s">
        <v>798</v>
      </c>
      <c r="AL141" s="83" t="s">
        <v>1697</v>
      </c>
      <c r="AM141" s="71" t="s">
        <v>1698</v>
      </c>
      <c r="AN141" s="105" t="s">
        <v>1699</v>
      </c>
      <c r="AO141" s="71" t="s">
        <v>1700</v>
      </c>
      <c r="AP141" s="99" t="str">
        <f>IMAGE("https://bellingcat-archive.nyc3.cdn.digitaloceanspaces.com/Ukraine_Witness_Datasheet/Worksheet/youtube_dl_1490034944579616773/out3.jpg")</f>
        <v/>
      </c>
      <c r="AQ141" s="105" t="s">
        <v>1701</v>
      </c>
      <c r="AR141" s="71" t="s">
        <v>1702</v>
      </c>
      <c r="AS141" s="71" t="s">
        <v>1703</v>
      </c>
      <c r="AT141" s="71">
        <v>63.567</v>
      </c>
      <c r="AU141" s="89"/>
      <c r="AV141" s="90"/>
      <c r="AW141" s="81"/>
    </row>
    <row r="142" ht="15.75" customHeight="1">
      <c r="A142" s="87" t="s">
        <v>170</v>
      </c>
      <c r="B142" s="100"/>
      <c r="C142" s="101" t="s">
        <v>1026</v>
      </c>
      <c r="D142" s="149">
        <v>42.822667</v>
      </c>
      <c r="E142" s="74">
        <v>47.127222</v>
      </c>
      <c r="F142" s="59">
        <v>1.0</v>
      </c>
      <c r="G142" s="84" t="s">
        <v>1704</v>
      </c>
      <c r="H142" s="61" t="s">
        <v>66</v>
      </c>
      <c r="I142" s="82"/>
      <c r="J142" s="63" t="s">
        <v>1705</v>
      </c>
      <c r="K142" s="88" t="s">
        <v>1706</v>
      </c>
      <c r="L142" s="110" t="s">
        <v>79</v>
      </c>
      <c r="M142" s="92" t="s">
        <v>1707</v>
      </c>
      <c r="N142" s="111"/>
      <c r="O142" s="92" t="s">
        <v>1708</v>
      </c>
      <c r="P142" s="67" t="str">
        <f t="shared" si="1"/>
        <v>42.822667, 47.127222</v>
      </c>
      <c r="Q142" s="67" t="str">
        <f t="shared" si="2"/>
        <v>42.821894, 47.127677</v>
      </c>
      <c r="R142" s="67">
        <f t="shared" si="3"/>
        <v>42.821894</v>
      </c>
      <c r="S142" s="67">
        <f t="shared" si="4"/>
        <v>47.127677</v>
      </c>
      <c r="T142" s="99"/>
      <c r="U142" s="69"/>
      <c r="V142" s="65" t="s">
        <v>1709</v>
      </c>
      <c r="W142" s="71" t="s">
        <v>74</v>
      </c>
      <c r="X142" s="72" t="s">
        <v>75</v>
      </c>
      <c r="Y142" s="61" t="s">
        <v>76</v>
      </c>
      <c r="Z142" s="73"/>
      <c r="AA142" s="61" t="s">
        <v>1710</v>
      </c>
      <c r="AB142" s="61" t="s">
        <v>1710</v>
      </c>
      <c r="AC142" s="73"/>
      <c r="AD142" s="73"/>
      <c r="AE142" s="73"/>
      <c r="AF142" s="73"/>
      <c r="AG142" s="73"/>
      <c r="AH142" s="73"/>
      <c r="AI142" s="61" t="s">
        <v>79</v>
      </c>
      <c r="AJ142" s="75"/>
      <c r="AK142" s="76" t="s">
        <v>798</v>
      </c>
      <c r="AL142" s="83" t="s">
        <v>1711</v>
      </c>
      <c r="AM142" s="71" t="s">
        <v>1712</v>
      </c>
      <c r="AN142" s="105" t="s">
        <v>1713</v>
      </c>
      <c r="AO142" s="71" t="s">
        <v>1714</v>
      </c>
      <c r="AP142" s="99" t="str">
        <f>IMAGE("https://bellingcat-archive.nyc3.cdn.digitaloceanspaces.com/Ukraine_Witness_Datasheet/Worksheet/youtube_dl_1490027718376841223/out2.jpg")</f>
        <v/>
      </c>
      <c r="AQ142" s="105" t="s">
        <v>1715</v>
      </c>
      <c r="AR142" s="71" t="s">
        <v>1716</v>
      </c>
      <c r="AS142" s="71" t="s">
        <v>1717</v>
      </c>
      <c r="AT142" s="71">
        <v>11.54</v>
      </c>
      <c r="AU142" s="89"/>
      <c r="AV142" s="90"/>
      <c r="AW142" s="81"/>
    </row>
    <row r="143" ht="15.75" customHeight="1">
      <c r="A143" s="87" t="s">
        <v>170</v>
      </c>
      <c r="B143" s="100"/>
      <c r="C143" s="101" t="s">
        <v>1026</v>
      </c>
      <c r="D143" s="74">
        <v>42.823444</v>
      </c>
      <c r="E143" s="74">
        <v>47.126139</v>
      </c>
      <c r="F143" s="59">
        <v>1.0</v>
      </c>
      <c r="G143" s="84" t="s">
        <v>1718</v>
      </c>
      <c r="H143" s="61" t="s">
        <v>66</v>
      </c>
      <c r="I143" s="82"/>
      <c r="J143" s="63" t="s">
        <v>1278</v>
      </c>
      <c r="K143" s="88" t="s">
        <v>1719</v>
      </c>
      <c r="L143" s="110" t="s">
        <v>79</v>
      </c>
      <c r="M143" s="92" t="s">
        <v>1707</v>
      </c>
      <c r="N143" s="111"/>
      <c r="O143" s="92" t="s">
        <v>1708</v>
      </c>
      <c r="P143" s="67" t="str">
        <f t="shared" si="1"/>
        <v>42.823444, 47.126139</v>
      </c>
      <c r="Q143" s="67" t="str">
        <f t="shared" si="2"/>
        <v>42.823006, 47.126671</v>
      </c>
      <c r="R143" s="67">
        <f t="shared" si="3"/>
        <v>42.823006</v>
      </c>
      <c r="S143" s="67">
        <f t="shared" si="4"/>
        <v>47.126671</v>
      </c>
      <c r="T143" s="99"/>
      <c r="U143" s="69"/>
      <c r="V143" s="65" t="s">
        <v>1720</v>
      </c>
      <c r="W143" s="71" t="s">
        <v>74</v>
      </c>
      <c r="X143" s="72" t="s">
        <v>75</v>
      </c>
      <c r="Y143" s="61" t="s">
        <v>76</v>
      </c>
      <c r="Z143" s="73"/>
      <c r="AA143" s="61" t="s">
        <v>77</v>
      </c>
      <c r="AB143" s="61" t="s">
        <v>78</v>
      </c>
      <c r="AC143" s="73"/>
      <c r="AD143" s="73"/>
      <c r="AE143" s="73"/>
      <c r="AF143" s="73"/>
      <c r="AG143" s="73"/>
      <c r="AH143" s="73"/>
      <c r="AI143" s="61" t="s">
        <v>79</v>
      </c>
      <c r="AJ143" s="75"/>
      <c r="AK143" s="76" t="s">
        <v>798</v>
      </c>
      <c r="AL143" s="83" t="s">
        <v>1721</v>
      </c>
      <c r="AM143" s="71" t="s">
        <v>1722</v>
      </c>
      <c r="AN143" s="105" t="s">
        <v>1723</v>
      </c>
      <c r="AO143" s="71" t="s">
        <v>1724</v>
      </c>
      <c r="AP143" s="99" t="str">
        <f>IMAGE("https://bellingcat-archive.nyc3.cdn.digitaloceanspaces.com/Ukraine_Witness_Datasheet/Worksheet/youtube_dl_1490027970697830400/out2.jpg")</f>
        <v/>
      </c>
      <c r="AQ143" s="105" t="s">
        <v>1725</v>
      </c>
      <c r="AR143" s="71" t="s">
        <v>1726</v>
      </c>
      <c r="AS143" s="71" t="s">
        <v>1727</v>
      </c>
      <c r="AT143" s="71">
        <v>19.713</v>
      </c>
      <c r="AU143" s="89"/>
      <c r="AV143" s="90"/>
      <c r="AW143" s="81"/>
    </row>
    <row r="144" ht="15.75" customHeight="1">
      <c r="A144" s="87" t="s">
        <v>170</v>
      </c>
      <c r="B144" s="100"/>
      <c r="C144" s="101" t="s">
        <v>1026</v>
      </c>
      <c r="D144" s="74">
        <v>59.545</v>
      </c>
      <c r="E144" s="74">
        <v>30.104833</v>
      </c>
      <c r="F144" s="59">
        <v>1.0</v>
      </c>
      <c r="G144" s="84" t="s">
        <v>1728</v>
      </c>
      <c r="H144" s="61" t="s">
        <v>66</v>
      </c>
      <c r="I144" s="82"/>
      <c r="J144" s="63" t="s">
        <v>1278</v>
      </c>
      <c r="K144" s="88" t="s">
        <v>1729</v>
      </c>
      <c r="L144" s="110" t="s">
        <v>79</v>
      </c>
      <c r="M144" s="92" t="s">
        <v>1730</v>
      </c>
      <c r="N144" s="111"/>
      <c r="O144" s="92" t="s">
        <v>1731</v>
      </c>
      <c r="P144" s="67" t="str">
        <f t="shared" si="1"/>
        <v>59.545, 30.104833</v>
      </c>
      <c r="Q144" s="67" t="str">
        <f t="shared" si="2"/>
        <v>59.54445, 30.105342</v>
      </c>
      <c r="R144" s="67">
        <f t="shared" si="3"/>
        <v>59.54445</v>
      </c>
      <c r="S144" s="67">
        <f t="shared" si="4"/>
        <v>30.105342</v>
      </c>
      <c r="T144" s="99"/>
      <c r="U144" s="69"/>
      <c r="V144" s="65" t="s">
        <v>1732</v>
      </c>
      <c r="W144" s="71" t="s">
        <v>74</v>
      </c>
      <c r="X144" s="72" t="s">
        <v>75</v>
      </c>
      <c r="Y144" s="61" t="s">
        <v>76</v>
      </c>
      <c r="Z144" s="73"/>
      <c r="AA144" s="61" t="s">
        <v>77</v>
      </c>
      <c r="AB144" s="61" t="s">
        <v>78</v>
      </c>
      <c r="AC144" s="73"/>
      <c r="AD144" s="73"/>
      <c r="AE144" s="73"/>
      <c r="AF144" s="73"/>
      <c r="AG144" s="73"/>
      <c r="AH144" s="73"/>
      <c r="AI144" s="61" t="s">
        <v>79</v>
      </c>
      <c r="AJ144" s="75"/>
      <c r="AK144" s="76" t="s">
        <v>798</v>
      </c>
      <c r="AL144" s="83" t="s">
        <v>1733</v>
      </c>
      <c r="AM144" s="71" t="s">
        <v>1734</v>
      </c>
      <c r="AN144" s="105" t="s">
        <v>1735</v>
      </c>
      <c r="AO144" s="71" t="s">
        <v>1736</v>
      </c>
      <c r="AP144" s="99" t="str">
        <f>IMAGE("https://bellingcat-archive.nyc3.cdn.digitaloceanspaces.com/Ukraine_Witness_Datasheet/Worksheet/youtube_dl_1489988532475207685/out2.jpg")</f>
        <v/>
      </c>
      <c r="AQ144" s="105" t="s">
        <v>1737</v>
      </c>
      <c r="AR144" s="71" t="s">
        <v>1738</v>
      </c>
      <c r="AS144" s="71" t="s">
        <v>1739</v>
      </c>
      <c r="AT144" s="71">
        <v>15.166</v>
      </c>
      <c r="AU144" s="89"/>
      <c r="AV144" s="90"/>
      <c r="AW144" s="81"/>
    </row>
    <row r="145" ht="15.75" customHeight="1">
      <c r="A145" s="87" t="s">
        <v>170</v>
      </c>
      <c r="B145" s="100"/>
      <c r="C145" s="101" t="s">
        <v>1026</v>
      </c>
      <c r="D145" s="149">
        <v>47.243667</v>
      </c>
      <c r="E145" s="74">
        <v>39.652889</v>
      </c>
      <c r="F145" s="59">
        <v>1.0</v>
      </c>
      <c r="G145" s="84" t="s">
        <v>1740</v>
      </c>
      <c r="H145" s="61" t="s">
        <v>66</v>
      </c>
      <c r="I145" s="82"/>
      <c r="J145" s="63" t="s">
        <v>1278</v>
      </c>
      <c r="K145" s="88" t="s">
        <v>1741</v>
      </c>
      <c r="L145" s="110" t="s">
        <v>79</v>
      </c>
      <c r="M145" s="92" t="s">
        <v>1742</v>
      </c>
      <c r="N145" s="111"/>
      <c r="O145" s="92" t="s">
        <v>1743</v>
      </c>
      <c r="P145" s="67" t="str">
        <f t="shared" si="1"/>
        <v>47.243667, 39.652889</v>
      </c>
      <c r="Q145" s="67" t="str">
        <f t="shared" si="2"/>
        <v>47.243298, 39.651902</v>
      </c>
      <c r="R145" s="67">
        <f t="shared" si="3"/>
        <v>47.243298</v>
      </c>
      <c r="S145" s="67">
        <f t="shared" si="4"/>
        <v>39.651902</v>
      </c>
      <c r="T145" s="99"/>
      <c r="U145" s="69"/>
      <c r="V145" s="65" t="s">
        <v>1744</v>
      </c>
      <c r="W145" s="71" t="s">
        <v>74</v>
      </c>
      <c r="X145" s="72" t="s">
        <v>75</v>
      </c>
      <c r="Y145" s="61" t="s">
        <v>76</v>
      </c>
      <c r="Z145" s="73"/>
      <c r="AA145" s="61" t="s">
        <v>77</v>
      </c>
      <c r="AB145" s="61" t="s">
        <v>78</v>
      </c>
      <c r="AC145" s="73"/>
      <c r="AD145" s="73"/>
      <c r="AE145" s="73"/>
      <c r="AF145" s="73"/>
      <c r="AG145" s="73"/>
      <c r="AH145" s="73"/>
      <c r="AI145" s="61" t="s">
        <v>79</v>
      </c>
      <c r="AJ145" s="75"/>
      <c r="AK145" s="76" t="s">
        <v>798</v>
      </c>
      <c r="AL145" s="83" t="s">
        <v>1745</v>
      </c>
      <c r="AM145" s="71" t="s">
        <v>1746</v>
      </c>
      <c r="AN145" s="105" t="s">
        <v>1747</v>
      </c>
      <c r="AO145" s="71" t="s">
        <v>1748</v>
      </c>
      <c r="AP145" s="99" t="str">
        <f>IMAGE("https://bellingcat-archive.nyc3.cdn.digitaloceanspaces.com/Ukraine_Witness_Datasheet/Worksheet/youtube_dl_1489897503650717698/out2.jpg")</f>
        <v/>
      </c>
      <c r="AQ145" s="105" t="s">
        <v>1749</v>
      </c>
      <c r="AR145" s="71" t="s">
        <v>1750</v>
      </c>
      <c r="AS145" s="71" t="s">
        <v>1751</v>
      </c>
      <c r="AT145" s="71">
        <v>21.1</v>
      </c>
      <c r="AU145" s="89"/>
      <c r="AV145" s="90"/>
      <c r="AW145" s="81"/>
    </row>
    <row r="146" ht="15.75" customHeight="1">
      <c r="A146" s="87" t="s">
        <v>170</v>
      </c>
      <c r="B146" s="100"/>
      <c r="C146" s="101" t="s">
        <v>1026</v>
      </c>
      <c r="D146" s="74">
        <v>45.034722</v>
      </c>
      <c r="E146" s="74">
        <v>39.028333</v>
      </c>
      <c r="F146" s="59">
        <v>1.0</v>
      </c>
      <c r="G146" s="84" t="s">
        <v>1752</v>
      </c>
      <c r="H146" s="61" t="s">
        <v>66</v>
      </c>
      <c r="I146" s="82"/>
      <c r="J146" s="63" t="s">
        <v>1278</v>
      </c>
      <c r="K146" s="88" t="s">
        <v>1753</v>
      </c>
      <c r="L146" s="110" t="s">
        <v>79</v>
      </c>
      <c r="M146" s="92" t="s">
        <v>445</v>
      </c>
      <c r="N146" s="111"/>
      <c r="O146" s="92" t="s">
        <v>445</v>
      </c>
      <c r="P146" s="67" t="str">
        <f t="shared" si="1"/>
        <v>45.034722, 39.028333</v>
      </c>
      <c r="Q146" s="67" t="str">
        <f t="shared" si="2"/>
        <v>45.034204, 39.029023</v>
      </c>
      <c r="R146" s="67">
        <f t="shared" si="3"/>
        <v>45.034204</v>
      </c>
      <c r="S146" s="67">
        <f t="shared" si="4"/>
        <v>39.029023</v>
      </c>
      <c r="T146" s="99"/>
      <c r="U146" s="69"/>
      <c r="V146" s="65" t="s">
        <v>1754</v>
      </c>
      <c r="W146" s="71" t="s">
        <v>74</v>
      </c>
      <c r="X146" s="72" t="s">
        <v>75</v>
      </c>
      <c r="Y146" s="61" t="s">
        <v>76</v>
      </c>
      <c r="Z146" s="73"/>
      <c r="AA146" s="61" t="s">
        <v>77</v>
      </c>
      <c r="AB146" s="61" t="s">
        <v>78</v>
      </c>
      <c r="AC146" s="73"/>
      <c r="AD146" s="73"/>
      <c r="AE146" s="73"/>
      <c r="AF146" s="73"/>
      <c r="AG146" s="73"/>
      <c r="AH146" s="73"/>
      <c r="AI146" s="61" t="s">
        <v>79</v>
      </c>
      <c r="AJ146" s="75"/>
      <c r="AK146" s="76" t="s">
        <v>798</v>
      </c>
      <c r="AL146" s="83" t="s">
        <v>1755</v>
      </c>
      <c r="AM146" s="71" t="s">
        <v>1756</v>
      </c>
      <c r="AN146" s="105" t="s">
        <v>1757</v>
      </c>
      <c r="AO146" s="71" t="s">
        <v>1758</v>
      </c>
      <c r="AP146" s="99" t="str">
        <f>IMAGE("https://bellingcat-archive.nyc3.cdn.digitaloceanspaces.com/Ukraine_Witness_Datasheet/Worksheet/youtube_dl_1489884110743126021/out2.jpg")</f>
        <v/>
      </c>
      <c r="AQ146" s="105" t="s">
        <v>1759</v>
      </c>
      <c r="AR146" s="71" t="s">
        <v>453</v>
      </c>
      <c r="AS146" s="71" t="s">
        <v>1760</v>
      </c>
      <c r="AT146" s="71">
        <v>13.1</v>
      </c>
      <c r="AU146" s="89"/>
      <c r="AV146" s="90"/>
      <c r="AW146" s="81"/>
    </row>
    <row r="147" ht="15.75" customHeight="1">
      <c r="A147" s="87" t="s">
        <v>170</v>
      </c>
      <c r="B147" s="100"/>
      <c r="C147" s="101" t="s">
        <v>1026</v>
      </c>
      <c r="D147" s="74">
        <v>48.972611</v>
      </c>
      <c r="E147" s="74">
        <v>40.452028</v>
      </c>
      <c r="F147" s="59">
        <v>1.0</v>
      </c>
      <c r="G147" s="84" t="s">
        <v>1761</v>
      </c>
      <c r="H147" s="61" t="s">
        <v>66</v>
      </c>
      <c r="I147" s="82"/>
      <c r="J147" s="63" t="s">
        <v>1278</v>
      </c>
      <c r="K147" s="88" t="s">
        <v>1762</v>
      </c>
      <c r="L147" s="110" t="s">
        <v>79</v>
      </c>
      <c r="M147" s="92" t="s">
        <v>349</v>
      </c>
      <c r="N147" s="92" t="s">
        <v>1763</v>
      </c>
      <c r="O147" s="111"/>
      <c r="P147" s="67" t="str">
        <f t="shared" si="1"/>
        <v>48.972611, 40.452028</v>
      </c>
      <c r="Q147" s="67" t="str">
        <f t="shared" si="2"/>
        <v>48.972408, 40.452532</v>
      </c>
      <c r="R147" s="67">
        <f t="shared" si="3"/>
        <v>48.972408</v>
      </c>
      <c r="S147" s="67">
        <f t="shared" si="4"/>
        <v>40.452532</v>
      </c>
      <c r="T147" s="99"/>
      <c r="U147" s="69"/>
      <c r="V147" s="65" t="s">
        <v>1764</v>
      </c>
      <c r="W147" s="71" t="s">
        <v>74</v>
      </c>
      <c r="X147" s="72" t="s">
        <v>75</v>
      </c>
      <c r="Y147" s="61" t="s">
        <v>76</v>
      </c>
      <c r="Z147" s="73"/>
      <c r="AA147" s="61" t="s">
        <v>77</v>
      </c>
      <c r="AB147" s="61" t="s">
        <v>78</v>
      </c>
      <c r="AC147" s="73"/>
      <c r="AD147" s="73"/>
      <c r="AE147" s="73"/>
      <c r="AF147" s="73"/>
      <c r="AG147" s="73"/>
      <c r="AH147" s="73"/>
      <c r="AI147" s="61" t="s">
        <v>79</v>
      </c>
      <c r="AJ147" s="75"/>
      <c r="AK147" s="76" t="s">
        <v>798</v>
      </c>
      <c r="AL147" s="83" t="s">
        <v>1765</v>
      </c>
      <c r="AM147" s="71" t="s">
        <v>1766</v>
      </c>
      <c r="AN147" s="105" t="s">
        <v>1767</v>
      </c>
      <c r="AO147" s="71" t="s">
        <v>1768</v>
      </c>
      <c r="AP147" s="99" t="str">
        <f>IMAGE("https://bellingcat-archive.nyc3.cdn.digitaloceanspaces.com/Ukraine_Witness_Datasheet/Worksheet/youtube_dl_1489896917798723584/out2.jpg")</f>
        <v/>
      </c>
      <c r="AQ147" s="105" t="s">
        <v>1769</v>
      </c>
      <c r="AR147" s="71" t="s">
        <v>1770</v>
      </c>
      <c r="AS147" s="71" t="s">
        <v>1771</v>
      </c>
      <c r="AT147" s="71">
        <v>32.267</v>
      </c>
      <c r="AU147" s="89"/>
      <c r="AV147" s="90"/>
      <c r="AW147" s="81"/>
    </row>
    <row r="148" ht="15.75" customHeight="1">
      <c r="A148" s="87" t="s">
        <v>170</v>
      </c>
      <c r="B148" s="100"/>
      <c r="C148" s="101" t="s">
        <v>1772</v>
      </c>
      <c r="D148" s="92">
        <v>54.5205</v>
      </c>
      <c r="E148" s="74">
        <v>30.374361</v>
      </c>
      <c r="F148" s="59">
        <v>1.0</v>
      </c>
      <c r="G148" s="151" t="s">
        <v>1773</v>
      </c>
      <c r="H148" s="104" t="s">
        <v>66</v>
      </c>
      <c r="I148" s="82"/>
      <c r="J148" s="63" t="s">
        <v>1278</v>
      </c>
      <c r="K148" s="152" t="s">
        <v>1774</v>
      </c>
      <c r="L148" s="110" t="s">
        <v>69</v>
      </c>
      <c r="M148" s="111"/>
      <c r="N148" s="111"/>
      <c r="O148" s="92" t="s">
        <v>1775</v>
      </c>
      <c r="P148" s="67" t="str">
        <f t="shared" si="1"/>
        <v>54.5205, 30.374361</v>
      </c>
      <c r="Q148" s="67" t="str">
        <f t="shared" si="2"/>
        <v>54.52025, 30.374841</v>
      </c>
      <c r="R148" s="67">
        <f t="shared" si="3"/>
        <v>54.52025</v>
      </c>
      <c r="S148" s="67">
        <f t="shared" si="4"/>
        <v>30.374841</v>
      </c>
      <c r="T148" s="99"/>
      <c r="U148" s="69"/>
      <c r="V148" s="65" t="s">
        <v>1776</v>
      </c>
      <c r="W148" s="71" t="s">
        <v>74</v>
      </c>
      <c r="X148" s="72" t="s">
        <v>75</v>
      </c>
      <c r="Y148" s="61" t="s">
        <v>76</v>
      </c>
      <c r="Z148" s="73"/>
      <c r="AA148" s="61" t="s">
        <v>77</v>
      </c>
      <c r="AB148" s="61" t="s">
        <v>78</v>
      </c>
      <c r="AC148" s="73"/>
      <c r="AD148" s="73"/>
      <c r="AE148" s="73"/>
      <c r="AF148" s="73"/>
      <c r="AG148" s="73"/>
      <c r="AH148" s="73"/>
      <c r="AI148" s="61" t="s">
        <v>79</v>
      </c>
      <c r="AJ148" s="75"/>
      <c r="AK148" s="76" t="s">
        <v>798</v>
      </c>
      <c r="AL148" s="83" t="s">
        <v>1777</v>
      </c>
      <c r="AM148" s="71" t="s">
        <v>1778</v>
      </c>
      <c r="AN148" s="105" t="s">
        <v>1779</v>
      </c>
      <c r="AO148" s="71" t="s">
        <v>1780</v>
      </c>
      <c r="AP148" s="99" t="str">
        <f>IMAGE("https://bellingcat-archive.nyc3.cdn.digitaloceanspaces.com/Ukraine_Witness_Datasheet/Worksheet/youtube_dl_1489663579921989635/out2.jpg")</f>
        <v/>
      </c>
      <c r="AQ148" s="105" t="s">
        <v>1781</v>
      </c>
      <c r="AR148" s="71" t="s">
        <v>1782</v>
      </c>
      <c r="AS148" s="71" t="s">
        <v>1783</v>
      </c>
      <c r="AT148" s="71">
        <v>23.933</v>
      </c>
      <c r="AU148" s="89"/>
      <c r="AV148" s="90"/>
      <c r="AW148" s="81"/>
    </row>
    <row r="149" ht="15.75" customHeight="1">
      <c r="A149" s="87" t="s">
        <v>170</v>
      </c>
      <c r="B149" s="100"/>
      <c r="C149" s="101" t="s">
        <v>1772</v>
      </c>
      <c r="D149" s="74">
        <v>51.324972</v>
      </c>
      <c r="E149" s="74">
        <v>37.728611</v>
      </c>
      <c r="F149" s="59">
        <v>1.0</v>
      </c>
      <c r="G149" s="151" t="s">
        <v>1784</v>
      </c>
      <c r="H149" s="104" t="s">
        <v>66</v>
      </c>
      <c r="I149" s="82"/>
      <c r="J149" s="63" t="s">
        <v>1629</v>
      </c>
      <c r="K149" s="152" t="s">
        <v>1785</v>
      </c>
      <c r="L149" s="110" t="s">
        <v>79</v>
      </c>
      <c r="M149" s="92" t="s">
        <v>1786</v>
      </c>
      <c r="N149" s="92" t="s">
        <v>1787</v>
      </c>
      <c r="O149" s="111"/>
      <c r="P149" s="67" t="str">
        <f t="shared" si="1"/>
        <v>51.324972, 37.728611</v>
      </c>
      <c r="Q149" s="67" t="str">
        <f t="shared" si="2"/>
        <v>51.324789, 37.729157</v>
      </c>
      <c r="R149" s="67">
        <f t="shared" si="3"/>
        <v>51.324789</v>
      </c>
      <c r="S149" s="67">
        <f t="shared" si="4"/>
        <v>37.729157</v>
      </c>
      <c r="T149" s="99"/>
      <c r="U149" s="69"/>
      <c r="V149" s="65" t="s">
        <v>1788</v>
      </c>
      <c r="W149" s="71" t="s">
        <v>74</v>
      </c>
      <c r="X149" s="72" t="s">
        <v>75</v>
      </c>
      <c r="Y149" s="61" t="s">
        <v>76</v>
      </c>
      <c r="Z149" s="73"/>
      <c r="AA149" s="61" t="s">
        <v>77</v>
      </c>
      <c r="AB149" s="61" t="s">
        <v>78</v>
      </c>
      <c r="AC149" s="73"/>
      <c r="AD149" s="73"/>
      <c r="AE149" s="73"/>
      <c r="AF149" s="73"/>
      <c r="AG149" s="73"/>
      <c r="AH149" s="73"/>
      <c r="AI149" s="61" t="s">
        <v>79</v>
      </c>
      <c r="AJ149" s="75"/>
      <c r="AK149" s="76" t="s">
        <v>798</v>
      </c>
      <c r="AL149" s="83" t="s">
        <v>1789</v>
      </c>
      <c r="AM149" s="71" t="s">
        <v>1790</v>
      </c>
      <c r="AN149" s="105" t="s">
        <v>1791</v>
      </c>
      <c r="AO149" s="71" t="s">
        <v>1792</v>
      </c>
      <c r="AP149" s="99" t="str">
        <f>IMAGE("https://bellingcat-archive.nyc3.cdn.digitaloceanspaces.com/Ukraine_Witness_Datasheet/Worksheet/youtube_dl_1489658755633537030/out2.jpg")</f>
        <v/>
      </c>
      <c r="AQ149" s="105" t="s">
        <v>1793</v>
      </c>
      <c r="AR149" s="71" t="s">
        <v>1794</v>
      </c>
      <c r="AS149" s="71" t="s">
        <v>1795</v>
      </c>
      <c r="AT149" s="71">
        <v>50.4</v>
      </c>
      <c r="AU149" s="89"/>
      <c r="AV149" s="90"/>
      <c r="AW149" s="81"/>
    </row>
    <row r="150" ht="15.75" customHeight="1">
      <c r="A150" s="87" t="s">
        <v>170</v>
      </c>
      <c r="B150" s="100"/>
      <c r="C150" s="101" t="s">
        <v>1772</v>
      </c>
      <c r="D150" s="74">
        <v>50.737111</v>
      </c>
      <c r="E150" s="74">
        <v>36.871944</v>
      </c>
      <c r="F150" s="59">
        <v>1.0</v>
      </c>
      <c r="G150" s="151" t="s">
        <v>1796</v>
      </c>
      <c r="H150" s="104" t="s">
        <v>66</v>
      </c>
      <c r="I150" s="82"/>
      <c r="J150" s="63" t="s">
        <v>1278</v>
      </c>
      <c r="K150" s="152" t="s">
        <v>1797</v>
      </c>
      <c r="L150" s="110" t="s">
        <v>79</v>
      </c>
      <c r="M150" s="92" t="s">
        <v>1786</v>
      </c>
      <c r="N150" s="92" t="s">
        <v>1798</v>
      </c>
      <c r="O150" s="111"/>
      <c r="P150" s="67" t="str">
        <f t="shared" si="1"/>
        <v>50.737111, 36.871944</v>
      </c>
      <c r="Q150" s="67" t="str">
        <f t="shared" si="2"/>
        <v>50.736805, 36.871013</v>
      </c>
      <c r="R150" s="67">
        <f t="shared" si="3"/>
        <v>50.736805</v>
      </c>
      <c r="S150" s="67">
        <f t="shared" si="4"/>
        <v>36.871013</v>
      </c>
      <c r="T150" s="99"/>
      <c r="U150" s="69"/>
      <c r="V150" s="65" t="s">
        <v>1799</v>
      </c>
      <c r="W150" s="71" t="s">
        <v>74</v>
      </c>
      <c r="X150" s="72" t="s">
        <v>75</v>
      </c>
      <c r="Y150" s="61" t="s">
        <v>76</v>
      </c>
      <c r="Z150" s="73"/>
      <c r="AA150" s="61" t="s">
        <v>77</v>
      </c>
      <c r="AB150" s="61" t="s">
        <v>78</v>
      </c>
      <c r="AC150" s="73"/>
      <c r="AD150" s="73"/>
      <c r="AE150" s="73"/>
      <c r="AF150" s="73"/>
      <c r="AG150" s="73"/>
      <c r="AH150" s="73"/>
      <c r="AI150" s="61" t="s">
        <v>79</v>
      </c>
      <c r="AJ150" s="75"/>
      <c r="AK150" s="76" t="s">
        <v>798</v>
      </c>
      <c r="AL150" s="83" t="s">
        <v>1800</v>
      </c>
      <c r="AM150" s="71" t="s">
        <v>1801</v>
      </c>
      <c r="AN150" s="105" t="s">
        <v>1802</v>
      </c>
      <c r="AO150" s="71" t="s">
        <v>1803</v>
      </c>
      <c r="AP150" s="99" t="str">
        <f>IMAGE("https://bellingcat-archive.nyc3.cdn.digitaloceanspaces.com/Ukraine_Witness_Datasheet/Worksheet/youtube_dl_1489586224872448003/out2.jpg")</f>
        <v/>
      </c>
      <c r="AQ150" s="105" t="s">
        <v>1804</v>
      </c>
      <c r="AR150" s="71" t="s">
        <v>1794</v>
      </c>
      <c r="AS150" s="71" t="s">
        <v>1805</v>
      </c>
      <c r="AT150" s="71">
        <v>28.367</v>
      </c>
      <c r="AU150" s="89"/>
      <c r="AV150" s="90"/>
      <c r="AW150" s="81"/>
    </row>
    <row r="151" ht="15.75" customHeight="1">
      <c r="A151" s="87" t="s">
        <v>170</v>
      </c>
      <c r="B151" s="100"/>
      <c r="C151" s="101" t="s">
        <v>1772</v>
      </c>
      <c r="D151" s="74">
        <v>52.951639</v>
      </c>
      <c r="E151" s="74">
        <v>29.785583</v>
      </c>
      <c r="F151" s="59">
        <v>1.0</v>
      </c>
      <c r="G151" s="151" t="s">
        <v>1806</v>
      </c>
      <c r="H151" s="104" t="s">
        <v>66</v>
      </c>
      <c r="I151" s="82"/>
      <c r="J151" s="63" t="s">
        <v>1807</v>
      </c>
      <c r="K151" s="152" t="s">
        <v>1808</v>
      </c>
      <c r="L151" s="110" t="s">
        <v>69</v>
      </c>
      <c r="M151" s="111"/>
      <c r="N151" s="111"/>
      <c r="O151" s="92" t="s">
        <v>1809</v>
      </c>
      <c r="P151" s="67" t="str">
        <f t="shared" si="1"/>
        <v>52.951639, 29.785583</v>
      </c>
      <c r="Q151" s="67" t="str">
        <f t="shared" si="2"/>
        <v>52.951097, 29.786177</v>
      </c>
      <c r="R151" s="67">
        <f t="shared" si="3"/>
        <v>52.951097</v>
      </c>
      <c r="S151" s="67">
        <f t="shared" si="4"/>
        <v>29.786177</v>
      </c>
      <c r="T151" s="99"/>
      <c r="U151" s="69"/>
      <c r="V151" s="65" t="s">
        <v>1810</v>
      </c>
      <c r="W151" s="71" t="s">
        <v>74</v>
      </c>
      <c r="X151" s="72" t="s">
        <v>75</v>
      </c>
      <c r="Y151" s="61" t="s">
        <v>76</v>
      </c>
      <c r="Z151" s="73"/>
      <c r="AA151" s="61" t="s">
        <v>77</v>
      </c>
      <c r="AB151" s="61" t="s">
        <v>78</v>
      </c>
      <c r="AC151" s="73"/>
      <c r="AD151" s="73"/>
      <c r="AE151" s="73"/>
      <c r="AF151" s="73"/>
      <c r="AG151" s="73"/>
      <c r="AH151" s="73"/>
      <c r="AI151" s="61" t="s">
        <v>79</v>
      </c>
      <c r="AJ151" s="75"/>
      <c r="AK151" s="76" t="s">
        <v>798</v>
      </c>
      <c r="AL151" s="83" t="s">
        <v>1811</v>
      </c>
      <c r="AM151" s="71" t="s">
        <v>1812</v>
      </c>
      <c r="AN151" s="105" t="s">
        <v>1813</v>
      </c>
      <c r="AO151" s="71" t="s">
        <v>1814</v>
      </c>
      <c r="AP151" s="99" t="str">
        <f>IMAGE("https://bellingcat-archive.nyc3.cdn.digitaloceanspaces.com/Ukraine_Witness_Datasheet/Worksheet/youtube_dl_1489447605281120256/out2.jpg")</f>
        <v/>
      </c>
      <c r="AQ151" s="105" t="s">
        <v>1815</v>
      </c>
      <c r="AR151" s="71" t="s">
        <v>344</v>
      </c>
      <c r="AS151" s="71" t="s">
        <v>1816</v>
      </c>
      <c r="AT151" s="71">
        <v>13.167</v>
      </c>
      <c r="AU151" s="89"/>
      <c r="AV151" s="90"/>
      <c r="AW151" s="81"/>
    </row>
    <row r="152" ht="15.75" customHeight="1">
      <c r="A152" s="87" t="s">
        <v>170</v>
      </c>
      <c r="B152" s="100"/>
      <c r="C152" s="101" t="s">
        <v>991</v>
      </c>
      <c r="D152" s="74">
        <v>46.632778</v>
      </c>
      <c r="E152" s="74">
        <v>38.269139</v>
      </c>
      <c r="F152" s="59">
        <v>1.0</v>
      </c>
      <c r="G152" s="151" t="s">
        <v>1817</v>
      </c>
      <c r="H152" s="104" t="s">
        <v>66</v>
      </c>
      <c r="I152" s="82"/>
      <c r="J152" s="63" t="s">
        <v>1278</v>
      </c>
      <c r="K152" s="152" t="s">
        <v>1818</v>
      </c>
      <c r="L152" s="110" t="s">
        <v>79</v>
      </c>
      <c r="M152" s="92" t="s">
        <v>1819</v>
      </c>
      <c r="N152" s="111"/>
      <c r="O152" s="92" t="s">
        <v>1820</v>
      </c>
      <c r="P152" s="67" t="str">
        <f t="shared" si="1"/>
        <v>46.632778, 38.269139</v>
      </c>
      <c r="Q152" s="67" t="str">
        <f t="shared" si="2"/>
        <v>46.632413, 38.269046</v>
      </c>
      <c r="R152" s="67">
        <f t="shared" si="3"/>
        <v>46.632413</v>
      </c>
      <c r="S152" s="67">
        <f t="shared" si="4"/>
        <v>38.269046</v>
      </c>
      <c r="T152" s="99"/>
      <c r="U152" s="69"/>
      <c r="V152" s="65" t="s">
        <v>1821</v>
      </c>
      <c r="W152" s="71" t="s">
        <v>74</v>
      </c>
      <c r="X152" s="72" t="s">
        <v>75</v>
      </c>
      <c r="Y152" s="61" t="s">
        <v>76</v>
      </c>
      <c r="Z152" s="73"/>
      <c r="AA152" s="61" t="s">
        <v>77</v>
      </c>
      <c r="AB152" s="61" t="s">
        <v>78</v>
      </c>
      <c r="AC152" s="73"/>
      <c r="AD152" s="73"/>
      <c r="AE152" s="73"/>
      <c r="AF152" s="73"/>
      <c r="AG152" s="73"/>
      <c r="AH152" s="73"/>
      <c r="AI152" s="61" t="s">
        <v>79</v>
      </c>
      <c r="AJ152" s="75"/>
      <c r="AK152" s="76" t="s">
        <v>798</v>
      </c>
      <c r="AL152" s="83" t="s">
        <v>1822</v>
      </c>
      <c r="AM152" s="71" t="s">
        <v>1823</v>
      </c>
      <c r="AN152" s="105" t="s">
        <v>1824</v>
      </c>
      <c r="AO152" s="71" t="s">
        <v>1825</v>
      </c>
      <c r="AP152" s="99" t="str">
        <f>IMAGE("https://bellingcat-archive.nyc3.cdn.digitaloceanspaces.com/Ukraine_Witness_Datasheet/Worksheet/youtube_dl_1489344683482431494/out2.jpg")</f>
        <v/>
      </c>
      <c r="AQ152" s="105" t="s">
        <v>1826</v>
      </c>
      <c r="AR152" s="71" t="s">
        <v>1827</v>
      </c>
      <c r="AS152" s="71" t="s">
        <v>1828</v>
      </c>
      <c r="AT152" s="71">
        <v>30.093</v>
      </c>
      <c r="AU152" s="89"/>
      <c r="AV152" s="90"/>
      <c r="AW152" s="81"/>
    </row>
    <row r="153" ht="15.75" customHeight="1">
      <c r="A153" s="87" t="s">
        <v>170</v>
      </c>
      <c r="B153" s="100"/>
      <c r="C153" s="101" t="s">
        <v>991</v>
      </c>
      <c r="D153" s="74">
        <v>53.756111</v>
      </c>
      <c r="E153" s="74">
        <v>33.2235</v>
      </c>
      <c r="F153" s="59">
        <v>1.0</v>
      </c>
      <c r="G153" s="151" t="s">
        <v>1829</v>
      </c>
      <c r="H153" s="104" t="s">
        <v>66</v>
      </c>
      <c r="I153" s="82"/>
      <c r="J153" s="63" t="s">
        <v>1278</v>
      </c>
      <c r="K153" s="152" t="s">
        <v>1830</v>
      </c>
      <c r="L153" s="110" t="s">
        <v>79</v>
      </c>
      <c r="M153" s="92" t="s">
        <v>240</v>
      </c>
      <c r="N153" s="111"/>
      <c r="O153" s="92" t="s">
        <v>1831</v>
      </c>
      <c r="P153" s="67" t="str">
        <f t="shared" si="1"/>
        <v>53.756111, 33.2235</v>
      </c>
      <c r="Q153" s="67" t="str">
        <f t="shared" si="2"/>
        <v>53.755843, 33.222996</v>
      </c>
      <c r="R153" s="67">
        <f t="shared" si="3"/>
        <v>53.755843</v>
      </c>
      <c r="S153" s="67">
        <f t="shared" si="4"/>
        <v>33.222996</v>
      </c>
      <c r="T153" s="99"/>
      <c r="U153" s="69"/>
      <c r="V153" s="65" t="s">
        <v>1832</v>
      </c>
      <c r="W153" s="71" t="s">
        <v>74</v>
      </c>
      <c r="X153" s="72" t="s">
        <v>75</v>
      </c>
      <c r="Y153" s="61" t="s">
        <v>76</v>
      </c>
      <c r="Z153" s="73"/>
      <c r="AA153" s="61" t="s">
        <v>77</v>
      </c>
      <c r="AB153" s="61" t="s">
        <v>78</v>
      </c>
      <c r="AC153" s="73"/>
      <c r="AD153" s="73"/>
      <c r="AE153" s="73"/>
      <c r="AF153" s="73"/>
      <c r="AG153" s="73"/>
      <c r="AH153" s="73"/>
      <c r="AI153" s="61" t="s">
        <v>79</v>
      </c>
      <c r="AJ153" s="75"/>
      <c r="AK153" s="76" t="s">
        <v>798</v>
      </c>
      <c r="AL153" s="83" t="s">
        <v>1833</v>
      </c>
      <c r="AM153" s="71" t="s">
        <v>1834</v>
      </c>
      <c r="AN153" s="105" t="s">
        <v>1835</v>
      </c>
      <c r="AO153" s="71" t="s">
        <v>1836</v>
      </c>
      <c r="AP153" s="99" t="str">
        <f>IMAGE("https://bellingcat-archive.nyc3.cdn.digitaloceanspaces.com/Ukraine_Witness_Datasheet/Worksheet/youtube_dl_1489074598352203778/out2.jpg")</f>
        <v/>
      </c>
      <c r="AQ153" s="105" t="s">
        <v>1837</v>
      </c>
      <c r="AR153" s="71" t="s">
        <v>1838</v>
      </c>
      <c r="AS153" s="71" t="s">
        <v>1839</v>
      </c>
      <c r="AT153" s="71">
        <v>33.627</v>
      </c>
      <c r="AU153" s="89"/>
      <c r="AV153" s="90"/>
      <c r="AW153" s="81"/>
    </row>
    <row r="154" ht="15.75" customHeight="1">
      <c r="A154" s="87" t="s">
        <v>170</v>
      </c>
      <c r="B154" s="100"/>
      <c r="C154" s="101" t="s">
        <v>991</v>
      </c>
      <c r="D154" s="92">
        <v>56.337667</v>
      </c>
      <c r="E154" s="74">
        <v>30.544333</v>
      </c>
      <c r="F154" s="59">
        <v>1.0</v>
      </c>
      <c r="G154" s="151" t="s">
        <v>1840</v>
      </c>
      <c r="H154" s="104" t="s">
        <v>66</v>
      </c>
      <c r="I154" s="82"/>
      <c r="J154" s="63" t="s">
        <v>1629</v>
      </c>
      <c r="K154" s="152" t="s">
        <v>1841</v>
      </c>
      <c r="L154" s="110" t="s">
        <v>79</v>
      </c>
      <c r="M154" s="92" t="s">
        <v>1842</v>
      </c>
      <c r="N154" s="111"/>
      <c r="O154" s="92" t="s">
        <v>1843</v>
      </c>
      <c r="P154" s="67" t="str">
        <f t="shared" si="1"/>
        <v>56.337667, 30.544333</v>
      </c>
      <c r="Q154" s="67" t="str">
        <f t="shared" si="2"/>
        <v>56.337227, 30.544948</v>
      </c>
      <c r="R154" s="67">
        <f t="shared" si="3"/>
        <v>56.337227</v>
      </c>
      <c r="S154" s="67">
        <f t="shared" si="4"/>
        <v>30.544948</v>
      </c>
      <c r="T154" s="99"/>
      <c r="U154" s="69"/>
      <c r="V154" s="65" t="s">
        <v>1844</v>
      </c>
      <c r="W154" s="71" t="s">
        <v>74</v>
      </c>
      <c r="X154" s="72" t="s">
        <v>75</v>
      </c>
      <c r="Y154" s="61" t="s">
        <v>76</v>
      </c>
      <c r="Z154" s="73"/>
      <c r="AA154" s="61" t="s">
        <v>77</v>
      </c>
      <c r="AB154" s="61" t="s">
        <v>78</v>
      </c>
      <c r="AC154" s="73"/>
      <c r="AD154" s="73"/>
      <c r="AE154" s="73"/>
      <c r="AF154" s="73"/>
      <c r="AG154" s="73"/>
      <c r="AH154" s="73"/>
      <c r="AI154" s="61" t="s">
        <v>79</v>
      </c>
      <c r="AJ154" s="75"/>
      <c r="AK154" s="76" t="s">
        <v>798</v>
      </c>
      <c r="AL154" s="83" t="s">
        <v>1845</v>
      </c>
      <c r="AM154" s="71" t="s">
        <v>1846</v>
      </c>
      <c r="AN154" s="105" t="s">
        <v>1847</v>
      </c>
      <c r="AO154" s="71" t="s">
        <v>1848</v>
      </c>
      <c r="AP154" s="99" t="str">
        <f>IMAGE("https://bellingcat-archive.nyc3.cdn.digitaloceanspaces.com/Ukraine_Witness_Datasheet/Worksheet/youtube_dl_1489077319721439235/out3.jpg")</f>
        <v/>
      </c>
      <c r="AQ154" s="105" t="s">
        <v>1849</v>
      </c>
      <c r="AR154" s="71" t="s">
        <v>687</v>
      </c>
      <c r="AS154" s="71" t="s">
        <v>1850</v>
      </c>
      <c r="AT154" s="71">
        <v>95.733</v>
      </c>
      <c r="AU154" s="89"/>
      <c r="AV154" s="90"/>
      <c r="AW154" s="81"/>
    </row>
    <row r="155" ht="15.75" customHeight="1">
      <c r="A155" s="87" t="s">
        <v>170</v>
      </c>
      <c r="B155" s="100"/>
      <c r="C155" s="101" t="s">
        <v>991</v>
      </c>
      <c r="D155" s="74">
        <v>45.136694</v>
      </c>
      <c r="E155" s="74">
        <v>35.354972</v>
      </c>
      <c r="F155" s="59">
        <v>1.0</v>
      </c>
      <c r="G155" s="151" t="s">
        <v>1851</v>
      </c>
      <c r="H155" s="104" t="s">
        <v>66</v>
      </c>
      <c r="I155" s="82"/>
      <c r="J155" s="63" t="s">
        <v>1278</v>
      </c>
      <c r="K155" s="152" t="s">
        <v>1852</v>
      </c>
      <c r="L155" s="134"/>
      <c r="M155" s="92" t="s">
        <v>407</v>
      </c>
      <c r="N155" s="111"/>
      <c r="O155" s="92" t="s">
        <v>1853</v>
      </c>
      <c r="P155" s="67" t="str">
        <f t="shared" si="1"/>
        <v>45.136694, 35.354972</v>
      </c>
      <c r="Q155" s="67" t="str">
        <f t="shared" si="2"/>
        <v>45.13604, 35.355511</v>
      </c>
      <c r="R155" s="67">
        <f t="shared" si="3"/>
        <v>45.13604</v>
      </c>
      <c r="S155" s="67">
        <f t="shared" si="4"/>
        <v>35.355511</v>
      </c>
      <c r="T155" s="99"/>
      <c r="U155" s="69"/>
      <c r="V155" s="65" t="s">
        <v>1854</v>
      </c>
      <c r="W155" s="71" t="s">
        <v>74</v>
      </c>
      <c r="X155" s="72" t="s">
        <v>75</v>
      </c>
      <c r="Y155" s="61" t="s">
        <v>76</v>
      </c>
      <c r="Z155" s="73"/>
      <c r="AA155" s="61" t="s">
        <v>77</v>
      </c>
      <c r="AB155" s="61" t="s">
        <v>78</v>
      </c>
      <c r="AC155" s="73"/>
      <c r="AD155" s="73"/>
      <c r="AE155" s="73"/>
      <c r="AF155" s="73"/>
      <c r="AG155" s="73"/>
      <c r="AH155" s="73"/>
      <c r="AI155" s="61" t="s">
        <v>79</v>
      </c>
      <c r="AJ155" s="75"/>
      <c r="AK155" s="76" t="s">
        <v>798</v>
      </c>
      <c r="AL155" s="83" t="s">
        <v>1855</v>
      </c>
      <c r="AM155" s="71" t="s">
        <v>1856</v>
      </c>
      <c r="AN155" s="105" t="s">
        <v>1857</v>
      </c>
      <c r="AO155" s="71" t="s">
        <v>1858</v>
      </c>
      <c r="AP155" s="99" t="str">
        <f>IMAGE("https://bellingcat-archive.nyc3.cdn.digitaloceanspaces.com/Ukraine_Witness_Datasheet/Worksheet/youtube_dl_1489308849525956616/out3.jpg")</f>
        <v/>
      </c>
      <c r="AQ155" s="105" t="s">
        <v>1859</v>
      </c>
      <c r="AR155" s="71" t="s">
        <v>1860</v>
      </c>
      <c r="AS155" s="71" t="s">
        <v>1861</v>
      </c>
      <c r="AT155" s="71">
        <v>64.266</v>
      </c>
      <c r="AU155" s="89"/>
      <c r="AV155" s="90"/>
      <c r="AW155" s="81"/>
    </row>
    <row r="156" ht="15.75" customHeight="1">
      <c r="A156" s="87" t="s">
        <v>170</v>
      </c>
      <c r="B156" s="100"/>
      <c r="C156" s="101" t="s">
        <v>991</v>
      </c>
      <c r="D156" s="74">
        <v>54.508306</v>
      </c>
      <c r="E156" s="74">
        <v>36.092889</v>
      </c>
      <c r="F156" s="59">
        <v>1.0</v>
      </c>
      <c r="G156" s="151" t="s">
        <v>1862</v>
      </c>
      <c r="H156" s="104" t="s">
        <v>66</v>
      </c>
      <c r="I156" s="82"/>
      <c r="J156" s="63" t="s">
        <v>1278</v>
      </c>
      <c r="K156" s="152" t="s">
        <v>1863</v>
      </c>
      <c r="L156" s="110" t="s">
        <v>79</v>
      </c>
      <c r="M156" s="92" t="s">
        <v>1864</v>
      </c>
      <c r="N156" s="111"/>
      <c r="O156" s="92" t="s">
        <v>1865</v>
      </c>
      <c r="P156" s="67" t="str">
        <f t="shared" si="1"/>
        <v>54.508306, 36.092889</v>
      </c>
      <c r="Q156" s="67" t="str">
        <f t="shared" si="2"/>
        <v>54.507475, 36.092986</v>
      </c>
      <c r="R156" s="67">
        <f t="shared" si="3"/>
        <v>54.507475</v>
      </c>
      <c r="S156" s="67">
        <f t="shared" si="4"/>
        <v>36.092986</v>
      </c>
      <c r="T156" s="99"/>
      <c r="U156" s="69"/>
      <c r="V156" s="65" t="s">
        <v>1866</v>
      </c>
      <c r="W156" s="71" t="s">
        <v>74</v>
      </c>
      <c r="X156" s="72" t="s">
        <v>75</v>
      </c>
      <c r="Y156" s="61" t="s">
        <v>76</v>
      </c>
      <c r="Z156" s="73"/>
      <c r="AA156" s="61" t="s">
        <v>77</v>
      </c>
      <c r="AB156" s="61" t="s">
        <v>78</v>
      </c>
      <c r="AC156" s="73"/>
      <c r="AD156" s="73"/>
      <c r="AE156" s="73"/>
      <c r="AF156" s="73"/>
      <c r="AG156" s="73"/>
      <c r="AH156" s="73"/>
      <c r="AI156" s="61" t="s">
        <v>79</v>
      </c>
      <c r="AJ156" s="75"/>
      <c r="AK156" s="76" t="s">
        <v>798</v>
      </c>
      <c r="AL156" s="83" t="s">
        <v>1867</v>
      </c>
      <c r="AM156" s="71" t="s">
        <v>1868</v>
      </c>
      <c r="AN156" s="105" t="s">
        <v>1869</v>
      </c>
      <c r="AO156" s="71" t="s">
        <v>1870</v>
      </c>
      <c r="AP156" s="99" t="str">
        <f>IMAGE("https://bellingcat-archive.nyc3.cdn.digitaloceanspaces.com/Ukraine_Witness_Datasheet/Worksheet/youtube_dl_1489295152459964422/out2.jpg")</f>
        <v/>
      </c>
      <c r="AQ156" s="105" t="s">
        <v>1871</v>
      </c>
      <c r="AR156" s="71" t="s">
        <v>1377</v>
      </c>
      <c r="AS156" s="71" t="s">
        <v>1872</v>
      </c>
      <c r="AT156" s="71">
        <v>12.933</v>
      </c>
      <c r="AU156" s="89"/>
      <c r="AV156" s="90"/>
      <c r="AW156" s="81"/>
    </row>
    <row r="157" ht="15.75" customHeight="1">
      <c r="A157" s="87" t="s">
        <v>170</v>
      </c>
      <c r="B157" s="100"/>
      <c r="C157" s="101" t="s">
        <v>991</v>
      </c>
      <c r="D157" s="74">
        <v>53.262806</v>
      </c>
      <c r="E157" s="74">
        <v>34.406639</v>
      </c>
      <c r="F157" s="59">
        <v>1.0</v>
      </c>
      <c r="G157" s="151" t="s">
        <v>1873</v>
      </c>
      <c r="H157" s="104" t="s">
        <v>66</v>
      </c>
      <c r="I157" s="82"/>
      <c r="J157" s="63" t="s">
        <v>1278</v>
      </c>
      <c r="K157" s="152" t="s">
        <v>1874</v>
      </c>
      <c r="L157" s="110" t="s">
        <v>79</v>
      </c>
      <c r="M157" s="92" t="s">
        <v>240</v>
      </c>
      <c r="N157" s="92"/>
      <c r="O157" s="92" t="s">
        <v>240</v>
      </c>
      <c r="P157" s="67" t="str">
        <f t="shared" si="1"/>
        <v>53.262806, 34.406639</v>
      </c>
      <c r="Q157" s="67" t="str">
        <f t="shared" si="2"/>
        <v>53.262534, 34.407156</v>
      </c>
      <c r="R157" s="67">
        <f t="shared" si="3"/>
        <v>53.262534</v>
      </c>
      <c r="S157" s="67">
        <f t="shared" si="4"/>
        <v>34.407156</v>
      </c>
      <c r="T157" s="99"/>
      <c r="U157" s="69"/>
      <c r="V157" s="65" t="s">
        <v>1875</v>
      </c>
      <c r="W157" s="71" t="s">
        <v>74</v>
      </c>
      <c r="X157" s="72" t="s">
        <v>75</v>
      </c>
      <c r="Y157" s="61" t="s">
        <v>76</v>
      </c>
      <c r="Z157" s="73"/>
      <c r="AA157" s="61" t="s">
        <v>77</v>
      </c>
      <c r="AB157" s="61" t="s">
        <v>78</v>
      </c>
      <c r="AC157" s="73"/>
      <c r="AD157" s="73"/>
      <c r="AE157" s="73"/>
      <c r="AF157" s="73"/>
      <c r="AG157" s="73"/>
      <c r="AH157" s="73"/>
      <c r="AI157" s="61" t="s">
        <v>79</v>
      </c>
      <c r="AJ157" s="75"/>
      <c r="AK157" s="76" t="s">
        <v>798</v>
      </c>
      <c r="AL157" s="83" t="s">
        <v>1876</v>
      </c>
      <c r="AM157" s="71" t="s">
        <v>1877</v>
      </c>
      <c r="AN157" s="105" t="s">
        <v>1878</v>
      </c>
      <c r="AO157" s="71" t="s">
        <v>1879</v>
      </c>
      <c r="AP157" s="99" t="str">
        <f>IMAGE("https://bellingcat-archive.nyc3.cdn.digitaloceanspaces.com/Ukraine_Witness_Datasheet/Worksheet/youtube_dl_1489251957587922955/out2.jpg")</f>
        <v/>
      </c>
      <c r="AQ157" s="105" t="s">
        <v>1880</v>
      </c>
      <c r="AR157" s="71" t="s">
        <v>780</v>
      </c>
      <c r="AS157" s="71" t="s">
        <v>1881</v>
      </c>
      <c r="AT157" s="71">
        <v>17.275</v>
      </c>
      <c r="AU157" s="89"/>
      <c r="AV157" s="90"/>
      <c r="AW157" s="81"/>
    </row>
    <row r="158" ht="15.75" customHeight="1">
      <c r="A158" s="87" t="s">
        <v>170</v>
      </c>
      <c r="B158" s="100"/>
      <c r="C158" s="101" t="s">
        <v>991</v>
      </c>
      <c r="D158" s="74">
        <v>53.946</v>
      </c>
      <c r="E158" s="74">
        <v>27.776444</v>
      </c>
      <c r="F158" s="59">
        <v>1.0</v>
      </c>
      <c r="G158" s="151" t="s">
        <v>1882</v>
      </c>
      <c r="H158" s="104" t="s">
        <v>66</v>
      </c>
      <c r="I158" s="82"/>
      <c r="J158" s="63" t="s">
        <v>1278</v>
      </c>
      <c r="K158" s="152" t="s">
        <v>1883</v>
      </c>
      <c r="L158" s="110" t="s">
        <v>69</v>
      </c>
      <c r="M158" s="111"/>
      <c r="N158" s="111"/>
      <c r="O158" s="92" t="s">
        <v>1884</v>
      </c>
      <c r="P158" s="67" t="str">
        <f t="shared" si="1"/>
        <v>53.946, 27.776444</v>
      </c>
      <c r="Q158" s="67" t="str">
        <f t="shared" si="2"/>
        <v>53.945586, 27.777369</v>
      </c>
      <c r="R158" s="67">
        <f t="shared" si="3"/>
        <v>53.945586</v>
      </c>
      <c r="S158" s="67">
        <f t="shared" si="4"/>
        <v>27.777369</v>
      </c>
      <c r="T158" s="99"/>
      <c r="U158" s="69"/>
      <c r="V158" s="65" t="s">
        <v>1885</v>
      </c>
      <c r="W158" s="71" t="s">
        <v>74</v>
      </c>
      <c r="X158" s="72" t="s">
        <v>75</v>
      </c>
      <c r="Y158" s="61" t="s">
        <v>76</v>
      </c>
      <c r="Z158" s="73"/>
      <c r="AA158" s="61" t="s">
        <v>77</v>
      </c>
      <c r="AB158" s="61" t="s">
        <v>78</v>
      </c>
      <c r="AC158" s="73"/>
      <c r="AD158" s="73"/>
      <c r="AE158" s="73"/>
      <c r="AF158" s="73"/>
      <c r="AG158" s="73"/>
      <c r="AH158" s="73"/>
      <c r="AI158" s="61" t="s">
        <v>79</v>
      </c>
      <c r="AJ158" s="75"/>
      <c r="AK158" s="76" t="s">
        <v>798</v>
      </c>
      <c r="AL158" s="83" t="s">
        <v>1886</v>
      </c>
      <c r="AM158" s="71" t="s">
        <v>1887</v>
      </c>
      <c r="AN158" s="105" t="s">
        <v>1888</v>
      </c>
      <c r="AO158" s="71" t="s">
        <v>1889</v>
      </c>
      <c r="AP158" s="99" t="str">
        <f>IMAGE("https://bellingcat-archive.nyc3.cdn.digitaloceanspaces.com/Ukraine_Witness_Datasheet/Worksheet/youtube_dl_1489140479627345921/out2.jpg")</f>
        <v/>
      </c>
      <c r="AQ158" s="105" t="s">
        <v>1890</v>
      </c>
      <c r="AR158" s="71" t="s">
        <v>1891</v>
      </c>
      <c r="AS158" s="71" t="s">
        <v>1892</v>
      </c>
      <c r="AT158" s="71">
        <v>8.533</v>
      </c>
      <c r="AU158" s="89"/>
      <c r="AV158" s="90"/>
      <c r="AW158" s="81"/>
    </row>
    <row r="159" ht="15.75" customHeight="1">
      <c r="A159" s="87" t="s">
        <v>170</v>
      </c>
      <c r="B159" s="100"/>
      <c r="C159" s="101" t="s">
        <v>991</v>
      </c>
      <c r="D159" s="74">
        <v>49.938972</v>
      </c>
      <c r="E159" s="74">
        <v>40.509639</v>
      </c>
      <c r="F159" s="59">
        <v>1.0</v>
      </c>
      <c r="G159" s="151" t="s">
        <v>1893</v>
      </c>
      <c r="H159" s="104" t="s">
        <v>66</v>
      </c>
      <c r="I159" s="82"/>
      <c r="J159" s="63" t="s">
        <v>1629</v>
      </c>
      <c r="K159" s="152" t="s">
        <v>1894</v>
      </c>
      <c r="L159" s="110" t="s">
        <v>79</v>
      </c>
      <c r="M159" s="92" t="s">
        <v>563</v>
      </c>
      <c r="N159" s="111"/>
      <c r="O159" s="92" t="s">
        <v>1895</v>
      </c>
      <c r="P159" s="67" t="str">
        <f t="shared" si="1"/>
        <v>49.938972, 40.509639</v>
      </c>
      <c r="Q159" s="67" t="str">
        <f t="shared" si="2"/>
        <v>49.938767, 40.510368</v>
      </c>
      <c r="R159" s="67">
        <f t="shared" si="3"/>
        <v>49.938767</v>
      </c>
      <c r="S159" s="67">
        <f t="shared" si="4"/>
        <v>40.510368</v>
      </c>
      <c r="T159" s="99"/>
      <c r="U159" s="69"/>
      <c r="V159" s="65" t="s">
        <v>1896</v>
      </c>
      <c r="W159" s="71" t="s">
        <v>74</v>
      </c>
      <c r="X159" s="72" t="s">
        <v>75</v>
      </c>
      <c r="Y159" s="61" t="s">
        <v>76</v>
      </c>
      <c r="Z159" s="73"/>
      <c r="AA159" s="61" t="s">
        <v>77</v>
      </c>
      <c r="AB159" s="61" t="s">
        <v>421</v>
      </c>
      <c r="AC159" s="73"/>
      <c r="AD159" s="73"/>
      <c r="AE159" s="73"/>
      <c r="AF159" s="73"/>
      <c r="AG159" s="73"/>
      <c r="AH159" s="73"/>
      <c r="AI159" s="61" t="s">
        <v>79</v>
      </c>
      <c r="AJ159" s="75"/>
      <c r="AK159" s="76" t="s">
        <v>798</v>
      </c>
      <c r="AL159" s="83" t="s">
        <v>1897</v>
      </c>
      <c r="AM159" s="71" t="s">
        <v>1898</v>
      </c>
      <c r="AN159" s="105" t="s">
        <v>1899</v>
      </c>
      <c r="AO159" s="71" t="s">
        <v>1900</v>
      </c>
      <c r="AP159" s="99" t="str">
        <f>IMAGE("https://bellingcat-archive.nyc3.cdn.digitaloceanspaces.com/Ukraine_Witness_Datasheet/Worksheet/youtube_dl_1489095352376610817/out3.jpg")</f>
        <v/>
      </c>
      <c r="AQ159" s="105" t="s">
        <v>1901</v>
      </c>
      <c r="AR159" s="71" t="s">
        <v>712</v>
      </c>
      <c r="AS159" s="71" t="s">
        <v>1902</v>
      </c>
      <c r="AT159" s="71">
        <v>60.167</v>
      </c>
      <c r="AU159" s="89"/>
      <c r="AV159" s="90"/>
      <c r="AW159" s="81"/>
    </row>
    <row r="160" ht="15.75" customHeight="1">
      <c r="A160" s="87" t="s">
        <v>170</v>
      </c>
      <c r="B160" s="100"/>
      <c r="C160" s="101" t="s">
        <v>975</v>
      </c>
      <c r="D160" s="74">
        <v>45.382583</v>
      </c>
      <c r="E160" s="74">
        <v>38.41075</v>
      </c>
      <c r="F160" s="59">
        <v>1.0</v>
      </c>
      <c r="G160" s="151" t="s">
        <v>1903</v>
      </c>
      <c r="H160" s="104" t="s">
        <v>66</v>
      </c>
      <c r="I160" s="82"/>
      <c r="J160" s="63" t="s">
        <v>1629</v>
      </c>
      <c r="K160" s="152" t="s">
        <v>1904</v>
      </c>
      <c r="L160" s="110" t="s">
        <v>79</v>
      </c>
      <c r="M160" s="92" t="s">
        <v>445</v>
      </c>
      <c r="N160" s="111"/>
      <c r="O160" s="92" t="s">
        <v>1905</v>
      </c>
      <c r="P160" s="67" t="str">
        <f t="shared" si="1"/>
        <v>45.382583, 38.41075</v>
      </c>
      <c r="Q160" s="67" t="str">
        <f t="shared" si="2"/>
        <v>45.382258, 38.409859</v>
      </c>
      <c r="R160" s="67">
        <f t="shared" si="3"/>
        <v>45.382258</v>
      </c>
      <c r="S160" s="67">
        <f t="shared" si="4"/>
        <v>38.409859</v>
      </c>
      <c r="T160" s="99"/>
      <c r="U160" s="69"/>
      <c r="V160" s="65" t="s">
        <v>1906</v>
      </c>
      <c r="W160" s="71" t="s">
        <v>74</v>
      </c>
      <c r="X160" s="72" t="s">
        <v>75</v>
      </c>
      <c r="Y160" s="61" t="s">
        <v>76</v>
      </c>
      <c r="Z160" s="73"/>
      <c r="AA160" s="61" t="s">
        <v>77</v>
      </c>
      <c r="AB160" s="61" t="s">
        <v>421</v>
      </c>
      <c r="AC160" s="73"/>
      <c r="AD160" s="73"/>
      <c r="AE160" s="73"/>
      <c r="AF160" s="73"/>
      <c r="AG160" s="73"/>
      <c r="AH160" s="73"/>
      <c r="AI160" s="61" t="s">
        <v>79</v>
      </c>
      <c r="AJ160" s="75"/>
      <c r="AK160" s="76" t="s">
        <v>798</v>
      </c>
      <c r="AL160" s="83" t="s">
        <v>1907</v>
      </c>
      <c r="AM160" s="71" t="s">
        <v>1908</v>
      </c>
      <c r="AN160" s="105" t="s">
        <v>1909</v>
      </c>
      <c r="AO160" s="71" t="s">
        <v>1910</v>
      </c>
      <c r="AP160" s="99" t="str">
        <f>IMAGE("https://bellingcat-archive.nyc3.cdn.digitaloceanspaces.com/Ukraine_Witness_Datasheet/Worksheet/youtube_dl_1488937592666173448/out2.jpg")</f>
        <v/>
      </c>
      <c r="AQ160" s="105" t="s">
        <v>1911</v>
      </c>
      <c r="AR160" s="71" t="s">
        <v>530</v>
      </c>
      <c r="AS160" s="71" t="s">
        <v>1912</v>
      </c>
      <c r="AT160" s="71">
        <v>51.118</v>
      </c>
      <c r="AU160" s="89"/>
      <c r="AV160" s="90"/>
      <c r="AW160" s="81"/>
    </row>
    <row r="161" ht="15.75" customHeight="1">
      <c r="A161" s="87" t="s">
        <v>63</v>
      </c>
      <c r="B161" s="100"/>
      <c r="C161" s="101" t="s">
        <v>1165</v>
      </c>
      <c r="D161" s="58">
        <v>44.954879</v>
      </c>
      <c r="E161" s="58">
        <v>43.882298</v>
      </c>
      <c r="F161" s="59">
        <v>1.0</v>
      </c>
      <c r="G161" s="151" t="s">
        <v>1913</v>
      </c>
      <c r="H161" s="104" t="s">
        <v>66</v>
      </c>
      <c r="I161" s="82"/>
      <c r="J161" s="63" t="s">
        <v>1914</v>
      </c>
      <c r="K161" s="152" t="s">
        <v>1915</v>
      </c>
      <c r="L161" s="110" t="s">
        <v>79</v>
      </c>
      <c r="M161" s="92" t="s">
        <v>1916</v>
      </c>
      <c r="N161" s="111"/>
      <c r="O161" s="92" t="s">
        <v>1917</v>
      </c>
      <c r="P161" s="67" t="str">
        <f t="shared" si="1"/>
        <v>44.954879, 43.882298</v>
      </c>
      <c r="Q161" s="67" t="str">
        <f t="shared" si="2"/>
        <v>44.954433, 43.88306</v>
      </c>
      <c r="R161" s="67">
        <f t="shared" si="3"/>
        <v>44.954433</v>
      </c>
      <c r="S161" s="67">
        <f t="shared" si="4"/>
        <v>43.88306</v>
      </c>
      <c r="T161" s="99"/>
      <c r="U161" s="69"/>
      <c r="V161" s="65" t="s">
        <v>1918</v>
      </c>
      <c r="W161" s="71" t="s">
        <v>74</v>
      </c>
      <c r="X161" s="72" t="s">
        <v>75</v>
      </c>
      <c r="Y161" s="61" t="s">
        <v>76</v>
      </c>
      <c r="Z161" s="73"/>
      <c r="AA161" s="61" t="s">
        <v>77</v>
      </c>
      <c r="AB161" s="61" t="s">
        <v>78</v>
      </c>
      <c r="AC161" s="73"/>
      <c r="AD161" s="73"/>
      <c r="AE161" s="73"/>
      <c r="AF161" s="73"/>
      <c r="AG161" s="73"/>
      <c r="AH161" s="73"/>
      <c r="AI161" s="61" t="s">
        <v>79</v>
      </c>
      <c r="AJ161" s="75"/>
      <c r="AK161" s="136" t="s">
        <v>1261</v>
      </c>
      <c r="AL161" s="147" t="s">
        <v>1919</v>
      </c>
      <c r="AM161" s="138" t="s">
        <v>1920</v>
      </c>
      <c r="AN161" s="148" t="s">
        <v>1921</v>
      </c>
      <c r="AO161" s="139"/>
      <c r="AP161" s="139"/>
      <c r="AQ161" s="139"/>
      <c r="AR161" s="138" t="s">
        <v>1922</v>
      </c>
      <c r="AS161" s="139"/>
      <c r="AT161" s="139"/>
      <c r="AU161" s="89"/>
      <c r="AV161" s="90"/>
      <c r="AW161" s="81"/>
    </row>
    <row r="162" ht="15.75" customHeight="1">
      <c r="A162" s="87" t="s">
        <v>63</v>
      </c>
      <c r="B162" s="100"/>
      <c r="C162" s="101" t="s">
        <v>1165</v>
      </c>
      <c r="D162" s="58">
        <v>47.56489</v>
      </c>
      <c r="E162" s="58">
        <v>40.121701</v>
      </c>
      <c r="F162" s="59">
        <v>1.0</v>
      </c>
      <c r="G162" s="151" t="s">
        <v>1923</v>
      </c>
      <c r="H162" s="104" t="s">
        <v>66</v>
      </c>
      <c r="I162" s="82"/>
      <c r="J162" s="63" t="s">
        <v>1924</v>
      </c>
      <c r="K162" s="152" t="s">
        <v>1925</v>
      </c>
      <c r="L162" s="110" t="s">
        <v>79</v>
      </c>
      <c r="M162" s="92" t="s">
        <v>349</v>
      </c>
      <c r="N162" s="111"/>
      <c r="O162" s="92" t="s">
        <v>1926</v>
      </c>
      <c r="P162" s="67" t="str">
        <f t="shared" si="1"/>
        <v>47.56489, 40.121701</v>
      </c>
      <c r="Q162" s="67" t="str">
        <f t="shared" si="2"/>
        <v>47.564428, 40.122289</v>
      </c>
      <c r="R162" s="67">
        <f t="shared" si="3"/>
        <v>47.564428</v>
      </c>
      <c r="S162" s="67">
        <f t="shared" si="4"/>
        <v>40.122289</v>
      </c>
      <c r="T162" s="99"/>
      <c r="U162" s="69"/>
      <c r="V162" s="65" t="s">
        <v>1927</v>
      </c>
      <c r="W162" s="71" t="s">
        <v>74</v>
      </c>
      <c r="X162" s="72" t="s">
        <v>75</v>
      </c>
      <c r="Y162" s="61" t="s">
        <v>76</v>
      </c>
      <c r="Z162" s="73"/>
      <c r="AA162" s="61" t="s">
        <v>77</v>
      </c>
      <c r="AB162" s="61" t="s">
        <v>78</v>
      </c>
      <c r="AC162" s="73"/>
      <c r="AD162" s="73"/>
      <c r="AE162" s="73"/>
      <c r="AF162" s="73"/>
      <c r="AG162" s="73"/>
      <c r="AH162" s="73"/>
      <c r="AI162" s="61" t="s">
        <v>79</v>
      </c>
      <c r="AJ162" s="75"/>
      <c r="AK162" s="76" t="s">
        <v>798</v>
      </c>
      <c r="AL162" s="83" t="s">
        <v>1928</v>
      </c>
      <c r="AM162" s="71" t="s">
        <v>1929</v>
      </c>
      <c r="AN162" s="105" t="s">
        <v>1930</v>
      </c>
      <c r="AO162" s="71" t="s">
        <v>1931</v>
      </c>
      <c r="AP162" s="99" t="str">
        <f>IMAGE("https://bellingcat-archive.nyc3.cdn.digitaloceanspaces.com/Ukraine_Witness_Datasheet/Worksheet/youtube_dl_1491470174523957263/out2.jpg")</f>
        <v/>
      </c>
      <c r="AQ162" s="105" t="s">
        <v>1932</v>
      </c>
      <c r="AR162" s="71" t="s">
        <v>1933</v>
      </c>
      <c r="AS162" s="71" t="s">
        <v>1934</v>
      </c>
      <c r="AT162" s="71">
        <v>40.055</v>
      </c>
      <c r="AU162" s="89"/>
      <c r="AV162" s="90"/>
      <c r="AW162" s="81"/>
    </row>
    <row r="163" ht="15.75" customHeight="1">
      <c r="A163" s="87" t="s">
        <v>63</v>
      </c>
      <c r="B163" s="100"/>
      <c r="C163" s="101" t="s">
        <v>1165</v>
      </c>
      <c r="D163" s="58">
        <v>50.741891</v>
      </c>
      <c r="E163" s="58">
        <v>37.887646</v>
      </c>
      <c r="F163" s="59">
        <v>1.0</v>
      </c>
      <c r="G163" s="151" t="s">
        <v>1935</v>
      </c>
      <c r="H163" s="104" t="s">
        <v>66</v>
      </c>
      <c r="I163" s="82"/>
      <c r="J163" s="63" t="s">
        <v>1313</v>
      </c>
      <c r="K163" s="152" t="s">
        <v>1936</v>
      </c>
      <c r="L163" s="110" t="s">
        <v>79</v>
      </c>
      <c r="M163" s="92" t="s">
        <v>547</v>
      </c>
      <c r="N163" s="111"/>
      <c r="O163" s="92" t="s">
        <v>1937</v>
      </c>
      <c r="P163" s="67" t="str">
        <f t="shared" si="1"/>
        <v>50.741891, 37.887646</v>
      </c>
      <c r="Q163" s="67" t="str">
        <f t="shared" si="2"/>
        <v>50.741793, 37.888602</v>
      </c>
      <c r="R163" s="67">
        <f t="shared" si="3"/>
        <v>50.741793</v>
      </c>
      <c r="S163" s="67">
        <f t="shared" si="4"/>
        <v>37.888602</v>
      </c>
      <c r="T163" s="99"/>
      <c r="U163" s="69"/>
      <c r="V163" s="65" t="s">
        <v>1938</v>
      </c>
      <c r="W163" s="71" t="s">
        <v>74</v>
      </c>
      <c r="X163" s="72" t="s">
        <v>75</v>
      </c>
      <c r="Y163" s="61" t="s">
        <v>76</v>
      </c>
      <c r="Z163" s="73"/>
      <c r="AA163" s="61" t="s">
        <v>77</v>
      </c>
      <c r="AB163" s="61" t="s">
        <v>78</v>
      </c>
      <c r="AC163" s="73"/>
      <c r="AD163" s="73"/>
      <c r="AE163" s="73"/>
      <c r="AF163" s="73"/>
      <c r="AG163" s="73"/>
      <c r="AH163" s="73"/>
      <c r="AI163" s="61" t="s">
        <v>79</v>
      </c>
      <c r="AJ163" s="75"/>
      <c r="AK163" s="136" t="s">
        <v>1261</v>
      </c>
      <c r="AL163" s="147" t="s">
        <v>1939</v>
      </c>
      <c r="AM163" s="138" t="s">
        <v>1940</v>
      </c>
      <c r="AN163" s="148" t="s">
        <v>1941</v>
      </c>
      <c r="AO163" s="139"/>
      <c r="AP163" s="139"/>
      <c r="AQ163" s="139"/>
      <c r="AR163" s="138" t="s">
        <v>1942</v>
      </c>
      <c r="AS163" s="139"/>
      <c r="AT163" s="139"/>
      <c r="AU163" s="89"/>
      <c r="AV163" s="90"/>
      <c r="AW163" s="81"/>
    </row>
    <row r="164" ht="15.75" customHeight="1">
      <c r="A164" s="95" t="s">
        <v>63</v>
      </c>
      <c r="B164" s="100"/>
      <c r="C164" s="101" t="s">
        <v>1179</v>
      </c>
      <c r="D164" s="149">
        <v>48.903814</v>
      </c>
      <c r="E164" s="149">
        <v>40.464453</v>
      </c>
      <c r="F164" s="59">
        <v>1.0</v>
      </c>
      <c r="G164" s="151" t="s">
        <v>1943</v>
      </c>
      <c r="H164" s="104" t="s">
        <v>66</v>
      </c>
      <c r="I164" s="82"/>
      <c r="J164" s="106" t="s">
        <v>1313</v>
      </c>
      <c r="K164" s="153"/>
      <c r="L164" s="110" t="s">
        <v>79</v>
      </c>
      <c r="M164" s="92" t="s">
        <v>349</v>
      </c>
      <c r="N164" s="92" t="s">
        <v>1944</v>
      </c>
      <c r="O164" s="92" t="s">
        <v>1945</v>
      </c>
      <c r="P164" s="67" t="str">
        <f t="shared" si="1"/>
        <v>48.903814, 40.464453</v>
      </c>
      <c r="Q164" s="67" t="str">
        <f t="shared" si="2"/>
        <v>48.903351, 40.46396</v>
      </c>
      <c r="R164" s="67">
        <f t="shared" si="3"/>
        <v>48.903351</v>
      </c>
      <c r="S164" s="67">
        <f t="shared" si="4"/>
        <v>40.46396</v>
      </c>
      <c r="T164" s="99"/>
      <c r="U164" s="69"/>
      <c r="V164" s="65" t="s">
        <v>1946</v>
      </c>
      <c r="W164" s="71" t="s">
        <v>74</v>
      </c>
      <c r="X164" s="72" t="s">
        <v>75</v>
      </c>
      <c r="Y164" s="61" t="s">
        <v>76</v>
      </c>
      <c r="Z164" s="73"/>
      <c r="AA164" s="61" t="s">
        <v>77</v>
      </c>
      <c r="AB164" s="61" t="s">
        <v>78</v>
      </c>
      <c r="AC164" s="73"/>
      <c r="AD164" s="73"/>
      <c r="AE164" s="73"/>
      <c r="AF164" s="73"/>
      <c r="AG164" s="73"/>
      <c r="AH164" s="73"/>
      <c r="AI164" s="61" t="s">
        <v>79</v>
      </c>
      <c r="AJ164" s="75"/>
      <c r="AK164" s="76" t="s">
        <v>798</v>
      </c>
      <c r="AL164" s="83" t="s">
        <v>1947</v>
      </c>
      <c r="AM164" s="71" t="s">
        <v>1948</v>
      </c>
      <c r="AN164" s="105" t="s">
        <v>1949</v>
      </c>
      <c r="AO164" s="71" t="s">
        <v>1950</v>
      </c>
      <c r="AP164" s="99" t="str">
        <f>IMAGE("https://bellingcat-archive.nyc3.cdn.digitaloceanspaces.com/Ukraine_Witness_Datasheet/Worksheet/youtube_dl_1491578786319581184/out2.jpg")</f>
        <v/>
      </c>
      <c r="AQ164" s="105" t="s">
        <v>1951</v>
      </c>
      <c r="AR164" s="71" t="s">
        <v>1952</v>
      </c>
      <c r="AS164" s="71" t="s">
        <v>1953</v>
      </c>
      <c r="AT164" s="71">
        <v>8.011</v>
      </c>
      <c r="AU164" s="89"/>
      <c r="AV164" s="90"/>
      <c r="AW164" s="81"/>
    </row>
    <row r="165" ht="15.75" customHeight="1">
      <c r="A165" s="87" t="s">
        <v>63</v>
      </c>
      <c r="B165" s="61"/>
      <c r="C165" s="57" t="s">
        <v>138</v>
      </c>
      <c r="D165" s="149">
        <v>52.290249</v>
      </c>
      <c r="E165" s="149">
        <v>30.363294</v>
      </c>
      <c r="F165" s="59">
        <v>1.0</v>
      </c>
      <c r="G165" s="151" t="s">
        <v>1954</v>
      </c>
      <c r="H165" s="104" t="s">
        <v>66</v>
      </c>
      <c r="I165" s="82"/>
      <c r="J165" s="63" t="s">
        <v>1955</v>
      </c>
      <c r="K165" s="152" t="s">
        <v>1956</v>
      </c>
      <c r="L165" s="110" t="s">
        <v>69</v>
      </c>
      <c r="M165" s="92" t="s">
        <v>1957</v>
      </c>
      <c r="N165" s="111"/>
      <c r="O165" s="92" t="s">
        <v>1958</v>
      </c>
      <c r="P165" s="67" t="str">
        <f t="shared" si="1"/>
        <v>52.290249, 30.363294</v>
      </c>
      <c r="Q165" s="67" t="str">
        <f t="shared" si="2"/>
        <v>52.289517, 30.363467</v>
      </c>
      <c r="R165" s="67">
        <f t="shared" si="3"/>
        <v>52.289517</v>
      </c>
      <c r="S165" s="67">
        <f t="shared" si="4"/>
        <v>30.363467</v>
      </c>
      <c r="T165" s="99"/>
      <c r="U165" s="69"/>
      <c r="V165" s="65" t="s">
        <v>1959</v>
      </c>
      <c r="W165" s="71" t="s">
        <v>74</v>
      </c>
      <c r="X165" s="72" t="s">
        <v>75</v>
      </c>
      <c r="Y165" s="61" t="s">
        <v>76</v>
      </c>
      <c r="Z165" s="73"/>
      <c r="AA165" s="61" t="s">
        <v>77</v>
      </c>
      <c r="AB165" s="61" t="s">
        <v>78</v>
      </c>
      <c r="AC165" s="73"/>
      <c r="AD165" s="73"/>
      <c r="AE165" s="73"/>
      <c r="AF165" s="73"/>
      <c r="AG165" s="73"/>
      <c r="AH165" s="73"/>
      <c r="AI165" s="61" t="s">
        <v>79</v>
      </c>
      <c r="AJ165" s="75"/>
      <c r="AK165" s="76" t="s">
        <v>798</v>
      </c>
      <c r="AL165" s="83" t="s">
        <v>1960</v>
      </c>
      <c r="AM165" s="71" t="s">
        <v>1961</v>
      </c>
      <c r="AN165" s="105" t="s">
        <v>1962</v>
      </c>
      <c r="AO165" s="71" t="s">
        <v>1963</v>
      </c>
      <c r="AP165" s="99" t="str">
        <f>IMAGE("https://bellingcat-archive.nyc3.cdn.digitaloceanspaces.com/Ukraine_Witness_Datasheet/Worksheet/youtube_dl_1485101678554755073/out2.jpg")</f>
        <v/>
      </c>
      <c r="AQ165" s="105" t="s">
        <v>1964</v>
      </c>
      <c r="AR165" s="71" t="s">
        <v>1965</v>
      </c>
      <c r="AS165" s="71" t="s">
        <v>1966</v>
      </c>
      <c r="AT165" s="71">
        <v>24.566</v>
      </c>
      <c r="AU165" s="89"/>
      <c r="AV165" s="90"/>
      <c r="AW165" s="81"/>
    </row>
    <row r="166" ht="15.75" customHeight="1">
      <c r="A166" s="87" t="s">
        <v>170</v>
      </c>
      <c r="B166" s="100"/>
      <c r="C166" s="101" t="s">
        <v>1165</v>
      </c>
      <c r="D166" s="74">
        <v>45.720696</v>
      </c>
      <c r="E166" s="74">
        <v>38.982719</v>
      </c>
      <c r="F166" s="59">
        <v>1.0</v>
      </c>
      <c r="G166" s="151" t="s">
        <v>1967</v>
      </c>
      <c r="H166" s="104" t="s">
        <v>66</v>
      </c>
      <c r="I166" s="82"/>
      <c r="J166" s="63" t="s">
        <v>1968</v>
      </c>
      <c r="K166" s="152" t="s">
        <v>1969</v>
      </c>
      <c r="L166" s="110" t="s">
        <v>79</v>
      </c>
      <c r="M166" s="92" t="s">
        <v>445</v>
      </c>
      <c r="N166" s="92" t="s">
        <v>1970</v>
      </c>
      <c r="O166" s="111"/>
      <c r="P166" s="67" t="str">
        <f t="shared" si="1"/>
        <v>45.720696, 38.982719</v>
      </c>
      <c r="Q166" s="67" t="str">
        <f t="shared" si="2"/>
        <v>45.720116, 38.98237</v>
      </c>
      <c r="R166" s="67">
        <f t="shared" si="3"/>
        <v>45.720116</v>
      </c>
      <c r="S166" s="67">
        <f t="shared" si="4"/>
        <v>38.98237</v>
      </c>
      <c r="T166" s="99"/>
      <c r="U166" s="69"/>
      <c r="V166" s="65" t="s">
        <v>1971</v>
      </c>
      <c r="W166" s="71" t="s">
        <v>74</v>
      </c>
      <c r="X166" s="72" t="s">
        <v>75</v>
      </c>
      <c r="Y166" s="61" t="s">
        <v>76</v>
      </c>
      <c r="Z166" s="73"/>
      <c r="AA166" s="61" t="s">
        <v>77</v>
      </c>
      <c r="AB166" s="61" t="s">
        <v>739</v>
      </c>
      <c r="AC166" s="73"/>
      <c r="AD166" s="73"/>
      <c r="AE166" s="73"/>
      <c r="AF166" s="73"/>
      <c r="AG166" s="73"/>
      <c r="AH166" s="73"/>
      <c r="AI166" s="61" t="s">
        <v>79</v>
      </c>
      <c r="AJ166" s="75"/>
      <c r="AK166" s="76" t="s">
        <v>798</v>
      </c>
      <c r="AL166" s="83" t="s">
        <v>1972</v>
      </c>
      <c r="AM166" s="71" t="s">
        <v>1973</v>
      </c>
      <c r="AN166" s="105" t="s">
        <v>1974</v>
      </c>
      <c r="AO166" s="71" t="s">
        <v>1975</v>
      </c>
      <c r="AP166" s="99" t="str">
        <f>IMAGE("https://bellingcat-archive.nyc3.cdn.digitaloceanspaces.com/Ukraine_Witness_Datasheet/Worksheet/youtube_dl_1491912736799956992/out3.jpg")</f>
        <v/>
      </c>
      <c r="AQ166" s="105" t="s">
        <v>1976</v>
      </c>
      <c r="AR166" s="71" t="s">
        <v>1977</v>
      </c>
      <c r="AS166" s="71" t="s">
        <v>1978</v>
      </c>
      <c r="AT166" s="71">
        <v>112.384</v>
      </c>
      <c r="AU166" s="89"/>
      <c r="AV166" s="90"/>
      <c r="AW166" s="81"/>
    </row>
    <row r="167" ht="15.75" customHeight="1">
      <c r="A167" s="87" t="s">
        <v>170</v>
      </c>
      <c r="B167" s="100"/>
      <c r="C167" s="101" t="s">
        <v>1165</v>
      </c>
      <c r="D167" s="74">
        <v>51.101391</v>
      </c>
      <c r="E167" s="74">
        <v>36.279723</v>
      </c>
      <c r="F167" s="59">
        <v>1.0</v>
      </c>
      <c r="G167" s="151" t="s">
        <v>1979</v>
      </c>
      <c r="H167" s="104" t="s">
        <v>66</v>
      </c>
      <c r="I167" s="82"/>
      <c r="J167" s="63" t="s">
        <v>1980</v>
      </c>
      <c r="K167" s="152" t="s">
        <v>1981</v>
      </c>
      <c r="L167" s="110" t="s">
        <v>79</v>
      </c>
      <c r="M167" s="92" t="s">
        <v>1028</v>
      </c>
      <c r="N167" s="92" t="s">
        <v>1982</v>
      </c>
      <c r="O167" s="111"/>
      <c r="P167" s="67" t="str">
        <f t="shared" si="1"/>
        <v>51.101391, 36.279723</v>
      </c>
      <c r="Q167" s="67" t="str">
        <f t="shared" si="2"/>
        <v>51.100657, 36.279372</v>
      </c>
      <c r="R167" s="67">
        <f t="shared" si="3"/>
        <v>51.100657</v>
      </c>
      <c r="S167" s="67">
        <f t="shared" si="4"/>
        <v>36.279372</v>
      </c>
      <c r="T167" s="99"/>
      <c r="U167" s="69"/>
      <c r="V167" s="65" t="s">
        <v>1983</v>
      </c>
      <c r="W167" s="71" t="s">
        <v>74</v>
      </c>
      <c r="X167" s="72" t="s">
        <v>75</v>
      </c>
      <c r="Y167" s="61" t="s">
        <v>76</v>
      </c>
      <c r="Z167" s="73"/>
      <c r="AA167" s="61" t="s">
        <v>77</v>
      </c>
      <c r="AB167" s="61" t="s">
        <v>1139</v>
      </c>
      <c r="AC167" s="73"/>
      <c r="AD167" s="73"/>
      <c r="AE167" s="73"/>
      <c r="AF167" s="73"/>
      <c r="AG167" s="73"/>
      <c r="AH167" s="73"/>
      <c r="AI167" s="61" t="s">
        <v>79</v>
      </c>
      <c r="AJ167" s="75"/>
      <c r="AK167" s="76" t="s">
        <v>798</v>
      </c>
      <c r="AL167" s="83" t="s">
        <v>1984</v>
      </c>
      <c r="AM167" s="71" t="s">
        <v>1985</v>
      </c>
      <c r="AN167" s="105" t="s">
        <v>1986</v>
      </c>
      <c r="AO167" s="71" t="s">
        <v>1987</v>
      </c>
      <c r="AP167" s="99" t="str">
        <f>IMAGE("https://bellingcat-archive.nyc3.cdn.digitaloceanspaces.com/Ukraine_Witness_Datasheet/Worksheet/youtube_dl_1491799876375494668/out3.jpg")</f>
        <v/>
      </c>
      <c r="AQ167" s="105" t="s">
        <v>1988</v>
      </c>
      <c r="AR167" s="71" t="s">
        <v>1989</v>
      </c>
      <c r="AS167" s="71" t="s">
        <v>1990</v>
      </c>
      <c r="AT167" s="71">
        <v>94.969</v>
      </c>
      <c r="AU167" s="89"/>
      <c r="AV167" s="90"/>
      <c r="AW167" s="81"/>
    </row>
    <row r="168" ht="15.75" customHeight="1">
      <c r="A168" s="87" t="s">
        <v>170</v>
      </c>
      <c r="B168" s="100"/>
      <c r="C168" s="101" t="s">
        <v>1627</v>
      </c>
      <c r="D168" s="92">
        <v>51.78024</v>
      </c>
      <c r="E168" s="74">
        <v>29.506681</v>
      </c>
      <c r="F168" s="59">
        <v>1.0</v>
      </c>
      <c r="G168" s="151" t="s">
        <v>1991</v>
      </c>
      <c r="H168" s="104" t="s">
        <v>66</v>
      </c>
      <c r="I168" s="82"/>
      <c r="J168" s="63" t="s">
        <v>1980</v>
      </c>
      <c r="K168" s="152" t="s">
        <v>1992</v>
      </c>
      <c r="L168" s="110" t="s">
        <v>69</v>
      </c>
      <c r="M168" s="92" t="s">
        <v>1993</v>
      </c>
      <c r="N168" s="111"/>
      <c r="O168" s="111"/>
      <c r="P168" s="67" t="str">
        <f t="shared" si="1"/>
        <v>51.78024, 29.506681</v>
      </c>
      <c r="Q168" s="67" t="str">
        <f t="shared" si="2"/>
        <v>51.779866, 29.505594</v>
      </c>
      <c r="R168" s="67">
        <f t="shared" si="3"/>
        <v>51.779866</v>
      </c>
      <c r="S168" s="67">
        <f t="shared" si="4"/>
        <v>29.505594</v>
      </c>
      <c r="T168" s="99"/>
      <c r="U168" s="69"/>
      <c r="V168" s="65" t="s">
        <v>1994</v>
      </c>
      <c r="W168" s="71" t="s">
        <v>74</v>
      </c>
      <c r="X168" s="72" t="s">
        <v>75</v>
      </c>
      <c r="Y168" s="61" t="s">
        <v>76</v>
      </c>
      <c r="Z168" s="73"/>
      <c r="AA168" s="61" t="s">
        <v>77</v>
      </c>
      <c r="AB168" s="61" t="s">
        <v>78</v>
      </c>
      <c r="AC168" s="73"/>
      <c r="AD168" s="73"/>
      <c r="AE168" s="73"/>
      <c r="AF168" s="73"/>
      <c r="AG168" s="73"/>
      <c r="AH168" s="73"/>
      <c r="AI168" s="61" t="s">
        <v>79</v>
      </c>
      <c r="AJ168" s="75"/>
      <c r="AK168" s="76" t="s">
        <v>798</v>
      </c>
      <c r="AL168" s="83" t="s">
        <v>1995</v>
      </c>
      <c r="AM168" s="71" t="s">
        <v>1996</v>
      </c>
      <c r="AN168" s="105" t="s">
        <v>1997</v>
      </c>
      <c r="AO168" s="71" t="s">
        <v>1998</v>
      </c>
      <c r="AP168" s="99" t="str">
        <f>IMAGE("https://bellingcat-archive.nyc3.cdn.digitaloceanspaces.com/Ukraine_Witness_Datasheet/Worksheet/youtube_dl_1491909373458890759/out2.jpg")</f>
        <v/>
      </c>
      <c r="AQ168" s="105" t="s">
        <v>1999</v>
      </c>
      <c r="AR168" s="71" t="s">
        <v>2000</v>
      </c>
      <c r="AS168" s="71" t="s">
        <v>2001</v>
      </c>
      <c r="AT168" s="71">
        <v>11.238</v>
      </c>
      <c r="AU168" s="89"/>
      <c r="AV168" s="90"/>
      <c r="AW168" s="81"/>
    </row>
    <row r="169" ht="15.75" customHeight="1">
      <c r="A169" s="87" t="s">
        <v>170</v>
      </c>
      <c r="B169" s="100"/>
      <c r="C169" s="101" t="s">
        <v>1179</v>
      </c>
      <c r="D169" s="74">
        <v>54.76858</v>
      </c>
      <c r="E169" s="74">
        <v>32.00164</v>
      </c>
      <c r="F169" s="59">
        <v>1.0</v>
      </c>
      <c r="G169" s="154" t="s">
        <v>2002</v>
      </c>
      <c r="H169" s="104" t="s">
        <v>66</v>
      </c>
      <c r="I169" s="82"/>
      <c r="J169" s="63" t="s">
        <v>2003</v>
      </c>
      <c r="K169" s="152" t="s">
        <v>2004</v>
      </c>
      <c r="L169" s="110" t="s">
        <v>79</v>
      </c>
      <c r="M169" s="111"/>
      <c r="N169" s="111"/>
      <c r="O169" s="92" t="s">
        <v>150</v>
      </c>
      <c r="P169" s="67" t="str">
        <f t="shared" si="1"/>
        <v>54.76858, 32.00164</v>
      </c>
      <c r="Q169" s="67" t="str">
        <f t="shared" si="2"/>
        <v>54.768449, 32.00093</v>
      </c>
      <c r="R169" s="67">
        <f t="shared" si="3"/>
        <v>54.768449</v>
      </c>
      <c r="S169" s="67">
        <f t="shared" si="4"/>
        <v>32.00093</v>
      </c>
      <c r="T169" s="99"/>
      <c r="U169" s="69"/>
      <c r="V169" s="65" t="s">
        <v>2005</v>
      </c>
      <c r="W169" s="71" t="s">
        <v>74</v>
      </c>
      <c r="X169" s="72" t="s">
        <v>75</v>
      </c>
      <c r="Y169" s="61" t="s">
        <v>76</v>
      </c>
      <c r="Z169" s="73"/>
      <c r="AA169" s="61" t="s">
        <v>77</v>
      </c>
      <c r="AB169" s="61" t="s">
        <v>1139</v>
      </c>
      <c r="AC169" s="73"/>
      <c r="AD169" s="73"/>
      <c r="AE169" s="73"/>
      <c r="AF169" s="73"/>
      <c r="AG169" s="73"/>
      <c r="AH169" s="73"/>
      <c r="AI169" s="61" t="s">
        <v>79</v>
      </c>
      <c r="AJ169" s="75"/>
      <c r="AK169" s="76" t="s">
        <v>798</v>
      </c>
      <c r="AL169" s="83" t="s">
        <v>2006</v>
      </c>
      <c r="AM169" s="71" t="s">
        <v>2007</v>
      </c>
      <c r="AN169" s="105" t="s">
        <v>2008</v>
      </c>
      <c r="AO169" s="71" t="s">
        <v>2009</v>
      </c>
      <c r="AP169" s="99" t="str">
        <f>IMAGE("https://bellingcat-archive.nyc3.cdn.digitaloceanspaces.com/Ukraine_Witness_Datasheet/Worksheet/youtube_dl_1491815082074034182/out2.jpg")</f>
        <v/>
      </c>
      <c r="AQ169" s="105" t="s">
        <v>2010</v>
      </c>
      <c r="AR169" s="71" t="s">
        <v>2011</v>
      </c>
      <c r="AS169" s="71" t="s">
        <v>2012</v>
      </c>
      <c r="AT169" s="71">
        <v>15.767</v>
      </c>
      <c r="AU169" s="89"/>
      <c r="AV169" s="90"/>
      <c r="AW169" s="81"/>
    </row>
    <row r="170" ht="15.75" customHeight="1">
      <c r="A170" s="87" t="s">
        <v>170</v>
      </c>
      <c r="B170" s="100"/>
      <c r="C170" s="101" t="s">
        <v>1165</v>
      </c>
      <c r="D170" s="74">
        <v>51.723685</v>
      </c>
      <c r="E170" s="74">
        <v>36.332136</v>
      </c>
      <c r="F170" s="59">
        <v>1.0</v>
      </c>
      <c r="G170" s="151" t="s">
        <v>2013</v>
      </c>
      <c r="H170" s="104" t="s">
        <v>66</v>
      </c>
      <c r="I170" s="82"/>
      <c r="J170" s="63" t="s">
        <v>2014</v>
      </c>
      <c r="K170" s="152" t="s">
        <v>2015</v>
      </c>
      <c r="L170" s="110" t="s">
        <v>79</v>
      </c>
      <c r="M170" s="92" t="s">
        <v>1028</v>
      </c>
      <c r="N170" s="92" t="s">
        <v>2016</v>
      </c>
      <c r="O170" s="111"/>
      <c r="P170" s="67" t="str">
        <f t="shared" si="1"/>
        <v>51.723685, 36.332136</v>
      </c>
      <c r="Q170" s="67" t="str">
        <f t="shared" si="2"/>
        <v>51.723097, 36.33238</v>
      </c>
      <c r="R170" s="67">
        <f t="shared" si="3"/>
        <v>51.723097</v>
      </c>
      <c r="S170" s="67">
        <f t="shared" si="4"/>
        <v>36.33238</v>
      </c>
      <c r="T170" s="99"/>
      <c r="U170" s="69"/>
      <c r="V170" s="65" t="s">
        <v>2017</v>
      </c>
      <c r="W170" s="71" t="s">
        <v>74</v>
      </c>
      <c r="X170" s="72" t="s">
        <v>75</v>
      </c>
      <c r="Y170" s="61" t="s">
        <v>76</v>
      </c>
      <c r="Z170" s="73"/>
      <c r="AA170" s="61" t="s">
        <v>77</v>
      </c>
      <c r="AB170" s="61" t="s">
        <v>421</v>
      </c>
      <c r="AC170" s="73"/>
      <c r="AD170" s="73"/>
      <c r="AE170" s="73"/>
      <c r="AF170" s="73"/>
      <c r="AG170" s="73"/>
      <c r="AH170" s="73"/>
      <c r="AI170" s="61" t="s">
        <v>79</v>
      </c>
      <c r="AJ170" s="75"/>
      <c r="AK170" s="76" t="s">
        <v>798</v>
      </c>
      <c r="AL170" s="83" t="s">
        <v>2018</v>
      </c>
      <c r="AM170" s="71" t="s">
        <v>2019</v>
      </c>
      <c r="AN170" s="105" t="s">
        <v>2020</v>
      </c>
      <c r="AO170" s="71" t="s">
        <v>2021</v>
      </c>
      <c r="AP170" s="99" t="str">
        <f>IMAGE("https://bellingcat-archive.nyc3.cdn.digitaloceanspaces.com/Ukraine_Witness_Datasheet/Worksheet/youtube_dl_1491793384083574794/out3.jpg")</f>
        <v/>
      </c>
      <c r="AQ170" s="105" t="s">
        <v>2022</v>
      </c>
      <c r="AR170" s="71" t="s">
        <v>2023</v>
      </c>
      <c r="AS170" s="71" t="s">
        <v>2024</v>
      </c>
      <c r="AT170" s="71">
        <v>116.192</v>
      </c>
      <c r="AU170" s="89"/>
      <c r="AV170" s="90"/>
      <c r="AW170" s="81"/>
    </row>
    <row r="171" ht="15.75" customHeight="1">
      <c r="A171" s="87" t="s">
        <v>170</v>
      </c>
      <c r="B171" s="100"/>
      <c r="C171" s="101" t="s">
        <v>638</v>
      </c>
      <c r="D171" s="74">
        <v>50.586836</v>
      </c>
      <c r="E171" s="74">
        <v>36.585946</v>
      </c>
      <c r="F171" s="59">
        <v>1.0</v>
      </c>
      <c r="G171" s="151" t="s">
        <v>2025</v>
      </c>
      <c r="H171" s="104" t="s">
        <v>66</v>
      </c>
      <c r="I171" s="82"/>
      <c r="J171" s="63" t="s">
        <v>2014</v>
      </c>
      <c r="K171" s="152" t="s">
        <v>2026</v>
      </c>
      <c r="L171" s="110" t="s">
        <v>79</v>
      </c>
      <c r="M171" s="92" t="s">
        <v>2027</v>
      </c>
      <c r="N171" s="111"/>
      <c r="O171" s="92" t="s">
        <v>2028</v>
      </c>
      <c r="P171" s="67" t="str">
        <f t="shared" si="1"/>
        <v>50.586836, 36.585946</v>
      </c>
      <c r="Q171" s="67" t="str">
        <f t="shared" si="2"/>
        <v>50.586762, 36.586801</v>
      </c>
      <c r="R171" s="67">
        <f t="shared" si="3"/>
        <v>50.586762</v>
      </c>
      <c r="S171" s="67">
        <f t="shared" si="4"/>
        <v>36.586801</v>
      </c>
      <c r="T171" s="99"/>
      <c r="U171" s="69"/>
      <c r="V171" s="65" t="s">
        <v>2029</v>
      </c>
      <c r="W171" s="71" t="s">
        <v>74</v>
      </c>
      <c r="X171" s="72" t="s">
        <v>75</v>
      </c>
      <c r="Y171" s="61" t="s">
        <v>76</v>
      </c>
      <c r="Z171" s="73"/>
      <c r="AA171" s="61" t="s">
        <v>77</v>
      </c>
      <c r="AB171" s="61" t="s">
        <v>421</v>
      </c>
      <c r="AC171" s="73"/>
      <c r="AD171" s="73"/>
      <c r="AE171" s="73"/>
      <c r="AF171" s="73"/>
      <c r="AG171" s="73"/>
      <c r="AH171" s="73"/>
      <c r="AI171" s="61" t="s">
        <v>79</v>
      </c>
      <c r="AJ171" s="75"/>
      <c r="AK171" s="76" t="s">
        <v>798</v>
      </c>
      <c r="AL171" s="83" t="s">
        <v>2030</v>
      </c>
      <c r="AM171" s="71" t="s">
        <v>2031</v>
      </c>
      <c r="AN171" s="105" t="s">
        <v>2032</v>
      </c>
      <c r="AO171" s="71" t="s">
        <v>2033</v>
      </c>
      <c r="AP171" s="99" t="str">
        <f>IMAGE("https://bellingcat-archive.nyc3.cdn.digitaloceanspaces.com/Ukraine_Witness_Datasheet/Worksheet/youtube_dl_1491800220308410368/out2.jpg")</f>
        <v/>
      </c>
      <c r="AQ171" s="105" t="s">
        <v>2034</v>
      </c>
      <c r="AR171" s="71" t="s">
        <v>2035</v>
      </c>
      <c r="AS171" s="71" t="s">
        <v>2036</v>
      </c>
      <c r="AT171" s="71">
        <v>33.46</v>
      </c>
      <c r="AU171" s="89"/>
      <c r="AV171" s="90"/>
      <c r="AW171" s="81"/>
    </row>
    <row r="172" ht="15.75" customHeight="1">
      <c r="A172" s="87" t="s">
        <v>170</v>
      </c>
      <c r="B172" s="100"/>
      <c r="C172" s="101" t="s">
        <v>1165</v>
      </c>
      <c r="D172" s="74">
        <v>51.788107</v>
      </c>
      <c r="E172" s="74">
        <v>36.417329</v>
      </c>
      <c r="F172" s="59">
        <v>1.0</v>
      </c>
      <c r="G172" s="151" t="s">
        <v>2037</v>
      </c>
      <c r="H172" s="104" t="s">
        <v>66</v>
      </c>
      <c r="I172" s="82"/>
      <c r="J172" s="63" t="s">
        <v>2014</v>
      </c>
      <c r="K172" s="152" t="s">
        <v>2038</v>
      </c>
      <c r="L172" s="110" t="s">
        <v>79</v>
      </c>
      <c r="M172" s="92" t="s">
        <v>1028</v>
      </c>
      <c r="N172" s="92" t="s">
        <v>2039</v>
      </c>
      <c r="O172" s="111"/>
      <c r="P172" s="67" t="str">
        <f t="shared" si="1"/>
        <v>51.788107, 36.417329</v>
      </c>
      <c r="Q172" s="67" t="str">
        <f t="shared" si="2"/>
        <v>51.787744, 36.417226</v>
      </c>
      <c r="R172" s="67">
        <f t="shared" si="3"/>
        <v>51.787744</v>
      </c>
      <c r="S172" s="67">
        <f t="shared" si="4"/>
        <v>36.417226</v>
      </c>
      <c r="T172" s="99"/>
      <c r="U172" s="69"/>
      <c r="V172" s="65" t="s">
        <v>2040</v>
      </c>
      <c r="W172" s="71" t="s">
        <v>74</v>
      </c>
      <c r="X172" s="72" t="s">
        <v>75</v>
      </c>
      <c r="Y172" s="61" t="s">
        <v>76</v>
      </c>
      <c r="Z172" s="73"/>
      <c r="AA172" s="61" t="s">
        <v>77</v>
      </c>
      <c r="AB172" s="61" t="s">
        <v>421</v>
      </c>
      <c r="AC172" s="73"/>
      <c r="AD172" s="73"/>
      <c r="AE172" s="73"/>
      <c r="AF172" s="73"/>
      <c r="AG172" s="73"/>
      <c r="AH172" s="73"/>
      <c r="AI172" s="61" t="s">
        <v>79</v>
      </c>
      <c r="AJ172" s="75"/>
      <c r="AK172" s="76" t="s">
        <v>798</v>
      </c>
      <c r="AL172" s="83" t="s">
        <v>2041</v>
      </c>
      <c r="AM172" s="71" t="s">
        <v>2042</v>
      </c>
      <c r="AN172" s="105" t="s">
        <v>2043</v>
      </c>
      <c r="AO172" s="71" t="s">
        <v>2044</v>
      </c>
      <c r="AP172" s="99" t="str">
        <f>IMAGE("https://bellingcat-archive.nyc3.cdn.digitaloceanspaces.com/Ukraine_Witness_Datasheet/Worksheet/youtube_dl_1491473813036486657/out2.jpg")</f>
        <v/>
      </c>
      <c r="AQ172" s="105" t="s">
        <v>2045</v>
      </c>
      <c r="AR172" s="71" t="s">
        <v>2046</v>
      </c>
      <c r="AS172" s="71" t="s">
        <v>2047</v>
      </c>
      <c r="AT172" s="71">
        <v>11.878</v>
      </c>
      <c r="AU172" s="89"/>
      <c r="AV172" s="90"/>
      <c r="AW172" s="81"/>
    </row>
    <row r="173" ht="15.75" customHeight="1">
      <c r="A173" s="87" t="s">
        <v>170</v>
      </c>
      <c r="B173" s="100"/>
      <c r="C173" s="101" t="s">
        <v>1627</v>
      </c>
      <c r="D173" s="74">
        <v>54.750056</v>
      </c>
      <c r="E173" s="74">
        <v>36.203528</v>
      </c>
      <c r="F173" s="59">
        <v>1.0</v>
      </c>
      <c r="G173" s="151" t="s">
        <v>2048</v>
      </c>
      <c r="H173" s="104" t="s">
        <v>66</v>
      </c>
      <c r="I173" s="82"/>
      <c r="J173" s="63" t="s">
        <v>2003</v>
      </c>
      <c r="K173" s="152" t="s">
        <v>2049</v>
      </c>
      <c r="L173" s="110" t="s">
        <v>79</v>
      </c>
      <c r="M173" s="92" t="s">
        <v>2050</v>
      </c>
      <c r="N173" s="92" t="s">
        <v>2051</v>
      </c>
      <c r="O173" s="111"/>
      <c r="P173" s="67" t="str">
        <f t="shared" si="1"/>
        <v>54.750056, 36.203528</v>
      </c>
      <c r="Q173" s="67" t="str">
        <f t="shared" si="2"/>
        <v>54.749736, 36.202837</v>
      </c>
      <c r="R173" s="67">
        <f t="shared" si="3"/>
        <v>54.749736</v>
      </c>
      <c r="S173" s="67">
        <f t="shared" si="4"/>
        <v>36.202837</v>
      </c>
      <c r="T173" s="99"/>
      <c r="U173" s="69"/>
      <c r="V173" s="65" t="s">
        <v>2052</v>
      </c>
      <c r="W173" s="71" t="s">
        <v>74</v>
      </c>
      <c r="X173" s="72" t="s">
        <v>75</v>
      </c>
      <c r="Y173" s="61" t="s">
        <v>76</v>
      </c>
      <c r="Z173" s="73"/>
      <c r="AA173" s="61" t="s">
        <v>77</v>
      </c>
      <c r="AB173" s="61" t="s">
        <v>78</v>
      </c>
      <c r="AC173" s="73"/>
      <c r="AD173" s="73"/>
      <c r="AE173" s="73"/>
      <c r="AF173" s="73"/>
      <c r="AG173" s="73"/>
      <c r="AH173" s="73"/>
      <c r="AI173" s="61" t="s">
        <v>79</v>
      </c>
      <c r="AJ173" s="75"/>
      <c r="AK173" s="76" t="s">
        <v>798</v>
      </c>
      <c r="AL173" s="83" t="s">
        <v>2053</v>
      </c>
      <c r="AM173" s="71" t="s">
        <v>2054</v>
      </c>
      <c r="AN173" s="105" t="s">
        <v>2055</v>
      </c>
      <c r="AO173" s="71" t="s">
        <v>2056</v>
      </c>
      <c r="AP173" s="99" t="str">
        <f>IMAGE("https://bellingcat-archive.nyc3.cdn.digitaloceanspaces.com/Ukraine_Witness_Datasheet/Worksheet/youtube_dl_1491778098265833472/out3.jpg")</f>
        <v/>
      </c>
      <c r="AQ173" s="105" t="s">
        <v>2057</v>
      </c>
      <c r="AR173" s="71" t="s">
        <v>2058</v>
      </c>
      <c r="AS173" s="71" t="s">
        <v>2059</v>
      </c>
      <c r="AT173" s="71">
        <v>66.966</v>
      </c>
      <c r="AU173" s="89"/>
      <c r="AV173" s="90"/>
      <c r="AW173" s="81"/>
    </row>
    <row r="174" ht="15.75" customHeight="1">
      <c r="A174" s="87" t="s">
        <v>170</v>
      </c>
      <c r="B174" s="100"/>
      <c r="C174" s="101" t="s">
        <v>1627</v>
      </c>
      <c r="D174" s="92">
        <v>51.718083</v>
      </c>
      <c r="E174" s="74">
        <v>36.263083</v>
      </c>
      <c r="F174" s="59">
        <v>1.0</v>
      </c>
      <c r="G174" s="151" t="s">
        <v>2060</v>
      </c>
      <c r="H174" s="104" t="s">
        <v>66</v>
      </c>
      <c r="I174" s="82"/>
      <c r="J174" s="63" t="s">
        <v>2061</v>
      </c>
      <c r="K174" s="155" t="s">
        <v>2062</v>
      </c>
      <c r="L174" s="110" t="s">
        <v>79</v>
      </c>
      <c r="M174" s="92" t="s">
        <v>1028</v>
      </c>
      <c r="N174" s="92" t="s">
        <v>2063</v>
      </c>
      <c r="O174" s="111"/>
      <c r="P174" s="67" t="str">
        <f t="shared" si="1"/>
        <v>51.718083, 36.263083</v>
      </c>
      <c r="Q174" s="67" t="str">
        <f t="shared" si="2"/>
        <v>51.717422, 36.262404</v>
      </c>
      <c r="R174" s="67">
        <f t="shared" si="3"/>
        <v>51.717422</v>
      </c>
      <c r="S174" s="67">
        <f t="shared" si="4"/>
        <v>36.262404</v>
      </c>
      <c r="T174" s="99"/>
      <c r="U174" s="69"/>
      <c r="V174" s="65" t="s">
        <v>2064</v>
      </c>
      <c r="W174" s="71" t="s">
        <v>74</v>
      </c>
      <c r="X174" s="72" t="s">
        <v>75</v>
      </c>
      <c r="Y174" s="61" t="s">
        <v>76</v>
      </c>
      <c r="Z174" s="73"/>
      <c r="AA174" s="61" t="s">
        <v>77</v>
      </c>
      <c r="AB174" s="61" t="s">
        <v>1139</v>
      </c>
      <c r="AC174" s="73"/>
      <c r="AD174" s="73"/>
      <c r="AE174" s="73"/>
      <c r="AF174" s="73"/>
      <c r="AG174" s="73"/>
      <c r="AH174" s="73"/>
      <c r="AI174" s="61" t="s">
        <v>79</v>
      </c>
      <c r="AJ174" s="75"/>
      <c r="AK174" s="76" t="s">
        <v>798</v>
      </c>
      <c r="AL174" s="83" t="s">
        <v>2065</v>
      </c>
      <c r="AM174" s="71" t="s">
        <v>2066</v>
      </c>
      <c r="AN174" s="105" t="s">
        <v>2067</v>
      </c>
      <c r="AO174" s="71" t="s">
        <v>2068</v>
      </c>
      <c r="AP174" s="99" t="str">
        <f>IMAGE("https://bellingcat-archive.nyc3.cdn.digitaloceanspaces.com/Ukraine_Witness_Datasheet/Worksheet/youtube_dl_1491636860749324292/out2.jpg")</f>
        <v/>
      </c>
      <c r="AQ174" s="105" t="s">
        <v>2069</v>
      </c>
      <c r="AR174" s="71" t="s">
        <v>1038</v>
      </c>
      <c r="AS174" s="71" t="s">
        <v>2070</v>
      </c>
      <c r="AT174" s="71">
        <v>14.883</v>
      </c>
      <c r="AU174" s="89"/>
      <c r="AV174" s="90"/>
      <c r="AW174" s="81"/>
    </row>
    <row r="175" ht="15.75" customHeight="1">
      <c r="A175" s="87" t="s">
        <v>170</v>
      </c>
      <c r="B175" s="100"/>
      <c r="C175" s="101" t="s">
        <v>1627</v>
      </c>
      <c r="D175" s="92">
        <v>52.662861</v>
      </c>
      <c r="E175" s="92">
        <v>36.372667</v>
      </c>
      <c r="F175" s="59">
        <v>1.0</v>
      </c>
      <c r="G175" s="151" t="s">
        <v>2071</v>
      </c>
      <c r="H175" s="104" t="s">
        <v>66</v>
      </c>
      <c r="I175" s="82"/>
      <c r="J175" s="63" t="s">
        <v>2072</v>
      </c>
      <c r="K175" s="152" t="s">
        <v>2073</v>
      </c>
      <c r="L175" s="110" t="s">
        <v>79</v>
      </c>
      <c r="M175" s="92" t="s">
        <v>534</v>
      </c>
      <c r="N175" s="92" t="s">
        <v>2074</v>
      </c>
      <c r="O175" s="111"/>
      <c r="P175" s="67" t="str">
        <f t="shared" si="1"/>
        <v>52.662861, 36.372667</v>
      </c>
      <c r="Q175" s="67" t="str">
        <f t="shared" si="2"/>
        <v>52.662399, 36.373683</v>
      </c>
      <c r="R175" s="67">
        <f t="shared" si="3"/>
        <v>52.662399</v>
      </c>
      <c r="S175" s="67">
        <f t="shared" si="4"/>
        <v>36.373683</v>
      </c>
      <c r="T175" s="99"/>
      <c r="U175" s="69"/>
      <c r="V175" s="65" t="s">
        <v>2075</v>
      </c>
      <c r="W175" s="71" t="s">
        <v>74</v>
      </c>
      <c r="X175" s="72" t="s">
        <v>75</v>
      </c>
      <c r="Y175" s="61" t="s">
        <v>76</v>
      </c>
      <c r="Z175" s="73"/>
      <c r="AA175" s="61" t="s">
        <v>77</v>
      </c>
      <c r="AB175" s="61" t="s">
        <v>421</v>
      </c>
      <c r="AC175" s="73"/>
      <c r="AD175" s="73"/>
      <c r="AE175" s="73"/>
      <c r="AF175" s="73"/>
      <c r="AG175" s="73"/>
      <c r="AH175" s="73"/>
      <c r="AI175" s="61" t="s">
        <v>79</v>
      </c>
      <c r="AJ175" s="75"/>
      <c r="AK175" s="76" t="s">
        <v>798</v>
      </c>
      <c r="AL175" s="83" t="s">
        <v>2076</v>
      </c>
      <c r="AM175" s="71" t="s">
        <v>2077</v>
      </c>
      <c r="AN175" s="105" t="s">
        <v>2078</v>
      </c>
      <c r="AO175" s="71" t="s">
        <v>2079</v>
      </c>
      <c r="AP175" s="99" t="str">
        <f>IMAGE("https://bellingcat-archive.nyc3.cdn.digitaloceanspaces.com/Ukraine_Witness_Datasheet/Worksheet/youtube_dl_1491773819412963335/out2.jpg")</f>
        <v/>
      </c>
      <c r="AQ175" s="105" t="s">
        <v>2080</v>
      </c>
      <c r="AR175" s="71" t="s">
        <v>2081</v>
      </c>
      <c r="AS175" s="71" t="s">
        <v>2082</v>
      </c>
      <c r="AT175" s="71">
        <v>57.353</v>
      </c>
      <c r="AU175" s="89"/>
      <c r="AV175" s="90"/>
      <c r="AW175" s="81"/>
    </row>
    <row r="176" ht="15.75" customHeight="1">
      <c r="A176" s="87" t="s">
        <v>170</v>
      </c>
      <c r="B176" s="100"/>
      <c r="C176" s="101" t="s">
        <v>1627</v>
      </c>
      <c r="D176" s="92">
        <v>51.785444</v>
      </c>
      <c r="E176" s="74">
        <v>36.408917</v>
      </c>
      <c r="F176" s="59">
        <v>1.0</v>
      </c>
      <c r="G176" s="151" t="s">
        <v>2083</v>
      </c>
      <c r="H176" s="104" t="s">
        <v>66</v>
      </c>
      <c r="I176" s="82"/>
      <c r="J176" s="63" t="s">
        <v>1278</v>
      </c>
      <c r="K176" s="155" t="s">
        <v>2084</v>
      </c>
      <c r="L176" s="110" t="s">
        <v>79</v>
      </c>
      <c r="M176" s="92" t="s">
        <v>1028</v>
      </c>
      <c r="N176" s="92" t="s">
        <v>2039</v>
      </c>
      <c r="O176" s="111"/>
      <c r="P176" s="67" t="str">
        <f t="shared" si="1"/>
        <v>51.785444, 36.408917</v>
      </c>
      <c r="Q176" s="67" t="str">
        <f t="shared" si="2"/>
        <v>51.785062, 36.409205</v>
      </c>
      <c r="R176" s="67">
        <f t="shared" si="3"/>
        <v>51.785062</v>
      </c>
      <c r="S176" s="67">
        <f t="shared" si="4"/>
        <v>36.409205</v>
      </c>
      <c r="T176" s="99"/>
      <c r="U176" s="69"/>
      <c r="V176" s="65" t="s">
        <v>2085</v>
      </c>
      <c r="W176" s="71" t="s">
        <v>74</v>
      </c>
      <c r="X176" s="72" t="s">
        <v>75</v>
      </c>
      <c r="Y176" s="61" t="s">
        <v>76</v>
      </c>
      <c r="Z176" s="73"/>
      <c r="AA176" s="61" t="s">
        <v>77</v>
      </c>
      <c r="AB176" s="61" t="s">
        <v>1139</v>
      </c>
      <c r="AC176" s="73"/>
      <c r="AD176" s="73"/>
      <c r="AE176" s="73"/>
      <c r="AF176" s="73"/>
      <c r="AG176" s="73"/>
      <c r="AH176" s="73"/>
      <c r="AI176" s="61" t="s">
        <v>79</v>
      </c>
      <c r="AJ176" s="75"/>
      <c r="AK176" s="76" t="s">
        <v>798</v>
      </c>
      <c r="AL176" s="83" t="s">
        <v>2086</v>
      </c>
      <c r="AM176" s="71" t="s">
        <v>2087</v>
      </c>
      <c r="AN176" s="105" t="s">
        <v>2088</v>
      </c>
      <c r="AO176" s="71" t="s">
        <v>2089</v>
      </c>
      <c r="AP176" s="99" t="str">
        <f>IMAGE("https://bellingcat-archive.nyc3.cdn.digitaloceanspaces.com/Ukraine_Witness_Datasheet/Worksheet/youtube_dl_1491574171624742914/out2.jpg")</f>
        <v/>
      </c>
      <c r="AQ176" s="105" t="s">
        <v>2090</v>
      </c>
      <c r="AR176" s="71" t="s">
        <v>2091</v>
      </c>
      <c r="AS176" s="71" t="s">
        <v>2092</v>
      </c>
      <c r="AT176" s="71">
        <v>33.599</v>
      </c>
      <c r="AU176" s="89"/>
      <c r="AV176" s="90"/>
      <c r="AW176" s="81"/>
    </row>
    <row r="177" ht="15.75" customHeight="1">
      <c r="A177" s="87" t="s">
        <v>170</v>
      </c>
      <c r="B177" s="100"/>
      <c r="C177" s="101" t="s">
        <v>1627</v>
      </c>
      <c r="D177" s="74">
        <v>48.902806</v>
      </c>
      <c r="E177" s="74">
        <v>40.452167</v>
      </c>
      <c r="F177" s="59">
        <v>1.0</v>
      </c>
      <c r="G177" s="154" t="s">
        <v>2093</v>
      </c>
      <c r="H177" s="104" t="s">
        <v>66</v>
      </c>
      <c r="I177" s="82"/>
      <c r="J177" s="63" t="s">
        <v>2094</v>
      </c>
      <c r="K177" s="152" t="s">
        <v>2095</v>
      </c>
      <c r="L177" s="110" t="s">
        <v>79</v>
      </c>
      <c r="M177" s="92" t="s">
        <v>349</v>
      </c>
      <c r="N177" s="92" t="s">
        <v>1945</v>
      </c>
      <c r="O177" s="111"/>
      <c r="P177" s="67" t="str">
        <f t="shared" si="1"/>
        <v>48.902806, 40.452167</v>
      </c>
      <c r="Q177" s="67" t="str">
        <f t="shared" si="2"/>
        <v>48.902401, 40.452639</v>
      </c>
      <c r="R177" s="67">
        <f t="shared" si="3"/>
        <v>48.902401</v>
      </c>
      <c r="S177" s="67">
        <f t="shared" si="4"/>
        <v>40.452639</v>
      </c>
      <c r="T177" s="99"/>
      <c r="U177" s="69"/>
      <c r="V177" s="65" t="s">
        <v>2096</v>
      </c>
      <c r="W177" s="71" t="s">
        <v>74</v>
      </c>
      <c r="X177" s="72" t="s">
        <v>75</v>
      </c>
      <c r="Y177" s="61" t="s">
        <v>76</v>
      </c>
      <c r="Z177" s="73"/>
      <c r="AA177" s="61" t="s">
        <v>77</v>
      </c>
      <c r="AB177" s="61" t="s">
        <v>421</v>
      </c>
      <c r="AC177" s="73"/>
      <c r="AD177" s="73"/>
      <c r="AE177" s="73"/>
      <c r="AF177" s="73"/>
      <c r="AG177" s="73"/>
      <c r="AH177" s="73"/>
      <c r="AI177" s="61" t="s">
        <v>79</v>
      </c>
      <c r="AJ177" s="75"/>
      <c r="AK177" s="76" t="s">
        <v>798</v>
      </c>
      <c r="AL177" s="83" t="s">
        <v>2097</v>
      </c>
      <c r="AM177" s="71" t="s">
        <v>2098</v>
      </c>
      <c r="AN177" s="105" t="s">
        <v>2099</v>
      </c>
      <c r="AO177" s="71" t="s">
        <v>2100</v>
      </c>
      <c r="AP177" s="99" t="str">
        <f>IMAGE("https://bellingcat-archive.nyc3.cdn.digitaloceanspaces.com/Ukraine_Witness_Datasheet/Worksheet/youtube_dl_1491698045834215426/out2.jpg")</f>
        <v/>
      </c>
      <c r="AQ177" s="105" t="s">
        <v>2101</v>
      </c>
      <c r="AR177" s="71" t="s">
        <v>2102</v>
      </c>
      <c r="AS177" s="71" t="s">
        <v>2103</v>
      </c>
      <c r="AT177" s="71">
        <v>28.492</v>
      </c>
      <c r="AU177" s="89"/>
      <c r="AV177" s="90"/>
      <c r="AW177" s="81"/>
    </row>
    <row r="178" ht="15.75" customHeight="1">
      <c r="A178" s="95" t="s">
        <v>63</v>
      </c>
      <c r="B178" s="100"/>
      <c r="C178" s="101" t="s">
        <v>1627</v>
      </c>
      <c r="D178" s="104">
        <v>51.234622</v>
      </c>
      <c r="E178" s="104">
        <v>36.698274</v>
      </c>
      <c r="F178" s="59">
        <v>1.0</v>
      </c>
      <c r="G178" s="151" t="s">
        <v>2104</v>
      </c>
      <c r="H178" s="104" t="s">
        <v>364</v>
      </c>
      <c r="I178" s="82"/>
      <c r="J178" s="63" t="s">
        <v>2105</v>
      </c>
      <c r="K178" s="153"/>
      <c r="L178" s="110" t="s">
        <v>79</v>
      </c>
      <c r="M178" s="92" t="s">
        <v>1028</v>
      </c>
      <c r="N178" s="111"/>
      <c r="O178" s="92" t="s">
        <v>947</v>
      </c>
      <c r="P178" s="67" t="str">
        <f t="shared" si="1"/>
        <v>51.234622, 36.698274</v>
      </c>
      <c r="Q178" s="67" t="str">
        <f t="shared" si="2"/>
        <v>51.234324, 36.698953</v>
      </c>
      <c r="R178" s="67">
        <f t="shared" si="3"/>
        <v>51.234324</v>
      </c>
      <c r="S178" s="67">
        <f t="shared" si="4"/>
        <v>36.698953</v>
      </c>
      <c r="T178" s="99"/>
      <c r="U178" s="64" t="s">
        <v>2106</v>
      </c>
      <c r="V178" s="65" t="s">
        <v>2107</v>
      </c>
      <c r="W178" s="71" t="s">
        <v>74</v>
      </c>
      <c r="X178" s="72" t="s">
        <v>75</v>
      </c>
      <c r="Y178" s="61" t="s">
        <v>76</v>
      </c>
      <c r="Z178" s="73"/>
      <c r="AA178" s="61" t="s">
        <v>77</v>
      </c>
      <c r="AB178" s="61" t="s">
        <v>78</v>
      </c>
      <c r="AC178" s="73"/>
      <c r="AD178" s="73"/>
      <c r="AE178" s="73"/>
      <c r="AF178" s="73"/>
      <c r="AG178" s="73"/>
      <c r="AH178" s="73"/>
      <c r="AI178" s="61" t="s">
        <v>79</v>
      </c>
      <c r="AJ178" s="75"/>
      <c r="AK178" s="76" t="s">
        <v>2108</v>
      </c>
      <c r="AL178" s="83" t="s">
        <v>2109</v>
      </c>
      <c r="AM178" s="71" t="s">
        <v>2110</v>
      </c>
      <c r="AN178" s="105" t="s">
        <v>2111</v>
      </c>
      <c r="AO178" s="71" t="s">
        <v>2112</v>
      </c>
      <c r="AP178" s="99" t="str">
        <f>IMAGE("https://bellingcat-archive.nyc3.cdn.digitaloceanspaces.com/Ukraine_Witness_Datasheet/Worksheet/twitter__media_FLQJtApX0AcSvC_.jpg")</f>
        <v/>
      </c>
      <c r="AQ178" s="99"/>
      <c r="AR178" s="99"/>
      <c r="AS178" s="99"/>
      <c r="AT178" s="99"/>
      <c r="AU178" s="89"/>
      <c r="AV178" s="90"/>
      <c r="AW178" s="81"/>
    </row>
    <row r="179" ht="15.75" customHeight="1">
      <c r="A179" s="87" t="s">
        <v>63</v>
      </c>
      <c r="B179" s="121"/>
      <c r="C179" s="101" t="s">
        <v>1627</v>
      </c>
      <c r="D179" s="104">
        <v>50.496761</v>
      </c>
      <c r="E179" s="104">
        <v>36.390334</v>
      </c>
      <c r="F179" s="59">
        <v>1.0</v>
      </c>
      <c r="G179" s="151" t="s">
        <v>2113</v>
      </c>
      <c r="H179" s="104" t="s">
        <v>66</v>
      </c>
      <c r="I179" s="82"/>
      <c r="J179" s="63" t="s">
        <v>2114</v>
      </c>
      <c r="K179" s="152" t="s">
        <v>2115</v>
      </c>
      <c r="L179" s="110" t="s">
        <v>79</v>
      </c>
      <c r="M179" s="92" t="s">
        <v>2027</v>
      </c>
      <c r="N179" s="111"/>
      <c r="O179" s="92" t="s">
        <v>1259</v>
      </c>
      <c r="P179" s="67" t="str">
        <f t="shared" si="1"/>
        <v>50.496761, 36.390334</v>
      </c>
      <c r="Q179" s="67" t="str">
        <f t="shared" si="2"/>
        <v>50.496324, 36.390852</v>
      </c>
      <c r="R179" s="67">
        <f t="shared" si="3"/>
        <v>50.496324</v>
      </c>
      <c r="S179" s="67">
        <f t="shared" si="4"/>
        <v>36.390852</v>
      </c>
      <c r="T179" s="99"/>
      <c r="U179" s="69"/>
      <c r="V179" s="65" t="s">
        <v>2116</v>
      </c>
      <c r="W179" s="71" t="s">
        <v>74</v>
      </c>
      <c r="X179" s="72" t="s">
        <v>75</v>
      </c>
      <c r="Y179" s="61" t="s">
        <v>76</v>
      </c>
      <c r="Z179" s="73"/>
      <c r="AA179" s="73"/>
      <c r="AB179" s="73"/>
      <c r="AC179" s="73"/>
      <c r="AD179" s="73"/>
      <c r="AE179" s="73"/>
      <c r="AF179" s="73"/>
      <c r="AG179" s="73"/>
      <c r="AH179" s="73"/>
      <c r="AI179" s="73"/>
      <c r="AJ179" s="75"/>
      <c r="AK179" s="76" t="s">
        <v>798</v>
      </c>
      <c r="AL179" s="83" t="s">
        <v>2117</v>
      </c>
      <c r="AM179" s="71" t="s">
        <v>2118</v>
      </c>
      <c r="AN179" s="105" t="s">
        <v>2119</v>
      </c>
      <c r="AO179" s="71" t="s">
        <v>2120</v>
      </c>
      <c r="AP179" s="99" t="str">
        <f>IMAGE("https://bellingcat-archive.nyc3.cdn.digitaloceanspaces.com/Ukraine_Witness_Datasheet/Worksheet/youtube_dl_1491713890790608897/out3.jpg")</f>
        <v/>
      </c>
      <c r="AQ179" s="105" t="s">
        <v>2121</v>
      </c>
      <c r="AR179" s="71" t="s">
        <v>1794</v>
      </c>
      <c r="AS179" s="71" t="s">
        <v>2122</v>
      </c>
      <c r="AT179" s="71">
        <v>81.433</v>
      </c>
      <c r="AU179" s="89"/>
      <c r="AV179" s="90"/>
      <c r="AW179" s="81"/>
    </row>
    <row r="180" ht="15.75" customHeight="1">
      <c r="A180" s="87" t="s">
        <v>63</v>
      </c>
      <c r="B180" s="121"/>
      <c r="C180" s="101" t="s">
        <v>1165</v>
      </c>
      <c r="D180" s="104">
        <v>51.723685</v>
      </c>
      <c r="E180" s="104">
        <v>36.332136</v>
      </c>
      <c r="F180" s="59">
        <v>1.0</v>
      </c>
      <c r="G180" s="151" t="s">
        <v>2013</v>
      </c>
      <c r="H180" s="104" t="s">
        <v>66</v>
      </c>
      <c r="I180" s="82"/>
      <c r="J180" s="63" t="s">
        <v>2123</v>
      </c>
      <c r="K180" s="152" t="s">
        <v>2124</v>
      </c>
      <c r="L180" s="110" t="s">
        <v>79</v>
      </c>
      <c r="M180" s="92" t="s">
        <v>2027</v>
      </c>
      <c r="N180" s="111"/>
      <c r="O180" s="92" t="s">
        <v>2016</v>
      </c>
      <c r="P180" s="67" t="str">
        <f t="shared" si="1"/>
        <v>51.723685, 36.332136</v>
      </c>
      <c r="Q180" s="67" t="str">
        <f t="shared" si="2"/>
        <v>51.72349, 36.331166</v>
      </c>
      <c r="R180" s="67">
        <f t="shared" si="3"/>
        <v>51.72349</v>
      </c>
      <c r="S180" s="67">
        <f t="shared" si="4"/>
        <v>36.331166</v>
      </c>
      <c r="T180" s="99"/>
      <c r="U180" s="69"/>
      <c r="V180" s="65" t="s">
        <v>2125</v>
      </c>
      <c r="W180" s="71" t="s">
        <v>74</v>
      </c>
      <c r="X180" s="72" t="s">
        <v>75</v>
      </c>
      <c r="Y180" s="61" t="s">
        <v>76</v>
      </c>
      <c r="Z180" s="73"/>
      <c r="AA180" s="73"/>
      <c r="AB180" s="73"/>
      <c r="AC180" s="73"/>
      <c r="AD180" s="73"/>
      <c r="AE180" s="73"/>
      <c r="AF180" s="73"/>
      <c r="AG180" s="73"/>
      <c r="AH180" s="73"/>
      <c r="AI180" s="73"/>
      <c r="AJ180" s="75"/>
      <c r="AK180" s="76" t="s">
        <v>930</v>
      </c>
      <c r="AL180" s="83" t="s">
        <v>2018</v>
      </c>
      <c r="AM180" s="71" t="s">
        <v>2126</v>
      </c>
      <c r="AN180" s="105" t="s">
        <v>2127</v>
      </c>
      <c r="AO180" s="71" t="s">
        <v>2021</v>
      </c>
      <c r="AP180" s="99" t="str">
        <f>IMAGE("https://bellingcat-archive.nyc3.cdn.digitaloceanspaces.com/Ukraine_Witness_Datasheet/Worksheet/youtube_dl_1491793384083574794/out3.jpg")</f>
        <v/>
      </c>
      <c r="AQ180" s="105" t="s">
        <v>2022</v>
      </c>
      <c r="AR180" s="71" t="s">
        <v>2023</v>
      </c>
      <c r="AS180" s="71" t="s">
        <v>2024</v>
      </c>
      <c r="AT180" s="71">
        <v>116.192</v>
      </c>
      <c r="AU180" s="89"/>
      <c r="AV180" s="90"/>
      <c r="AW180" s="81"/>
    </row>
    <row r="181" ht="15.75" customHeight="1">
      <c r="A181" s="87" t="s">
        <v>63</v>
      </c>
      <c r="B181" s="121"/>
      <c r="C181" s="101" t="s">
        <v>1066</v>
      </c>
      <c r="D181" s="58">
        <v>51.789722</v>
      </c>
      <c r="E181" s="58">
        <v>36.434778</v>
      </c>
      <c r="F181" s="59">
        <v>1.0</v>
      </c>
      <c r="G181" s="151" t="s">
        <v>1288</v>
      </c>
      <c r="H181" s="104" t="s">
        <v>66</v>
      </c>
      <c r="I181" s="82"/>
      <c r="J181" s="63" t="s">
        <v>2128</v>
      </c>
      <c r="K181" s="152" t="s">
        <v>2129</v>
      </c>
      <c r="L181" s="110" t="s">
        <v>79</v>
      </c>
      <c r="M181" s="92" t="s">
        <v>1028</v>
      </c>
      <c r="N181" s="111"/>
      <c r="O181" s="92" t="s">
        <v>2039</v>
      </c>
      <c r="P181" s="67" t="str">
        <f t="shared" si="1"/>
        <v>51.789722, 36.434778</v>
      </c>
      <c r="Q181" s="67" t="str">
        <f t="shared" si="2"/>
        <v>51.789151, 36.434993</v>
      </c>
      <c r="R181" s="67">
        <f t="shared" si="3"/>
        <v>51.789151</v>
      </c>
      <c r="S181" s="67">
        <f t="shared" si="4"/>
        <v>36.434993</v>
      </c>
      <c r="T181" s="99"/>
      <c r="U181" s="69"/>
      <c r="V181" s="65" t="s">
        <v>2130</v>
      </c>
      <c r="W181" s="71" t="s">
        <v>74</v>
      </c>
      <c r="X181" s="72" t="s">
        <v>75</v>
      </c>
      <c r="Y181" s="61" t="s">
        <v>76</v>
      </c>
      <c r="Z181" s="73"/>
      <c r="AA181" s="73"/>
      <c r="AB181" s="73"/>
      <c r="AC181" s="73"/>
      <c r="AD181" s="73"/>
      <c r="AE181" s="73"/>
      <c r="AF181" s="73"/>
      <c r="AG181" s="73"/>
      <c r="AH181" s="73"/>
      <c r="AI181" s="73"/>
      <c r="AJ181" s="75"/>
      <c r="AK181" s="76" t="s">
        <v>930</v>
      </c>
      <c r="AL181" s="83" t="s">
        <v>1293</v>
      </c>
      <c r="AM181" s="71" t="s">
        <v>2131</v>
      </c>
      <c r="AN181" s="105" t="s">
        <v>2132</v>
      </c>
      <c r="AO181" s="71" t="s">
        <v>1296</v>
      </c>
      <c r="AP181" s="99" t="str">
        <f>IMAGE("https://bellingcat-archive.nyc3.cdn.digitaloceanspaces.com/Ukraine_Witness_Datasheet/Worksheet/youtube_dl_1491418129414914048/out2.jpg")</f>
        <v/>
      </c>
      <c r="AQ181" s="105" t="s">
        <v>1297</v>
      </c>
      <c r="AR181" s="71" t="s">
        <v>1298</v>
      </c>
      <c r="AS181" s="71" t="s">
        <v>1299</v>
      </c>
      <c r="AT181" s="71">
        <v>24.404</v>
      </c>
      <c r="AU181" s="89"/>
      <c r="AV181" s="90"/>
      <c r="AW181" s="81"/>
    </row>
    <row r="182" ht="15.75" customHeight="1">
      <c r="A182" s="87" t="s">
        <v>63</v>
      </c>
      <c r="B182" s="121"/>
      <c r="C182" s="101" t="s">
        <v>1165</v>
      </c>
      <c r="D182" s="58">
        <v>51.583204</v>
      </c>
      <c r="E182" s="58">
        <v>36.082854</v>
      </c>
      <c r="F182" s="59">
        <v>1.0</v>
      </c>
      <c r="G182" s="151" t="s">
        <v>2133</v>
      </c>
      <c r="H182" s="104" t="s">
        <v>66</v>
      </c>
      <c r="I182" s="82"/>
      <c r="J182" s="63" t="s">
        <v>2134</v>
      </c>
      <c r="K182" s="152" t="s">
        <v>2135</v>
      </c>
      <c r="L182" s="110" t="s">
        <v>79</v>
      </c>
      <c r="M182" s="92" t="s">
        <v>1028</v>
      </c>
      <c r="N182" s="111"/>
      <c r="O182" s="92" t="s">
        <v>2136</v>
      </c>
      <c r="P182" s="67" t="str">
        <f t="shared" si="1"/>
        <v>51.583204, 36.082854</v>
      </c>
      <c r="Q182" s="67" t="str">
        <f t="shared" si="2"/>
        <v>51.582781, 36.083408</v>
      </c>
      <c r="R182" s="67">
        <f t="shared" si="3"/>
        <v>51.582781</v>
      </c>
      <c r="S182" s="67">
        <f t="shared" si="4"/>
        <v>36.083408</v>
      </c>
      <c r="T182" s="99"/>
      <c r="U182" s="69"/>
      <c r="V182" s="65" t="s">
        <v>2137</v>
      </c>
      <c r="W182" s="71" t="s">
        <v>74</v>
      </c>
      <c r="X182" s="72" t="s">
        <v>75</v>
      </c>
      <c r="Y182" s="61" t="s">
        <v>76</v>
      </c>
      <c r="Z182" s="73"/>
      <c r="AA182" s="73"/>
      <c r="AB182" s="73"/>
      <c r="AC182" s="73"/>
      <c r="AD182" s="73"/>
      <c r="AE182" s="73"/>
      <c r="AF182" s="73"/>
      <c r="AG182" s="73"/>
      <c r="AH182" s="73"/>
      <c r="AI182" s="73"/>
      <c r="AJ182" s="75"/>
      <c r="AK182" s="76" t="s">
        <v>798</v>
      </c>
      <c r="AL182" s="83" t="s">
        <v>2138</v>
      </c>
      <c r="AM182" s="71" t="s">
        <v>2139</v>
      </c>
      <c r="AN182" s="105" t="s">
        <v>2140</v>
      </c>
      <c r="AO182" s="71" t="s">
        <v>2141</v>
      </c>
      <c r="AP182" s="99" t="str">
        <f>IMAGE("https://bellingcat-archive.nyc3.cdn.digitaloceanspaces.com/Ukraine_Witness_Datasheet/Worksheet/youtube_dl_1491793997471240192/out2.jpg")</f>
        <v/>
      </c>
      <c r="AQ182" s="105" t="s">
        <v>2142</v>
      </c>
      <c r="AR182" s="71" t="s">
        <v>2143</v>
      </c>
      <c r="AS182" s="71" t="s">
        <v>2144</v>
      </c>
      <c r="AT182" s="71">
        <v>29.628</v>
      </c>
      <c r="AU182" s="89"/>
      <c r="AV182" s="90"/>
      <c r="AW182" s="81"/>
    </row>
    <row r="183" ht="15.75" customHeight="1">
      <c r="A183" s="87" t="s">
        <v>170</v>
      </c>
      <c r="B183" s="100"/>
      <c r="C183" s="101" t="s">
        <v>2145</v>
      </c>
      <c r="D183" s="74">
        <v>50.495117</v>
      </c>
      <c r="E183" s="74">
        <v>36.388992</v>
      </c>
      <c r="F183" s="59">
        <v>1.0</v>
      </c>
      <c r="G183" s="151" t="s">
        <v>2146</v>
      </c>
      <c r="H183" s="104" t="s">
        <v>66</v>
      </c>
      <c r="I183" s="82"/>
      <c r="J183" s="63" t="s">
        <v>2147</v>
      </c>
      <c r="K183" s="152" t="s">
        <v>2148</v>
      </c>
      <c r="L183" s="110" t="s">
        <v>79</v>
      </c>
      <c r="M183" s="92" t="s">
        <v>2027</v>
      </c>
      <c r="N183" s="92"/>
      <c r="O183" s="92" t="s">
        <v>1259</v>
      </c>
      <c r="P183" s="67" t="str">
        <f t="shared" si="1"/>
        <v>50.495117, 36.388992</v>
      </c>
      <c r="Q183" s="67" t="str">
        <f t="shared" si="2"/>
        <v>50.495062, 36.388351</v>
      </c>
      <c r="R183" s="67">
        <f t="shared" si="3"/>
        <v>50.495062</v>
      </c>
      <c r="S183" s="67">
        <f t="shared" si="4"/>
        <v>36.388351</v>
      </c>
      <c r="T183" s="99"/>
      <c r="U183" s="69"/>
      <c r="V183" s="65" t="s">
        <v>2149</v>
      </c>
      <c r="W183" s="71" t="s">
        <v>74</v>
      </c>
      <c r="X183" s="72" t="s">
        <v>75</v>
      </c>
      <c r="Y183" s="61" t="s">
        <v>76</v>
      </c>
      <c r="Z183" s="73"/>
      <c r="AA183" s="61" t="s">
        <v>77</v>
      </c>
      <c r="AB183" s="61" t="s">
        <v>421</v>
      </c>
      <c r="AC183" s="73"/>
      <c r="AD183" s="73"/>
      <c r="AE183" s="73"/>
      <c r="AF183" s="73"/>
      <c r="AG183" s="73"/>
      <c r="AH183" s="73"/>
      <c r="AI183" s="61" t="s">
        <v>79</v>
      </c>
      <c r="AJ183" s="75"/>
      <c r="AK183" s="76" t="s">
        <v>798</v>
      </c>
      <c r="AL183" s="83" t="s">
        <v>2150</v>
      </c>
      <c r="AM183" s="71" t="s">
        <v>2151</v>
      </c>
      <c r="AN183" s="105" t="s">
        <v>2152</v>
      </c>
      <c r="AO183" s="71" t="s">
        <v>2153</v>
      </c>
      <c r="AP183" s="99" t="str">
        <f>IMAGE("https://bellingcat-archive.nyc3.cdn.digitaloceanspaces.com/Ukraine_Witness_Datasheet/Worksheet/youtube_dl_1492024634199449606/out2.jpg")</f>
        <v/>
      </c>
      <c r="AQ183" s="105" t="s">
        <v>2154</v>
      </c>
      <c r="AR183" s="71" t="s">
        <v>2155</v>
      </c>
      <c r="AS183" s="71" t="s">
        <v>2156</v>
      </c>
      <c r="AT183" s="71">
        <v>44.833</v>
      </c>
      <c r="AU183" s="89"/>
      <c r="AV183" s="90"/>
      <c r="AW183" s="81"/>
    </row>
    <row r="184" ht="15.75" customHeight="1">
      <c r="A184" s="87" t="s">
        <v>170</v>
      </c>
      <c r="B184" s="100"/>
      <c r="C184" s="101" t="s">
        <v>1627</v>
      </c>
      <c r="D184" s="92">
        <v>51.521417</v>
      </c>
      <c r="E184" s="74">
        <v>38.020139</v>
      </c>
      <c r="F184" s="59">
        <v>1.0</v>
      </c>
      <c r="G184" s="151" t="s">
        <v>2157</v>
      </c>
      <c r="H184" s="104" t="s">
        <v>66</v>
      </c>
      <c r="I184" s="82"/>
      <c r="J184" s="63" t="s">
        <v>2158</v>
      </c>
      <c r="K184" s="152" t="s">
        <v>2159</v>
      </c>
      <c r="L184" s="110" t="s">
        <v>79</v>
      </c>
      <c r="M184" s="92" t="s">
        <v>1028</v>
      </c>
      <c r="N184" s="111"/>
      <c r="O184" s="92" t="s">
        <v>2160</v>
      </c>
      <c r="P184" s="67" t="str">
        <f t="shared" si="1"/>
        <v>51.521417, 38.020139</v>
      </c>
      <c r="Q184" s="67" t="str">
        <f t="shared" si="2"/>
        <v>51.521326, 38.021034</v>
      </c>
      <c r="R184" s="67">
        <f t="shared" si="3"/>
        <v>51.521326</v>
      </c>
      <c r="S184" s="67">
        <f t="shared" si="4"/>
        <v>38.021034</v>
      </c>
      <c r="T184" s="99"/>
      <c r="U184" s="69"/>
      <c r="V184" s="65" t="s">
        <v>2161</v>
      </c>
      <c r="W184" s="71" t="s">
        <v>74</v>
      </c>
      <c r="X184" s="72" t="s">
        <v>75</v>
      </c>
      <c r="Y184" s="61" t="s">
        <v>76</v>
      </c>
      <c r="Z184" s="73"/>
      <c r="AA184" s="61" t="s">
        <v>77</v>
      </c>
      <c r="AB184" s="61" t="s">
        <v>421</v>
      </c>
      <c r="AC184" s="73"/>
      <c r="AD184" s="73"/>
      <c r="AE184" s="73"/>
      <c r="AF184" s="73"/>
      <c r="AG184" s="73"/>
      <c r="AH184" s="73"/>
      <c r="AI184" s="61" t="s">
        <v>79</v>
      </c>
      <c r="AJ184" s="75"/>
      <c r="AK184" s="76" t="s">
        <v>798</v>
      </c>
      <c r="AL184" s="83" t="s">
        <v>2162</v>
      </c>
      <c r="AM184" s="71" t="s">
        <v>2163</v>
      </c>
      <c r="AN184" s="105" t="s">
        <v>2164</v>
      </c>
      <c r="AO184" s="71" t="s">
        <v>2165</v>
      </c>
      <c r="AP184" s="99" t="str">
        <f>IMAGE("https://bellingcat-archive.nyc3.cdn.digitaloceanspaces.com/Ukraine_Witness_Datasheet/Worksheet/youtube_dl_1491692861137502213/out2.jpg")</f>
        <v/>
      </c>
      <c r="AQ184" s="105" t="s">
        <v>2166</v>
      </c>
      <c r="AR184" s="71" t="s">
        <v>2167</v>
      </c>
      <c r="AS184" s="71" t="s">
        <v>2168</v>
      </c>
      <c r="AT184" s="71">
        <v>31.844</v>
      </c>
      <c r="AU184" s="89"/>
      <c r="AV184" s="90"/>
      <c r="AW184" s="81"/>
    </row>
    <row r="185" ht="15.75" customHeight="1">
      <c r="A185" s="87" t="s">
        <v>170</v>
      </c>
      <c r="B185" s="100"/>
      <c r="C185" s="101" t="s">
        <v>1026</v>
      </c>
      <c r="D185" s="92">
        <v>51.64808</v>
      </c>
      <c r="E185" s="74">
        <v>35.94858</v>
      </c>
      <c r="F185" s="59">
        <v>1.0</v>
      </c>
      <c r="G185" s="151" t="s">
        <v>2169</v>
      </c>
      <c r="H185" s="104" t="s">
        <v>66</v>
      </c>
      <c r="I185" s="82"/>
      <c r="J185" s="63" t="s">
        <v>2170</v>
      </c>
      <c r="K185" s="152" t="s">
        <v>2171</v>
      </c>
      <c r="L185" s="110" t="s">
        <v>79</v>
      </c>
      <c r="M185" s="92" t="s">
        <v>1028</v>
      </c>
      <c r="N185" s="92" t="s">
        <v>1030</v>
      </c>
      <c r="O185" s="111"/>
      <c r="P185" s="67" t="str">
        <f t="shared" si="1"/>
        <v>51.64808, 35.94858</v>
      </c>
      <c r="Q185" s="67" t="str">
        <f t="shared" si="2"/>
        <v>51.647805, 35.94931</v>
      </c>
      <c r="R185" s="67">
        <f t="shared" si="3"/>
        <v>51.647805</v>
      </c>
      <c r="S185" s="67">
        <f t="shared" si="4"/>
        <v>35.94931</v>
      </c>
      <c r="T185" s="99"/>
      <c r="U185" s="69"/>
      <c r="V185" s="65" t="s">
        <v>2172</v>
      </c>
      <c r="W185" s="71" t="s">
        <v>74</v>
      </c>
      <c r="X185" s="72" t="s">
        <v>75</v>
      </c>
      <c r="Y185" s="61" t="s">
        <v>76</v>
      </c>
      <c r="Z185" s="73"/>
      <c r="AA185" s="61" t="s">
        <v>77</v>
      </c>
      <c r="AB185" s="61" t="s">
        <v>78</v>
      </c>
      <c r="AC185" s="73"/>
      <c r="AD185" s="73"/>
      <c r="AE185" s="73"/>
      <c r="AF185" s="73"/>
      <c r="AG185" s="73"/>
      <c r="AH185" s="73"/>
      <c r="AI185" s="61" t="s">
        <v>79</v>
      </c>
      <c r="AJ185" s="75"/>
      <c r="AK185" s="76" t="s">
        <v>798</v>
      </c>
      <c r="AL185" s="83" t="s">
        <v>2173</v>
      </c>
      <c r="AM185" s="71" t="s">
        <v>2174</v>
      </c>
      <c r="AN185" s="105" t="s">
        <v>2175</v>
      </c>
      <c r="AO185" s="71" t="s">
        <v>1036</v>
      </c>
      <c r="AP185" s="99" t="str">
        <f>IMAGE("https://bellingcat-archive.nyc3.cdn.digitaloceanspaces.com/Ukraine_Witness_Datasheet/Worksheet/youtube_dl_1489951175424229383/out2.jpg")</f>
        <v/>
      </c>
      <c r="AQ185" s="105" t="s">
        <v>2176</v>
      </c>
      <c r="AR185" s="71" t="s">
        <v>2177</v>
      </c>
      <c r="AS185" s="71" t="s">
        <v>2178</v>
      </c>
      <c r="AT185" s="71">
        <v>25.666</v>
      </c>
      <c r="AU185" s="89"/>
      <c r="AV185" s="90"/>
      <c r="AW185" s="81"/>
    </row>
    <row r="186" ht="15.75" customHeight="1">
      <c r="A186" s="87" t="s">
        <v>170</v>
      </c>
      <c r="B186" s="100"/>
      <c r="C186" s="101" t="s">
        <v>1772</v>
      </c>
      <c r="D186" s="74">
        <v>45.091159</v>
      </c>
      <c r="E186" s="74">
        <v>37.782273</v>
      </c>
      <c r="F186" s="59">
        <v>1.0</v>
      </c>
      <c r="G186" s="151" t="s">
        <v>2179</v>
      </c>
      <c r="H186" s="104" t="s">
        <v>66</v>
      </c>
      <c r="I186" s="82"/>
      <c r="J186" s="63" t="s">
        <v>2180</v>
      </c>
      <c r="K186" s="152" t="s">
        <v>2181</v>
      </c>
      <c r="L186" s="110" t="s">
        <v>79</v>
      </c>
      <c r="M186" s="92" t="s">
        <v>1819</v>
      </c>
      <c r="N186" s="92" t="s">
        <v>2182</v>
      </c>
      <c r="O186" s="111"/>
      <c r="P186" s="67" t="str">
        <f t="shared" si="1"/>
        <v>45.091159, 37.782273</v>
      </c>
      <c r="Q186" s="67" t="str">
        <f t="shared" si="2"/>
        <v>45.091133, 37.781007</v>
      </c>
      <c r="R186" s="67">
        <f t="shared" si="3"/>
        <v>45.091133</v>
      </c>
      <c r="S186" s="67">
        <f t="shared" si="4"/>
        <v>37.781007</v>
      </c>
      <c r="T186" s="99"/>
      <c r="U186" s="69"/>
      <c r="V186" s="65" t="s">
        <v>2183</v>
      </c>
      <c r="W186" s="71" t="s">
        <v>74</v>
      </c>
      <c r="X186" s="72" t="s">
        <v>75</v>
      </c>
      <c r="Y186" s="61" t="s">
        <v>76</v>
      </c>
      <c r="Z186" s="73"/>
      <c r="AA186" s="61" t="s">
        <v>77</v>
      </c>
      <c r="AB186" s="61" t="s">
        <v>78</v>
      </c>
      <c r="AC186" s="73"/>
      <c r="AD186" s="73"/>
      <c r="AE186" s="73"/>
      <c r="AF186" s="73"/>
      <c r="AG186" s="73"/>
      <c r="AH186" s="73"/>
      <c r="AI186" s="61" t="s">
        <v>79</v>
      </c>
      <c r="AJ186" s="75"/>
      <c r="AK186" s="76" t="s">
        <v>798</v>
      </c>
      <c r="AL186" s="83" t="s">
        <v>2184</v>
      </c>
      <c r="AM186" s="71" t="s">
        <v>2185</v>
      </c>
      <c r="AN186" s="105" t="s">
        <v>2186</v>
      </c>
      <c r="AO186" s="71" t="s">
        <v>2187</v>
      </c>
      <c r="AP186" s="99" t="str">
        <f>IMAGE("https://bellingcat-archive.nyc3.cdn.digitaloceanspaces.com/Ukraine_Witness_Datasheet/Worksheet/youtube_dl_1489458618898739200/out2.jpg")</f>
        <v/>
      </c>
      <c r="AQ186" s="105" t="s">
        <v>2188</v>
      </c>
      <c r="AR186" s="71" t="s">
        <v>2189</v>
      </c>
      <c r="AS186" s="71" t="s">
        <v>2190</v>
      </c>
      <c r="AT186" s="71">
        <v>33.266</v>
      </c>
      <c r="AU186" s="89"/>
      <c r="AV186" s="90"/>
      <c r="AW186" s="81"/>
    </row>
    <row r="187" ht="15.75" customHeight="1">
      <c r="A187" s="87" t="s">
        <v>170</v>
      </c>
      <c r="B187" s="100"/>
      <c r="C187" s="101" t="s">
        <v>991</v>
      </c>
      <c r="D187" s="149">
        <v>57.799692</v>
      </c>
      <c r="E187" s="74">
        <v>28.295503</v>
      </c>
      <c r="F187" s="59">
        <v>1.0</v>
      </c>
      <c r="G187" s="151" t="s">
        <v>2191</v>
      </c>
      <c r="H187" s="104" t="s">
        <v>66</v>
      </c>
      <c r="I187" s="82"/>
      <c r="J187" s="63" t="s">
        <v>2170</v>
      </c>
      <c r="K187" s="152" t="s">
        <v>2192</v>
      </c>
      <c r="L187" s="110" t="s">
        <v>79</v>
      </c>
      <c r="M187" s="111"/>
      <c r="N187" s="111"/>
      <c r="O187" s="92" t="s">
        <v>2193</v>
      </c>
      <c r="P187" s="67" t="str">
        <f t="shared" si="1"/>
        <v>57.799692, 28.295503</v>
      </c>
      <c r="Q187" s="67" t="str">
        <f t="shared" si="2"/>
        <v>57.79926, 28.296071</v>
      </c>
      <c r="R187" s="67">
        <f t="shared" si="3"/>
        <v>57.79926</v>
      </c>
      <c r="S187" s="67">
        <f t="shared" si="4"/>
        <v>28.296071</v>
      </c>
      <c r="T187" s="99"/>
      <c r="U187" s="69"/>
      <c r="V187" s="65" t="s">
        <v>2194</v>
      </c>
      <c r="W187" s="71" t="s">
        <v>74</v>
      </c>
      <c r="X187" s="72" t="s">
        <v>75</v>
      </c>
      <c r="Y187" s="61" t="s">
        <v>76</v>
      </c>
      <c r="Z187" s="73"/>
      <c r="AA187" s="61" t="s">
        <v>77</v>
      </c>
      <c r="AB187" s="61" t="s">
        <v>78</v>
      </c>
      <c r="AC187" s="73"/>
      <c r="AD187" s="73"/>
      <c r="AE187" s="73"/>
      <c r="AF187" s="73"/>
      <c r="AG187" s="73"/>
      <c r="AH187" s="73"/>
      <c r="AI187" s="61" t="s">
        <v>79</v>
      </c>
      <c r="AJ187" s="75"/>
      <c r="AK187" s="76" t="s">
        <v>798</v>
      </c>
      <c r="AL187" s="83" t="s">
        <v>2195</v>
      </c>
      <c r="AM187" s="71" t="s">
        <v>2196</v>
      </c>
      <c r="AN187" s="105" t="s">
        <v>2197</v>
      </c>
      <c r="AO187" s="71" t="s">
        <v>2198</v>
      </c>
      <c r="AP187" s="99" t="str">
        <f>IMAGE("https://bellingcat-archive.nyc3.cdn.digitaloceanspaces.com/Ukraine_Witness_Datasheet/Worksheet/youtube_dl_1489321944617005062/out2.jpg")</f>
        <v/>
      </c>
      <c r="AQ187" s="105" t="s">
        <v>2199</v>
      </c>
      <c r="AR187" s="71" t="s">
        <v>2200</v>
      </c>
      <c r="AS187" s="71" t="s">
        <v>2201</v>
      </c>
      <c r="AT187" s="71">
        <v>30.689</v>
      </c>
      <c r="AU187" s="89"/>
      <c r="AV187" s="90"/>
      <c r="AW187" s="81"/>
    </row>
    <row r="188" ht="15.75" customHeight="1">
      <c r="A188" s="87" t="s">
        <v>170</v>
      </c>
      <c r="B188" s="100"/>
      <c r="C188" s="101" t="s">
        <v>975</v>
      </c>
      <c r="D188" s="74">
        <v>52.357623</v>
      </c>
      <c r="E188" s="74">
        <v>30.679974</v>
      </c>
      <c r="F188" s="59">
        <v>1.0</v>
      </c>
      <c r="G188" s="151" t="s">
        <v>2202</v>
      </c>
      <c r="H188" s="104" t="s">
        <v>66</v>
      </c>
      <c r="I188" s="82"/>
      <c r="J188" s="63" t="s">
        <v>2203</v>
      </c>
      <c r="K188" s="152" t="s">
        <v>971</v>
      </c>
      <c r="L188" s="110" t="s">
        <v>69</v>
      </c>
      <c r="M188" s="92" t="s">
        <v>959</v>
      </c>
      <c r="N188" s="111"/>
      <c r="O188" s="111"/>
      <c r="P188" s="67" t="str">
        <f t="shared" si="1"/>
        <v>52.357623, 30.679974</v>
      </c>
      <c r="Q188" s="67" t="str">
        <f t="shared" si="2"/>
        <v>52.357378, 30.679441</v>
      </c>
      <c r="R188" s="67">
        <f t="shared" si="3"/>
        <v>52.357378</v>
      </c>
      <c r="S188" s="67">
        <f t="shared" si="4"/>
        <v>30.679441</v>
      </c>
      <c r="T188" s="99"/>
      <c r="U188" s="69"/>
      <c r="V188" s="65" t="s">
        <v>2204</v>
      </c>
      <c r="W188" s="71" t="s">
        <v>74</v>
      </c>
      <c r="X188" s="72" t="s">
        <v>75</v>
      </c>
      <c r="Y188" s="61" t="s">
        <v>76</v>
      </c>
      <c r="Z188" s="73"/>
      <c r="AA188" s="61" t="s">
        <v>77</v>
      </c>
      <c r="AB188" s="61" t="s">
        <v>421</v>
      </c>
      <c r="AC188" s="73"/>
      <c r="AD188" s="73"/>
      <c r="AE188" s="73"/>
      <c r="AF188" s="73"/>
      <c r="AG188" s="73"/>
      <c r="AH188" s="73"/>
      <c r="AI188" s="61" t="s">
        <v>79</v>
      </c>
      <c r="AJ188" s="75"/>
      <c r="AK188" s="76" t="s">
        <v>798</v>
      </c>
      <c r="AL188" s="83" t="s">
        <v>2205</v>
      </c>
      <c r="AM188" s="71" t="s">
        <v>2206</v>
      </c>
      <c r="AN188" s="105" t="s">
        <v>2207</v>
      </c>
      <c r="AO188" s="71" t="s">
        <v>2208</v>
      </c>
      <c r="AP188" s="99" t="str">
        <f>IMAGE("https://bellingcat-archive.nyc3.cdn.digitaloceanspaces.com/Ukraine_Witness_Datasheet/Worksheet/youtube_dl_1488755442914316288/out3.jpg")</f>
        <v/>
      </c>
      <c r="AQ188" s="105" t="s">
        <v>2209</v>
      </c>
      <c r="AR188" s="71" t="s">
        <v>2210</v>
      </c>
      <c r="AS188" s="71" t="s">
        <v>2211</v>
      </c>
      <c r="AT188" s="71">
        <v>110.3</v>
      </c>
      <c r="AU188" s="89"/>
      <c r="AV188" s="90"/>
      <c r="AW188" s="81"/>
    </row>
    <row r="189" ht="15.75" customHeight="1">
      <c r="A189" s="87" t="s">
        <v>170</v>
      </c>
      <c r="B189" s="100"/>
      <c r="C189" s="101" t="s">
        <v>975</v>
      </c>
      <c r="D189" s="74">
        <v>52.399397</v>
      </c>
      <c r="E189" s="74">
        <v>30.127631</v>
      </c>
      <c r="F189" s="59">
        <v>1.0</v>
      </c>
      <c r="G189" s="151" t="s">
        <v>2212</v>
      </c>
      <c r="H189" s="104" t="s">
        <v>66</v>
      </c>
      <c r="I189" s="82"/>
      <c r="J189" s="63" t="s">
        <v>2213</v>
      </c>
      <c r="K189" s="152" t="s">
        <v>2214</v>
      </c>
      <c r="L189" s="110" t="s">
        <v>69</v>
      </c>
      <c r="M189" s="92" t="s">
        <v>2215</v>
      </c>
      <c r="N189" s="111"/>
      <c r="O189" s="111"/>
      <c r="P189" s="67" t="str">
        <f t="shared" si="1"/>
        <v>52.399397, 30.127631</v>
      </c>
      <c r="Q189" s="67" t="str">
        <f t="shared" si="2"/>
        <v>52.398736, 30.127754</v>
      </c>
      <c r="R189" s="67">
        <f t="shared" si="3"/>
        <v>52.398736</v>
      </c>
      <c r="S189" s="67">
        <f t="shared" si="4"/>
        <v>30.127754</v>
      </c>
      <c r="T189" s="99"/>
      <c r="U189" s="64" t="s">
        <v>2216</v>
      </c>
      <c r="V189" s="65" t="s">
        <v>2217</v>
      </c>
      <c r="W189" s="71" t="s">
        <v>74</v>
      </c>
      <c r="X189" s="72" t="s">
        <v>75</v>
      </c>
      <c r="Y189" s="61" t="s">
        <v>76</v>
      </c>
      <c r="Z189" s="73"/>
      <c r="AA189" s="61" t="s">
        <v>77</v>
      </c>
      <c r="AB189" s="61" t="s">
        <v>78</v>
      </c>
      <c r="AC189" s="73"/>
      <c r="AD189" s="73"/>
      <c r="AE189" s="73"/>
      <c r="AF189" s="73"/>
      <c r="AG189" s="73"/>
      <c r="AH189" s="73"/>
      <c r="AI189" s="61" t="s">
        <v>79</v>
      </c>
      <c r="AJ189" s="75"/>
      <c r="AK189" s="76" t="s">
        <v>2108</v>
      </c>
      <c r="AL189" s="83" t="s">
        <v>2218</v>
      </c>
      <c r="AM189" s="71" t="s">
        <v>2219</v>
      </c>
      <c r="AN189" s="105" t="s">
        <v>2220</v>
      </c>
      <c r="AO189" s="71" t="s">
        <v>2221</v>
      </c>
      <c r="AP189" s="99" t="str">
        <f>IMAGE("https://bellingcat-archive.nyc3.cdn.digitaloceanspaces.com/Ukraine_Witness_Datasheet/Worksheet/twitter__media_FKkPpoNWQAA7KVP.jpg")</f>
        <v/>
      </c>
      <c r="AQ189" s="99"/>
      <c r="AR189" s="99"/>
      <c r="AS189" s="99"/>
      <c r="AT189" s="99"/>
      <c r="AU189" s="89"/>
      <c r="AV189" s="90"/>
      <c r="AW189" s="81"/>
    </row>
    <row r="190" ht="15.75" customHeight="1">
      <c r="A190" s="87" t="s">
        <v>170</v>
      </c>
      <c r="B190" s="100"/>
      <c r="C190" s="101" t="s">
        <v>1165</v>
      </c>
      <c r="D190" s="92">
        <v>51.7859269</v>
      </c>
      <c r="E190" s="74">
        <v>36.4104091</v>
      </c>
      <c r="F190" s="59">
        <v>1.0</v>
      </c>
      <c r="G190" s="154" t="s">
        <v>2222</v>
      </c>
      <c r="H190" s="104" t="s">
        <v>66</v>
      </c>
      <c r="I190" s="82"/>
      <c r="J190" s="63" t="s">
        <v>2223</v>
      </c>
      <c r="K190" s="152" t="s">
        <v>2222</v>
      </c>
      <c r="L190" s="110" t="s">
        <v>79</v>
      </c>
      <c r="M190" s="92" t="s">
        <v>1028</v>
      </c>
      <c r="N190" s="92" t="s">
        <v>2039</v>
      </c>
      <c r="O190" s="111"/>
      <c r="P190" s="67" t="str">
        <f t="shared" si="1"/>
        <v>51.7859269, 36.4104091</v>
      </c>
      <c r="Q190" s="67" t="str">
        <f t="shared" si="2"/>
        <v>51.785665, 36.411206</v>
      </c>
      <c r="R190" s="67">
        <f t="shared" si="3"/>
        <v>51.785665</v>
      </c>
      <c r="S190" s="67">
        <f t="shared" si="4"/>
        <v>36.411206</v>
      </c>
      <c r="T190" s="99"/>
      <c r="U190" s="69"/>
      <c r="V190" s="65" t="s">
        <v>2224</v>
      </c>
      <c r="W190" s="71" t="s">
        <v>74</v>
      </c>
      <c r="X190" s="72" t="s">
        <v>75</v>
      </c>
      <c r="Y190" s="61" t="s">
        <v>76</v>
      </c>
      <c r="Z190" s="73"/>
      <c r="AA190" s="61" t="s">
        <v>77</v>
      </c>
      <c r="AB190" s="61" t="s">
        <v>78</v>
      </c>
      <c r="AC190" s="73"/>
      <c r="AD190" s="73"/>
      <c r="AE190" s="73"/>
      <c r="AF190" s="73"/>
      <c r="AG190" s="73"/>
      <c r="AH190" s="73"/>
      <c r="AI190" s="61" t="s">
        <v>79</v>
      </c>
      <c r="AJ190" s="75"/>
      <c r="AK190" s="136" t="s">
        <v>1261</v>
      </c>
      <c r="AL190" s="147" t="s">
        <v>2225</v>
      </c>
      <c r="AM190" s="138" t="s">
        <v>2226</v>
      </c>
      <c r="AN190" s="148" t="s">
        <v>2227</v>
      </c>
      <c r="AO190" s="139"/>
      <c r="AP190" s="139"/>
      <c r="AQ190" s="139"/>
      <c r="AR190" s="138" t="s">
        <v>2228</v>
      </c>
      <c r="AS190" s="139"/>
      <c r="AT190" s="139"/>
      <c r="AU190" s="89"/>
      <c r="AV190" s="90"/>
      <c r="AW190" s="81"/>
    </row>
    <row r="191" ht="15.75" customHeight="1">
      <c r="A191" s="87" t="s">
        <v>170</v>
      </c>
      <c r="B191" s="100"/>
      <c r="C191" s="101" t="s">
        <v>1165</v>
      </c>
      <c r="D191" s="74">
        <v>50.7585</v>
      </c>
      <c r="E191" s="104">
        <v>37.8723</v>
      </c>
      <c r="F191" s="59">
        <v>1.0</v>
      </c>
      <c r="G191" s="151" t="s">
        <v>2229</v>
      </c>
      <c r="H191" s="104" t="s">
        <v>66</v>
      </c>
      <c r="I191" s="82"/>
      <c r="J191" s="63" t="s">
        <v>2230</v>
      </c>
      <c r="K191" s="152" t="s">
        <v>2231</v>
      </c>
      <c r="L191" s="110" t="s">
        <v>79</v>
      </c>
      <c r="M191" s="92" t="s">
        <v>2232</v>
      </c>
      <c r="N191" s="92" t="s">
        <v>1937</v>
      </c>
      <c r="O191" s="111"/>
      <c r="P191" s="67" t="str">
        <f t="shared" si="1"/>
        <v>50.7585, 37.8723</v>
      </c>
      <c r="Q191" s="67" t="str">
        <f t="shared" si="2"/>
        <v>50.758208, 37.871532</v>
      </c>
      <c r="R191" s="67">
        <f t="shared" si="3"/>
        <v>50.758208</v>
      </c>
      <c r="S191" s="67">
        <f t="shared" si="4"/>
        <v>37.871532</v>
      </c>
      <c r="T191" s="99"/>
      <c r="U191" s="69"/>
      <c r="V191" s="65" t="s">
        <v>2233</v>
      </c>
      <c r="W191" s="71" t="s">
        <v>74</v>
      </c>
      <c r="X191" s="72" t="s">
        <v>75</v>
      </c>
      <c r="Y191" s="61" t="s">
        <v>76</v>
      </c>
      <c r="Z191" s="73"/>
      <c r="AA191" s="61" t="s">
        <v>77</v>
      </c>
      <c r="AB191" s="61" t="s">
        <v>78</v>
      </c>
      <c r="AC191" s="73"/>
      <c r="AD191" s="73"/>
      <c r="AE191" s="73"/>
      <c r="AF191" s="73"/>
      <c r="AG191" s="73"/>
      <c r="AH191" s="73"/>
      <c r="AI191" s="61" t="s">
        <v>79</v>
      </c>
      <c r="AJ191" s="75"/>
      <c r="AK191" s="76" t="s">
        <v>798</v>
      </c>
      <c r="AL191" s="83" t="s">
        <v>2234</v>
      </c>
      <c r="AM191" s="71" t="s">
        <v>2235</v>
      </c>
      <c r="AN191" s="105" t="s">
        <v>2236</v>
      </c>
      <c r="AO191" s="71" t="s">
        <v>2237</v>
      </c>
      <c r="AP191" s="99" t="str">
        <f>IMAGE("https://bellingcat-archive.nyc3.cdn.digitaloceanspaces.com/Ukraine_Witness_Datasheet/Worksheet/youtube_dl_1491443717055860736/out2.jpg")</f>
        <v/>
      </c>
      <c r="AQ191" s="105" t="s">
        <v>2238</v>
      </c>
      <c r="AR191" s="71" t="s">
        <v>2239</v>
      </c>
      <c r="AS191" s="71" t="s">
        <v>2240</v>
      </c>
      <c r="AT191" s="71">
        <v>26.782</v>
      </c>
      <c r="AU191" s="89"/>
      <c r="AV191" s="90"/>
      <c r="AW191" s="81"/>
    </row>
    <row r="192" ht="15.75" customHeight="1">
      <c r="A192" s="87" t="s">
        <v>170</v>
      </c>
      <c r="B192" s="100"/>
      <c r="C192" s="101" t="s">
        <v>1066</v>
      </c>
      <c r="D192" s="74">
        <v>50.496875</v>
      </c>
      <c r="E192" s="74">
        <v>36.389942</v>
      </c>
      <c r="F192" s="59">
        <v>1.0</v>
      </c>
      <c r="G192" s="154" t="s">
        <v>2241</v>
      </c>
      <c r="H192" s="104" t="s">
        <v>66</v>
      </c>
      <c r="I192" s="82"/>
      <c r="J192" s="63" t="s">
        <v>2223</v>
      </c>
      <c r="K192" s="155" t="s">
        <v>2242</v>
      </c>
      <c r="L192" s="110" t="s">
        <v>79</v>
      </c>
      <c r="M192" s="92" t="s">
        <v>2232</v>
      </c>
      <c r="N192" s="92"/>
      <c r="O192" s="92" t="s">
        <v>1259</v>
      </c>
      <c r="P192" s="67" t="str">
        <f t="shared" si="1"/>
        <v>50.496875, 36.389942</v>
      </c>
      <c r="Q192" s="67" t="str">
        <f t="shared" si="2"/>
        <v>50.496283, 36.389784</v>
      </c>
      <c r="R192" s="67">
        <f t="shared" si="3"/>
        <v>50.496283</v>
      </c>
      <c r="S192" s="67">
        <f t="shared" si="4"/>
        <v>36.389784</v>
      </c>
      <c r="T192" s="99"/>
      <c r="U192" s="69"/>
      <c r="V192" s="65" t="s">
        <v>2243</v>
      </c>
      <c r="W192" s="71" t="s">
        <v>74</v>
      </c>
      <c r="X192" s="72" t="s">
        <v>75</v>
      </c>
      <c r="Y192" s="61" t="s">
        <v>76</v>
      </c>
      <c r="Z192" s="73"/>
      <c r="AA192" s="61" t="s">
        <v>77</v>
      </c>
      <c r="AB192" s="61" t="s">
        <v>78</v>
      </c>
      <c r="AC192" s="73"/>
      <c r="AD192" s="73"/>
      <c r="AE192" s="73"/>
      <c r="AF192" s="73"/>
      <c r="AG192" s="73"/>
      <c r="AH192" s="73"/>
      <c r="AI192" s="61" t="s">
        <v>79</v>
      </c>
      <c r="AJ192" s="75"/>
      <c r="AK192" s="76" t="s">
        <v>798</v>
      </c>
      <c r="AL192" s="83" t="s">
        <v>2244</v>
      </c>
      <c r="AM192" s="71" t="s">
        <v>2245</v>
      </c>
      <c r="AN192" s="105" t="s">
        <v>2246</v>
      </c>
      <c r="AO192" s="71" t="s">
        <v>2247</v>
      </c>
      <c r="AP192" s="99" t="str">
        <f>IMAGE("https://bellingcat-archive.nyc3.cdn.digitaloceanspaces.com/Ukraine_Witness_Datasheet/Worksheet/youtube_dl_1491420490388631552/out2.jpg")</f>
        <v/>
      </c>
      <c r="AQ192" s="105" t="s">
        <v>2248</v>
      </c>
      <c r="AR192" s="71" t="s">
        <v>2249</v>
      </c>
      <c r="AS192" s="71" t="s">
        <v>2250</v>
      </c>
      <c r="AT192" s="71">
        <v>42.167</v>
      </c>
      <c r="AU192" s="89"/>
      <c r="AV192" s="90"/>
      <c r="AW192" s="81"/>
    </row>
    <row r="193" ht="15.75" customHeight="1">
      <c r="A193" s="87" t="s">
        <v>170</v>
      </c>
      <c r="B193" s="100"/>
      <c r="C193" s="101" t="s">
        <v>1179</v>
      </c>
      <c r="D193" s="74">
        <v>53.21189</v>
      </c>
      <c r="E193" s="74">
        <v>34.40884</v>
      </c>
      <c r="F193" s="59">
        <v>1.0</v>
      </c>
      <c r="G193" s="151" t="s">
        <v>2251</v>
      </c>
      <c r="H193" s="104" t="s">
        <v>66</v>
      </c>
      <c r="I193" s="82"/>
      <c r="J193" s="63" t="s">
        <v>2252</v>
      </c>
      <c r="K193" s="152" t="s">
        <v>2253</v>
      </c>
      <c r="L193" s="110" t="s">
        <v>79</v>
      </c>
      <c r="M193" s="92" t="s">
        <v>240</v>
      </c>
      <c r="N193" s="92" t="s">
        <v>603</v>
      </c>
      <c r="O193" s="111"/>
      <c r="P193" s="67" t="str">
        <f t="shared" si="1"/>
        <v>53.21189, 34.40884</v>
      </c>
      <c r="Q193" s="67" t="str">
        <f t="shared" si="2"/>
        <v>53.211293, 34.409161</v>
      </c>
      <c r="R193" s="67">
        <f t="shared" si="3"/>
        <v>53.211293</v>
      </c>
      <c r="S193" s="67">
        <f t="shared" si="4"/>
        <v>34.409161</v>
      </c>
      <c r="T193" s="99"/>
      <c r="U193" s="156" t="s">
        <v>2254</v>
      </c>
      <c r="V193" s="65" t="s">
        <v>2255</v>
      </c>
      <c r="W193" s="71" t="s">
        <v>74</v>
      </c>
      <c r="X193" s="72" t="s">
        <v>75</v>
      </c>
      <c r="Y193" s="61" t="s">
        <v>76</v>
      </c>
      <c r="Z193" s="73"/>
      <c r="AA193" s="61" t="s">
        <v>77</v>
      </c>
      <c r="AB193" s="61" t="s">
        <v>78</v>
      </c>
      <c r="AC193" s="73"/>
      <c r="AD193" s="73"/>
      <c r="AE193" s="73"/>
      <c r="AF193" s="73"/>
      <c r="AG193" s="73"/>
      <c r="AH193" s="73"/>
      <c r="AI193" s="61" t="s">
        <v>79</v>
      </c>
      <c r="AJ193" s="75"/>
      <c r="AK193" s="76" t="s">
        <v>798</v>
      </c>
      <c r="AL193" s="83" t="s">
        <v>2256</v>
      </c>
      <c r="AM193" s="71" t="s">
        <v>2257</v>
      </c>
      <c r="AN193" s="105" t="s">
        <v>2258</v>
      </c>
      <c r="AO193" s="71" t="s">
        <v>2259</v>
      </c>
      <c r="AP193" s="99" t="str">
        <f>IMAGE("https://bellingcat-archive.nyc3.cdn.digitaloceanspaces.com/Ukraine_Witness_Datasheet/Worksheet/youtube_dl_1491363628486115332/out2.jpg")</f>
        <v/>
      </c>
      <c r="AQ193" s="105" t="s">
        <v>2260</v>
      </c>
      <c r="AR193" s="71" t="s">
        <v>2261</v>
      </c>
      <c r="AS193" s="71" t="s">
        <v>2262</v>
      </c>
      <c r="AT193" s="71">
        <v>19.388</v>
      </c>
      <c r="AU193" s="89"/>
      <c r="AV193" s="90"/>
      <c r="AW193" s="81"/>
    </row>
    <row r="194" ht="15.75" customHeight="1">
      <c r="A194" s="87" t="s">
        <v>170</v>
      </c>
      <c r="B194" s="100"/>
      <c r="C194" s="101" t="s">
        <v>1066</v>
      </c>
      <c r="D194" s="92">
        <v>47.246165</v>
      </c>
      <c r="E194" s="92">
        <v>39.678457</v>
      </c>
      <c r="F194" s="59">
        <v>1.0</v>
      </c>
      <c r="G194" s="151" t="s">
        <v>2263</v>
      </c>
      <c r="H194" s="104" t="s">
        <v>66</v>
      </c>
      <c r="I194" s="82"/>
      <c r="J194" s="63" t="s">
        <v>2252</v>
      </c>
      <c r="K194" s="152" t="s">
        <v>2264</v>
      </c>
      <c r="L194" s="110" t="s">
        <v>79</v>
      </c>
      <c r="M194" s="92" t="s">
        <v>349</v>
      </c>
      <c r="N194" s="111"/>
      <c r="O194" s="92" t="s">
        <v>1742</v>
      </c>
      <c r="P194" s="67" t="str">
        <f t="shared" si="1"/>
        <v>47.246165, 39.678457</v>
      </c>
      <c r="Q194" s="67" t="str">
        <f t="shared" si="2"/>
        <v>47.24541, 39.678548</v>
      </c>
      <c r="R194" s="67">
        <f t="shared" si="3"/>
        <v>47.24541</v>
      </c>
      <c r="S194" s="67">
        <f t="shared" si="4"/>
        <v>39.678548</v>
      </c>
      <c r="T194" s="99"/>
      <c r="U194" s="69"/>
      <c r="V194" s="65" t="s">
        <v>2265</v>
      </c>
      <c r="W194" s="71" t="s">
        <v>74</v>
      </c>
      <c r="X194" s="72" t="s">
        <v>75</v>
      </c>
      <c r="Y194" s="61" t="s">
        <v>76</v>
      </c>
      <c r="Z194" s="73"/>
      <c r="AA194" s="61" t="s">
        <v>77</v>
      </c>
      <c r="AB194" s="61" t="s">
        <v>78</v>
      </c>
      <c r="AC194" s="73"/>
      <c r="AD194" s="73"/>
      <c r="AE194" s="73"/>
      <c r="AF194" s="73"/>
      <c r="AG194" s="73"/>
      <c r="AH194" s="73"/>
      <c r="AI194" s="61" t="s">
        <v>79</v>
      </c>
      <c r="AJ194" s="75"/>
      <c r="AK194" s="76" t="s">
        <v>798</v>
      </c>
      <c r="AL194" s="83" t="s">
        <v>2266</v>
      </c>
      <c r="AM194" s="71" t="s">
        <v>2267</v>
      </c>
      <c r="AN194" s="105" t="s">
        <v>2268</v>
      </c>
      <c r="AO194" s="71" t="s">
        <v>2269</v>
      </c>
      <c r="AP194" s="99" t="str">
        <f>IMAGE("https://bellingcat-archive.nyc3.cdn.digitaloceanspaces.com/Ukraine_Witness_Datasheet/Worksheet/youtube_dl_1490746729439936515/out2.jpg")</f>
        <v/>
      </c>
      <c r="AQ194" s="105" t="s">
        <v>2270</v>
      </c>
      <c r="AR194" s="71" t="s">
        <v>687</v>
      </c>
      <c r="AS194" s="71" t="s">
        <v>2271</v>
      </c>
      <c r="AT194" s="71">
        <v>31.9</v>
      </c>
      <c r="AU194" s="89"/>
      <c r="AV194" s="90"/>
      <c r="AW194" s="81"/>
    </row>
    <row r="195" ht="15.75" customHeight="1">
      <c r="A195" s="87" t="s">
        <v>170</v>
      </c>
      <c r="B195" s="100"/>
      <c r="C195" s="101" t="s">
        <v>1066</v>
      </c>
      <c r="D195" s="74">
        <v>47.759393</v>
      </c>
      <c r="E195" s="74">
        <v>39.956042</v>
      </c>
      <c r="F195" s="59">
        <v>1.0</v>
      </c>
      <c r="G195" s="151" t="s">
        <v>2272</v>
      </c>
      <c r="H195" s="104" t="s">
        <v>66</v>
      </c>
      <c r="I195" s="82"/>
      <c r="J195" s="63" t="s">
        <v>2252</v>
      </c>
      <c r="K195" s="152" t="s">
        <v>2273</v>
      </c>
      <c r="L195" s="110" t="s">
        <v>79</v>
      </c>
      <c r="M195" s="92" t="s">
        <v>2274</v>
      </c>
      <c r="N195" s="111"/>
      <c r="O195" s="111"/>
      <c r="P195" s="67" t="str">
        <f t="shared" si="1"/>
        <v>47.759393, 39.956042</v>
      </c>
      <c r="Q195" s="67" t="str">
        <f t="shared" si="2"/>
        <v>47.759388, 39.955142</v>
      </c>
      <c r="R195" s="67">
        <f t="shared" si="3"/>
        <v>47.759388</v>
      </c>
      <c r="S195" s="67">
        <f t="shared" si="4"/>
        <v>39.955142</v>
      </c>
      <c r="T195" s="99"/>
      <c r="U195" s="69"/>
      <c r="V195" s="65" t="s">
        <v>2275</v>
      </c>
      <c r="W195" s="71" t="s">
        <v>74</v>
      </c>
      <c r="X195" s="72" t="s">
        <v>75</v>
      </c>
      <c r="Y195" s="61" t="s">
        <v>76</v>
      </c>
      <c r="Z195" s="73"/>
      <c r="AA195" s="61" t="s">
        <v>77</v>
      </c>
      <c r="AB195" s="61" t="s">
        <v>78</v>
      </c>
      <c r="AC195" s="73"/>
      <c r="AD195" s="73"/>
      <c r="AE195" s="73"/>
      <c r="AF195" s="73"/>
      <c r="AG195" s="73"/>
      <c r="AH195" s="73"/>
      <c r="AI195" s="61" t="s">
        <v>79</v>
      </c>
      <c r="AJ195" s="75"/>
      <c r="AK195" s="76" t="s">
        <v>798</v>
      </c>
      <c r="AL195" s="83" t="s">
        <v>2276</v>
      </c>
      <c r="AM195" s="71" t="s">
        <v>2277</v>
      </c>
      <c r="AN195" s="105" t="s">
        <v>2278</v>
      </c>
      <c r="AO195" s="71" t="s">
        <v>2279</v>
      </c>
      <c r="AP195" s="99" t="str">
        <f>IMAGE("https://bellingcat-archive.nyc3.cdn.digitaloceanspaces.com/Ukraine_Witness_Datasheet/Worksheet/youtube_dl_1490617911467196417/out2.jpg")</f>
        <v/>
      </c>
      <c r="AQ195" s="105" t="s">
        <v>2280</v>
      </c>
      <c r="AR195" s="71" t="s">
        <v>2281</v>
      </c>
      <c r="AS195" s="71" t="s">
        <v>2282</v>
      </c>
      <c r="AT195" s="71">
        <v>19.134</v>
      </c>
      <c r="AU195" s="89"/>
      <c r="AV195" s="90"/>
      <c r="AW195" s="81"/>
    </row>
    <row r="196" ht="15.75" customHeight="1">
      <c r="A196" s="87" t="s">
        <v>170</v>
      </c>
      <c r="B196" s="100"/>
      <c r="C196" s="101" t="s">
        <v>1179</v>
      </c>
      <c r="D196" s="74">
        <v>50.496875</v>
      </c>
      <c r="E196" s="74">
        <v>36.389942</v>
      </c>
      <c r="F196" s="59">
        <v>1.0</v>
      </c>
      <c r="G196" s="151" t="s">
        <v>2283</v>
      </c>
      <c r="H196" s="104" t="s">
        <v>66</v>
      </c>
      <c r="I196" s="82"/>
      <c r="J196" s="63" t="s">
        <v>2284</v>
      </c>
      <c r="K196" s="152" t="s">
        <v>2285</v>
      </c>
      <c r="L196" s="110" t="s">
        <v>79</v>
      </c>
      <c r="M196" s="92" t="s">
        <v>2232</v>
      </c>
      <c r="N196" s="111"/>
      <c r="O196" s="92" t="s">
        <v>1259</v>
      </c>
      <c r="P196" s="67" t="str">
        <f t="shared" si="1"/>
        <v>50.496875, 36.389942</v>
      </c>
      <c r="Q196" s="67" t="str">
        <f t="shared" si="2"/>
        <v>50.496668, 36.390371</v>
      </c>
      <c r="R196" s="67">
        <f t="shared" si="3"/>
        <v>50.496668</v>
      </c>
      <c r="S196" s="67">
        <f t="shared" si="4"/>
        <v>36.390371</v>
      </c>
      <c r="T196" s="99"/>
      <c r="U196" s="69"/>
      <c r="V196" s="65" t="s">
        <v>2286</v>
      </c>
      <c r="W196" s="71" t="s">
        <v>74</v>
      </c>
      <c r="X196" s="72" t="s">
        <v>75</v>
      </c>
      <c r="Y196" s="61" t="s">
        <v>76</v>
      </c>
      <c r="Z196" s="73"/>
      <c r="AA196" s="61" t="s">
        <v>77</v>
      </c>
      <c r="AB196" s="61" t="s">
        <v>78</v>
      </c>
      <c r="AC196" s="73"/>
      <c r="AD196" s="73"/>
      <c r="AE196" s="73"/>
      <c r="AF196" s="73"/>
      <c r="AG196" s="73"/>
      <c r="AH196" s="73"/>
      <c r="AI196" s="61" t="s">
        <v>79</v>
      </c>
      <c r="AJ196" s="75"/>
      <c r="AK196" s="76" t="s">
        <v>1261</v>
      </c>
      <c r="AL196" s="83" t="s">
        <v>2287</v>
      </c>
      <c r="AM196" s="71" t="s">
        <v>2288</v>
      </c>
      <c r="AN196" s="105" t="s">
        <v>2289</v>
      </c>
      <c r="AO196" s="99"/>
      <c r="AP196" s="99"/>
      <c r="AQ196" s="99"/>
      <c r="AR196" s="71" t="s">
        <v>2290</v>
      </c>
      <c r="AS196" s="99"/>
      <c r="AT196" s="99"/>
      <c r="AU196" s="89"/>
      <c r="AV196" s="90"/>
      <c r="AW196" s="81"/>
    </row>
    <row r="197" ht="15.75" customHeight="1">
      <c r="A197" s="87" t="s">
        <v>170</v>
      </c>
      <c r="B197" s="100"/>
      <c r="C197" s="101" t="s">
        <v>1772</v>
      </c>
      <c r="D197" s="92">
        <v>51.64824</v>
      </c>
      <c r="E197" s="74">
        <v>35.96009</v>
      </c>
      <c r="F197" s="59">
        <v>1.0</v>
      </c>
      <c r="G197" s="157" t="s">
        <v>2291</v>
      </c>
      <c r="H197" s="104" t="s">
        <v>66</v>
      </c>
      <c r="I197" s="82"/>
      <c r="J197" s="63" t="s">
        <v>2292</v>
      </c>
      <c r="K197" s="152" t="s">
        <v>2293</v>
      </c>
      <c r="L197" s="110" t="s">
        <v>79</v>
      </c>
      <c r="M197" s="92" t="s">
        <v>1028</v>
      </c>
      <c r="N197" s="111"/>
      <c r="O197" s="92" t="s">
        <v>1030</v>
      </c>
      <c r="P197" s="67" t="str">
        <f t="shared" si="1"/>
        <v>51.64824, 35.96009</v>
      </c>
      <c r="Q197" s="67" t="str">
        <f t="shared" si="2"/>
        <v>51.647532, 35.960529</v>
      </c>
      <c r="R197" s="67">
        <f t="shared" si="3"/>
        <v>51.647532</v>
      </c>
      <c r="S197" s="67">
        <f t="shared" si="4"/>
        <v>35.960529</v>
      </c>
      <c r="T197" s="99"/>
      <c r="U197" s="69"/>
      <c r="V197" s="65" t="s">
        <v>2294</v>
      </c>
      <c r="W197" s="71" t="s">
        <v>74</v>
      </c>
      <c r="X197" s="72" t="s">
        <v>75</v>
      </c>
      <c r="Y197" s="61" t="s">
        <v>76</v>
      </c>
      <c r="Z197" s="73"/>
      <c r="AA197" s="61" t="s">
        <v>77</v>
      </c>
      <c r="AB197" s="61" t="s">
        <v>78</v>
      </c>
      <c r="AC197" s="73"/>
      <c r="AD197" s="73"/>
      <c r="AE197" s="73"/>
      <c r="AF197" s="73"/>
      <c r="AG197" s="73"/>
      <c r="AH197" s="73"/>
      <c r="AI197" s="61" t="s">
        <v>79</v>
      </c>
      <c r="AJ197" s="75"/>
      <c r="AK197" s="76" t="s">
        <v>798</v>
      </c>
      <c r="AL197" s="83" t="s">
        <v>2295</v>
      </c>
      <c r="AM197" s="71" t="s">
        <v>2296</v>
      </c>
      <c r="AN197" s="105" t="s">
        <v>2297</v>
      </c>
      <c r="AO197" s="71" t="s">
        <v>2298</v>
      </c>
      <c r="AP197" s="99" t="str">
        <f>IMAGE("https://bellingcat-archive.nyc3.cdn.digitaloceanspaces.com/Ukraine_Witness_Datasheet/Worksheet/youtube_dl_1489919918283935745/out2.jpg")</f>
        <v/>
      </c>
      <c r="AQ197" s="105" t="s">
        <v>2299</v>
      </c>
      <c r="AR197" s="71" t="s">
        <v>1038</v>
      </c>
      <c r="AS197" s="71" t="s">
        <v>2300</v>
      </c>
      <c r="AT197" s="71">
        <v>11.133</v>
      </c>
      <c r="AU197" s="89"/>
      <c r="AV197" s="90"/>
      <c r="AW197" s="81"/>
    </row>
    <row r="198" ht="15.75" customHeight="1">
      <c r="A198" s="95" t="s">
        <v>63</v>
      </c>
      <c r="B198" s="100"/>
      <c r="C198" s="101" t="s">
        <v>2145</v>
      </c>
      <c r="D198" s="58">
        <v>51.56716</v>
      </c>
      <c r="E198" s="58">
        <v>39.24672</v>
      </c>
      <c r="F198" s="59">
        <v>1.0</v>
      </c>
      <c r="G198" s="151" t="s">
        <v>2301</v>
      </c>
      <c r="H198" s="104" t="s">
        <v>66</v>
      </c>
      <c r="I198" s="82"/>
      <c r="J198" s="63" t="s">
        <v>2302</v>
      </c>
      <c r="K198" s="153"/>
      <c r="L198" s="110" t="s">
        <v>79</v>
      </c>
      <c r="M198" s="92" t="s">
        <v>563</v>
      </c>
      <c r="N198" s="111"/>
      <c r="O198" s="92" t="s">
        <v>2303</v>
      </c>
      <c r="P198" s="67" t="str">
        <f t="shared" si="1"/>
        <v>51.56716, 39.24672</v>
      </c>
      <c r="Q198" s="67" t="str">
        <f t="shared" si="2"/>
        <v>51.566898, 39.245826</v>
      </c>
      <c r="R198" s="67">
        <f t="shared" si="3"/>
        <v>51.566898</v>
      </c>
      <c r="S198" s="67">
        <f t="shared" si="4"/>
        <v>39.245826</v>
      </c>
      <c r="T198" s="71" t="s">
        <v>2304</v>
      </c>
      <c r="U198" s="69"/>
      <c r="V198" s="65" t="s">
        <v>2305</v>
      </c>
      <c r="W198" s="71" t="s">
        <v>74</v>
      </c>
      <c r="X198" s="72" t="s">
        <v>75</v>
      </c>
      <c r="Y198" s="61" t="s">
        <v>76</v>
      </c>
      <c r="Z198" s="73"/>
      <c r="AA198" s="61" t="s">
        <v>77</v>
      </c>
      <c r="AB198" s="61" t="s">
        <v>78</v>
      </c>
      <c r="AC198" s="73"/>
      <c r="AD198" s="73"/>
      <c r="AE198" s="73"/>
      <c r="AF198" s="73"/>
      <c r="AG198" s="73"/>
      <c r="AH198" s="73"/>
      <c r="AI198" s="61" t="s">
        <v>79</v>
      </c>
      <c r="AJ198" s="75"/>
      <c r="AK198" s="76" t="s">
        <v>798</v>
      </c>
      <c r="AL198" s="83" t="s">
        <v>2306</v>
      </c>
      <c r="AM198" s="71" t="s">
        <v>2307</v>
      </c>
      <c r="AN198" s="105" t="s">
        <v>2308</v>
      </c>
      <c r="AO198" s="71" t="s">
        <v>2309</v>
      </c>
      <c r="AP198" s="99" t="str">
        <f>IMAGE("https://bellingcat-archive.nyc3.cdn.digitaloceanspaces.com/Ukraine_Witness_Datasheet/Worksheet/youtube_dl_1492213193250324487/out2.jpg")</f>
        <v/>
      </c>
      <c r="AQ198" s="105" t="s">
        <v>2310</v>
      </c>
      <c r="AR198" s="71" t="s">
        <v>599</v>
      </c>
      <c r="AS198" s="71" t="s">
        <v>2311</v>
      </c>
      <c r="AT198" s="71">
        <v>48.567</v>
      </c>
      <c r="AU198" s="89"/>
      <c r="AV198" s="90"/>
      <c r="AW198" s="81"/>
    </row>
    <row r="199" ht="15.75" customHeight="1">
      <c r="A199" s="95" t="s">
        <v>63</v>
      </c>
      <c r="B199" s="100"/>
      <c r="C199" s="101" t="s">
        <v>2145</v>
      </c>
      <c r="D199" s="58">
        <v>51.56688</v>
      </c>
      <c r="E199" s="58">
        <v>39.246731</v>
      </c>
      <c r="F199" s="59">
        <v>1.0</v>
      </c>
      <c r="G199" s="151" t="s">
        <v>2312</v>
      </c>
      <c r="H199" s="104" t="s">
        <v>66</v>
      </c>
      <c r="I199" s="82"/>
      <c r="J199" s="63" t="s">
        <v>2302</v>
      </c>
      <c r="K199" s="153"/>
      <c r="L199" s="110" t="s">
        <v>79</v>
      </c>
      <c r="M199" s="92" t="s">
        <v>563</v>
      </c>
      <c r="N199" s="111"/>
      <c r="O199" s="92" t="s">
        <v>2303</v>
      </c>
      <c r="P199" s="67" t="str">
        <f t="shared" si="1"/>
        <v>51.56688, 39.246731</v>
      </c>
      <c r="Q199" s="67" t="str">
        <f t="shared" si="2"/>
        <v>51.566794, 39.247276</v>
      </c>
      <c r="R199" s="67">
        <f t="shared" si="3"/>
        <v>51.566794</v>
      </c>
      <c r="S199" s="67">
        <f t="shared" si="4"/>
        <v>39.247276</v>
      </c>
      <c r="T199" s="127" t="s">
        <v>2304</v>
      </c>
      <c r="U199" s="69"/>
      <c r="V199" s="65" t="s">
        <v>2313</v>
      </c>
      <c r="W199" s="71" t="s">
        <v>74</v>
      </c>
      <c r="X199" s="72" t="s">
        <v>75</v>
      </c>
      <c r="Y199" s="61" t="s">
        <v>76</v>
      </c>
      <c r="Z199" s="73"/>
      <c r="AA199" s="61" t="s">
        <v>77</v>
      </c>
      <c r="AB199" s="61" t="s">
        <v>78</v>
      </c>
      <c r="AC199" s="73"/>
      <c r="AD199" s="73"/>
      <c r="AE199" s="73"/>
      <c r="AF199" s="73"/>
      <c r="AG199" s="73"/>
      <c r="AH199" s="73"/>
      <c r="AI199" s="61" t="s">
        <v>79</v>
      </c>
      <c r="AJ199" s="75"/>
      <c r="AK199" s="76" t="s">
        <v>798</v>
      </c>
      <c r="AL199" s="83" t="s">
        <v>2314</v>
      </c>
      <c r="AM199" s="71" t="s">
        <v>2315</v>
      </c>
      <c r="AN199" s="105" t="s">
        <v>2316</v>
      </c>
      <c r="AO199" s="71" t="s">
        <v>2317</v>
      </c>
      <c r="AP199" s="99" t="str">
        <f>IMAGE("https://bellingcat-archive.nyc3.cdn.digitaloceanspaces.com/Ukraine_Witness_Datasheet/Worksheet/youtube_dl_1492198065775722499/out2.jpg")</f>
        <v/>
      </c>
      <c r="AQ199" s="105" t="s">
        <v>2318</v>
      </c>
      <c r="AR199" s="71" t="s">
        <v>599</v>
      </c>
      <c r="AS199" s="71" t="s">
        <v>2319</v>
      </c>
      <c r="AT199" s="71">
        <v>35.635</v>
      </c>
      <c r="AU199" s="89"/>
      <c r="AV199" s="90"/>
      <c r="AW199" s="81"/>
    </row>
    <row r="200" ht="15.75" customHeight="1">
      <c r="A200" s="120" t="s">
        <v>254</v>
      </c>
      <c r="B200" s="100"/>
      <c r="C200" s="101" t="s">
        <v>1165</v>
      </c>
      <c r="D200" s="121"/>
      <c r="E200" s="121"/>
      <c r="F200" s="59">
        <v>1.0</v>
      </c>
      <c r="G200" s="154" t="s">
        <v>2320</v>
      </c>
      <c r="H200" s="104" t="s">
        <v>66</v>
      </c>
      <c r="I200" s="82"/>
      <c r="J200" s="63" t="s">
        <v>2321</v>
      </c>
      <c r="K200" s="153"/>
      <c r="L200" s="110" t="s">
        <v>79</v>
      </c>
      <c r="M200" s="92" t="s">
        <v>547</v>
      </c>
      <c r="N200" s="111"/>
      <c r="O200" s="111"/>
      <c r="P200" s="67" t="str">
        <f t="shared" si="1"/>
        <v/>
      </c>
      <c r="Q200" s="67" t="str">
        <f t="shared" si="2"/>
        <v/>
      </c>
      <c r="R200" s="67" t="str">
        <f t="shared" si="3"/>
        <v/>
      </c>
      <c r="S200" s="67" t="str">
        <f t="shared" si="4"/>
        <v/>
      </c>
      <c r="T200" s="99"/>
      <c r="U200" s="69"/>
      <c r="V200" s="65" t="s">
        <v>2322</v>
      </c>
      <c r="W200" s="158"/>
      <c r="X200" s="146"/>
      <c r="Y200" s="61" t="s">
        <v>76</v>
      </c>
      <c r="Z200" s="73"/>
      <c r="AA200" s="73"/>
      <c r="AB200" s="73"/>
      <c r="AC200" s="73"/>
      <c r="AD200" s="73"/>
      <c r="AE200" s="73"/>
      <c r="AF200" s="73"/>
      <c r="AG200" s="73"/>
      <c r="AH200" s="73"/>
      <c r="AI200" s="61" t="s">
        <v>79</v>
      </c>
      <c r="AJ200" s="62" t="s">
        <v>2323</v>
      </c>
      <c r="AK200" s="76" t="s">
        <v>962</v>
      </c>
      <c r="AL200" s="83" t="s">
        <v>2324</v>
      </c>
      <c r="AM200" s="71" t="s">
        <v>2325</v>
      </c>
      <c r="AN200" s="105" t="s">
        <v>2326</v>
      </c>
      <c r="AO200" s="71" t="s">
        <v>2327</v>
      </c>
      <c r="AP200" s="99" t="str">
        <f>IMAGE("https://bellingcat-archive.nyc3.cdn.digitaloceanspaces.com/Ukraine_Witness_Datasheet/Worksheet/tiktok_7062583698213833985/out2.jpg")</f>
        <v/>
      </c>
      <c r="AQ200" s="105" t="s">
        <v>2328</v>
      </c>
      <c r="AR200" s="99"/>
      <c r="AS200" s="71" t="s">
        <v>2329</v>
      </c>
      <c r="AT200" s="71">
        <v>47.0</v>
      </c>
      <c r="AU200" s="89"/>
      <c r="AV200" s="90"/>
      <c r="AW200" s="81"/>
    </row>
    <row r="201" ht="15.75" customHeight="1">
      <c r="A201" s="95" t="s">
        <v>63</v>
      </c>
      <c r="B201" s="100"/>
      <c r="C201" s="101" t="s">
        <v>2330</v>
      </c>
      <c r="D201" s="58">
        <v>51.567093</v>
      </c>
      <c r="E201" s="58">
        <v>39.246908</v>
      </c>
      <c r="F201" s="59">
        <v>1.0</v>
      </c>
      <c r="G201" s="151" t="s">
        <v>2331</v>
      </c>
      <c r="H201" s="104" t="s">
        <v>66</v>
      </c>
      <c r="I201" s="82"/>
      <c r="J201" s="63" t="s">
        <v>2302</v>
      </c>
      <c r="K201" s="153"/>
      <c r="L201" s="110" t="s">
        <v>79</v>
      </c>
      <c r="M201" s="92" t="s">
        <v>563</v>
      </c>
      <c r="N201" s="111"/>
      <c r="O201" s="92" t="s">
        <v>2303</v>
      </c>
      <c r="P201" s="67" t="str">
        <f t="shared" si="1"/>
        <v>51.567093, 39.246908</v>
      </c>
      <c r="Q201" s="67" t="str">
        <f t="shared" si="2"/>
        <v>51.566509, 39.247048</v>
      </c>
      <c r="R201" s="67">
        <f t="shared" si="3"/>
        <v>51.566509</v>
      </c>
      <c r="S201" s="67">
        <f t="shared" si="4"/>
        <v>39.247048</v>
      </c>
      <c r="T201" s="127" t="s">
        <v>2304</v>
      </c>
      <c r="U201" s="69"/>
      <c r="V201" s="65" t="s">
        <v>2332</v>
      </c>
      <c r="W201" s="71" t="s">
        <v>74</v>
      </c>
      <c r="X201" s="72" t="s">
        <v>75</v>
      </c>
      <c r="Y201" s="61" t="s">
        <v>76</v>
      </c>
      <c r="Z201" s="73"/>
      <c r="AA201" s="61" t="s">
        <v>77</v>
      </c>
      <c r="AB201" s="61" t="s">
        <v>78</v>
      </c>
      <c r="AC201" s="73"/>
      <c r="AD201" s="73"/>
      <c r="AE201" s="73"/>
      <c r="AF201" s="73"/>
      <c r="AG201" s="73"/>
      <c r="AH201" s="73"/>
      <c r="AI201" s="61" t="s">
        <v>79</v>
      </c>
      <c r="AJ201" s="75"/>
      <c r="AK201" s="76" t="s">
        <v>798</v>
      </c>
      <c r="AL201" s="83" t="s">
        <v>2333</v>
      </c>
      <c r="AM201" s="71" t="s">
        <v>2334</v>
      </c>
      <c r="AN201" s="105" t="s">
        <v>2335</v>
      </c>
      <c r="AO201" s="71" t="s">
        <v>2336</v>
      </c>
      <c r="AP201" s="99" t="str">
        <f>IMAGE("https://bellingcat-archive.nyc3.cdn.digitaloceanspaces.com/Ukraine_Witness_Datasheet/Worksheet/youtube_dl_1492416738595463169/out2.jpg")</f>
        <v/>
      </c>
      <c r="AQ201" s="105" t="s">
        <v>2337</v>
      </c>
      <c r="AR201" s="71" t="s">
        <v>1838</v>
      </c>
      <c r="AS201" s="71" t="s">
        <v>2338</v>
      </c>
      <c r="AT201" s="71">
        <v>16.6</v>
      </c>
      <c r="AU201" s="89"/>
      <c r="AV201" s="90"/>
      <c r="AW201" s="81"/>
    </row>
    <row r="202" ht="15.75" customHeight="1">
      <c r="A202" s="95" t="s">
        <v>63</v>
      </c>
      <c r="B202" s="100"/>
      <c r="C202" s="101" t="s">
        <v>2145</v>
      </c>
      <c r="D202" s="58">
        <v>51.566922</v>
      </c>
      <c r="E202" s="58">
        <v>39.245968</v>
      </c>
      <c r="F202" s="59">
        <v>1.0</v>
      </c>
      <c r="G202" s="151" t="s">
        <v>2339</v>
      </c>
      <c r="H202" s="104" t="s">
        <v>66</v>
      </c>
      <c r="I202" s="82"/>
      <c r="J202" s="63" t="s">
        <v>2340</v>
      </c>
      <c r="K202" s="153"/>
      <c r="L202" s="110" t="s">
        <v>79</v>
      </c>
      <c r="M202" s="92" t="s">
        <v>563</v>
      </c>
      <c r="N202" s="111"/>
      <c r="O202" s="92" t="s">
        <v>2303</v>
      </c>
      <c r="P202" s="67" t="str">
        <f t="shared" si="1"/>
        <v>51.566922, 39.245968</v>
      </c>
      <c r="Q202" s="67" t="str">
        <f t="shared" si="2"/>
        <v>51.566385, 39.245536</v>
      </c>
      <c r="R202" s="67">
        <f t="shared" si="3"/>
        <v>51.566385</v>
      </c>
      <c r="S202" s="67">
        <f t="shared" si="4"/>
        <v>39.245536</v>
      </c>
      <c r="T202" s="127" t="s">
        <v>2304</v>
      </c>
      <c r="U202" s="69"/>
      <c r="V202" s="65" t="s">
        <v>2341</v>
      </c>
      <c r="W202" s="71" t="s">
        <v>74</v>
      </c>
      <c r="X202" s="72" t="s">
        <v>75</v>
      </c>
      <c r="Y202" s="61" t="s">
        <v>76</v>
      </c>
      <c r="Z202" s="73"/>
      <c r="AA202" s="61" t="s">
        <v>77</v>
      </c>
      <c r="AB202" s="61" t="s">
        <v>78</v>
      </c>
      <c r="AC202" s="73"/>
      <c r="AD202" s="73"/>
      <c r="AE202" s="73"/>
      <c r="AF202" s="73"/>
      <c r="AG202" s="73"/>
      <c r="AH202" s="73"/>
      <c r="AI202" s="61" t="s">
        <v>79</v>
      </c>
      <c r="AJ202" s="75"/>
      <c r="AK202" s="76" t="s">
        <v>798</v>
      </c>
      <c r="AL202" s="83" t="s">
        <v>2342</v>
      </c>
      <c r="AM202" s="71" t="s">
        <v>2343</v>
      </c>
      <c r="AN202" s="105" t="s">
        <v>2344</v>
      </c>
      <c r="AO202" s="71" t="s">
        <v>2345</v>
      </c>
      <c r="AP202" s="99" t="str">
        <f>IMAGE("https://bellingcat-archive.nyc3.cdn.digitaloceanspaces.com/Ukraine_Witness_Datasheet/Worksheet/youtube_dl_1492010307178410010/out2.jpg")</f>
        <v/>
      </c>
      <c r="AQ202" s="105" t="s">
        <v>2346</v>
      </c>
      <c r="AR202" s="71" t="s">
        <v>599</v>
      </c>
      <c r="AS202" s="71" t="s">
        <v>2347</v>
      </c>
      <c r="AT202" s="71">
        <v>15.015</v>
      </c>
      <c r="AU202" s="89"/>
      <c r="AV202" s="90"/>
      <c r="AW202" s="81"/>
    </row>
    <row r="203" ht="15.75" customHeight="1">
      <c r="A203" s="87" t="s">
        <v>63</v>
      </c>
      <c r="B203" s="100"/>
      <c r="C203" s="101" t="s">
        <v>1627</v>
      </c>
      <c r="D203" s="104">
        <v>47.648135</v>
      </c>
      <c r="E203" s="104">
        <v>40.023901</v>
      </c>
      <c r="F203" s="59">
        <v>1.0</v>
      </c>
      <c r="G203" s="151" t="s">
        <v>2348</v>
      </c>
      <c r="H203" s="104" t="s">
        <v>66</v>
      </c>
      <c r="I203" s="82"/>
      <c r="J203" s="63" t="s">
        <v>2349</v>
      </c>
      <c r="K203" s="152" t="s">
        <v>2350</v>
      </c>
      <c r="L203" s="110" t="s">
        <v>79</v>
      </c>
      <c r="M203" s="92" t="s">
        <v>349</v>
      </c>
      <c r="N203" s="111"/>
      <c r="O203" s="111"/>
      <c r="P203" s="67" t="str">
        <f t="shared" si="1"/>
        <v>47.648135, 40.023901</v>
      </c>
      <c r="Q203" s="67" t="str">
        <f t="shared" si="2"/>
        <v>47.647684, 40.023562</v>
      </c>
      <c r="R203" s="67">
        <f t="shared" si="3"/>
        <v>47.647684</v>
      </c>
      <c r="S203" s="67">
        <f t="shared" si="4"/>
        <v>40.023562</v>
      </c>
      <c r="T203" s="99"/>
      <c r="U203" s="69"/>
      <c r="V203" s="65" t="s">
        <v>2351</v>
      </c>
      <c r="W203" s="71" t="s">
        <v>74</v>
      </c>
      <c r="X203" s="72" t="s">
        <v>75</v>
      </c>
      <c r="Y203" s="61" t="s">
        <v>76</v>
      </c>
      <c r="Z203" s="73"/>
      <c r="AA203" s="61" t="s">
        <v>77</v>
      </c>
      <c r="AB203" s="61" t="s">
        <v>78</v>
      </c>
      <c r="AC203" s="73"/>
      <c r="AD203" s="73"/>
      <c r="AE203" s="73"/>
      <c r="AF203" s="73"/>
      <c r="AG203" s="73"/>
      <c r="AH203" s="73"/>
      <c r="AI203" s="61" t="s">
        <v>79</v>
      </c>
      <c r="AJ203" s="75"/>
      <c r="AK203" s="76" t="s">
        <v>798</v>
      </c>
      <c r="AL203" s="83" t="s">
        <v>2352</v>
      </c>
      <c r="AM203" s="71" t="s">
        <v>2353</v>
      </c>
      <c r="AN203" s="105" t="s">
        <v>2354</v>
      </c>
      <c r="AO203" s="71" t="s">
        <v>2355</v>
      </c>
      <c r="AP203" s="99" t="str">
        <f>IMAGE("https://bellingcat-archive.nyc3.cdn.digitaloceanspaces.com/Ukraine_Witness_Datasheet/Worksheet/youtube_dl_1491875067554373641/out2.jpg")</f>
        <v/>
      </c>
      <c r="AQ203" s="105" t="s">
        <v>2356</v>
      </c>
      <c r="AR203" s="71" t="s">
        <v>2357</v>
      </c>
      <c r="AS203" s="71" t="s">
        <v>2358</v>
      </c>
      <c r="AT203" s="71">
        <v>47.554</v>
      </c>
      <c r="AU203" s="89"/>
      <c r="AV203" s="90"/>
      <c r="AW203" s="81"/>
    </row>
    <row r="204" ht="15.75" customHeight="1">
      <c r="A204" s="95" t="s">
        <v>63</v>
      </c>
      <c r="B204" s="100"/>
      <c r="C204" s="101" t="s">
        <v>1179</v>
      </c>
      <c r="D204" s="58">
        <v>50.496705</v>
      </c>
      <c r="E204" s="58">
        <v>36.390037</v>
      </c>
      <c r="F204" s="59">
        <v>1.0</v>
      </c>
      <c r="G204" s="151" t="s">
        <v>2359</v>
      </c>
      <c r="H204" s="104" t="s">
        <v>66</v>
      </c>
      <c r="I204" s="82"/>
      <c r="J204" s="63" t="s">
        <v>2284</v>
      </c>
      <c r="K204" s="153"/>
      <c r="L204" s="110" t="s">
        <v>79</v>
      </c>
      <c r="M204" s="92" t="s">
        <v>2232</v>
      </c>
      <c r="N204" s="111"/>
      <c r="O204" s="92" t="s">
        <v>1259</v>
      </c>
      <c r="P204" s="67" t="str">
        <f t="shared" si="1"/>
        <v>50.496705, 36.390037</v>
      </c>
      <c r="Q204" s="67" t="str">
        <f t="shared" si="2"/>
        <v>50.496624, 36.390668</v>
      </c>
      <c r="R204" s="67">
        <f t="shared" si="3"/>
        <v>50.496624</v>
      </c>
      <c r="S204" s="67">
        <f t="shared" si="4"/>
        <v>36.390668</v>
      </c>
      <c r="T204" s="71" t="s">
        <v>2360</v>
      </c>
      <c r="U204" s="69"/>
      <c r="V204" s="65" t="s">
        <v>2361</v>
      </c>
      <c r="W204" s="71" t="s">
        <v>74</v>
      </c>
      <c r="X204" s="72" t="s">
        <v>75</v>
      </c>
      <c r="Y204" s="61" t="s">
        <v>76</v>
      </c>
      <c r="Z204" s="73"/>
      <c r="AA204" s="61" t="s">
        <v>77</v>
      </c>
      <c r="AB204" s="61" t="s">
        <v>78</v>
      </c>
      <c r="AC204" s="73"/>
      <c r="AD204" s="73"/>
      <c r="AE204" s="73"/>
      <c r="AF204" s="73"/>
      <c r="AG204" s="73"/>
      <c r="AH204" s="73"/>
      <c r="AI204" s="61" t="s">
        <v>79</v>
      </c>
      <c r="AJ204" s="75"/>
      <c r="AK204" s="76" t="s">
        <v>798</v>
      </c>
      <c r="AL204" s="83" t="s">
        <v>2362</v>
      </c>
      <c r="AM204" s="71" t="s">
        <v>2363</v>
      </c>
      <c r="AN204" s="105" t="s">
        <v>2364</v>
      </c>
      <c r="AO204" s="71" t="s">
        <v>2365</v>
      </c>
      <c r="AP204" s="99" t="str">
        <f>IMAGE("https://bellingcat-archive.nyc3.cdn.digitaloceanspaces.com/Ukraine_Witness_Datasheet/Worksheet/youtube_dl_1492288109454802951/out2.jpg")</f>
        <v/>
      </c>
      <c r="AQ204" s="105" t="s">
        <v>2366</v>
      </c>
      <c r="AR204" s="71" t="s">
        <v>1051</v>
      </c>
      <c r="AS204" s="71" t="s">
        <v>2367</v>
      </c>
      <c r="AT204" s="71">
        <v>38.012</v>
      </c>
      <c r="AU204" s="89"/>
      <c r="AV204" s="90"/>
      <c r="AW204" s="81"/>
    </row>
    <row r="205" ht="15.75" customHeight="1">
      <c r="A205" s="87" t="s">
        <v>63</v>
      </c>
      <c r="B205" s="121"/>
      <c r="C205" s="101" t="s">
        <v>2330</v>
      </c>
      <c r="D205" s="58">
        <v>52.536045</v>
      </c>
      <c r="E205" s="58">
        <v>31.933512</v>
      </c>
      <c r="F205" s="59">
        <v>1.0</v>
      </c>
      <c r="G205" s="151" t="s">
        <v>2368</v>
      </c>
      <c r="H205" s="104" t="s">
        <v>66</v>
      </c>
      <c r="I205" s="82"/>
      <c r="J205" s="63" t="s">
        <v>2369</v>
      </c>
      <c r="K205" s="152" t="s">
        <v>2370</v>
      </c>
      <c r="L205" s="110" t="s">
        <v>79</v>
      </c>
      <c r="M205" s="92" t="s">
        <v>240</v>
      </c>
      <c r="N205" s="111"/>
      <c r="O205" s="92" t="s">
        <v>2371</v>
      </c>
      <c r="P205" s="67" t="str">
        <f t="shared" si="1"/>
        <v>52.536045, 31.933512</v>
      </c>
      <c r="Q205" s="67" t="str">
        <f t="shared" si="2"/>
        <v>52.535481, 31.933293</v>
      </c>
      <c r="R205" s="67">
        <f t="shared" si="3"/>
        <v>52.535481</v>
      </c>
      <c r="S205" s="67">
        <f t="shared" si="4"/>
        <v>31.933293</v>
      </c>
      <c r="T205" s="99"/>
      <c r="U205" s="69"/>
      <c r="V205" s="65" t="s">
        <v>2372</v>
      </c>
      <c r="W205" s="71" t="s">
        <v>74</v>
      </c>
      <c r="X205" s="72" t="s">
        <v>75</v>
      </c>
      <c r="Y205" s="61" t="s">
        <v>76</v>
      </c>
      <c r="Z205" s="73"/>
      <c r="AA205" s="73"/>
      <c r="AB205" s="73"/>
      <c r="AC205" s="73"/>
      <c r="AD205" s="73"/>
      <c r="AE205" s="73"/>
      <c r="AF205" s="73"/>
      <c r="AG205" s="73"/>
      <c r="AH205" s="73"/>
      <c r="AI205" s="61" t="s">
        <v>79</v>
      </c>
      <c r="AJ205" s="75"/>
      <c r="AK205" s="76" t="s">
        <v>798</v>
      </c>
      <c r="AL205" s="83" t="s">
        <v>2373</v>
      </c>
      <c r="AM205" s="71" t="s">
        <v>2374</v>
      </c>
      <c r="AN205" s="105" t="s">
        <v>2375</v>
      </c>
      <c r="AO205" s="71" t="s">
        <v>2376</v>
      </c>
      <c r="AP205" s="99" t="str">
        <f>IMAGE("https://bellingcat-archive.nyc3.cdn.digitaloceanspaces.com/Ukraine_Witness_Datasheet/Worksheet/youtube_dl_1492301252646129664/out2.jpg")</f>
        <v/>
      </c>
      <c r="AQ205" s="105" t="s">
        <v>2377</v>
      </c>
      <c r="AR205" s="71" t="s">
        <v>2378</v>
      </c>
      <c r="AS205" s="71" t="s">
        <v>2379</v>
      </c>
      <c r="AT205" s="71">
        <v>25.933</v>
      </c>
      <c r="AU205" s="89"/>
      <c r="AV205" s="90"/>
      <c r="AW205" s="81"/>
    </row>
    <row r="206" ht="15.75" customHeight="1">
      <c r="A206" s="87" t="s">
        <v>63</v>
      </c>
      <c r="B206" s="121"/>
      <c r="C206" s="101" t="s">
        <v>2145</v>
      </c>
      <c r="D206" s="58">
        <v>52.308881</v>
      </c>
      <c r="E206" s="58">
        <v>31.147478</v>
      </c>
      <c r="F206" s="59">
        <v>1.0</v>
      </c>
      <c r="G206" s="151" t="s">
        <v>2380</v>
      </c>
      <c r="H206" s="104" t="s">
        <v>66</v>
      </c>
      <c r="I206" s="82"/>
      <c r="J206" s="63" t="s">
        <v>2381</v>
      </c>
      <c r="K206" s="152" t="s">
        <v>2382</v>
      </c>
      <c r="L206" s="110" t="s">
        <v>69</v>
      </c>
      <c r="M206" s="92" t="s">
        <v>70</v>
      </c>
      <c r="N206" s="111"/>
      <c r="O206" s="92" t="s">
        <v>2383</v>
      </c>
      <c r="P206" s="67" t="str">
        <f t="shared" si="1"/>
        <v>52.308881, 31.147478</v>
      </c>
      <c r="Q206" s="67" t="str">
        <f t="shared" si="2"/>
        <v>52.308742, 31.146412</v>
      </c>
      <c r="R206" s="67">
        <f t="shared" si="3"/>
        <v>52.308742</v>
      </c>
      <c r="S206" s="67">
        <f t="shared" si="4"/>
        <v>31.146412</v>
      </c>
      <c r="T206" s="99"/>
      <c r="U206" s="69"/>
      <c r="V206" s="65" t="s">
        <v>2384</v>
      </c>
      <c r="W206" s="71" t="s">
        <v>74</v>
      </c>
      <c r="X206" s="72" t="s">
        <v>75</v>
      </c>
      <c r="Y206" s="61" t="s">
        <v>76</v>
      </c>
      <c r="Z206" s="73"/>
      <c r="AA206" s="73"/>
      <c r="AB206" s="73"/>
      <c r="AC206" s="73"/>
      <c r="AD206" s="73"/>
      <c r="AE206" s="73"/>
      <c r="AF206" s="73"/>
      <c r="AG206" s="73"/>
      <c r="AH206" s="73"/>
      <c r="AI206" s="61" t="s">
        <v>79</v>
      </c>
      <c r="AJ206" s="75"/>
      <c r="AK206" s="76" t="s">
        <v>798</v>
      </c>
      <c r="AL206" s="83" t="s">
        <v>2385</v>
      </c>
      <c r="AM206" s="71" t="s">
        <v>2386</v>
      </c>
      <c r="AN206" s="105" t="s">
        <v>2387</v>
      </c>
      <c r="AO206" s="71" t="s">
        <v>2388</v>
      </c>
      <c r="AP206" s="99" t="str">
        <f>IMAGE("https://bellingcat-archive.nyc3.cdn.digitaloceanspaces.com/Ukraine_Witness_Datasheet/Worksheet/youtube_dl_1492198592580407297/out2.jpg")</f>
        <v/>
      </c>
      <c r="AQ206" s="105" t="s">
        <v>2389</v>
      </c>
      <c r="AR206" s="71" t="s">
        <v>2390</v>
      </c>
      <c r="AS206" s="71" t="s">
        <v>2391</v>
      </c>
      <c r="AT206" s="71">
        <v>26.833</v>
      </c>
      <c r="AU206" s="89"/>
      <c r="AV206" s="90"/>
      <c r="AW206" s="81"/>
    </row>
    <row r="207" ht="15.75" customHeight="1">
      <c r="A207" s="87" t="s">
        <v>63</v>
      </c>
      <c r="B207" s="121"/>
      <c r="C207" s="101" t="s">
        <v>2392</v>
      </c>
      <c r="D207" s="58">
        <v>51.567622</v>
      </c>
      <c r="E207" s="58">
        <v>39.246848</v>
      </c>
      <c r="F207" s="59">
        <v>1.0</v>
      </c>
      <c r="G207" s="151" t="s">
        <v>2393</v>
      </c>
      <c r="H207" s="104" t="s">
        <v>66</v>
      </c>
      <c r="I207" s="82"/>
      <c r="J207" s="63" t="s">
        <v>2394</v>
      </c>
      <c r="K207" s="152" t="s">
        <v>2395</v>
      </c>
      <c r="L207" s="110" t="s">
        <v>79</v>
      </c>
      <c r="M207" s="92" t="s">
        <v>563</v>
      </c>
      <c r="N207" s="111"/>
      <c r="O207" s="92" t="s">
        <v>2303</v>
      </c>
      <c r="P207" s="67" t="str">
        <f t="shared" si="1"/>
        <v>51.567622, 39.246848</v>
      </c>
      <c r="Q207" s="67" t="str">
        <f t="shared" si="2"/>
        <v>51.56744, 39.245895</v>
      </c>
      <c r="R207" s="67">
        <f t="shared" si="3"/>
        <v>51.56744</v>
      </c>
      <c r="S207" s="67">
        <f t="shared" si="4"/>
        <v>39.245895</v>
      </c>
      <c r="T207" s="99"/>
      <c r="U207" s="69"/>
      <c r="V207" s="65" t="s">
        <v>2396</v>
      </c>
      <c r="W207" s="71" t="s">
        <v>74</v>
      </c>
      <c r="X207" s="72" t="s">
        <v>75</v>
      </c>
      <c r="Y207" s="61" t="s">
        <v>76</v>
      </c>
      <c r="Z207" s="73"/>
      <c r="AA207" s="73"/>
      <c r="AB207" s="73"/>
      <c r="AC207" s="73"/>
      <c r="AD207" s="73"/>
      <c r="AE207" s="73"/>
      <c r="AF207" s="73"/>
      <c r="AG207" s="73"/>
      <c r="AH207" s="73"/>
      <c r="AI207" s="61" t="s">
        <v>79</v>
      </c>
      <c r="AJ207" s="75"/>
      <c r="AK207" s="76" t="s">
        <v>798</v>
      </c>
      <c r="AL207" s="83" t="s">
        <v>2397</v>
      </c>
      <c r="AM207" s="71" t="s">
        <v>2398</v>
      </c>
      <c r="AN207" s="105" t="s">
        <v>2399</v>
      </c>
      <c r="AO207" s="71" t="s">
        <v>2400</v>
      </c>
      <c r="AP207" s="99" t="str">
        <f>IMAGE("https://bellingcat-archive.nyc3.cdn.digitaloceanspaces.com/Ukraine_Witness_Datasheet/Worksheet/youtube_dl_1493153776341028866/out2.jpg")</f>
        <v/>
      </c>
      <c r="AQ207" s="105" t="s">
        <v>2401</v>
      </c>
      <c r="AR207" s="71" t="s">
        <v>2402</v>
      </c>
      <c r="AS207" s="71" t="s">
        <v>2403</v>
      </c>
      <c r="AT207" s="71">
        <v>34.295</v>
      </c>
      <c r="AU207" s="89"/>
      <c r="AV207" s="90"/>
      <c r="AW207" s="81"/>
    </row>
    <row r="208" ht="15.75" customHeight="1">
      <c r="A208" s="87" t="s">
        <v>63</v>
      </c>
      <c r="B208" s="100"/>
      <c r="C208" s="101" t="s">
        <v>2145</v>
      </c>
      <c r="D208" s="58">
        <v>44.766673</v>
      </c>
      <c r="E208" s="58">
        <v>33.865893</v>
      </c>
      <c r="F208" s="59">
        <v>1.0</v>
      </c>
      <c r="G208" s="151" t="s">
        <v>2404</v>
      </c>
      <c r="H208" s="104" t="s">
        <v>66</v>
      </c>
      <c r="I208" s="82"/>
      <c r="J208" s="63" t="s">
        <v>2405</v>
      </c>
      <c r="K208" s="152" t="s">
        <v>2406</v>
      </c>
      <c r="L208" s="134"/>
      <c r="M208" s="92" t="s">
        <v>407</v>
      </c>
      <c r="N208" s="111"/>
      <c r="O208" s="111"/>
      <c r="P208" s="67" t="str">
        <f t="shared" si="1"/>
        <v>44.766673, 33.865893</v>
      </c>
      <c r="Q208" s="67" t="str">
        <f t="shared" si="2"/>
        <v>44.766034, 33.8665</v>
      </c>
      <c r="R208" s="67">
        <f t="shared" si="3"/>
        <v>44.766034</v>
      </c>
      <c r="S208" s="67">
        <f t="shared" si="4"/>
        <v>33.8665</v>
      </c>
      <c r="T208" s="71" t="s">
        <v>2407</v>
      </c>
      <c r="U208" s="69"/>
      <c r="V208" s="65" t="s">
        <v>2408</v>
      </c>
      <c r="W208" s="71" t="s">
        <v>74</v>
      </c>
      <c r="X208" s="72" t="s">
        <v>75</v>
      </c>
      <c r="Y208" s="61" t="s">
        <v>76</v>
      </c>
      <c r="Z208" s="73"/>
      <c r="AA208" s="61" t="s">
        <v>2409</v>
      </c>
      <c r="AB208" s="61" t="s">
        <v>78</v>
      </c>
      <c r="AC208" s="73"/>
      <c r="AD208" s="73"/>
      <c r="AE208" s="73"/>
      <c r="AF208" s="73"/>
      <c r="AG208" s="73"/>
      <c r="AH208" s="73"/>
      <c r="AI208" s="61" t="s">
        <v>79</v>
      </c>
      <c r="AJ208" s="75"/>
      <c r="AK208" s="76" t="s">
        <v>798</v>
      </c>
      <c r="AL208" s="83" t="s">
        <v>2410</v>
      </c>
      <c r="AM208" s="71" t="s">
        <v>2411</v>
      </c>
      <c r="AN208" s="105" t="s">
        <v>2412</v>
      </c>
      <c r="AO208" s="71" t="s">
        <v>2413</v>
      </c>
      <c r="AP208" s="99" t="str">
        <f>IMAGE("https://bellingcat-archive.nyc3.cdn.digitaloceanspaces.com/Ukraine_Witness_Datasheet/Worksheet/youtube_dl_1492329248052420610/out2.jpg")</f>
        <v/>
      </c>
      <c r="AQ208" s="105" t="s">
        <v>2414</v>
      </c>
      <c r="AR208" s="71" t="s">
        <v>2415</v>
      </c>
      <c r="AS208" s="71" t="s">
        <v>2416</v>
      </c>
      <c r="AT208" s="71">
        <v>45.366</v>
      </c>
      <c r="AU208" s="89"/>
      <c r="AV208" s="90"/>
      <c r="AW208" s="81"/>
    </row>
    <row r="209" ht="15.75" customHeight="1">
      <c r="A209" s="87" t="s">
        <v>63</v>
      </c>
      <c r="B209" s="100"/>
      <c r="C209" s="101" t="s">
        <v>2145</v>
      </c>
      <c r="D209" s="58">
        <v>44.766536</v>
      </c>
      <c r="E209" s="58">
        <v>33.866923</v>
      </c>
      <c r="F209" s="59">
        <v>1.0</v>
      </c>
      <c r="G209" s="151" t="s">
        <v>2417</v>
      </c>
      <c r="H209" s="104" t="s">
        <v>66</v>
      </c>
      <c r="I209" s="82"/>
      <c r="J209" s="63" t="s">
        <v>2405</v>
      </c>
      <c r="K209" s="152" t="s">
        <v>2406</v>
      </c>
      <c r="L209" s="134"/>
      <c r="M209" s="92" t="s">
        <v>407</v>
      </c>
      <c r="N209" s="111"/>
      <c r="O209" s="111"/>
      <c r="P209" s="67" t="str">
        <f t="shared" si="1"/>
        <v>44.766536, 33.866923</v>
      </c>
      <c r="Q209" s="67" t="str">
        <f t="shared" si="2"/>
        <v>44.766493, 33.867552</v>
      </c>
      <c r="R209" s="67">
        <f t="shared" si="3"/>
        <v>44.766493</v>
      </c>
      <c r="S209" s="67">
        <f t="shared" si="4"/>
        <v>33.867552</v>
      </c>
      <c r="T209" s="71" t="s">
        <v>2407</v>
      </c>
      <c r="U209" s="69"/>
      <c r="V209" s="65" t="s">
        <v>2418</v>
      </c>
      <c r="W209" s="71" t="s">
        <v>74</v>
      </c>
      <c r="X209" s="72" t="s">
        <v>75</v>
      </c>
      <c r="Y209" s="61" t="s">
        <v>76</v>
      </c>
      <c r="Z209" s="73"/>
      <c r="AA209" s="61" t="s">
        <v>2409</v>
      </c>
      <c r="AB209" s="61" t="s">
        <v>78</v>
      </c>
      <c r="AC209" s="73"/>
      <c r="AD209" s="73"/>
      <c r="AE209" s="73"/>
      <c r="AF209" s="73"/>
      <c r="AG209" s="73"/>
      <c r="AH209" s="73"/>
      <c r="AI209" s="61" t="s">
        <v>79</v>
      </c>
      <c r="AJ209" s="75"/>
      <c r="AK209" s="76" t="s">
        <v>798</v>
      </c>
      <c r="AL209" s="83" t="s">
        <v>2419</v>
      </c>
      <c r="AM209" s="71" t="s">
        <v>2420</v>
      </c>
      <c r="AN209" s="105" t="s">
        <v>2421</v>
      </c>
      <c r="AO209" s="71" t="s">
        <v>2422</v>
      </c>
      <c r="AP209" s="99" t="str">
        <f>IMAGE("https://bellingcat-archive.nyc3.cdn.digitaloceanspaces.com/Ukraine_Witness_Datasheet/Worksheet/youtube_dl_1492329377048244228/out2.jpg")</f>
        <v/>
      </c>
      <c r="AQ209" s="105" t="s">
        <v>2423</v>
      </c>
      <c r="AR209" s="71" t="s">
        <v>2424</v>
      </c>
      <c r="AS209" s="71" t="s">
        <v>2425</v>
      </c>
      <c r="AT209" s="71">
        <v>40.9</v>
      </c>
      <c r="AU209" s="89"/>
      <c r="AV209" s="90"/>
      <c r="AW209" s="81"/>
    </row>
    <row r="210" ht="15.75" customHeight="1">
      <c r="A210" s="95" t="s">
        <v>63</v>
      </c>
      <c r="B210" s="100"/>
      <c r="C210" s="101" t="s">
        <v>222</v>
      </c>
      <c r="D210" s="104">
        <v>52.945276</v>
      </c>
      <c r="E210" s="104">
        <v>36.577722</v>
      </c>
      <c r="F210" s="59">
        <v>1.0</v>
      </c>
      <c r="G210" s="159" t="s">
        <v>2426</v>
      </c>
      <c r="H210" s="104" t="s">
        <v>66</v>
      </c>
      <c r="I210" s="82"/>
      <c r="J210" s="63" t="s">
        <v>68</v>
      </c>
      <c r="K210" s="153"/>
      <c r="L210" s="110" t="s">
        <v>79</v>
      </c>
      <c r="M210" s="92" t="s">
        <v>534</v>
      </c>
      <c r="N210" s="111"/>
      <c r="O210" s="92" t="s">
        <v>2427</v>
      </c>
      <c r="P210" s="67" t="str">
        <f t="shared" si="1"/>
        <v>52.945276, 36.577722</v>
      </c>
      <c r="Q210" s="67" t="str">
        <f t="shared" si="2"/>
        <v>52.945195, 36.576799</v>
      </c>
      <c r="R210" s="67">
        <f t="shared" si="3"/>
        <v>52.945195</v>
      </c>
      <c r="S210" s="67">
        <f t="shared" si="4"/>
        <v>36.576799</v>
      </c>
      <c r="T210" s="99"/>
      <c r="U210" s="69"/>
      <c r="V210" s="65" t="s">
        <v>2428</v>
      </c>
      <c r="W210" s="71" t="s">
        <v>74</v>
      </c>
      <c r="X210" s="72" t="s">
        <v>75</v>
      </c>
      <c r="Y210" s="61" t="s">
        <v>76</v>
      </c>
      <c r="Z210" s="73"/>
      <c r="AA210" s="61" t="s">
        <v>2409</v>
      </c>
      <c r="AB210" s="61" t="s">
        <v>1045</v>
      </c>
      <c r="AC210" s="73"/>
      <c r="AD210" s="73"/>
      <c r="AE210" s="73"/>
      <c r="AF210" s="73"/>
      <c r="AG210" s="73"/>
      <c r="AH210" s="73"/>
      <c r="AI210" s="61" t="s">
        <v>79</v>
      </c>
      <c r="AJ210" s="75"/>
      <c r="AK210" s="136" t="s">
        <v>2429</v>
      </c>
      <c r="AL210" s="160"/>
      <c r="AM210" s="138" t="s">
        <v>2430</v>
      </c>
      <c r="AN210" s="139"/>
      <c r="AO210" s="139"/>
      <c r="AP210" s="139"/>
      <c r="AQ210" s="139"/>
      <c r="AR210" s="139"/>
      <c r="AS210" s="139"/>
      <c r="AT210" s="139"/>
      <c r="AU210" s="89"/>
      <c r="AV210" s="90"/>
      <c r="AW210" s="81"/>
    </row>
    <row r="211" ht="15.75" customHeight="1">
      <c r="A211" s="95" t="s">
        <v>63</v>
      </c>
      <c r="B211" s="100"/>
      <c r="C211" s="101" t="s">
        <v>2330</v>
      </c>
      <c r="D211" s="58">
        <v>50.618404</v>
      </c>
      <c r="E211" s="58">
        <v>38.66955</v>
      </c>
      <c r="F211" s="59">
        <v>1.0</v>
      </c>
      <c r="G211" s="151" t="s">
        <v>2431</v>
      </c>
      <c r="H211" s="104" t="s">
        <v>66</v>
      </c>
      <c r="I211" s="82"/>
      <c r="J211" s="63" t="s">
        <v>68</v>
      </c>
      <c r="K211" s="153"/>
      <c r="L211" s="110" t="s">
        <v>79</v>
      </c>
      <c r="M211" s="92" t="s">
        <v>547</v>
      </c>
      <c r="N211" s="111"/>
      <c r="O211" s="92" t="s">
        <v>2432</v>
      </c>
      <c r="P211" s="67" t="str">
        <f t="shared" si="1"/>
        <v>50.618404, 38.66955</v>
      </c>
      <c r="Q211" s="67" t="str">
        <f t="shared" si="2"/>
        <v>50.618344, 38.670096</v>
      </c>
      <c r="R211" s="67">
        <f t="shared" si="3"/>
        <v>50.618344</v>
      </c>
      <c r="S211" s="67">
        <f t="shared" si="4"/>
        <v>38.670096</v>
      </c>
      <c r="T211" s="99"/>
      <c r="U211" s="69"/>
      <c r="V211" s="65" t="s">
        <v>2433</v>
      </c>
      <c r="W211" s="71" t="s">
        <v>74</v>
      </c>
      <c r="X211" s="72" t="s">
        <v>75</v>
      </c>
      <c r="Y211" s="61" t="s">
        <v>76</v>
      </c>
      <c r="Z211" s="73"/>
      <c r="AA211" s="61" t="s">
        <v>2409</v>
      </c>
      <c r="AB211" s="61" t="s">
        <v>1045</v>
      </c>
      <c r="AC211" s="73"/>
      <c r="AD211" s="73"/>
      <c r="AE211" s="73"/>
      <c r="AF211" s="73"/>
      <c r="AG211" s="73"/>
      <c r="AH211" s="73"/>
      <c r="AI211" s="61" t="s">
        <v>79</v>
      </c>
      <c r="AJ211" s="75"/>
      <c r="AK211" s="136" t="s">
        <v>1261</v>
      </c>
      <c r="AL211" s="147" t="s">
        <v>2434</v>
      </c>
      <c r="AM211" s="138" t="s">
        <v>2435</v>
      </c>
      <c r="AN211" s="148" t="s">
        <v>2436</v>
      </c>
      <c r="AO211" s="139"/>
      <c r="AP211" s="139"/>
      <c r="AQ211" s="139"/>
      <c r="AR211" s="138" t="s">
        <v>2437</v>
      </c>
      <c r="AS211" s="139"/>
      <c r="AT211" s="139"/>
      <c r="AU211" s="89"/>
      <c r="AV211" s="90"/>
      <c r="AW211" s="81"/>
    </row>
    <row r="212" ht="15.75" customHeight="1">
      <c r="A212" s="95" t="s">
        <v>63</v>
      </c>
      <c r="B212" s="100"/>
      <c r="C212" s="101" t="s">
        <v>2145</v>
      </c>
      <c r="D212" s="58">
        <v>44.766353</v>
      </c>
      <c r="E212" s="58">
        <v>33.867878</v>
      </c>
      <c r="F212" s="59">
        <v>1.0</v>
      </c>
      <c r="G212" s="151" t="s">
        <v>2438</v>
      </c>
      <c r="H212" s="104" t="s">
        <v>66</v>
      </c>
      <c r="I212" s="82"/>
      <c r="J212" s="63" t="s">
        <v>2405</v>
      </c>
      <c r="K212" s="153"/>
      <c r="L212" s="134"/>
      <c r="M212" s="92" t="s">
        <v>407</v>
      </c>
      <c r="N212" s="111"/>
      <c r="O212" s="111"/>
      <c r="P212" s="67" t="str">
        <f t="shared" si="1"/>
        <v>44.766353, 33.867878</v>
      </c>
      <c r="Q212" s="67" t="str">
        <f t="shared" si="2"/>
        <v>44.765748, 33.868489</v>
      </c>
      <c r="R212" s="67">
        <f t="shared" si="3"/>
        <v>44.765748</v>
      </c>
      <c r="S212" s="67">
        <f t="shared" si="4"/>
        <v>33.868489</v>
      </c>
      <c r="T212" s="71" t="s">
        <v>2439</v>
      </c>
      <c r="U212" s="69"/>
      <c r="V212" s="65" t="s">
        <v>2440</v>
      </c>
      <c r="W212" s="71" t="s">
        <v>74</v>
      </c>
      <c r="X212" s="72" t="s">
        <v>75</v>
      </c>
      <c r="Y212" s="61" t="s">
        <v>76</v>
      </c>
      <c r="Z212" s="73"/>
      <c r="AA212" s="61" t="s">
        <v>2409</v>
      </c>
      <c r="AB212" s="61" t="s">
        <v>78</v>
      </c>
      <c r="AC212" s="73"/>
      <c r="AD212" s="73"/>
      <c r="AE212" s="73"/>
      <c r="AF212" s="73"/>
      <c r="AG212" s="73"/>
      <c r="AH212" s="73"/>
      <c r="AI212" s="61" t="s">
        <v>79</v>
      </c>
      <c r="AJ212" s="75"/>
      <c r="AK212" s="136" t="s">
        <v>1261</v>
      </c>
      <c r="AL212" s="147" t="s">
        <v>2441</v>
      </c>
      <c r="AM212" s="138" t="s">
        <v>2442</v>
      </c>
      <c r="AN212" s="148" t="s">
        <v>2443</v>
      </c>
      <c r="AO212" s="139"/>
      <c r="AP212" s="139"/>
      <c r="AQ212" s="139"/>
      <c r="AR212" s="138" t="s">
        <v>2444</v>
      </c>
      <c r="AS212" s="139"/>
      <c r="AT212" s="139"/>
      <c r="AU212" s="89"/>
      <c r="AV212" s="90"/>
      <c r="AW212" s="81"/>
    </row>
    <row r="213" ht="15.75" customHeight="1">
      <c r="A213" s="95" t="s">
        <v>63</v>
      </c>
      <c r="B213" s="100"/>
      <c r="C213" s="101" t="s">
        <v>2330</v>
      </c>
      <c r="D213" s="104">
        <v>50.653372</v>
      </c>
      <c r="E213" s="104">
        <v>36.53652</v>
      </c>
      <c r="F213" s="59">
        <v>1.0</v>
      </c>
      <c r="G213" s="151" t="s">
        <v>2445</v>
      </c>
      <c r="H213" s="104" t="s">
        <v>66</v>
      </c>
      <c r="I213" s="82"/>
      <c r="J213" s="63" t="s">
        <v>2446</v>
      </c>
      <c r="K213" s="153"/>
      <c r="L213" s="110" t="s">
        <v>79</v>
      </c>
      <c r="M213" s="92" t="s">
        <v>547</v>
      </c>
      <c r="N213" s="111"/>
      <c r="O213" s="92" t="s">
        <v>547</v>
      </c>
      <c r="P213" s="67" t="str">
        <f t="shared" si="1"/>
        <v>50.653372, 36.53652</v>
      </c>
      <c r="Q213" s="67" t="str">
        <f t="shared" si="2"/>
        <v>50.652843, 36.535589</v>
      </c>
      <c r="R213" s="67">
        <f t="shared" si="3"/>
        <v>50.652843</v>
      </c>
      <c r="S213" s="67">
        <f t="shared" si="4"/>
        <v>36.535589</v>
      </c>
      <c r="T213" s="99"/>
      <c r="U213" s="69"/>
      <c r="V213" s="65" t="s">
        <v>2447</v>
      </c>
      <c r="W213" s="71" t="s">
        <v>74</v>
      </c>
      <c r="X213" s="72" t="s">
        <v>75</v>
      </c>
      <c r="Y213" s="61" t="s">
        <v>76</v>
      </c>
      <c r="Z213" s="73"/>
      <c r="AA213" s="73"/>
      <c r="AB213" s="73"/>
      <c r="AC213" s="73"/>
      <c r="AD213" s="73"/>
      <c r="AE213" s="73"/>
      <c r="AF213" s="73"/>
      <c r="AG213" s="73"/>
      <c r="AH213" s="73"/>
      <c r="AI213" s="73"/>
      <c r="AJ213" s="75"/>
      <c r="AK213" s="76" t="s">
        <v>798</v>
      </c>
      <c r="AL213" s="83" t="s">
        <v>2448</v>
      </c>
      <c r="AM213" s="71" t="s">
        <v>2449</v>
      </c>
      <c r="AN213" s="105" t="s">
        <v>2450</v>
      </c>
      <c r="AO213" s="71" t="s">
        <v>2451</v>
      </c>
      <c r="AP213" s="99" t="str">
        <f>IMAGE("https://bellingcat-archive.nyc3.cdn.digitaloceanspaces.com/Ukraine_Witness_Datasheet/Worksheet/youtube_dl_1492599809320144896/out2.jpg")</f>
        <v/>
      </c>
      <c r="AQ213" s="105" t="s">
        <v>2452</v>
      </c>
      <c r="AR213" s="71" t="s">
        <v>1051</v>
      </c>
      <c r="AS213" s="71" t="s">
        <v>2453</v>
      </c>
      <c r="AT213" s="71">
        <v>11.444</v>
      </c>
      <c r="AU213" s="89"/>
      <c r="AV213" s="90"/>
      <c r="AW213" s="81"/>
    </row>
    <row r="214" ht="15.75" customHeight="1">
      <c r="A214" s="95" t="s">
        <v>63</v>
      </c>
      <c r="B214" s="100"/>
      <c r="C214" s="101" t="s">
        <v>2330</v>
      </c>
      <c r="D214" s="104">
        <v>50.661187</v>
      </c>
      <c r="E214" s="104">
        <v>36.536578</v>
      </c>
      <c r="F214" s="59">
        <v>1.0</v>
      </c>
      <c r="G214" s="151" t="s">
        <v>2454</v>
      </c>
      <c r="H214" s="104" t="s">
        <v>66</v>
      </c>
      <c r="I214" s="82"/>
      <c r="J214" s="63" t="s">
        <v>2455</v>
      </c>
      <c r="K214" s="153"/>
      <c r="L214" s="110" t="s">
        <v>79</v>
      </c>
      <c r="M214" s="92" t="s">
        <v>547</v>
      </c>
      <c r="N214" s="111"/>
      <c r="O214" s="92" t="s">
        <v>547</v>
      </c>
      <c r="P214" s="67" t="str">
        <f t="shared" si="1"/>
        <v>50.661187, 36.536578</v>
      </c>
      <c r="Q214" s="67" t="str">
        <f t="shared" si="2"/>
        <v>50.660401, 36.536483</v>
      </c>
      <c r="R214" s="67">
        <f t="shared" si="3"/>
        <v>50.660401</v>
      </c>
      <c r="S214" s="67">
        <f t="shared" si="4"/>
        <v>36.536483</v>
      </c>
      <c r="T214" s="99"/>
      <c r="U214" s="69"/>
      <c r="V214" s="65" t="s">
        <v>2456</v>
      </c>
      <c r="W214" s="71" t="s">
        <v>74</v>
      </c>
      <c r="X214" s="72" t="s">
        <v>75</v>
      </c>
      <c r="Y214" s="61" t="s">
        <v>76</v>
      </c>
      <c r="Z214" s="73"/>
      <c r="AA214" s="73"/>
      <c r="AB214" s="73"/>
      <c r="AC214" s="73"/>
      <c r="AD214" s="73"/>
      <c r="AE214" s="73"/>
      <c r="AF214" s="73"/>
      <c r="AG214" s="73"/>
      <c r="AH214" s="73"/>
      <c r="AI214" s="73"/>
      <c r="AJ214" s="75"/>
      <c r="AK214" s="76" t="s">
        <v>798</v>
      </c>
      <c r="AL214" s="83" t="s">
        <v>2457</v>
      </c>
      <c r="AM214" s="71" t="s">
        <v>2458</v>
      </c>
      <c r="AN214" s="105" t="s">
        <v>2459</v>
      </c>
      <c r="AO214" s="71" t="s">
        <v>2460</v>
      </c>
      <c r="AP214" s="99" t="str">
        <f>IMAGE("https://bellingcat-archive.nyc3.cdn.digitaloceanspaces.com/Ukraine_Witness_Datasheet/Worksheet/youtube_dl_1492707422938533888/out2.jpg")</f>
        <v/>
      </c>
      <c r="AQ214" s="105" t="s">
        <v>2461</v>
      </c>
      <c r="AR214" s="71" t="s">
        <v>1051</v>
      </c>
      <c r="AS214" s="71" t="s">
        <v>2462</v>
      </c>
      <c r="AT214" s="71">
        <v>27.82</v>
      </c>
      <c r="AU214" s="89"/>
      <c r="AV214" s="90"/>
      <c r="AW214" s="81"/>
    </row>
    <row r="215" ht="15.75" customHeight="1">
      <c r="A215" s="87" t="s">
        <v>63</v>
      </c>
      <c r="B215" s="121"/>
      <c r="C215" s="101" t="s">
        <v>2330</v>
      </c>
      <c r="D215" s="104">
        <v>52.945498</v>
      </c>
      <c r="E215" s="104">
        <v>36.398242</v>
      </c>
      <c r="F215" s="59">
        <v>1.0</v>
      </c>
      <c r="G215" s="151" t="s">
        <v>2463</v>
      </c>
      <c r="H215" s="104" t="s">
        <v>66</v>
      </c>
      <c r="I215" s="82"/>
      <c r="J215" s="63" t="s">
        <v>2464</v>
      </c>
      <c r="K215" s="152" t="s">
        <v>2465</v>
      </c>
      <c r="L215" s="110" t="s">
        <v>79</v>
      </c>
      <c r="M215" s="92" t="s">
        <v>534</v>
      </c>
      <c r="N215" s="92" t="s">
        <v>2466</v>
      </c>
      <c r="O215" s="92" t="s">
        <v>2467</v>
      </c>
      <c r="P215" s="67" t="str">
        <f t="shared" si="1"/>
        <v>52.945498, 36.398242</v>
      </c>
      <c r="Q215" s="67" t="str">
        <f t="shared" si="2"/>
        <v>52.945199, 36.397946</v>
      </c>
      <c r="R215" s="67">
        <f t="shared" si="3"/>
        <v>52.945199</v>
      </c>
      <c r="S215" s="67">
        <f t="shared" si="4"/>
        <v>36.397946</v>
      </c>
      <c r="T215" s="99"/>
      <c r="U215" s="69"/>
      <c r="V215" s="65" t="s">
        <v>2468</v>
      </c>
      <c r="W215" s="71" t="s">
        <v>74</v>
      </c>
      <c r="X215" s="72" t="s">
        <v>75</v>
      </c>
      <c r="Y215" s="61" t="s">
        <v>76</v>
      </c>
      <c r="Z215" s="73"/>
      <c r="AA215" s="73"/>
      <c r="AB215" s="73"/>
      <c r="AC215" s="73"/>
      <c r="AD215" s="73"/>
      <c r="AE215" s="73"/>
      <c r="AF215" s="73"/>
      <c r="AG215" s="73"/>
      <c r="AH215" s="73"/>
      <c r="AI215" s="73"/>
      <c r="AJ215" s="75"/>
      <c r="AK215" s="76" t="s">
        <v>798</v>
      </c>
      <c r="AL215" s="83" t="s">
        <v>2469</v>
      </c>
      <c r="AM215" s="71" t="s">
        <v>2470</v>
      </c>
      <c r="AN215" s="105" t="s">
        <v>2471</v>
      </c>
      <c r="AO215" s="71" t="s">
        <v>2472</v>
      </c>
      <c r="AP215" s="99" t="str">
        <f>IMAGE("https://bellingcat-archive.nyc3.cdn.digitaloceanspaces.com/Ukraine_Witness_Datasheet/Worksheet/youtube_dl_1492465543533711362/out2.jpg")</f>
        <v/>
      </c>
      <c r="AQ215" s="105" t="s">
        <v>2473</v>
      </c>
      <c r="AR215" s="71" t="s">
        <v>2474</v>
      </c>
      <c r="AS215" s="71" t="s">
        <v>2475</v>
      </c>
      <c r="AT215" s="71">
        <v>28.88</v>
      </c>
      <c r="AU215" s="89"/>
      <c r="AV215" s="90"/>
      <c r="AW215" s="81"/>
    </row>
    <row r="216" ht="15.75" customHeight="1">
      <c r="A216" s="87" t="s">
        <v>63</v>
      </c>
      <c r="B216" s="121"/>
      <c r="C216" s="101" t="s">
        <v>2392</v>
      </c>
      <c r="D216" s="104">
        <v>52.290976</v>
      </c>
      <c r="E216" s="104">
        <v>30.452764</v>
      </c>
      <c r="F216" s="59">
        <v>1.0</v>
      </c>
      <c r="G216" s="154" t="s">
        <v>2476</v>
      </c>
      <c r="H216" s="104" t="s">
        <v>66</v>
      </c>
      <c r="I216" s="82"/>
      <c r="J216" s="63" t="s">
        <v>2477</v>
      </c>
      <c r="K216" s="69"/>
      <c r="L216" s="110" t="s">
        <v>69</v>
      </c>
      <c r="M216" s="92" t="s">
        <v>70</v>
      </c>
      <c r="N216" s="111"/>
      <c r="O216" s="111"/>
      <c r="P216" s="67" t="str">
        <f t="shared" si="1"/>
        <v>52.290976, 30.452764</v>
      </c>
      <c r="Q216" s="67" t="str">
        <f t="shared" si="2"/>
        <v>52.290219, 30.453056</v>
      </c>
      <c r="R216" s="67">
        <f t="shared" si="3"/>
        <v>52.290219</v>
      </c>
      <c r="S216" s="67">
        <f t="shared" si="4"/>
        <v>30.453056</v>
      </c>
      <c r="T216" s="99"/>
      <c r="U216" s="69"/>
      <c r="V216" s="65" t="s">
        <v>2478</v>
      </c>
      <c r="W216" s="71" t="s">
        <v>74</v>
      </c>
      <c r="X216" s="72" t="s">
        <v>75</v>
      </c>
      <c r="Y216" s="61" t="s">
        <v>76</v>
      </c>
      <c r="Z216" s="73"/>
      <c r="AA216" s="73"/>
      <c r="AB216" s="73"/>
      <c r="AC216" s="73"/>
      <c r="AD216" s="73"/>
      <c r="AE216" s="73"/>
      <c r="AF216" s="73"/>
      <c r="AG216" s="73"/>
      <c r="AH216" s="73"/>
      <c r="AI216" s="73"/>
      <c r="AJ216" s="75"/>
      <c r="AK216" s="76" t="s">
        <v>798</v>
      </c>
      <c r="AL216" s="83" t="s">
        <v>2479</v>
      </c>
      <c r="AM216" s="71" t="s">
        <v>2480</v>
      </c>
      <c r="AN216" s="105" t="s">
        <v>2481</v>
      </c>
      <c r="AO216" s="71" t="s">
        <v>2482</v>
      </c>
      <c r="AP216" s="99" t="str">
        <f>IMAGE("https://bellingcat-archive.nyc3.cdn.digitaloceanspaces.com/Ukraine_Witness_Datasheet/Worksheet/youtube_dl_1492871476751613952/out3.jpg")</f>
        <v/>
      </c>
      <c r="AQ216" s="105" t="s">
        <v>2483</v>
      </c>
      <c r="AR216" s="71" t="s">
        <v>2484</v>
      </c>
      <c r="AS216" s="71" t="s">
        <v>2485</v>
      </c>
      <c r="AT216" s="71">
        <v>64.017</v>
      </c>
      <c r="AU216" s="89"/>
      <c r="AV216" s="90"/>
      <c r="AW216" s="81"/>
    </row>
    <row r="217" ht="15.75" customHeight="1">
      <c r="A217" s="87" t="s">
        <v>63</v>
      </c>
      <c r="B217" s="121"/>
      <c r="C217" s="101" t="s">
        <v>2392</v>
      </c>
      <c r="D217" s="104">
        <v>52.289886</v>
      </c>
      <c r="E217" s="104">
        <v>30.36134</v>
      </c>
      <c r="F217" s="59">
        <v>1.0</v>
      </c>
      <c r="G217" s="154" t="s">
        <v>2486</v>
      </c>
      <c r="H217" s="104" t="s">
        <v>66</v>
      </c>
      <c r="I217" s="82"/>
      <c r="J217" s="63" t="s">
        <v>2477</v>
      </c>
      <c r="K217" s="69"/>
      <c r="L217" s="110" t="s">
        <v>69</v>
      </c>
      <c r="M217" s="92" t="s">
        <v>70</v>
      </c>
      <c r="N217" s="111"/>
      <c r="O217" s="92" t="s">
        <v>1958</v>
      </c>
      <c r="P217" s="67" t="str">
        <f t="shared" si="1"/>
        <v>52.289886, 30.36134</v>
      </c>
      <c r="Q217" s="67" t="str">
        <f t="shared" si="2"/>
        <v>52.28981, 30.360808</v>
      </c>
      <c r="R217" s="67">
        <f t="shared" si="3"/>
        <v>52.28981</v>
      </c>
      <c r="S217" s="67">
        <f t="shared" si="4"/>
        <v>30.360808</v>
      </c>
      <c r="T217" s="99"/>
      <c r="U217" s="69"/>
      <c r="V217" s="65" t="s">
        <v>2487</v>
      </c>
      <c r="W217" s="71" t="s">
        <v>74</v>
      </c>
      <c r="X217" s="72" t="s">
        <v>75</v>
      </c>
      <c r="Y217" s="61" t="s">
        <v>76</v>
      </c>
      <c r="Z217" s="73"/>
      <c r="AA217" s="73"/>
      <c r="AB217" s="73"/>
      <c r="AC217" s="73"/>
      <c r="AD217" s="73"/>
      <c r="AE217" s="73"/>
      <c r="AF217" s="73"/>
      <c r="AG217" s="73"/>
      <c r="AH217" s="73"/>
      <c r="AI217" s="73"/>
      <c r="AJ217" s="75"/>
      <c r="AK217" s="76" t="s">
        <v>798</v>
      </c>
      <c r="AL217" s="83" t="s">
        <v>2488</v>
      </c>
      <c r="AM217" s="71" t="s">
        <v>2489</v>
      </c>
      <c r="AN217" s="105" t="s">
        <v>2490</v>
      </c>
      <c r="AO217" s="71" t="s">
        <v>2491</v>
      </c>
      <c r="AP217" s="99" t="str">
        <f>IMAGE("https://bellingcat-archive.nyc3.cdn.digitaloceanspaces.com/Ukraine_Witness_Datasheet/Worksheet/youtube_dl_1492871991082340357/out2.jpg")</f>
        <v/>
      </c>
      <c r="AQ217" s="105" t="s">
        <v>2492</v>
      </c>
      <c r="AR217" s="71" t="s">
        <v>2493</v>
      </c>
      <c r="AS217" s="71" t="s">
        <v>2494</v>
      </c>
      <c r="AT217" s="71">
        <v>20.967</v>
      </c>
      <c r="AU217" s="89"/>
      <c r="AV217" s="90"/>
      <c r="AW217" s="81"/>
    </row>
    <row r="218" ht="15.75" customHeight="1">
      <c r="A218" s="87" t="s">
        <v>63</v>
      </c>
      <c r="B218" s="100"/>
      <c r="C218" s="101" t="s">
        <v>2330</v>
      </c>
      <c r="D218" s="96">
        <v>50.4303778317254</v>
      </c>
      <c r="E218" s="96">
        <v>36.3438924271331</v>
      </c>
      <c r="F218" s="59">
        <v>1.0</v>
      </c>
      <c r="G218" s="151" t="s">
        <v>2495</v>
      </c>
      <c r="H218" s="104" t="s">
        <v>66</v>
      </c>
      <c r="I218" s="82"/>
      <c r="J218" s="63" t="s">
        <v>2477</v>
      </c>
      <c r="K218" s="88" t="s">
        <v>2496</v>
      </c>
      <c r="L218" s="110" t="s">
        <v>79</v>
      </c>
      <c r="M218" s="92" t="s">
        <v>547</v>
      </c>
      <c r="N218" s="111"/>
      <c r="O218" s="111"/>
      <c r="P218" s="67" t="str">
        <f t="shared" si="1"/>
        <v>50.4303778317254, 36.3438924271331</v>
      </c>
      <c r="Q218" s="67" t="str">
        <f t="shared" si="2"/>
        <v>50.429929, 36.343955</v>
      </c>
      <c r="R218" s="67">
        <f t="shared" si="3"/>
        <v>50.429929</v>
      </c>
      <c r="S218" s="67">
        <f t="shared" si="4"/>
        <v>36.343955</v>
      </c>
      <c r="T218" s="99"/>
      <c r="U218" s="69"/>
      <c r="V218" s="65" t="s">
        <v>2497</v>
      </c>
      <c r="W218" s="71" t="s">
        <v>74</v>
      </c>
      <c r="X218" s="72" t="s">
        <v>75</v>
      </c>
      <c r="Y218" s="61" t="s">
        <v>76</v>
      </c>
      <c r="Z218" s="73"/>
      <c r="AA218" s="73"/>
      <c r="AB218" s="73"/>
      <c r="AC218" s="73"/>
      <c r="AD218" s="73"/>
      <c r="AE218" s="73"/>
      <c r="AF218" s="73"/>
      <c r="AG218" s="73"/>
      <c r="AH218" s="73"/>
      <c r="AI218" s="73"/>
      <c r="AJ218" s="75"/>
      <c r="AK218" s="76" t="s">
        <v>2108</v>
      </c>
      <c r="AL218" s="83" t="s">
        <v>2498</v>
      </c>
      <c r="AM218" s="71" t="s">
        <v>2499</v>
      </c>
      <c r="AN218" s="105" t="s">
        <v>2500</v>
      </c>
      <c r="AO218" s="71" t="s">
        <v>2501</v>
      </c>
      <c r="AP218" s="99" t="str">
        <f>IMAGE("https://bellingcat-archive.nyc3.cdn.digitaloceanspaces.com/Ukraine_Witness_Datasheet/Worksheet/twitter__media_FLfMApmXIAEwjQK.jpg")</f>
        <v/>
      </c>
      <c r="AQ218" s="99"/>
      <c r="AR218" s="99"/>
      <c r="AS218" s="99"/>
      <c r="AT218" s="99"/>
      <c r="AU218" s="89"/>
      <c r="AV218" s="90"/>
      <c r="AW218" s="81"/>
    </row>
    <row r="219" ht="15.75" customHeight="1">
      <c r="A219" s="87" t="s">
        <v>63</v>
      </c>
      <c r="B219" s="100"/>
      <c r="C219" s="101" t="s">
        <v>2330</v>
      </c>
      <c r="D219" s="96">
        <v>52.9406</v>
      </c>
      <c r="E219" s="96">
        <v>36.0478</v>
      </c>
      <c r="F219" s="59">
        <v>1.0</v>
      </c>
      <c r="G219" s="151" t="s">
        <v>2502</v>
      </c>
      <c r="H219" s="104" t="s">
        <v>66</v>
      </c>
      <c r="I219" s="82"/>
      <c r="J219" s="63" t="s">
        <v>2503</v>
      </c>
      <c r="K219" s="88" t="s">
        <v>2504</v>
      </c>
      <c r="L219" s="110" t="s">
        <v>79</v>
      </c>
      <c r="M219" s="92" t="s">
        <v>534</v>
      </c>
      <c r="N219" s="111"/>
      <c r="O219" s="92" t="s">
        <v>534</v>
      </c>
      <c r="P219" s="67" t="str">
        <f t="shared" si="1"/>
        <v>52.9406, 36.0478</v>
      </c>
      <c r="Q219" s="67" t="str">
        <f t="shared" si="2"/>
        <v>52.940229, 36.048163</v>
      </c>
      <c r="R219" s="67">
        <f t="shared" si="3"/>
        <v>52.940229</v>
      </c>
      <c r="S219" s="67">
        <f t="shared" si="4"/>
        <v>36.048163</v>
      </c>
      <c r="T219" s="99"/>
      <c r="U219" s="69"/>
      <c r="V219" s="65" t="s">
        <v>2505</v>
      </c>
      <c r="W219" s="71" t="s">
        <v>74</v>
      </c>
      <c r="X219" s="72" t="s">
        <v>75</v>
      </c>
      <c r="Y219" s="61" t="s">
        <v>76</v>
      </c>
      <c r="Z219" s="73"/>
      <c r="AA219" s="61" t="s">
        <v>936</v>
      </c>
      <c r="AB219" s="61" t="s">
        <v>421</v>
      </c>
      <c r="AC219" s="73"/>
      <c r="AD219" s="73"/>
      <c r="AE219" s="73"/>
      <c r="AF219" s="73"/>
      <c r="AG219" s="73"/>
      <c r="AH219" s="73"/>
      <c r="AI219" s="61" t="s">
        <v>79</v>
      </c>
      <c r="AJ219" s="75"/>
      <c r="AK219" s="76" t="s">
        <v>798</v>
      </c>
      <c r="AL219" s="83" t="s">
        <v>2506</v>
      </c>
      <c r="AM219" s="71" t="s">
        <v>2507</v>
      </c>
      <c r="AN219" s="105" t="s">
        <v>2508</v>
      </c>
      <c r="AO219" s="71" t="s">
        <v>2509</v>
      </c>
      <c r="AP219" s="99" t="str">
        <f>IMAGE("https://bellingcat-archive.nyc3.cdn.digitaloceanspaces.com/Ukraine_Witness_Datasheet/Worksheet/youtube_dl_1492462835787513856/out2.jpg")</f>
        <v/>
      </c>
      <c r="AQ219" s="105" t="s">
        <v>2510</v>
      </c>
      <c r="AR219" s="71" t="s">
        <v>543</v>
      </c>
      <c r="AS219" s="71" t="s">
        <v>2511</v>
      </c>
      <c r="AT219" s="71">
        <v>12.593</v>
      </c>
      <c r="AU219" s="89"/>
      <c r="AV219" s="90"/>
      <c r="AW219" s="81"/>
    </row>
    <row r="220" ht="15.75" customHeight="1">
      <c r="A220" s="87" t="s">
        <v>63</v>
      </c>
      <c r="B220" s="104"/>
      <c r="C220" s="101" t="s">
        <v>2392</v>
      </c>
      <c r="D220" s="96">
        <v>52.07938392</v>
      </c>
      <c r="E220" s="96">
        <v>35.1289755</v>
      </c>
      <c r="F220" s="59">
        <v>1.0</v>
      </c>
      <c r="G220" s="151" t="s">
        <v>2512</v>
      </c>
      <c r="H220" s="104" t="s">
        <v>66</v>
      </c>
      <c r="I220" s="75"/>
      <c r="J220" s="63" t="s">
        <v>2513</v>
      </c>
      <c r="K220" s="88" t="s">
        <v>2514</v>
      </c>
      <c r="L220" s="110" t="s">
        <v>79</v>
      </c>
      <c r="M220" s="92" t="s">
        <v>1028</v>
      </c>
      <c r="N220" s="111"/>
      <c r="O220" s="92" t="s">
        <v>2515</v>
      </c>
      <c r="P220" s="67" t="str">
        <f t="shared" si="1"/>
        <v>52.07938392, 35.1289755</v>
      </c>
      <c r="Q220" s="67" t="str">
        <f t="shared" si="2"/>
        <v>52.078915, 35.12804</v>
      </c>
      <c r="R220" s="67">
        <f t="shared" si="3"/>
        <v>52.078915</v>
      </c>
      <c r="S220" s="67">
        <f t="shared" si="4"/>
        <v>35.12804</v>
      </c>
      <c r="T220" s="161"/>
      <c r="U220" s="69"/>
      <c r="V220" s="65" t="s">
        <v>2516</v>
      </c>
      <c r="W220" s="71" t="s">
        <v>74</v>
      </c>
      <c r="X220" s="72" t="s">
        <v>75</v>
      </c>
      <c r="Y220" s="61" t="s">
        <v>76</v>
      </c>
      <c r="Z220" s="73"/>
      <c r="AA220" s="61" t="s">
        <v>936</v>
      </c>
      <c r="AB220" s="61" t="s">
        <v>421</v>
      </c>
      <c r="AC220" s="73"/>
      <c r="AD220" s="73"/>
      <c r="AE220" s="73"/>
      <c r="AF220" s="73"/>
      <c r="AG220" s="73"/>
      <c r="AH220" s="73"/>
      <c r="AI220" s="61" t="s">
        <v>79</v>
      </c>
      <c r="AJ220" s="75"/>
      <c r="AK220" s="76" t="s">
        <v>798</v>
      </c>
      <c r="AL220" s="83" t="s">
        <v>2517</v>
      </c>
      <c r="AM220" s="71" t="s">
        <v>2518</v>
      </c>
      <c r="AN220" s="84" t="s">
        <v>2519</v>
      </c>
      <c r="AO220" s="71" t="s">
        <v>2520</v>
      </c>
      <c r="AP220" s="161" t="str">
        <f>IMAGE("https://bellingcat-archive.nyc3.cdn.digitaloceanspaces.com/Ukraine_Witness_Datasheet/Worksheet/youtube_dl_1492909267413778437/out2.jpg")</f>
        <v/>
      </c>
      <c r="AQ220" s="84" t="s">
        <v>2521</v>
      </c>
      <c r="AR220" s="71" t="s">
        <v>2522</v>
      </c>
      <c r="AS220" s="71" t="s">
        <v>2523</v>
      </c>
      <c r="AT220" s="71">
        <v>59.68</v>
      </c>
      <c r="AU220" s="89"/>
      <c r="AV220" s="162"/>
      <c r="AW220" s="81"/>
    </row>
    <row r="221" ht="15.75" customHeight="1">
      <c r="A221" s="87" t="s">
        <v>63</v>
      </c>
      <c r="B221" s="104"/>
      <c r="C221" s="101" t="s">
        <v>2392</v>
      </c>
      <c r="D221" s="104">
        <v>52.89015821</v>
      </c>
      <c r="E221" s="96">
        <v>30.03663043</v>
      </c>
      <c r="F221" s="59">
        <v>1.0</v>
      </c>
      <c r="G221" s="151" t="s">
        <v>2524</v>
      </c>
      <c r="H221" s="104" t="s">
        <v>66</v>
      </c>
      <c r="I221" s="75"/>
      <c r="J221" s="63" t="s">
        <v>2525</v>
      </c>
      <c r="K221" s="69"/>
      <c r="L221" s="110" t="s">
        <v>69</v>
      </c>
      <c r="M221" s="111"/>
      <c r="N221" s="111"/>
      <c r="O221" s="92" t="s">
        <v>2526</v>
      </c>
      <c r="P221" s="67" t="str">
        <f t="shared" si="1"/>
        <v>52.89015821, 30.03663043</v>
      </c>
      <c r="Q221" s="67" t="str">
        <f t="shared" si="2"/>
        <v>52.889824, 30.037078</v>
      </c>
      <c r="R221" s="67">
        <f t="shared" si="3"/>
        <v>52.889824</v>
      </c>
      <c r="S221" s="67">
        <f t="shared" si="4"/>
        <v>30.037078</v>
      </c>
      <c r="T221" s="161"/>
      <c r="U221" s="64" t="s">
        <v>2527</v>
      </c>
      <c r="V221" s="65" t="s">
        <v>2528</v>
      </c>
      <c r="W221" s="71" t="s">
        <v>74</v>
      </c>
      <c r="X221" s="72" t="s">
        <v>75</v>
      </c>
      <c r="Y221" s="61" t="s">
        <v>76</v>
      </c>
      <c r="Z221" s="73"/>
      <c r="AA221" s="61" t="s">
        <v>2529</v>
      </c>
      <c r="AB221" s="61" t="s">
        <v>1139</v>
      </c>
      <c r="AC221" s="73"/>
      <c r="AD221" s="73"/>
      <c r="AE221" s="73"/>
      <c r="AF221" s="73"/>
      <c r="AG221" s="73"/>
      <c r="AH221" s="73"/>
      <c r="AI221" s="61" t="s">
        <v>2530</v>
      </c>
      <c r="AJ221" s="75"/>
      <c r="AK221" s="76" t="s">
        <v>798</v>
      </c>
      <c r="AL221" s="83" t="s">
        <v>2531</v>
      </c>
      <c r="AM221" s="71" t="s">
        <v>2532</v>
      </c>
      <c r="AN221" s="84" t="s">
        <v>2533</v>
      </c>
      <c r="AO221" s="71" t="s">
        <v>2534</v>
      </c>
      <c r="AP221" s="161" t="str">
        <f>IMAGE("https://bellingcat-archive.nyc3.cdn.digitaloceanspaces.com/Ukraine_Witness_Datasheet/Worksheet/youtube_dl_1492924097826803717/out2.jpg")</f>
        <v/>
      </c>
      <c r="AQ221" s="84" t="s">
        <v>2535</v>
      </c>
      <c r="AR221" s="71" t="s">
        <v>2536</v>
      </c>
      <c r="AS221" s="71" t="s">
        <v>2537</v>
      </c>
      <c r="AT221" s="71">
        <v>46.64</v>
      </c>
      <c r="AU221" s="89"/>
      <c r="AV221" s="162"/>
      <c r="AW221" s="81"/>
    </row>
    <row r="222" ht="15.75" customHeight="1">
      <c r="A222" s="87" t="s">
        <v>63</v>
      </c>
      <c r="B222" s="104"/>
      <c r="C222" s="101" t="s">
        <v>1053</v>
      </c>
      <c r="D222" s="104">
        <v>52.5238386048506</v>
      </c>
      <c r="E222" s="104">
        <v>31.9483760896316</v>
      </c>
      <c r="F222" s="59">
        <v>1.0</v>
      </c>
      <c r="G222" s="151" t="s">
        <v>2538</v>
      </c>
      <c r="H222" s="104" t="s">
        <v>66</v>
      </c>
      <c r="I222" s="75"/>
      <c r="J222" s="63" t="s">
        <v>2539</v>
      </c>
      <c r="K222" s="69"/>
      <c r="L222" s="110" t="s">
        <v>79</v>
      </c>
      <c r="M222" s="92" t="s">
        <v>240</v>
      </c>
      <c r="N222" s="111"/>
      <c r="O222" s="92" t="s">
        <v>2371</v>
      </c>
      <c r="P222" s="67" t="str">
        <f t="shared" si="1"/>
        <v>52.5238386048506, 31.9483760896316</v>
      </c>
      <c r="Q222" s="67" t="str">
        <f t="shared" si="2"/>
        <v>52.523639, 31.949028</v>
      </c>
      <c r="R222" s="67">
        <f t="shared" si="3"/>
        <v>52.523639</v>
      </c>
      <c r="S222" s="67">
        <f t="shared" si="4"/>
        <v>31.949028</v>
      </c>
      <c r="T222" s="161"/>
      <c r="U222" s="64" t="s">
        <v>2540</v>
      </c>
      <c r="V222" s="65" t="s">
        <v>2541</v>
      </c>
      <c r="W222" s="71" t="s">
        <v>74</v>
      </c>
      <c r="X222" s="72" t="s">
        <v>75</v>
      </c>
      <c r="Y222" s="61" t="s">
        <v>2542</v>
      </c>
      <c r="Z222" s="73"/>
      <c r="AA222" s="61" t="s">
        <v>2529</v>
      </c>
      <c r="AB222" s="61" t="s">
        <v>1139</v>
      </c>
      <c r="AC222" s="73"/>
      <c r="AD222" s="61">
        <v>1.0</v>
      </c>
      <c r="AE222" s="73"/>
      <c r="AF222" s="73"/>
      <c r="AG222" s="73"/>
      <c r="AH222" s="73"/>
      <c r="AI222" s="61" t="s">
        <v>2530</v>
      </c>
      <c r="AJ222" s="75"/>
      <c r="AK222" s="76" t="s">
        <v>798</v>
      </c>
      <c r="AL222" s="83" t="s">
        <v>2543</v>
      </c>
      <c r="AM222" s="71" t="s">
        <v>2544</v>
      </c>
      <c r="AN222" s="84" t="s">
        <v>2545</v>
      </c>
      <c r="AO222" s="71" t="s">
        <v>2546</v>
      </c>
      <c r="AP222" s="161" t="str">
        <f>IMAGE("https://bellingcat-archive.nyc3.cdn.digitaloceanspaces.com/Ukraine_Witness_Datasheet/Worksheet/youtube_dl_1492818036482621441/out3.jpg")</f>
        <v/>
      </c>
      <c r="AQ222" s="84" t="s">
        <v>2547</v>
      </c>
      <c r="AR222" s="71" t="s">
        <v>2548</v>
      </c>
      <c r="AS222" s="71" t="s">
        <v>2549</v>
      </c>
      <c r="AT222" s="71">
        <v>106.92</v>
      </c>
      <c r="AU222" s="89"/>
      <c r="AV222" s="162"/>
      <c r="AW222" s="81"/>
    </row>
    <row r="223" ht="15.75" customHeight="1">
      <c r="A223" s="87" t="s">
        <v>63</v>
      </c>
      <c r="B223" s="121"/>
      <c r="C223" s="101" t="s">
        <v>1026</v>
      </c>
      <c r="D223" s="58">
        <v>52.523739</v>
      </c>
      <c r="E223" s="58">
        <v>31.94846</v>
      </c>
      <c r="F223" s="59">
        <v>1.0</v>
      </c>
      <c r="G223" s="151" t="s">
        <v>2550</v>
      </c>
      <c r="H223" s="104" t="s">
        <v>66</v>
      </c>
      <c r="I223" s="75"/>
      <c r="J223" s="63" t="s">
        <v>68</v>
      </c>
      <c r="K223" s="88" t="s">
        <v>2551</v>
      </c>
      <c r="L223" s="110" t="s">
        <v>79</v>
      </c>
      <c r="M223" s="92" t="s">
        <v>1416</v>
      </c>
      <c r="N223" s="111"/>
      <c r="O223" s="92" t="s">
        <v>2371</v>
      </c>
      <c r="P223" s="67" t="str">
        <f t="shared" si="1"/>
        <v>52.523739, 31.94846</v>
      </c>
      <c r="Q223" s="67" t="str">
        <f t="shared" si="2"/>
        <v>52.523527, 31.947875</v>
      </c>
      <c r="R223" s="67">
        <f t="shared" si="3"/>
        <v>52.523527</v>
      </c>
      <c r="S223" s="67">
        <f t="shared" si="4"/>
        <v>31.947875</v>
      </c>
      <c r="T223" s="161"/>
      <c r="U223" s="69"/>
      <c r="V223" s="65" t="s">
        <v>2552</v>
      </c>
      <c r="W223" s="71" t="s">
        <v>74</v>
      </c>
      <c r="X223" s="72" t="s">
        <v>75</v>
      </c>
      <c r="Y223" s="61" t="s">
        <v>76</v>
      </c>
      <c r="Z223" s="73"/>
      <c r="AA223" s="73"/>
      <c r="AB223" s="73"/>
      <c r="AC223" s="73"/>
      <c r="AD223" s="73"/>
      <c r="AE223" s="73"/>
      <c r="AF223" s="73"/>
      <c r="AG223" s="73"/>
      <c r="AH223" s="73"/>
      <c r="AI223" s="73"/>
      <c r="AJ223" s="75"/>
      <c r="AK223" s="76" t="s">
        <v>798</v>
      </c>
      <c r="AL223" s="83" t="s">
        <v>2553</v>
      </c>
      <c r="AM223" s="71" t="s">
        <v>2554</v>
      </c>
      <c r="AN223" s="84" t="s">
        <v>2555</v>
      </c>
      <c r="AO223" s="71" t="s">
        <v>2556</v>
      </c>
      <c r="AP223" s="161" t="str">
        <f>IMAGE("https://bellingcat-archive.nyc3.cdn.digitaloceanspaces.com/Ukraine_Witness_Datasheet/Worksheet/youtube_dl_1489895328136536068/out3.jpg")</f>
        <v/>
      </c>
      <c r="AQ223" s="84" t="s">
        <v>2557</v>
      </c>
      <c r="AR223" s="71" t="s">
        <v>2378</v>
      </c>
      <c r="AS223" s="71" t="s">
        <v>2558</v>
      </c>
      <c r="AT223" s="71">
        <v>76.882</v>
      </c>
      <c r="AU223" s="89"/>
      <c r="AV223" s="162"/>
      <c r="AW223" s="81"/>
    </row>
    <row r="224" ht="15.75" customHeight="1">
      <c r="A224" s="87" t="s">
        <v>63</v>
      </c>
      <c r="B224" s="121"/>
      <c r="C224" s="101" t="s">
        <v>1026</v>
      </c>
      <c r="D224" s="58">
        <v>52.524341</v>
      </c>
      <c r="E224" s="58">
        <v>31.948653</v>
      </c>
      <c r="F224" s="59">
        <v>1.0</v>
      </c>
      <c r="G224" s="151" t="s">
        <v>2559</v>
      </c>
      <c r="H224" s="104" t="s">
        <v>66</v>
      </c>
      <c r="I224" s="75"/>
      <c r="J224" s="106" t="s">
        <v>2560</v>
      </c>
      <c r="K224" s="88" t="s">
        <v>2561</v>
      </c>
      <c r="L224" s="110" t="s">
        <v>79</v>
      </c>
      <c r="M224" s="92" t="s">
        <v>1416</v>
      </c>
      <c r="N224" s="111"/>
      <c r="O224" s="92" t="s">
        <v>2371</v>
      </c>
      <c r="P224" s="67" t="str">
        <f t="shared" si="1"/>
        <v>52.524341, 31.948653</v>
      </c>
      <c r="Q224" s="67" t="str">
        <f t="shared" si="2"/>
        <v>52.524139, 31.948029</v>
      </c>
      <c r="R224" s="67">
        <f t="shared" si="3"/>
        <v>52.524139</v>
      </c>
      <c r="S224" s="67">
        <f t="shared" si="4"/>
        <v>31.948029</v>
      </c>
      <c r="T224" s="161"/>
      <c r="U224" s="69"/>
      <c r="V224" s="65" t="s">
        <v>2562</v>
      </c>
      <c r="W224" s="71" t="s">
        <v>74</v>
      </c>
      <c r="X224" s="72" t="s">
        <v>75</v>
      </c>
      <c r="Y224" s="61" t="s">
        <v>76</v>
      </c>
      <c r="Z224" s="73"/>
      <c r="AA224" s="73"/>
      <c r="AB224" s="73"/>
      <c r="AC224" s="73"/>
      <c r="AD224" s="73"/>
      <c r="AE224" s="73"/>
      <c r="AF224" s="73"/>
      <c r="AG224" s="73"/>
      <c r="AH224" s="73"/>
      <c r="AI224" s="73"/>
      <c r="AJ224" s="75"/>
      <c r="AK224" s="76" t="s">
        <v>798</v>
      </c>
      <c r="AL224" s="83" t="s">
        <v>2563</v>
      </c>
      <c r="AM224" s="71" t="s">
        <v>2564</v>
      </c>
      <c r="AN224" s="84" t="s">
        <v>2565</v>
      </c>
      <c r="AO224" s="71" t="s">
        <v>2566</v>
      </c>
      <c r="AP224" s="161" t="str">
        <f>IMAGE("https://bellingcat-archive.nyc3.cdn.digitaloceanspaces.com/Ukraine_Witness_Datasheet/Worksheet/youtube_dl_1489894764577230851/out2.jpg")</f>
        <v/>
      </c>
      <c r="AQ224" s="84" t="s">
        <v>2567</v>
      </c>
      <c r="AR224" s="71" t="s">
        <v>2378</v>
      </c>
      <c r="AS224" s="71" t="s">
        <v>2568</v>
      </c>
      <c r="AT224" s="71">
        <v>22.037</v>
      </c>
      <c r="AU224" s="89"/>
      <c r="AV224" s="162"/>
      <c r="AW224" s="81"/>
    </row>
    <row r="225" ht="15.75" customHeight="1">
      <c r="A225" s="87" t="s">
        <v>170</v>
      </c>
      <c r="B225" s="104"/>
      <c r="C225" s="101" t="s">
        <v>2392</v>
      </c>
      <c r="D225" s="74">
        <v>45.099588</v>
      </c>
      <c r="E225" s="74">
        <v>35.045849</v>
      </c>
      <c r="F225" s="59">
        <v>1.0</v>
      </c>
      <c r="G225" s="151" t="s">
        <v>2569</v>
      </c>
      <c r="H225" s="104" t="s">
        <v>66</v>
      </c>
      <c r="I225" s="75"/>
      <c r="J225" s="63" t="s">
        <v>2570</v>
      </c>
      <c r="K225" s="88" t="s">
        <v>2571</v>
      </c>
      <c r="L225" s="134"/>
      <c r="M225" s="92" t="s">
        <v>407</v>
      </c>
      <c r="N225" s="111"/>
      <c r="O225" s="92" t="s">
        <v>1853</v>
      </c>
      <c r="P225" s="67" t="str">
        <f t="shared" si="1"/>
        <v>45.099588, 35.045849</v>
      </c>
      <c r="Q225" s="67" t="str">
        <f t="shared" si="2"/>
        <v>45.09902, 35.04525</v>
      </c>
      <c r="R225" s="67">
        <f t="shared" si="3"/>
        <v>45.09902</v>
      </c>
      <c r="S225" s="67">
        <f t="shared" si="4"/>
        <v>35.04525</v>
      </c>
      <c r="T225" s="161"/>
      <c r="U225" s="69"/>
      <c r="V225" s="65" t="s">
        <v>2572</v>
      </c>
      <c r="W225" s="71" t="s">
        <v>74</v>
      </c>
      <c r="X225" s="72" t="s">
        <v>75</v>
      </c>
      <c r="Y225" s="61" t="s">
        <v>76</v>
      </c>
      <c r="Z225" s="73"/>
      <c r="AA225" s="61" t="s">
        <v>77</v>
      </c>
      <c r="AB225" s="61" t="s">
        <v>78</v>
      </c>
      <c r="AC225" s="73"/>
      <c r="AD225" s="73"/>
      <c r="AE225" s="73"/>
      <c r="AF225" s="73"/>
      <c r="AG225" s="73"/>
      <c r="AH225" s="73"/>
      <c r="AI225" s="61" t="s">
        <v>79</v>
      </c>
      <c r="AJ225" s="75"/>
      <c r="AK225" s="76" t="s">
        <v>798</v>
      </c>
      <c r="AL225" s="83" t="s">
        <v>2573</v>
      </c>
      <c r="AM225" s="71" t="s">
        <v>2574</v>
      </c>
      <c r="AN225" s="84" t="s">
        <v>2575</v>
      </c>
      <c r="AO225" s="71" t="s">
        <v>2576</v>
      </c>
      <c r="AP225" s="161" t="str">
        <f>IMAGE("https://bellingcat-archive.nyc3.cdn.digitaloceanspaces.com/Ukraine_Witness_Datasheet/Worksheet/youtube_dl_1493010561189269506/out2.jpg")</f>
        <v/>
      </c>
      <c r="AQ225" s="84" t="s">
        <v>2577</v>
      </c>
      <c r="AR225" s="71" t="s">
        <v>2578</v>
      </c>
      <c r="AS225" s="71" t="s">
        <v>2579</v>
      </c>
      <c r="AT225" s="71">
        <v>34.179</v>
      </c>
      <c r="AU225" s="89"/>
      <c r="AV225" s="162"/>
      <c r="AW225" s="81"/>
    </row>
    <row r="226" ht="15.75" customHeight="1">
      <c r="A226" s="87" t="s">
        <v>2580</v>
      </c>
      <c r="B226" s="104"/>
      <c r="C226" s="101" t="s">
        <v>2392</v>
      </c>
      <c r="D226" s="74">
        <v>53.800335</v>
      </c>
      <c r="E226" s="74">
        <v>27.775971</v>
      </c>
      <c r="F226" s="59">
        <v>1.0</v>
      </c>
      <c r="G226" s="151" t="s">
        <v>2581</v>
      </c>
      <c r="H226" s="104" t="s">
        <v>66</v>
      </c>
      <c r="I226" s="75"/>
      <c r="J226" s="63" t="s">
        <v>2582</v>
      </c>
      <c r="K226" s="88" t="s">
        <v>2583</v>
      </c>
      <c r="L226" s="110" t="s">
        <v>69</v>
      </c>
      <c r="M226" s="92" t="s">
        <v>2584</v>
      </c>
      <c r="N226" s="111"/>
      <c r="O226" s="111"/>
      <c r="P226" s="67" t="str">
        <f t="shared" si="1"/>
        <v>53.800335, 27.775971</v>
      </c>
      <c r="Q226" s="67" t="str">
        <f t="shared" si="2"/>
        <v>53.800096, 27.774761</v>
      </c>
      <c r="R226" s="67">
        <f t="shared" si="3"/>
        <v>53.800096</v>
      </c>
      <c r="S226" s="67">
        <f t="shared" si="4"/>
        <v>27.774761</v>
      </c>
      <c r="T226" s="161"/>
      <c r="U226" s="69"/>
      <c r="V226" s="65" t="s">
        <v>2585</v>
      </c>
      <c r="W226" s="71" t="s">
        <v>74</v>
      </c>
      <c r="X226" s="72" t="s">
        <v>75</v>
      </c>
      <c r="Y226" s="61" t="s">
        <v>76</v>
      </c>
      <c r="Z226" s="73"/>
      <c r="AA226" s="61" t="s">
        <v>77</v>
      </c>
      <c r="AB226" s="61" t="s">
        <v>739</v>
      </c>
      <c r="AC226" s="73"/>
      <c r="AD226" s="73"/>
      <c r="AE226" s="73"/>
      <c r="AF226" s="73"/>
      <c r="AG226" s="73"/>
      <c r="AH226" s="73"/>
      <c r="AI226" s="61" t="s">
        <v>79</v>
      </c>
      <c r="AJ226" s="75"/>
      <c r="AK226" s="76" t="s">
        <v>798</v>
      </c>
      <c r="AL226" s="83" t="s">
        <v>2586</v>
      </c>
      <c r="AM226" s="71" t="s">
        <v>2587</v>
      </c>
      <c r="AN226" s="84" t="s">
        <v>2588</v>
      </c>
      <c r="AO226" s="71" t="s">
        <v>2589</v>
      </c>
      <c r="AP226" s="161" t="str">
        <f>IMAGE("https://bellingcat-archive.nyc3.cdn.digitaloceanspaces.com/Ukraine_Witness_Datasheet/Worksheet/youtube_dl_1493002715412189186/out2.jpg")</f>
        <v/>
      </c>
      <c r="AQ226" s="84" t="s">
        <v>2590</v>
      </c>
      <c r="AR226" s="71" t="s">
        <v>2591</v>
      </c>
      <c r="AS226" s="71" t="s">
        <v>2592</v>
      </c>
      <c r="AT226" s="71">
        <v>19.458</v>
      </c>
      <c r="AU226" s="89"/>
      <c r="AV226" s="162"/>
      <c r="AW226" s="81"/>
    </row>
    <row r="227" ht="15.75" customHeight="1">
      <c r="A227" s="87" t="s">
        <v>2580</v>
      </c>
      <c r="B227" s="104"/>
      <c r="C227" s="101" t="s">
        <v>2392</v>
      </c>
      <c r="D227" s="74">
        <v>50.613691</v>
      </c>
      <c r="E227" s="74">
        <v>36.577962</v>
      </c>
      <c r="F227" s="59">
        <v>1.0</v>
      </c>
      <c r="G227" s="151" t="s">
        <v>2593</v>
      </c>
      <c r="H227" s="104" t="s">
        <v>66</v>
      </c>
      <c r="I227" s="75"/>
      <c r="J227" s="63" t="s">
        <v>2594</v>
      </c>
      <c r="K227" s="88" t="s">
        <v>2595</v>
      </c>
      <c r="L227" s="110" t="s">
        <v>873</v>
      </c>
      <c r="M227" s="92" t="s">
        <v>547</v>
      </c>
      <c r="N227" s="111"/>
      <c r="O227" s="92" t="s">
        <v>2596</v>
      </c>
      <c r="P227" s="67" t="str">
        <f t="shared" si="1"/>
        <v>50.613691, 36.577962</v>
      </c>
      <c r="Q227" s="67" t="str">
        <f t="shared" si="2"/>
        <v>50.613527, 36.578904</v>
      </c>
      <c r="R227" s="67">
        <f t="shared" si="3"/>
        <v>50.613527</v>
      </c>
      <c r="S227" s="67">
        <f t="shared" si="4"/>
        <v>36.578904</v>
      </c>
      <c r="T227" s="161"/>
      <c r="U227" s="69"/>
      <c r="V227" s="65" t="s">
        <v>2597</v>
      </c>
      <c r="W227" s="71" t="s">
        <v>74</v>
      </c>
      <c r="X227" s="72" t="s">
        <v>75</v>
      </c>
      <c r="Y227" s="61" t="s">
        <v>76</v>
      </c>
      <c r="Z227" s="73"/>
      <c r="AA227" s="61" t="s">
        <v>77</v>
      </c>
      <c r="AB227" s="61" t="s">
        <v>421</v>
      </c>
      <c r="AC227" s="73"/>
      <c r="AD227" s="73"/>
      <c r="AE227" s="73"/>
      <c r="AF227" s="73"/>
      <c r="AG227" s="73"/>
      <c r="AH227" s="73"/>
      <c r="AI227" s="61" t="s">
        <v>79</v>
      </c>
      <c r="AJ227" s="75"/>
      <c r="AK227" s="76" t="s">
        <v>798</v>
      </c>
      <c r="AL227" s="83" t="s">
        <v>2598</v>
      </c>
      <c r="AM227" s="71" t="s">
        <v>2599</v>
      </c>
      <c r="AN227" s="84" t="s">
        <v>2600</v>
      </c>
      <c r="AO227" s="71" t="s">
        <v>2601</v>
      </c>
      <c r="AP227" s="161" t="str">
        <f>IMAGE("https://bellingcat-archive.nyc3.cdn.digitaloceanspaces.com/Ukraine_Witness_Datasheet/Worksheet/youtube_dl_1492955344041086981/out3.jpg")</f>
        <v/>
      </c>
      <c r="AQ227" s="84" t="s">
        <v>2602</v>
      </c>
      <c r="AR227" s="71" t="s">
        <v>1051</v>
      </c>
      <c r="AS227" s="71" t="s">
        <v>2603</v>
      </c>
      <c r="AT227" s="71">
        <v>78.275</v>
      </c>
      <c r="AU227" s="89"/>
      <c r="AV227" s="162"/>
      <c r="AW227" s="81"/>
    </row>
    <row r="228" ht="15.75" customHeight="1">
      <c r="A228" s="87" t="s">
        <v>2580</v>
      </c>
      <c r="B228" s="104"/>
      <c r="C228" s="101" t="s">
        <v>2392</v>
      </c>
      <c r="D228" s="74">
        <v>52.151196</v>
      </c>
      <c r="E228" s="74">
        <v>30.599526</v>
      </c>
      <c r="F228" s="59">
        <v>1.0</v>
      </c>
      <c r="G228" s="154" t="s">
        <v>2604</v>
      </c>
      <c r="H228" s="104" t="s">
        <v>66</v>
      </c>
      <c r="I228" s="75"/>
      <c r="J228" s="63" t="s">
        <v>2605</v>
      </c>
      <c r="K228" s="88" t="s">
        <v>2606</v>
      </c>
      <c r="L228" s="110" t="s">
        <v>69</v>
      </c>
      <c r="M228" s="92" t="s">
        <v>2607</v>
      </c>
      <c r="N228" s="111"/>
      <c r="O228" s="111"/>
      <c r="P228" s="67" t="str">
        <f t="shared" si="1"/>
        <v>52.151196, 30.599526</v>
      </c>
      <c r="Q228" s="67" t="str">
        <f t="shared" si="2"/>
        <v>52.150998, 30.599001</v>
      </c>
      <c r="R228" s="67">
        <f t="shared" si="3"/>
        <v>52.150998</v>
      </c>
      <c r="S228" s="67">
        <f t="shared" si="4"/>
        <v>30.599001</v>
      </c>
      <c r="T228" s="161"/>
      <c r="U228" s="69"/>
      <c r="V228" s="65" t="s">
        <v>2608</v>
      </c>
      <c r="W228" s="71" t="s">
        <v>74</v>
      </c>
      <c r="X228" s="72" t="s">
        <v>75</v>
      </c>
      <c r="Y228" s="61" t="s">
        <v>76</v>
      </c>
      <c r="Z228" s="73"/>
      <c r="AA228" s="61" t="s">
        <v>77</v>
      </c>
      <c r="AB228" s="61" t="s">
        <v>78</v>
      </c>
      <c r="AC228" s="73"/>
      <c r="AD228" s="73"/>
      <c r="AE228" s="73"/>
      <c r="AF228" s="73"/>
      <c r="AG228" s="73"/>
      <c r="AH228" s="73"/>
      <c r="AI228" s="61" t="s">
        <v>79</v>
      </c>
      <c r="AJ228" s="75"/>
      <c r="AK228" s="76" t="s">
        <v>798</v>
      </c>
      <c r="AL228" s="83" t="s">
        <v>2609</v>
      </c>
      <c r="AM228" s="71" t="s">
        <v>2610</v>
      </c>
      <c r="AN228" s="84" t="s">
        <v>2611</v>
      </c>
      <c r="AO228" s="71" t="s">
        <v>2612</v>
      </c>
      <c r="AP228" s="161" t="str">
        <f>IMAGE("https://bellingcat-archive.nyc3.cdn.digitaloceanspaces.com/Ukraine_Witness_Datasheet/Worksheet/youtube_dl_1492917289649426439/out2.jpg")</f>
        <v/>
      </c>
      <c r="AQ228" s="84" t="s">
        <v>2613</v>
      </c>
      <c r="AR228" s="71" t="s">
        <v>2614</v>
      </c>
      <c r="AS228" s="71" t="s">
        <v>2615</v>
      </c>
      <c r="AT228" s="71">
        <v>15.1</v>
      </c>
      <c r="AU228" s="89"/>
      <c r="AV228" s="162"/>
      <c r="AW228" s="81"/>
    </row>
    <row r="229" ht="15.75" customHeight="1">
      <c r="A229" s="87" t="s">
        <v>170</v>
      </c>
      <c r="B229" s="100"/>
      <c r="C229" s="101" t="s">
        <v>2330</v>
      </c>
      <c r="D229" s="74">
        <v>51.263555</v>
      </c>
      <c r="E229" s="74">
        <v>37.92892</v>
      </c>
      <c r="F229" s="59">
        <v>1.0</v>
      </c>
      <c r="G229" s="151" t="s">
        <v>2616</v>
      </c>
      <c r="H229" s="104" t="s">
        <v>66</v>
      </c>
      <c r="I229" s="75"/>
      <c r="J229" s="63" t="s">
        <v>2617</v>
      </c>
      <c r="K229" s="88" t="s">
        <v>2618</v>
      </c>
      <c r="L229" s="110" t="s">
        <v>873</v>
      </c>
      <c r="M229" s="92" t="s">
        <v>547</v>
      </c>
      <c r="N229" s="111"/>
      <c r="O229" s="92" t="s">
        <v>1493</v>
      </c>
      <c r="P229" s="67" t="str">
        <f t="shared" si="1"/>
        <v>51.263555, 37.92892</v>
      </c>
      <c r="Q229" s="67" t="str">
        <f t="shared" si="2"/>
        <v>51.263338, 37.928368</v>
      </c>
      <c r="R229" s="67">
        <f t="shared" si="3"/>
        <v>51.263338</v>
      </c>
      <c r="S229" s="67">
        <f t="shared" si="4"/>
        <v>37.928368</v>
      </c>
      <c r="T229" s="161"/>
      <c r="U229" s="69"/>
      <c r="V229" s="65" t="s">
        <v>2619</v>
      </c>
      <c r="W229" s="71" t="s">
        <v>74</v>
      </c>
      <c r="X229" s="72" t="s">
        <v>75</v>
      </c>
      <c r="Y229" s="61" t="s">
        <v>76</v>
      </c>
      <c r="Z229" s="73"/>
      <c r="AA229" s="61" t="s">
        <v>77</v>
      </c>
      <c r="AB229" s="61" t="s">
        <v>739</v>
      </c>
      <c r="AC229" s="73"/>
      <c r="AD229" s="73"/>
      <c r="AE229" s="73"/>
      <c r="AF229" s="73"/>
      <c r="AG229" s="73"/>
      <c r="AH229" s="73"/>
      <c r="AI229" s="61" t="s">
        <v>79</v>
      </c>
      <c r="AJ229" s="75"/>
      <c r="AK229" s="76" t="s">
        <v>798</v>
      </c>
      <c r="AL229" s="83" t="s">
        <v>2620</v>
      </c>
      <c r="AM229" s="71" t="s">
        <v>2621</v>
      </c>
      <c r="AN229" s="84" t="s">
        <v>2622</v>
      </c>
      <c r="AO229" s="71" t="s">
        <v>2623</v>
      </c>
      <c r="AP229" s="161" t="str">
        <f>IMAGE("https://bellingcat-archive.nyc3.cdn.digitaloceanspaces.com/Ukraine_Witness_Datasheet/Worksheet/youtube_dl_1492922129850982408/out2.jpg")</f>
        <v/>
      </c>
      <c r="AQ229" s="84" t="s">
        <v>2624</v>
      </c>
      <c r="AR229" s="71" t="s">
        <v>2625</v>
      </c>
      <c r="AS229" s="71" t="s">
        <v>2626</v>
      </c>
      <c r="AT229" s="71">
        <v>12.213</v>
      </c>
      <c r="AU229" s="89"/>
      <c r="AV229" s="162"/>
      <c r="AW229" s="81"/>
    </row>
    <row r="230" ht="15.75" customHeight="1">
      <c r="A230" s="87" t="s">
        <v>2580</v>
      </c>
      <c r="B230" s="100"/>
      <c r="C230" s="101" t="s">
        <v>2330</v>
      </c>
      <c r="D230" s="74">
        <v>51.746387</v>
      </c>
      <c r="E230" s="74">
        <v>36.235038</v>
      </c>
      <c r="F230" s="59">
        <v>1.0</v>
      </c>
      <c r="G230" s="151" t="s">
        <v>2627</v>
      </c>
      <c r="H230" s="104" t="s">
        <v>66</v>
      </c>
      <c r="I230" s="75"/>
      <c r="J230" s="63" t="s">
        <v>2628</v>
      </c>
      <c r="K230" s="88" t="s">
        <v>2629</v>
      </c>
      <c r="L230" s="110" t="s">
        <v>873</v>
      </c>
      <c r="M230" s="92" t="s">
        <v>946</v>
      </c>
      <c r="N230" s="111"/>
      <c r="O230" s="92" t="s">
        <v>1028</v>
      </c>
      <c r="P230" s="67" t="str">
        <f t="shared" si="1"/>
        <v>51.746387, 36.235038</v>
      </c>
      <c r="Q230" s="67" t="str">
        <f t="shared" si="2"/>
        <v>51.745976, 36.234398</v>
      </c>
      <c r="R230" s="67">
        <f t="shared" si="3"/>
        <v>51.745976</v>
      </c>
      <c r="S230" s="67">
        <f t="shared" si="4"/>
        <v>36.234398</v>
      </c>
      <c r="T230" s="161"/>
      <c r="U230" s="69"/>
      <c r="V230" s="65" t="s">
        <v>2630</v>
      </c>
      <c r="W230" s="71" t="s">
        <v>74</v>
      </c>
      <c r="X230" s="72" t="s">
        <v>75</v>
      </c>
      <c r="Y230" s="61" t="s">
        <v>76</v>
      </c>
      <c r="Z230" s="73"/>
      <c r="AA230" s="61" t="s">
        <v>77</v>
      </c>
      <c r="AB230" s="61" t="s">
        <v>739</v>
      </c>
      <c r="AC230" s="73"/>
      <c r="AD230" s="73"/>
      <c r="AE230" s="73"/>
      <c r="AF230" s="73"/>
      <c r="AG230" s="73"/>
      <c r="AH230" s="73"/>
      <c r="AI230" s="61" t="s">
        <v>79</v>
      </c>
      <c r="AJ230" s="75"/>
      <c r="AK230" s="76" t="s">
        <v>798</v>
      </c>
      <c r="AL230" s="83" t="s">
        <v>2631</v>
      </c>
      <c r="AM230" s="71" t="s">
        <v>2632</v>
      </c>
      <c r="AN230" s="84" t="s">
        <v>2633</v>
      </c>
      <c r="AO230" s="71" t="s">
        <v>2634</v>
      </c>
      <c r="AP230" s="161" t="str">
        <f>IMAGE("https://bellingcat-archive.nyc3.cdn.digitaloceanspaces.com/Ukraine_Witness_Datasheet/Worksheet/youtube_dl_1492932352103886849/out2.jpg")</f>
        <v/>
      </c>
      <c r="AQ230" s="84" t="s">
        <v>2635</v>
      </c>
      <c r="AR230" s="71" t="s">
        <v>1038</v>
      </c>
      <c r="AS230" s="71" t="s">
        <v>2636</v>
      </c>
      <c r="AT230" s="71">
        <v>41.296</v>
      </c>
      <c r="AU230" s="89"/>
      <c r="AV230" s="162"/>
      <c r="AW230" s="81"/>
    </row>
    <row r="231" ht="15.75" customHeight="1">
      <c r="A231" s="87" t="s">
        <v>2580</v>
      </c>
      <c r="B231" s="104"/>
      <c r="C231" s="101" t="s">
        <v>2392</v>
      </c>
      <c r="D231" s="74">
        <v>45.117603</v>
      </c>
      <c r="E231" s="74">
        <v>35.252038</v>
      </c>
      <c r="F231" s="59">
        <v>1.0</v>
      </c>
      <c r="G231" s="151" t="s">
        <v>2637</v>
      </c>
      <c r="H231" s="104" t="s">
        <v>66</v>
      </c>
      <c r="I231" s="75"/>
      <c r="J231" s="63" t="s">
        <v>2638</v>
      </c>
      <c r="K231" s="88" t="s">
        <v>2639</v>
      </c>
      <c r="L231" s="110" t="s">
        <v>407</v>
      </c>
      <c r="M231" s="111"/>
      <c r="N231" s="111"/>
      <c r="O231" s="92" t="s">
        <v>1853</v>
      </c>
      <c r="P231" s="67" t="str">
        <f t="shared" si="1"/>
        <v>45.117603, 35.252038</v>
      </c>
      <c r="Q231" s="67" t="str">
        <f t="shared" si="2"/>
        <v>45.116898, 35.252618</v>
      </c>
      <c r="R231" s="67">
        <f t="shared" si="3"/>
        <v>45.116898</v>
      </c>
      <c r="S231" s="67">
        <f t="shared" si="4"/>
        <v>35.252618</v>
      </c>
      <c r="T231" s="161"/>
      <c r="U231" s="69"/>
      <c r="V231" s="65" t="s">
        <v>2640</v>
      </c>
      <c r="W231" s="71" t="s">
        <v>74</v>
      </c>
      <c r="X231" s="72" t="s">
        <v>75</v>
      </c>
      <c r="Y231" s="61" t="s">
        <v>76</v>
      </c>
      <c r="Z231" s="73"/>
      <c r="AA231" s="61" t="s">
        <v>77</v>
      </c>
      <c r="AB231" s="61" t="s">
        <v>421</v>
      </c>
      <c r="AC231" s="73"/>
      <c r="AD231" s="73"/>
      <c r="AE231" s="73"/>
      <c r="AF231" s="73"/>
      <c r="AG231" s="73"/>
      <c r="AH231" s="73"/>
      <c r="AI231" s="61" t="s">
        <v>79</v>
      </c>
      <c r="AJ231" s="75"/>
      <c r="AK231" s="136" t="s">
        <v>1261</v>
      </c>
      <c r="AL231" s="147" t="s">
        <v>2641</v>
      </c>
      <c r="AM231" s="138" t="s">
        <v>2642</v>
      </c>
      <c r="AN231" s="163" t="s">
        <v>2643</v>
      </c>
      <c r="AO231" s="164"/>
      <c r="AP231" s="164"/>
      <c r="AQ231" s="164"/>
      <c r="AR231" s="138" t="s">
        <v>2644</v>
      </c>
      <c r="AS231" s="164"/>
      <c r="AT231" s="164"/>
      <c r="AU231" s="89"/>
      <c r="AV231" s="162"/>
      <c r="AW231" s="81"/>
    </row>
    <row r="232" ht="15.75" customHeight="1">
      <c r="A232" s="87" t="s">
        <v>2580</v>
      </c>
      <c r="B232" s="104"/>
      <c r="C232" s="101" t="s">
        <v>2392</v>
      </c>
      <c r="D232" s="74">
        <v>50.221596</v>
      </c>
      <c r="E232" s="74">
        <v>38.187875</v>
      </c>
      <c r="F232" s="59">
        <v>1.0</v>
      </c>
      <c r="G232" s="151" t="s">
        <v>2645</v>
      </c>
      <c r="H232" s="104" t="s">
        <v>66</v>
      </c>
      <c r="I232" s="75"/>
      <c r="J232" s="63" t="s">
        <v>2646</v>
      </c>
      <c r="K232" s="88" t="s">
        <v>2647</v>
      </c>
      <c r="L232" s="110" t="s">
        <v>873</v>
      </c>
      <c r="M232" s="92" t="s">
        <v>547</v>
      </c>
      <c r="N232" s="111"/>
      <c r="O232" s="92" t="s">
        <v>2648</v>
      </c>
      <c r="P232" s="67" t="str">
        <f t="shared" si="1"/>
        <v>50.221596, 38.187875</v>
      </c>
      <c r="Q232" s="67" t="str">
        <f t="shared" si="2"/>
        <v>50.221146, 38.188233</v>
      </c>
      <c r="R232" s="67">
        <f t="shared" si="3"/>
        <v>50.221146</v>
      </c>
      <c r="S232" s="67">
        <f t="shared" si="4"/>
        <v>38.188233</v>
      </c>
      <c r="T232" s="161"/>
      <c r="U232" s="69"/>
      <c r="V232" s="65" t="s">
        <v>2649</v>
      </c>
      <c r="W232" s="71" t="s">
        <v>74</v>
      </c>
      <c r="X232" s="72" t="s">
        <v>75</v>
      </c>
      <c r="Y232" s="61" t="s">
        <v>76</v>
      </c>
      <c r="Z232" s="73"/>
      <c r="AA232" s="61" t="s">
        <v>77</v>
      </c>
      <c r="AB232" s="61" t="s">
        <v>1139</v>
      </c>
      <c r="AC232" s="73"/>
      <c r="AD232" s="73"/>
      <c r="AE232" s="73"/>
      <c r="AF232" s="73"/>
      <c r="AG232" s="73"/>
      <c r="AH232" s="73"/>
      <c r="AI232" s="61" t="s">
        <v>79</v>
      </c>
      <c r="AJ232" s="75"/>
      <c r="AK232" s="76" t="s">
        <v>798</v>
      </c>
      <c r="AL232" s="83" t="s">
        <v>2650</v>
      </c>
      <c r="AM232" s="71" t="s">
        <v>2651</v>
      </c>
      <c r="AN232" s="84" t="s">
        <v>2652</v>
      </c>
      <c r="AO232" s="71" t="s">
        <v>2653</v>
      </c>
      <c r="AP232" s="161" t="str">
        <f>IMAGE("https://bellingcat-archive.nyc3.cdn.digitaloceanspaces.com/Ukraine_Witness_Datasheet/Worksheet/youtube_dl_1492922819323310090/out2.jpg")</f>
        <v/>
      </c>
      <c r="AQ232" s="84" t="s">
        <v>2654</v>
      </c>
      <c r="AR232" s="71" t="s">
        <v>2655</v>
      </c>
      <c r="AS232" s="71" t="s">
        <v>2656</v>
      </c>
      <c r="AT232" s="71">
        <v>11.517</v>
      </c>
      <c r="AU232" s="89"/>
      <c r="AV232" s="162"/>
      <c r="AW232" s="81"/>
    </row>
    <row r="233" ht="15.75" customHeight="1">
      <c r="A233" s="87" t="s">
        <v>2580</v>
      </c>
      <c r="B233" s="100"/>
      <c r="C233" s="101" t="s">
        <v>2330</v>
      </c>
      <c r="D233" s="74">
        <v>52.945479</v>
      </c>
      <c r="E233" s="74">
        <v>36.39584</v>
      </c>
      <c r="F233" s="59">
        <v>1.0</v>
      </c>
      <c r="G233" s="151" t="s">
        <v>2657</v>
      </c>
      <c r="H233" s="104" t="s">
        <v>66</v>
      </c>
      <c r="I233" s="75"/>
      <c r="J233" s="63" t="s">
        <v>2658</v>
      </c>
      <c r="K233" s="88" t="s">
        <v>2659</v>
      </c>
      <c r="L233" s="110" t="s">
        <v>873</v>
      </c>
      <c r="M233" s="92" t="s">
        <v>2660</v>
      </c>
      <c r="N233" s="92" t="s">
        <v>2661</v>
      </c>
      <c r="O233" s="111"/>
      <c r="P233" s="67" t="str">
        <f t="shared" si="1"/>
        <v>52.945479, 36.39584</v>
      </c>
      <c r="Q233" s="67" t="str">
        <f t="shared" si="2"/>
        <v>52.944799, 36.395633</v>
      </c>
      <c r="R233" s="67">
        <f t="shared" si="3"/>
        <v>52.944799</v>
      </c>
      <c r="S233" s="67">
        <f t="shared" si="4"/>
        <v>36.395633</v>
      </c>
      <c r="T233" s="161"/>
      <c r="U233" s="69"/>
      <c r="V233" s="65" t="s">
        <v>2662</v>
      </c>
      <c r="W233" s="71" t="s">
        <v>74</v>
      </c>
      <c r="X233" s="72" t="s">
        <v>75</v>
      </c>
      <c r="Y233" s="61" t="s">
        <v>76</v>
      </c>
      <c r="Z233" s="73"/>
      <c r="AA233" s="61" t="s">
        <v>77</v>
      </c>
      <c r="AB233" s="61" t="s">
        <v>2663</v>
      </c>
      <c r="AC233" s="73"/>
      <c r="AD233" s="73"/>
      <c r="AE233" s="73"/>
      <c r="AF233" s="73"/>
      <c r="AG233" s="73"/>
      <c r="AH233" s="73"/>
      <c r="AI233" s="61" t="s">
        <v>79</v>
      </c>
      <c r="AJ233" s="75"/>
      <c r="AK233" s="76" t="s">
        <v>798</v>
      </c>
      <c r="AL233" s="83" t="s">
        <v>2664</v>
      </c>
      <c r="AM233" s="71" t="s">
        <v>2665</v>
      </c>
      <c r="AN233" s="84" t="s">
        <v>2666</v>
      </c>
      <c r="AO233" s="71" t="s">
        <v>2667</v>
      </c>
      <c r="AP233" s="161" t="str">
        <f>IMAGE("https://bellingcat-archive.nyc3.cdn.digitaloceanspaces.com/Ukraine_Witness_Datasheet/Worksheet/youtube_dl_1492846363444498436/out2.jpg")</f>
        <v/>
      </c>
      <c r="AQ233" s="84" t="s">
        <v>2668</v>
      </c>
      <c r="AR233" s="71" t="s">
        <v>2669</v>
      </c>
      <c r="AS233" s="71" t="s">
        <v>2670</v>
      </c>
      <c r="AT233" s="71">
        <v>29.024</v>
      </c>
      <c r="AU233" s="89"/>
      <c r="AV233" s="162"/>
      <c r="AW233" s="81"/>
    </row>
    <row r="234" ht="15.75" customHeight="1">
      <c r="A234" s="87" t="s">
        <v>2580</v>
      </c>
      <c r="B234" s="100"/>
      <c r="C234" s="101" t="s">
        <v>2330</v>
      </c>
      <c r="D234" s="74">
        <v>54.397701</v>
      </c>
      <c r="E234" s="74">
        <v>37.492038</v>
      </c>
      <c r="F234" s="59">
        <v>1.0</v>
      </c>
      <c r="G234" s="151" t="s">
        <v>2671</v>
      </c>
      <c r="H234" s="104" t="s">
        <v>66</v>
      </c>
      <c r="I234" s="75"/>
      <c r="J234" s="63" t="s">
        <v>2658</v>
      </c>
      <c r="K234" s="88" t="s">
        <v>2672</v>
      </c>
      <c r="L234" s="110" t="s">
        <v>873</v>
      </c>
      <c r="M234" s="92" t="s">
        <v>2673</v>
      </c>
      <c r="N234" s="92" t="s">
        <v>2674</v>
      </c>
      <c r="O234" s="111"/>
      <c r="P234" s="67" t="str">
        <f t="shared" si="1"/>
        <v>54.397701, 37.492038</v>
      </c>
      <c r="Q234" s="67" t="str">
        <f t="shared" si="2"/>
        <v>54.397503, 37.491547</v>
      </c>
      <c r="R234" s="67">
        <f t="shared" si="3"/>
        <v>54.397503</v>
      </c>
      <c r="S234" s="67">
        <f t="shared" si="4"/>
        <v>37.491547</v>
      </c>
      <c r="T234" s="161"/>
      <c r="U234" s="69"/>
      <c r="V234" s="65" t="s">
        <v>2675</v>
      </c>
      <c r="W234" s="71" t="s">
        <v>74</v>
      </c>
      <c r="X234" s="72" t="s">
        <v>75</v>
      </c>
      <c r="Y234" s="61" t="s">
        <v>76</v>
      </c>
      <c r="Z234" s="73"/>
      <c r="AA234" s="61" t="s">
        <v>77</v>
      </c>
      <c r="AB234" s="61" t="s">
        <v>421</v>
      </c>
      <c r="AC234" s="73"/>
      <c r="AD234" s="73"/>
      <c r="AE234" s="73"/>
      <c r="AF234" s="73"/>
      <c r="AG234" s="73"/>
      <c r="AH234" s="73"/>
      <c r="AI234" s="61" t="s">
        <v>79</v>
      </c>
      <c r="AJ234" s="75"/>
      <c r="AK234" s="76" t="s">
        <v>798</v>
      </c>
      <c r="AL234" s="83" t="s">
        <v>2676</v>
      </c>
      <c r="AM234" s="71" t="s">
        <v>2677</v>
      </c>
      <c r="AN234" s="84" t="s">
        <v>2678</v>
      </c>
      <c r="AO234" s="71" t="s">
        <v>2679</v>
      </c>
      <c r="AP234" s="161" t="str">
        <f>IMAGE("https://bellingcat-archive.nyc3.cdn.digitaloceanspaces.com/Ukraine_Witness_Datasheet/Worksheet/youtube_dl_1492518373539864578/out2.jpg")</f>
        <v/>
      </c>
      <c r="AQ234" s="84" t="s">
        <v>2680</v>
      </c>
      <c r="AR234" s="71" t="s">
        <v>2681</v>
      </c>
      <c r="AS234" s="71" t="s">
        <v>2682</v>
      </c>
      <c r="AT234" s="71">
        <v>41.82</v>
      </c>
      <c r="AU234" s="89"/>
      <c r="AV234" s="162"/>
      <c r="AW234" s="81"/>
    </row>
    <row r="235" ht="15.75" customHeight="1">
      <c r="A235" s="87" t="s">
        <v>2580</v>
      </c>
      <c r="B235" s="104"/>
      <c r="C235" s="101" t="s">
        <v>2392</v>
      </c>
      <c r="D235" s="74">
        <v>50.613297</v>
      </c>
      <c r="E235" s="74">
        <v>36.57846</v>
      </c>
      <c r="F235" s="59">
        <v>1.0</v>
      </c>
      <c r="G235" s="151" t="s">
        <v>2683</v>
      </c>
      <c r="H235" s="104" t="s">
        <v>66</v>
      </c>
      <c r="I235" s="75"/>
      <c r="J235" s="63" t="s">
        <v>2594</v>
      </c>
      <c r="K235" s="88" t="s">
        <v>2684</v>
      </c>
      <c r="L235" s="110" t="s">
        <v>873</v>
      </c>
      <c r="M235" s="92" t="s">
        <v>547</v>
      </c>
      <c r="N235" s="111"/>
      <c r="O235" s="92" t="s">
        <v>2596</v>
      </c>
      <c r="P235" s="67" t="str">
        <f t="shared" si="1"/>
        <v>50.613297, 36.57846</v>
      </c>
      <c r="Q235" s="67" t="str">
        <f t="shared" si="2"/>
        <v>50.613288, 36.577503</v>
      </c>
      <c r="R235" s="67">
        <f t="shared" si="3"/>
        <v>50.613288</v>
      </c>
      <c r="S235" s="67">
        <f t="shared" si="4"/>
        <v>36.577503</v>
      </c>
      <c r="T235" s="161"/>
      <c r="U235" s="69"/>
      <c r="V235" s="65" t="s">
        <v>2685</v>
      </c>
      <c r="W235" s="71" t="s">
        <v>74</v>
      </c>
      <c r="X235" s="72" t="s">
        <v>75</v>
      </c>
      <c r="Y235" s="61" t="s">
        <v>76</v>
      </c>
      <c r="Z235" s="73"/>
      <c r="AA235" s="61" t="s">
        <v>77</v>
      </c>
      <c r="AB235" s="61" t="s">
        <v>421</v>
      </c>
      <c r="AC235" s="73"/>
      <c r="AD235" s="73"/>
      <c r="AE235" s="73"/>
      <c r="AF235" s="73"/>
      <c r="AG235" s="73"/>
      <c r="AH235" s="73"/>
      <c r="AI235" s="61" t="s">
        <v>79</v>
      </c>
      <c r="AJ235" s="75"/>
      <c r="AK235" s="76" t="s">
        <v>798</v>
      </c>
      <c r="AL235" s="83" t="s">
        <v>2686</v>
      </c>
      <c r="AM235" s="71" t="s">
        <v>2687</v>
      </c>
      <c r="AN235" s="84" t="s">
        <v>2688</v>
      </c>
      <c r="AO235" s="71" t="s">
        <v>2689</v>
      </c>
      <c r="AP235" s="161" t="str">
        <f>IMAGE("https://bellingcat-archive.nyc3.cdn.digitaloceanspaces.com/Ukraine_Witness_Datasheet/Worksheet/youtube_dl_1492857534671200258/out3.jpg")</f>
        <v/>
      </c>
      <c r="AQ235" s="84" t="s">
        <v>2690</v>
      </c>
      <c r="AR235" s="71" t="s">
        <v>1051</v>
      </c>
      <c r="AS235" s="71" t="s">
        <v>2691</v>
      </c>
      <c r="AT235" s="71">
        <v>66.966</v>
      </c>
      <c r="AU235" s="89"/>
      <c r="AV235" s="162"/>
      <c r="AW235" s="81"/>
    </row>
    <row r="236" ht="15.75" customHeight="1">
      <c r="A236" s="87" t="s">
        <v>2580</v>
      </c>
      <c r="B236" s="104"/>
      <c r="C236" s="101" t="s">
        <v>2392</v>
      </c>
      <c r="D236" s="74">
        <v>53.365229</v>
      </c>
      <c r="E236" s="74">
        <v>28.597465</v>
      </c>
      <c r="F236" s="59">
        <v>1.0</v>
      </c>
      <c r="G236" s="151" t="s">
        <v>2692</v>
      </c>
      <c r="H236" s="104" t="s">
        <v>66</v>
      </c>
      <c r="I236" s="75"/>
      <c r="J236" s="63" t="s">
        <v>2594</v>
      </c>
      <c r="K236" s="88" t="s">
        <v>2693</v>
      </c>
      <c r="L236" s="110" t="s">
        <v>69</v>
      </c>
      <c r="M236" s="92" t="s">
        <v>2694</v>
      </c>
      <c r="N236" s="111"/>
      <c r="O236" s="111"/>
      <c r="P236" s="67" t="str">
        <f t="shared" si="1"/>
        <v>53.365229, 28.597465</v>
      </c>
      <c r="Q236" s="67" t="str">
        <f t="shared" si="2"/>
        <v>53.365166, 28.596627</v>
      </c>
      <c r="R236" s="67">
        <f t="shared" si="3"/>
        <v>53.365166</v>
      </c>
      <c r="S236" s="67">
        <f t="shared" si="4"/>
        <v>28.596627</v>
      </c>
      <c r="T236" s="161"/>
      <c r="U236" s="69"/>
      <c r="V236" s="65" t="s">
        <v>2695</v>
      </c>
      <c r="W236" s="71" t="s">
        <v>74</v>
      </c>
      <c r="X236" s="72" t="s">
        <v>75</v>
      </c>
      <c r="Y236" s="61" t="s">
        <v>76</v>
      </c>
      <c r="Z236" s="73"/>
      <c r="AA236" s="61" t="s">
        <v>77</v>
      </c>
      <c r="AB236" s="61" t="s">
        <v>421</v>
      </c>
      <c r="AC236" s="73"/>
      <c r="AD236" s="73"/>
      <c r="AE236" s="73"/>
      <c r="AF236" s="73"/>
      <c r="AG236" s="73"/>
      <c r="AH236" s="73"/>
      <c r="AI236" s="61" t="s">
        <v>79</v>
      </c>
      <c r="AJ236" s="75"/>
      <c r="AK236" s="136" t="s">
        <v>1261</v>
      </c>
      <c r="AL236" s="147" t="s">
        <v>2696</v>
      </c>
      <c r="AM236" s="138" t="s">
        <v>2697</v>
      </c>
      <c r="AN236" s="163" t="s">
        <v>2698</v>
      </c>
      <c r="AO236" s="164"/>
      <c r="AP236" s="164"/>
      <c r="AQ236" s="164"/>
      <c r="AR236" s="138" t="s">
        <v>2699</v>
      </c>
      <c r="AS236" s="164"/>
      <c r="AT236" s="164"/>
      <c r="AU236" s="89"/>
      <c r="AV236" s="162"/>
      <c r="AW236" s="81"/>
    </row>
    <row r="237" ht="15.75" customHeight="1">
      <c r="A237" s="87" t="s">
        <v>2580</v>
      </c>
      <c r="B237" s="104"/>
      <c r="C237" s="101" t="s">
        <v>2392</v>
      </c>
      <c r="D237" s="74">
        <v>51.420224</v>
      </c>
      <c r="E237" s="74">
        <v>34.90209</v>
      </c>
      <c r="F237" s="59">
        <v>1.0</v>
      </c>
      <c r="G237" s="84" t="s">
        <v>2700</v>
      </c>
      <c r="H237" s="104" t="s">
        <v>66</v>
      </c>
      <c r="I237" s="75"/>
      <c r="J237" s="63" t="s">
        <v>2594</v>
      </c>
      <c r="K237" s="88" t="s">
        <v>2701</v>
      </c>
      <c r="L237" s="110" t="s">
        <v>946</v>
      </c>
      <c r="M237" s="111"/>
      <c r="N237" s="92"/>
      <c r="O237" s="92" t="s">
        <v>1219</v>
      </c>
      <c r="P237" s="67" t="str">
        <f t="shared" si="1"/>
        <v>51.420224, 34.90209</v>
      </c>
      <c r="Q237" s="67" t="str">
        <f t="shared" si="2"/>
        <v>51.41953, 34.901513</v>
      </c>
      <c r="R237" s="67">
        <f t="shared" si="3"/>
        <v>51.41953</v>
      </c>
      <c r="S237" s="67">
        <f t="shared" si="4"/>
        <v>34.901513</v>
      </c>
      <c r="T237" s="161"/>
      <c r="U237" s="69"/>
      <c r="V237" s="65" t="s">
        <v>2702</v>
      </c>
      <c r="W237" s="71" t="s">
        <v>74</v>
      </c>
      <c r="X237" s="72" t="s">
        <v>75</v>
      </c>
      <c r="Y237" s="61" t="s">
        <v>76</v>
      </c>
      <c r="Z237" s="73"/>
      <c r="AA237" s="61" t="s">
        <v>77</v>
      </c>
      <c r="AB237" s="61" t="s">
        <v>421</v>
      </c>
      <c r="AC237" s="73"/>
      <c r="AD237" s="73"/>
      <c r="AE237" s="73"/>
      <c r="AF237" s="73"/>
      <c r="AG237" s="73"/>
      <c r="AH237" s="73"/>
      <c r="AI237" s="61" t="s">
        <v>79</v>
      </c>
      <c r="AJ237" s="75"/>
      <c r="AK237" s="136" t="s">
        <v>1261</v>
      </c>
      <c r="AL237" s="147" t="s">
        <v>2703</v>
      </c>
      <c r="AM237" s="138" t="s">
        <v>2704</v>
      </c>
      <c r="AN237" s="163" t="s">
        <v>2705</v>
      </c>
      <c r="AO237" s="164"/>
      <c r="AP237" s="164"/>
      <c r="AQ237" s="164"/>
      <c r="AR237" s="138" t="s">
        <v>2706</v>
      </c>
      <c r="AS237" s="164"/>
      <c r="AT237" s="164"/>
      <c r="AU237" s="89"/>
      <c r="AV237" s="162"/>
      <c r="AW237" s="81"/>
    </row>
    <row r="238" ht="15.75" customHeight="1">
      <c r="A238" s="87" t="s">
        <v>2580</v>
      </c>
      <c r="B238" s="104"/>
      <c r="C238" s="101" t="s">
        <v>2392</v>
      </c>
      <c r="D238" s="74">
        <v>51.99959</v>
      </c>
      <c r="E238" s="74">
        <v>29.257314</v>
      </c>
      <c r="F238" s="59">
        <v>1.0</v>
      </c>
      <c r="G238" s="84" t="s">
        <v>2707</v>
      </c>
      <c r="H238" s="104" t="s">
        <v>66</v>
      </c>
      <c r="I238" s="75"/>
      <c r="J238" s="63" t="s">
        <v>2605</v>
      </c>
      <c r="K238" s="88" t="s">
        <v>2708</v>
      </c>
      <c r="L238" s="110" t="s">
        <v>69</v>
      </c>
      <c r="M238" s="92" t="s">
        <v>2709</v>
      </c>
      <c r="N238" s="111"/>
      <c r="O238" s="111"/>
      <c r="P238" s="67" t="str">
        <f t="shared" si="1"/>
        <v>51.99959, 29.257314</v>
      </c>
      <c r="Q238" s="67" t="str">
        <f t="shared" si="2"/>
        <v>51.999519, 29.258066</v>
      </c>
      <c r="R238" s="67">
        <f t="shared" si="3"/>
        <v>51.999519</v>
      </c>
      <c r="S238" s="67">
        <f t="shared" si="4"/>
        <v>29.258066</v>
      </c>
      <c r="T238" s="161"/>
      <c r="U238" s="69"/>
      <c r="V238" s="65" t="s">
        <v>2710</v>
      </c>
      <c r="W238" s="71" t="s">
        <v>74</v>
      </c>
      <c r="X238" s="72" t="s">
        <v>75</v>
      </c>
      <c r="Y238" s="61" t="s">
        <v>76</v>
      </c>
      <c r="Z238" s="73"/>
      <c r="AA238" s="61" t="s">
        <v>77</v>
      </c>
      <c r="AB238" s="61" t="s">
        <v>78</v>
      </c>
      <c r="AC238" s="73"/>
      <c r="AD238" s="73"/>
      <c r="AE238" s="73"/>
      <c r="AF238" s="73"/>
      <c r="AG238" s="73"/>
      <c r="AH238" s="73"/>
      <c r="AI238" s="61" t="s">
        <v>79</v>
      </c>
      <c r="AJ238" s="75"/>
      <c r="AK238" s="136" t="s">
        <v>1261</v>
      </c>
      <c r="AL238" s="147" t="s">
        <v>2711</v>
      </c>
      <c r="AM238" s="138" t="s">
        <v>2712</v>
      </c>
      <c r="AN238" s="163" t="s">
        <v>2713</v>
      </c>
      <c r="AO238" s="164"/>
      <c r="AP238" s="164"/>
      <c r="AQ238" s="164"/>
      <c r="AR238" s="138" t="s">
        <v>2228</v>
      </c>
      <c r="AS238" s="164"/>
      <c r="AT238" s="164"/>
      <c r="AU238" s="89"/>
      <c r="AV238" s="162"/>
      <c r="AW238" s="81"/>
    </row>
    <row r="239" ht="15.75" customHeight="1">
      <c r="A239" s="87" t="s">
        <v>2580</v>
      </c>
      <c r="B239" s="104"/>
      <c r="C239" s="101" t="s">
        <v>2392</v>
      </c>
      <c r="D239" s="74">
        <v>52.182308</v>
      </c>
      <c r="E239" s="74">
        <v>29.873978</v>
      </c>
      <c r="F239" s="59">
        <v>1.0</v>
      </c>
      <c r="G239" s="84" t="s">
        <v>2714</v>
      </c>
      <c r="H239" s="104" t="s">
        <v>66</v>
      </c>
      <c r="I239" s="75"/>
      <c r="J239" s="63" t="s">
        <v>2638</v>
      </c>
      <c r="K239" s="88" t="s">
        <v>2715</v>
      </c>
      <c r="L239" s="110" t="s">
        <v>69</v>
      </c>
      <c r="M239" s="92" t="s">
        <v>2716</v>
      </c>
      <c r="N239" s="111"/>
      <c r="O239" s="111"/>
      <c r="P239" s="67" t="str">
        <f t="shared" si="1"/>
        <v>52.182308, 29.873978</v>
      </c>
      <c r="Q239" s="67" t="str">
        <f t="shared" si="2"/>
        <v>52.182172, 29.874564</v>
      </c>
      <c r="R239" s="67">
        <f t="shared" si="3"/>
        <v>52.182172</v>
      </c>
      <c r="S239" s="67">
        <f t="shared" si="4"/>
        <v>29.874564</v>
      </c>
      <c r="T239" s="161"/>
      <c r="U239" s="69"/>
      <c r="V239" s="65" t="s">
        <v>2717</v>
      </c>
      <c r="W239" s="71" t="s">
        <v>74</v>
      </c>
      <c r="X239" s="72" t="s">
        <v>75</v>
      </c>
      <c r="Y239" s="61" t="s">
        <v>76</v>
      </c>
      <c r="Z239" s="73"/>
      <c r="AA239" s="61" t="s">
        <v>77</v>
      </c>
      <c r="AB239" s="61" t="s">
        <v>2663</v>
      </c>
      <c r="AC239" s="73"/>
      <c r="AD239" s="73"/>
      <c r="AE239" s="73"/>
      <c r="AF239" s="73"/>
      <c r="AG239" s="73"/>
      <c r="AH239" s="73"/>
      <c r="AI239" s="61" t="s">
        <v>79</v>
      </c>
      <c r="AJ239" s="75"/>
      <c r="AK239" s="76" t="s">
        <v>798</v>
      </c>
      <c r="AL239" s="83" t="s">
        <v>2718</v>
      </c>
      <c r="AM239" s="71" t="s">
        <v>2719</v>
      </c>
      <c r="AN239" s="84" t="s">
        <v>2720</v>
      </c>
      <c r="AO239" s="71" t="s">
        <v>2721</v>
      </c>
      <c r="AP239" s="161" t="str">
        <f>IMAGE("https://bellingcat-archive.nyc3.cdn.digitaloceanspaces.com/Ukraine_Witness_Datasheet/Worksheet/youtube_dl_1492807867593859074/out2.jpg")</f>
        <v/>
      </c>
      <c r="AQ239" s="84" t="s">
        <v>2722</v>
      </c>
      <c r="AR239" s="71" t="s">
        <v>2723</v>
      </c>
      <c r="AS239" s="71" t="s">
        <v>2724</v>
      </c>
      <c r="AT239" s="71">
        <v>27.469</v>
      </c>
      <c r="AU239" s="89"/>
      <c r="AV239" s="162"/>
      <c r="AW239" s="81"/>
    </row>
    <row r="240" ht="15.75" customHeight="1">
      <c r="A240" s="87" t="s">
        <v>2580</v>
      </c>
      <c r="B240" s="100"/>
      <c r="C240" s="101" t="s">
        <v>2330</v>
      </c>
      <c r="D240" s="74">
        <v>52.98397</v>
      </c>
      <c r="E240" s="74">
        <v>36.107849</v>
      </c>
      <c r="F240" s="59">
        <v>1.0</v>
      </c>
      <c r="G240" s="84" t="s">
        <v>2725</v>
      </c>
      <c r="H240" s="104" t="s">
        <v>66</v>
      </c>
      <c r="I240" s="75"/>
      <c r="J240" s="63" t="s">
        <v>2726</v>
      </c>
      <c r="K240" s="88" t="s">
        <v>2727</v>
      </c>
      <c r="L240" s="110" t="s">
        <v>873</v>
      </c>
      <c r="M240" s="92" t="s">
        <v>534</v>
      </c>
      <c r="N240" s="111"/>
      <c r="O240" s="92" t="s">
        <v>2728</v>
      </c>
      <c r="P240" s="67" t="str">
        <f t="shared" si="1"/>
        <v>52.98397, 36.107849</v>
      </c>
      <c r="Q240" s="67" t="str">
        <f t="shared" si="2"/>
        <v>52.983664, 36.106797</v>
      </c>
      <c r="R240" s="67">
        <f t="shared" si="3"/>
        <v>52.983664</v>
      </c>
      <c r="S240" s="67">
        <f t="shared" si="4"/>
        <v>36.106797</v>
      </c>
      <c r="T240" s="161"/>
      <c r="U240" s="69"/>
      <c r="V240" s="65" t="s">
        <v>2729</v>
      </c>
      <c r="W240" s="71" t="s">
        <v>74</v>
      </c>
      <c r="X240" s="72" t="s">
        <v>75</v>
      </c>
      <c r="Y240" s="61" t="s">
        <v>76</v>
      </c>
      <c r="Z240" s="73"/>
      <c r="AA240" s="61" t="s">
        <v>77</v>
      </c>
      <c r="AB240" s="61" t="s">
        <v>78</v>
      </c>
      <c r="AC240" s="73"/>
      <c r="AD240" s="73"/>
      <c r="AE240" s="73"/>
      <c r="AF240" s="73"/>
      <c r="AG240" s="73"/>
      <c r="AH240" s="73"/>
      <c r="AI240" s="61" t="s">
        <v>79</v>
      </c>
      <c r="AJ240" s="75"/>
      <c r="AK240" s="76" t="s">
        <v>798</v>
      </c>
      <c r="AL240" s="83" t="s">
        <v>2730</v>
      </c>
      <c r="AM240" s="71" t="s">
        <v>2731</v>
      </c>
      <c r="AN240" s="84" t="s">
        <v>2732</v>
      </c>
      <c r="AO240" s="71" t="s">
        <v>2733</v>
      </c>
      <c r="AP240" s="161" t="str">
        <f>IMAGE("https://bellingcat-archive.nyc3.cdn.digitaloceanspaces.com/Ukraine_Witness_Datasheet/Worksheet/youtube_dl_1492618460265865217/out2.jpg")</f>
        <v/>
      </c>
      <c r="AQ240" s="84" t="s">
        <v>2734</v>
      </c>
      <c r="AR240" s="71" t="s">
        <v>543</v>
      </c>
      <c r="AS240" s="71" t="s">
        <v>2735</v>
      </c>
      <c r="AT240" s="71">
        <v>18.666</v>
      </c>
      <c r="AU240" s="89"/>
      <c r="AV240" s="162"/>
      <c r="AW240" s="81"/>
    </row>
    <row r="241" ht="15.75" customHeight="1">
      <c r="A241" s="87" t="s">
        <v>2580</v>
      </c>
      <c r="B241" s="100"/>
      <c r="C241" s="101" t="s">
        <v>2330</v>
      </c>
      <c r="D241" s="74">
        <v>51.786375</v>
      </c>
      <c r="E241" s="74">
        <v>30.270733</v>
      </c>
      <c r="F241" s="59">
        <v>1.0</v>
      </c>
      <c r="G241" s="84" t="s">
        <v>2736</v>
      </c>
      <c r="H241" s="104" t="s">
        <v>66</v>
      </c>
      <c r="I241" s="75"/>
      <c r="J241" s="63" t="s">
        <v>2594</v>
      </c>
      <c r="K241" s="88" t="s">
        <v>2737</v>
      </c>
      <c r="L241" s="110" t="s">
        <v>69</v>
      </c>
      <c r="M241" s="111"/>
      <c r="N241" s="111"/>
      <c r="O241" s="92" t="s">
        <v>2738</v>
      </c>
      <c r="P241" s="67" t="str">
        <f t="shared" si="1"/>
        <v>51.786375, 30.270733</v>
      </c>
      <c r="Q241" s="67" t="str">
        <f t="shared" si="2"/>
        <v>51.785583, 30.271176</v>
      </c>
      <c r="R241" s="67">
        <f t="shared" si="3"/>
        <v>51.785583</v>
      </c>
      <c r="S241" s="67">
        <f t="shared" si="4"/>
        <v>30.271176</v>
      </c>
      <c r="T241" s="161"/>
      <c r="U241" s="69"/>
      <c r="V241" s="65" t="s">
        <v>2739</v>
      </c>
      <c r="W241" s="71" t="s">
        <v>74</v>
      </c>
      <c r="X241" s="72" t="s">
        <v>75</v>
      </c>
      <c r="Y241" s="61" t="s">
        <v>76</v>
      </c>
      <c r="Z241" s="73"/>
      <c r="AA241" s="61" t="s">
        <v>77</v>
      </c>
      <c r="AB241" s="61" t="s">
        <v>421</v>
      </c>
      <c r="AC241" s="73"/>
      <c r="AD241" s="73"/>
      <c r="AE241" s="73"/>
      <c r="AF241" s="73"/>
      <c r="AG241" s="73"/>
      <c r="AH241" s="73"/>
      <c r="AI241" s="61" t="s">
        <v>79</v>
      </c>
      <c r="AJ241" s="75"/>
      <c r="AK241" s="76" t="s">
        <v>798</v>
      </c>
      <c r="AL241" s="83" t="s">
        <v>2740</v>
      </c>
      <c r="AM241" s="71" t="s">
        <v>2741</v>
      </c>
      <c r="AN241" s="84" t="s">
        <v>2742</v>
      </c>
      <c r="AO241" s="71" t="s">
        <v>2743</v>
      </c>
      <c r="AP241" s="161" t="str">
        <f>IMAGE("https://bellingcat-archive.nyc3.cdn.digitaloceanspaces.com/Ukraine_Witness_Datasheet/Worksheet/youtube_dl_1492453208882614272/out2.jpg")</f>
        <v/>
      </c>
      <c r="AQ241" s="84" t="s">
        <v>2744</v>
      </c>
      <c r="AR241" s="71" t="s">
        <v>2745</v>
      </c>
      <c r="AS241" s="71" t="s">
        <v>2746</v>
      </c>
      <c r="AT241" s="71">
        <v>11.099</v>
      </c>
      <c r="AU241" s="89"/>
      <c r="AV241" s="162"/>
      <c r="AW241" s="81"/>
    </row>
    <row r="242" ht="15.75" customHeight="1">
      <c r="A242" s="87" t="s">
        <v>2580</v>
      </c>
      <c r="B242" s="100"/>
      <c r="C242" s="101" t="s">
        <v>2330</v>
      </c>
      <c r="D242" s="74">
        <v>52.420638</v>
      </c>
      <c r="E242" s="74">
        <v>37.639772</v>
      </c>
      <c r="F242" s="59">
        <v>1.0</v>
      </c>
      <c r="G242" s="84" t="s">
        <v>2747</v>
      </c>
      <c r="H242" s="104" t="s">
        <v>66</v>
      </c>
      <c r="I242" s="75"/>
      <c r="J242" s="63" t="s">
        <v>2748</v>
      </c>
      <c r="K242" s="88" t="s">
        <v>2749</v>
      </c>
      <c r="L242" s="110" t="s">
        <v>873</v>
      </c>
      <c r="M242" s="92" t="s">
        <v>2660</v>
      </c>
      <c r="N242" s="111"/>
      <c r="O242" s="92" t="s">
        <v>2750</v>
      </c>
      <c r="P242" s="67" t="str">
        <f t="shared" si="1"/>
        <v>52.420638, 37.639772</v>
      </c>
      <c r="Q242" s="67" t="str">
        <f t="shared" si="2"/>
        <v>52.420296, 37.639282</v>
      </c>
      <c r="R242" s="67">
        <f t="shared" si="3"/>
        <v>52.420296</v>
      </c>
      <c r="S242" s="67">
        <f t="shared" si="4"/>
        <v>37.639282</v>
      </c>
      <c r="T242" s="161"/>
      <c r="U242" s="69"/>
      <c r="V242" s="65" t="s">
        <v>2751</v>
      </c>
      <c r="W242" s="71" t="s">
        <v>74</v>
      </c>
      <c r="X242" s="72" t="s">
        <v>75</v>
      </c>
      <c r="Y242" s="61" t="s">
        <v>76</v>
      </c>
      <c r="Z242" s="73"/>
      <c r="AA242" s="61" t="s">
        <v>77</v>
      </c>
      <c r="AB242" s="61" t="s">
        <v>421</v>
      </c>
      <c r="AC242" s="73"/>
      <c r="AD242" s="73"/>
      <c r="AE242" s="73"/>
      <c r="AF242" s="73"/>
      <c r="AG242" s="73"/>
      <c r="AH242" s="73"/>
      <c r="AI242" s="61" t="s">
        <v>79</v>
      </c>
      <c r="AJ242" s="75"/>
      <c r="AK242" s="76" t="s">
        <v>798</v>
      </c>
      <c r="AL242" s="83" t="s">
        <v>2752</v>
      </c>
      <c r="AM242" s="71" t="s">
        <v>2753</v>
      </c>
      <c r="AN242" s="84" t="s">
        <v>2754</v>
      </c>
      <c r="AO242" s="71" t="s">
        <v>2755</v>
      </c>
      <c r="AP242" s="161" t="str">
        <f>IMAGE("https://bellingcat-archive.nyc3.cdn.digitaloceanspaces.com/Ukraine_Witness_Datasheet/Worksheet/youtube_dl_1492620012598743042/out2.jpg")</f>
        <v/>
      </c>
      <c r="AQ242" s="84" t="s">
        <v>2756</v>
      </c>
      <c r="AR242" s="71" t="s">
        <v>2757</v>
      </c>
      <c r="AS242" s="71" t="s">
        <v>2758</v>
      </c>
      <c r="AT242" s="71">
        <v>45.814</v>
      </c>
      <c r="AU242" s="89"/>
      <c r="AV242" s="162"/>
      <c r="AW242" s="81"/>
    </row>
    <row r="243" ht="15.75" customHeight="1">
      <c r="A243" s="87" t="s">
        <v>2580</v>
      </c>
      <c r="B243" s="100"/>
      <c r="C243" s="101" t="s">
        <v>2330</v>
      </c>
      <c r="D243" s="74">
        <v>51.566473</v>
      </c>
      <c r="E243" s="74">
        <v>39.245741</v>
      </c>
      <c r="F243" s="59">
        <v>1.0</v>
      </c>
      <c r="G243" s="84" t="s">
        <v>2759</v>
      </c>
      <c r="H243" s="104" t="s">
        <v>66</v>
      </c>
      <c r="I243" s="75"/>
      <c r="J243" s="63" t="s">
        <v>2760</v>
      </c>
      <c r="K243" s="88" t="s">
        <v>2761</v>
      </c>
      <c r="L243" s="110" t="s">
        <v>873</v>
      </c>
      <c r="M243" s="92" t="s">
        <v>563</v>
      </c>
      <c r="N243" s="111"/>
      <c r="O243" s="92" t="s">
        <v>2762</v>
      </c>
      <c r="P243" s="67" t="str">
        <f t="shared" si="1"/>
        <v>51.566473, 39.245741</v>
      </c>
      <c r="Q243" s="67" t="str">
        <f t="shared" si="2"/>
        <v>51.566389, 39.246489</v>
      </c>
      <c r="R243" s="67">
        <f t="shared" si="3"/>
        <v>51.566389</v>
      </c>
      <c r="S243" s="67">
        <f t="shared" si="4"/>
        <v>39.246489</v>
      </c>
      <c r="T243" s="161"/>
      <c r="U243" s="69"/>
      <c r="V243" s="65" t="s">
        <v>2763</v>
      </c>
      <c r="W243" s="71" t="s">
        <v>74</v>
      </c>
      <c r="X243" s="72" t="s">
        <v>75</v>
      </c>
      <c r="Y243" s="61" t="s">
        <v>76</v>
      </c>
      <c r="Z243" s="73"/>
      <c r="AA243" s="61" t="s">
        <v>77</v>
      </c>
      <c r="AB243" s="61" t="s">
        <v>78</v>
      </c>
      <c r="AC243" s="73"/>
      <c r="AD243" s="73"/>
      <c r="AE243" s="73"/>
      <c r="AF243" s="73"/>
      <c r="AG243" s="73"/>
      <c r="AH243" s="73"/>
      <c r="AI243" s="61" t="s">
        <v>79</v>
      </c>
      <c r="AJ243" s="75"/>
      <c r="AK243" s="76" t="s">
        <v>798</v>
      </c>
      <c r="AL243" s="83" t="s">
        <v>2764</v>
      </c>
      <c r="AM243" s="71" t="s">
        <v>2765</v>
      </c>
      <c r="AN243" s="84" t="s">
        <v>2766</v>
      </c>
      <c r="AO243" s="71" t="s">
        <v>2767</v>
      </c>
      <c r="AP243" s="161" t="str">
        <f>IMAGE("https://bellingcat-archive.nyc3.cdn.digitaloceanspaces.com/Ukraine_Witness_Datasheet/Worksheet/youtube_dl_1492616196117741568/out2.jpg")</f>
        <v/>
      </c>
      <c r="AQ243" s="84" t="s">
        <v>2768</v>
      </c>
      <c r="AR243" s="71" t="s">
        <v>599</v>
      </c>
      <c r="AS243" s="71" t="s">
        <v>2769</v>
      </c>
      <c r="AT243" s="71">
        <v>25.427</v>
      </c>
      <c r="AU243" s="89"/>
      <c r="AV243" s="162"/>
      <c r="AW243" s="81"/>
    </row>
    <row r="244" ht="15.75" customHeight="1">
      <c r="A244" s="87" t="s">
        <v>2580</v>
      </c>
      <c r="B244" s="100"/>
      <c r="C244" s="101" t="s">
        <v>2330</v>
      </c>
      <c r="D244" s="74">
        <v>50.586652</v>
      </c>
      <c r="E244" s="74">
        <v>36.587297</v>
      </c>
      <c r="F244" s="59">
        <v>1.0</v>
      </c>
      <c r="G244" s="84" t="s">
        <v>2770</v>
      </c>
      <c r="H244" s="104" t="s">
        <v>66</v>
      </c>
      <c r="I244" s="75"/>
      <c r="J244" s="63" t="s">
        <v>2292</v>
      </c>
      <c r="K244" s="88" t="s">
        <v>2771</v>
      </c>
      <c r="L244" s="110" t="s">
        <v>873</v>
      </c>
      <c r="M244" s="92" t="s">
        <v>547</v>
      </c>
      <c r="N244" s="111"/>
      <c r="O244" s="92" t="s">
        <v>2772</v>
      </c>
      <c r="P244" s="67" t="str">
        <f t="shared" si="1"/>
        <v>50.586652, 36.587297</v>
      </c>
      <c r="Q244" s="67" t="str">
        <f t="shared" si="2"/>
        <v>50.585824, 36.58744</v>
      </c>
      <c r="R244" s="67">
        <f t="shared" si="3"/>
        <v>50.585824</v>
      </c>
      <c r="S244" s="67">
        <f t="shared" si="4"/>
        <v>36.58744</v>
      </c>
      <c r="T244" s="161"/>
      <c r="U244" s="69"/>
      <c r="V244" s="65" t="s">
        <v>2773</v>
      </c>
      <c r="W244" s="71" t="s">
        <v>74</v>
      </c>
      <c r="X244" s="72" t="s">
        <v>75</v>
      </c>
      <c r="Y244" s="61" t="s">
        <v>76</v>
      </c>
      <c r="Z244" s="73"/>
      <c r="AA244" s="61" t="s">
        <v>77</v>
      </c>
      <c r="AB244" s="61" t="s">
        <v>78</v>
      </c>
      <c r="AC244" s="73"/>
      <c r="AD244" s="73"/>
      <c r="AE244" s="73"/>
      <c r="AF244" s="73"/>
      <c r="AG244" s="73"/>
      <c r="AH244" s="73"/>
      <c r="AI244" s="61" t="s">
        <v>79</v>
      </c>
      <c r="AJ244" s="75"/>
      <c r="AK244" s="76" t="s">
        <v>798</v>
      </c>
      <c r="AL244" s="83" t="s">
        <v>2774</v>
      </c>
      <c r="AM244" s="71" t="s">
        <v>2775</v>
      </c>
      <c r="AN244" s="84" t="s">
        <v>2776</v>
      </c>
      <c r="AO244" s="71" t="s">
        <v>2777</v>
      </c>
      <c r="AP244" s="161" t="str">
        <f>IMAGE("https://bellingcat-archive.nyc3.cdn.digitaloceanspaces.com/Ukraine_Witness_Datasheet/Worksheet/youtube_dl_1492598773985550336/out3.jpg")</f>
        <v/>
      </c>
      <c r="AQ244" s="84" t="s">
        <v>2778</v>
      </c>
      <c r="AR244" s="71" t="s">
        <v>1051</v>
      </c>
      <c r="AS244" s="71" t="s">
        <v>2779</v>
      </c>
      <c r="AT244" s="71">
        <v>60.814</v>
      </c>
      <c r="AU244" s="89"/>
      <c r="AV244" s="162"/>
      <c r="AW244" s="81"/>
    </row>
    <row r="245" ht="15.75" customHeight="1">
      <c r="A245" s="87" t="s">
        <v>2580</v>
      </c>
      <c r="B245" s="100"/>
      <c r="C245" s="101" t="s">
        <v>2330</v>
      </c>
      <c r="D245" s="74">
        <v>52.181832</v>
      </c>
      <c r="E245" s="74">
        <v>29.862798</v>
      </c>
      <c r="F245" s="59">
        <v>1.0</v>
      </c>
      <c r="G245" s="84" t="s">
        <v>2780</v>
      </c>
      <c r="H245" s="104" t="s">
        <v>66</v>
      </c>
      <c r="I245" s="75"/>
      <c r="J245" s="63" t="s">
        <v>2781</v>
      </c>
      <c r="K245" s="88" t="s">
        <v>2782</v>
      </c>
      <c r="L245" s="110" t="s">
        <v>69</v>
      </c>
      <c r="M245" s="92" t="s">
        <v>2783</v>
      </c>
      <c r="N245" s="111"/>
      <c r="O245" s="111"/>
      <c r="P245" s="67" t="str">
        <f t="shared" si="1"/>
        <v>52.181832, 29.862798</v>
      </c>
      <c r="Q245" s="67" t="str">
        <f t="shared" si="2"/>
        <v>52.181661, 29.863308</v>
      </c>
      <c r="R245" s="67">
        <f t="shared" si="3"/>
        <v>52.181661</v>
      </c>
      <c r="S245" s="67">
        <f t="shared" si="4"/>
        <v>29.863308</v>
      </c>
      <c r="T245" s="161"/>
      <c r="U245" s="69"/>
      <c r="V245" s="65" t="s">
        <v>2784</v>
      </c>
      <c r="W245" s="71" t="s">
        <v>74</v>
      </c>
      <c r="X245" s="72" t="s">
        <v>75</v>
      </c>
      <c r="Y245" s="61" t="s">
        <v>76</v>
      </c>
      <c r="Z245" s="73"/>
      <c r="AA245" s="61" t="s">
        <v>77</v>
      </c>
      <c r="AB245" s="61" t="s">
        <v>78</v>
      </c>
      <c r="AC245" s="73"/>
      <c r="AD245" s="73"/>
      <c r="AE245" s="73"/>
      <c r="AF245" s="73"/>
      <c r="AG245" s="73"/>
      <c r="AH245" s="73"/>
      <c r="AI245" s="61" t="s">
        <v>79</v>
      </c>
      <c r="AJ245" s="75"/>
      <c r="AK245" s="76" t="s">
        <v>798</v>
      </c>
      <c r="AL245" s="83" t="s">
        <v>2785</v>
      </c>
      <c r="AM245" s="71" t="s">
        <v>2786</v>
      </c>
      <c r="AN245" s="84" t="s">
        <v>2787</v>
      </c>
      <c r="AO245" s="71" t="s">
        <v>2788</v>
      </c>
      <c r="AP245" s="161" t="str">
        <f>IMAGE("https://bellingcat-archive.nyc3.cdn.digitaloceanspaces.com/Ukraine_Witness_Datasheet/Worksheet/youtube_dl_1492561933916065795/out2.jpg")</f>
        <v/>
      </c>
      <c r="AQ245" s="84" t="s">
        <v>2789</v>
      </c>
      <c r="AR245" s="71" t="s">
        <v>2790</v>
      </c>
      <c r="AS245" s="71" t="s">
        <v>2791</v>
      </c>
      <c r="AT245" s="71">
        <v>12.074</v>
      </c>
      <c r="AU245" s="89"/>
      <c r="AV245" s="162"/>
      <c r="AW245" s="81"/>
    </row>
    <row r="246" ht="15.75" customHeight="1">
      <c r="A246" s="87" t="s">
        <v>2580</v>
      </c>
      <c r="B246" s="100"/>
      <c r="C246" s="101" t="s">
        <v>2145</v>
      </c>
      <c r="D246" s="74">
        <v>51.419499</v>
      </c>
      <c r="E246" s="74">
        <v>34.902327</v>
      </c>
      <c r="F246" s="59">
        <v>1.0</v>
      </c>
      <c r="G246" s="84" t="s">
        <v>2792</v>
      </c>
      <c r="H246" s="104" t="s">
        <v>66</v>
      </c>
      <c r="I246" s="75"/>
      <c r="J246" s="63" t="s">
        <v>2292</v>
      </c>
      <c r="K246" s="88" t="s">
        <v>2793</v>
      </c>
      <c r="L246" s="110" t="s">
        <v>873</v>
      </c>
      <c r="M246" s="92" t="s">
        <v>1028</v>
      </c>
      <c r="N246" s="111"/>
      <c r="O246" s="92" t="s">
        <v>1219</v>
      </c>
      <c r="P246" s="67" t="str">
        <f t="shared" si="1"/>
        <v>51.419499, 34.902327</v>
      </c>
      <c r="Q246" s="67" t="str">
        <f t="shared" si="2"/>
        <v>51.418994, 34.902833</v>
      </c>
      <c r="R246" s="67">
        <f t="shared" si="3"/>
        <v>51.418994</v>
      </c>
      <c r="S246" s="67">
        <f t="shared" si="4"/>
        <v>34.902833</v>
      </c>
      <c r="T246" s="161"/>
      <c r="U246" s="69"/>
      <c r="V246" s="65" t="s">
        <v>2794</v>
      </c>
      <c r="W246" s="71" t="s">
        <v>74</v>
      </c>
      <c r="X246" s="72" t="s">
        <v>75</v>
      </c>
      <c r="Y246" s="61" t="s">
        <v>76</v>
      </c>
      <c r="Z246" s="73"/>
      <c r="AA246" s="61" t="s">
        <v>77</v>
      </c>
      <c r="AB246" s="61" t="s">
        <v>78</v>
      </c>
      <c r="AC246" s="73"/>
      <c r="AD246" s="73"/>
      <c r="AE246" s="73"/>
      <c r="AF246" s="73"/>
      <c r="AG246" s="73"/>
      <c r="AH246" s="73"/>
      <c r="AI246" s="61" t="s">
        <v>79</v>
      </c>
      <c r="AJ246" s="75"/>
      <c r="AK246" s="76" t="s">
        <v>798</v>
      </c>
      <c r="AL246" s="83" t="s">
        <v>2795</v>
      </c>
      <c r="AM246" s="71" t="s">
        <v>2796</v>
      </c>
      <c r="AN246" s="84" t="s">
        <v>2797</v>
      </c>
      <c r="AO246" s="71" t="s">
        <v>2798</v>
      </c>
      <c r="AP246" s="161" t="str">
        <f>IMAGE("https://bellingcat-archive.nyc3.cdn.digitaloceanspaces.com/Ukraine_Witness_Datasheet/Worksheet/youtube_dl_1492538894218371072/out2.jpg")</f>
        <v/>
      </c>
      <c r="AQ246" s="84" t="s">
        <v>2799</v>
      </c>
      <c r="AR246" s="71" t="s">
        <v>2800</v>
      </c>
      <c r="AS246" s="71" t="s">
        <v>2801</v>
      </c>
      <c r="AT246" s="71">
        <v>28.235</v>
      </c>
      <c r="AU246" s="89"/>
      <c r="AV246" s="162"/>
      <c r="AW246" s="81"/>
    </row>
    <row r="247" ht="15.75" customHeight="1">
      <c r="A247" s="87" t="s">
        <v>2580</v>
      </c>
      <c r="B247" s="100"/>
      <c r="C247" s="101" t="s">
        <v>2330</v>
      </c>
      <c r="D247" s="74">
        <v>51.655437</v>
      </c>
      <c r="E247" s="74">
        <v>36.139769</v>
      </c>
      <c r="F247" s="59">
        <v>1.0</v>
      </c>
      <c r="G247" s="84" t="s">
        <v>2802</v>
      </c>
      <c r="H247" s="104" t="s">
        <v>66</v>
      </c>
      <c r="I247" s="75"/>
      <c r="J247" s="63" t="s">
        <v>2803</v>
      </c>
      <c r="K247" s="88" t="s">
        <v>2804</v>
      </c>
      <c r="L247" s="110" t="s">
        <v>873</v>
      </c>
      <c r="M247" s="92" t="s">
        <v>1028</v>
      </c>
      <c r="N247" s="111"/>
      <c r="O247" s="92" t="s">
        <v>1028</v>
      </c>
      <c r="P247" s="67" t="str">
        <f t="shared" si="1"/>
        <v>51.655437, 36.139769</v>
      </c>
      <c r="Q247" s="67" t="str">
        <f t="shared" si="2"/>
        <v>51.655153, 36.140395</v>
      </c>
      <c r="R247" s="67">
        <f t="shared" si="3"/>
        <v>51.655153</v>
      </c>
      <c r="S247" s="67">
        <f t="shared" si="4"/>
        <v>36.140395</v>
      </c>
      <c r="T247" s="161"/>
      <c r="U247" s="69"/>
      <c r="V247" s="65" t="s">
        <v>2805</v>
      </c>
      <c r="W247" s="71" t="s">
        <v>74</v>
      </c>
      <c r="X247" s="72" t="s">
        <v>75</v>
      </c>
      <c r="Y247" s="61" t="s">
        <v>76</v>
      </c>
      <c r="Z247" s="73"/>
      <c r="AA247" s="61" t="s">
        <v>77</v>
      </c>
      <c r="AB247" s="61" t="s">
        <v>761</v>
      </c>
      <c r="AC247" s="73"/>
      <c r="AD247" s="73"/>
      <c r="AE247" s="73"/>
      <c r="AF247" s="73"/>
      <c r="AG247" s="73"/>
      <c r="AH247" s="73"/>
      <c r="AI247" s="61" t="s">
        <v>79</v>
      </c>
      <c r="AJ247" s="75"/>
      <c r="AK247" s="76" t="s">
        <v>798</v>
      </c>
      <c r="AL247" s="83" t="s">
        <v>2806</v>
      </c>
      <c r="AM247" s="71" t="s">
        <v>2807</v>
      </c>
      <c r="AN247" s="84" t="s">
        <v>2808</v>
      </c>
      <c r="AO247" s="71" t="s">
        <v>2809</v>
      </c>
      <c r="AP247" s="161" t="str">
        <f>IMAGE("https://bellingcat-archive.nyc3.cdn.digitaloceanspaces.com/Ukraine_Witness_Datasheet/Worksheet/youtube_dl_1492522158282747908/out2.jpg")</f>
        <v/>
      </c>
      <c r="AQ247" s="84" t="s">
        <v>2810</v>
      </c>
      <c r="AR247" s="71" t="s">
        <v>1038</v>
      </c>
      <c r="AS247" s="71" t="s">
        <v>2811</v>
      </c>
      <c r="AT247" s="71">
        <v>58.333</v>
      </c>
      <c r="AU247" s="89"/>
      <c r="AV247" s="162"/>
      <c r="AW247" s="81"/>
    </row>
    <row r="248" ht="15.75" customHeight="1">
      <c r="A248" s="87" t="s">
        <v>63</v>
      </c>
      <c r="B248" s="104"/>
      <c r="C248" s="101" t="s">
        <v>2812</v>
      </c>
      <c r="D248" s="92">
        <v>50.652126</v>
      </c>
      <c r="E248" s="92">
        <v>36.143099</v>
      </c>
      <c r="F248" s="59">
        <v>1.0</v>
      </c>
      <c r="G248" s="84" t="s">
        <v>2813</v>
      </c>
      <c r="H248" s="104" t="s">
        <v>66</v>
      </c>
      <c r="I248" s="75"/>
      <c r="J248" s="63" t="s">
        <v>2814</v>
      </c>
      <c r="K248" s="114" t="s">
        <v>2815</v>
      </c>
      <c r="L248" s="110" t="s">
        <v>873</v>
      </c>
      <c r="M248" s="92" t="s">
        <v>547</v>
      </c>
      <c r="N248" s="111"/>
      <c r="O248" s="92" t="s">
        <v>2816</v>
      </c>
      <c r="P248" s="67" t="str">
        <f t="shared" si="1"/>
        <v>50.652126, 36.143099</v>
      </c>
      <c r="Q248" s="67" t="str">
        <f t="shared" si="2"/>
        <v>50.652043, 36.143992</v>
      </c>
      <c r="R248" s="67">
        <f t="shared" si="3"/>
        <v>50.652043</v>
      </c>
      <c r="S248" s="67">
        <f t="shared" si="4"/>
        <v>36.143992</v>
      </c>
      <c r="T248" s="161"/>
      <c r="U248" s="64" t="s">
        <v>2817</v>
      </c>
      <c r="V248" s="65" t="s">
        <v>2818</v>
      </c>
      <c r="W248" s="71" t="s">
        <v>74</v>
      </c>
      <c r="X248" s="72" t="s">
        <v>75</v>
      </c>
      <c r="Y248" s="61" t="s">
        <v>76</v>
      </c>
      <c r="Z248" s="73"/>
      <c r="AA248" s="61" t="s">
        <v>77</v>
      </c>
      <c r="AB248" s="61" t="s">
        <v>761</v>
      </c>
      <c r="AC248" s="73"/>
      <c r="AD248" s="73"/>
      <c r="AE248" s="73"/>
      <c r="AF248" s="73"/>
      <c r="AG248" s="73"/>
      <c r="AH248" s="73"/>
      <c r="AI248" s="61" t="s">
        <v>79</v>
      </c>
      <c r="AJ248" s="75"/>
      <c r="AK248" s="76" t="s">
        <v>798</v>
      </c>
      <c r="AL248" s="83" t="s">
        <v>2819</v>
      </c>
      <c r="AM248" s="71" t="s">
        <v>2820</v>
      </c>
      <c r="AN248" s="84" t="s">
        <v>2821</v>
      </c>
      <c r="AO248" s="71" t="s">
        <v>2822</v>
      </c>
      <c r="AP248" s="161" t="str">
        <f>IMAGE("https://bellingcat-archive.nyc3.cdn.digitaloceanspaces.com/Ukraine_Witness_Datasheet/Worksheet/youtube_dl_1493036503974486018/out3.jpg")</f>
        <v/>
      </c>
      <c r="AQ248" s="84" t="s">
        <v>2823</v>
      </c>
      <c r="AR248" s="71" t="s">
        <v>2824</v>
      </c>
      <c r="AS248" s="71" t="s">
        <v>2825</v>
      </c>
      <c r="AT248" s="71">
        <v>65.326</v>
      </c>
      <c r="AU248" s="89"/>
      <c r="AV248" s="162"/>
      <c r="AW248" s="81"/>
    </row>
    <row r="249" ht="15.75" customHeight="1">
      <c r="A249" s="87" t="s">
        <v>63</v>
      </c>
      <c r="B249" s="104"/>
      <c r="C249" s="101" t="s">
        <v>2812</v>
      </c>
      <c r="D249" s="92">
        <v>50.652335</v>
      </c>
      <c r="E249" s="92">
        <v>36.142596</v>
      </c>
      <c r="F249" s="59">
        <v>1.0</v>
      </c>
      <c r="G249" s="60" t="s">
        <v>2826</v>
      </c>
      <c r="H249" s="104" t="s">
        <v>66</v>
      </c>
      <c r="I249" s="75"/>
      <c r="J249" s="63" t="s">
        <v>2814</v>
      </c>
      <c r="K249" s="114" t="s">
        <v>2815</v>
      </c>
      <c r="L249" s="110" t="s">
        <v>873</v>
      </c>
      <c r="M249" s="92" t="s">
        <v>547</v>
      </c>
      <c r="N249" s="111"/>
      <c r="O249" s="92" t="s">
        <v>2816</v>
      </c>
      <c r="P249" s="67" t="str">
        <f t="shared" si="1"/>
        <v>50.652335, 36.142596</v>
      </c>
      <c r="Q249" s="67" t="str">
        <f t="shared" si="2"/>
        <v>50.652107, 36.143189</v>
      </c>
      <c r="R249" s="67">
        <f t="shared" si="3"/>
        <v>50.652107</v>
      </c>
      <c r="S249" s="67">
        <f t="shared" si="4"/>
        <v>36.143189</v>
      </c>
      <c r="T249" s="161"/>
      <c r="U249" s="69"/>
      <c r="V249" s="65" t="s">
        <v>2827</v>
      </c>
      <c r="W249" s="71" t="s">
        <v>74</v>
      </c>
      <c r="X249" s="72" t="s">
        <v>75</v>
      </c>
      <c r="Y249" s="61" t="s">
        <v>76</v>
      </c>
      <c r="Z249" s="73"/>
      <c r="AA249" s="61" t="s">
        <v>77</v>
      </c>
      <c r="AB249" s="61" t="s">
        <v>761</v>
      </c>
      <c r="AC249" s="73"/>
      <c r="AD249" s="73"/>
      <c r="AE249" s="73"/>
      <c r="AF249" s="73"/>
      <c r="AG249" s="73"/>
      <c r="AH249" s="73"/>
      <c r="AI249" s="61" t="s">
        <v>79</v>
      </c>
      <c r="AJ249" s="75"/>
      <c r="AK249" s="76" t="s">
        <v>798</v>
      </c>
      <c r="AL249" s="83" t="s">
        <v>2828</v>
      </c>
      <c r="AM249" s="71" t="s">
        <v>2829</v>
      </c>
      <c r="AN249" s="84" t="s">
        <v>2830</v>
      </c>
      <c r="AO249" s="71" t="s">
        <v>2831</v>
      </c>
      <c r="AP249" s="161" t="str">
        <f>IMAGE("https://bellingcat-archive.nyc3.cdn.digitaloceanspaces.com/Ukraine_Witness_Datasheet/Worksheet/youtube_dl_1493037436233994243/out3.jpg")</f>
        <v/>
      </c>
      <c r="AQ249" s="84" t="s">
        <v>2832</v>
      </c>
      <c r="AR249" s="71" t="s">
        <v>2833</v>
      </c>
      <c r="AS249" s="71" t="s">
        <v>2834</v>
      </c>
      <c r="AT249" s="71">
        <v>116.433</v>
      </c>
      <c r="AU249" s="89"/>
      <c r="AV249" s="162"/>
      <c r="AW249" s="81"/>
    </row>
    <row r="250" ht="15.75" customHeight="1">
      <c r="A250" s="87" t="s">
        <v>63</v>
      </c>
      <c r="B250" s="104"/>
      <c r="C250" s="101" t="s">
        <v>2812</v>
      </c>
      <c r="D250" s="92">
        <v>50.652372</v>
      </c>
      <c r="E250" s="92">
        <v>50.652372</v>
      </c>
      <c r="F250" s="59">
        <v>1.0</v>
      </c>
      <c r="G250" s="84" t="s">
        <v>2835</v>
      </c>
      <c r="H250" s="104" t="s">
        <v>66</v>
      </c>
      <c r="I250" s="75"/>
      <c r="J250" s="63" t="s">
        <v>2814</v>
      </c>
      <c r="K250" s="114" t="s">
        <v>2815</v>
      </c>
      <c r="L250" s="110" t="s">
        <v>873</v>
      </c>
      <c r="M250" s="92" t="s">
        <v>547</v>
      </c>
      <c r="N250" s="111"/>
      <c r="O250" s="92" t="s">
        <v>2816</v>
      </c>
      <c r="P250" s="67" t="str">
        <f t="shared" si="1"/>
        <v>50.652372, 50.652372</v>
      </c>
      <c r="Q250" s="67" t="str">
        <f t="shared" si="2"/>
        <v>50.652122, 50.651454</v>
      </c>
      <c r="R250" s="67">
        <f t="shared" si="3"/>
        <v>50.652122</v>
      </c>
      <c r="S250" s="67">
        <f t="shared" si="4"/>
        <v>50.651454</v>
      </c>
      <c r="T250" s="161"/>
      <c r="U250" s="69"/>
      <c r="V250" s="65" t="s">
        <v>2836</v>
      </c>
      <c r="W250" s="71" t="s">
        <v>74</v>
      </c>
      <c r="X250" s="72" t="s">
        <v>75</v>
      </c>
      <c r="Y250" s="61" t="s">
        <v>76</v>
      </c>
      <c r="Z250" s="73"/>
      <c r="AA250" s="61" t="s">
        <v>77</v>
      </c>
      <c r="AB250" s="61" t="s">
        <v>761</v>
      </c>
      <c r="AC250" s="73"/>
      <c r="AD250" s="73"/>
      <c r="AE250" s="73"/>
      <c r="AF250" s="73"/>
      <c r="AG250" s="73"/>
      <c r="AH250" s="73"/>
      <c r="AI250" s="61" t="s">
        <v>79</v>
      </c>
      <c r="AJ250" s="75"/>
      <c r="AK250" s="76" t="s">
        <v>798</v>
      </c>
      <c r="AL250" s="83" t="s">
        <v>2837</v>
      </c>
      <c r="AM250" s="71" t="s">
        <v>2838</v>
      </c>
      <c r="AN250" s="84" t="s">
        <v>2839</v>
      </c>
      <c r="AO250" s="71" t="s">
        <v>2840</v>
      </c>
      <c r="AP250" s="161" t="str">
        <f>IMAGE("https://bellingcat-archive.nyc3.cdn.digitaloceanspaces.com/Ukraine_Witness_Datasheet/Worksheet/youtube_dl_1493037767625826306/out3.jpg")</f>
        <v/>
      </c>
      <c r="AQ250" s="84" t="s">
        <v>2841</v>
      </c>
      <c r="AR250" s="71" t="s">
        <v>2842</v>
      </c>
      <c r="AS250" s="71" t="s">
        <v>2843</v>
      </c>
      <c r="AT250" s="71">
        <v>85.533</v>
      </c>
      <c r="AU250" s="89"/>
      <c r="AV250" s="162"/>
      <c r="AW250" s="81"/>
    </row>
    <row r="251" ht="15.75" customHeight="1">
      <c r="A251" s="87" t="s">
        <v>2580</v>
      </c>
      <c r="B251" s="100"/>
      <c r="C251" s="101" t="s">
        <v>2330</v>
      </c>
      <c r="D251" s="74">
        <v>52.581186</v>
      </c>
      <c r="E251" s="74">
        <v>33.764466</v>
      </c>
      <c r="F251" s="59">
        <v>1.0</v>
      </c>
      <c r="G251" s="84" t="s">
        <v>2844</v>
      </c>
      <c r="H251" s="104" t="s">
        <v>66</v>
      </c>
      <c r="I251" s="75"/>
      <c r="J251" s="63" t="s">
        <v>2594</v>
      </c>
      <c r="K251" s="88" t="s">
        <v>2845</v>
      </c>
      <c r="L251" s="110" t="s">
        <v>873</v>
      </c>
      <c r="M251" s="92" t="s">
        <v>240</v>
      </c>
      <c r="N251" s="111"/>
      <c r="O251" s="92" t="s">
        <v>2846</v>
      </c>
      <c r="P251" s="67" t="str">
        <f t="shared" si="1"/>
        <v>52.581186, 33.764466</v>
      </c>
      <c r="Q251" s="67" t="str">
        <f t="shared" si="2"/>
        <v>52.580347, 33.764375</v>
      </c>
      <c r="R251" s="67">
        <f t="shared" si="3"/>
        <v>52.580347</v>
      </c>
      <c r="S251" s="67">
        <f t="shared" si="4"/>
        <v>33.764375</v>
      </c>
      <c r="T251" s="161"/>
      <c r="U251" s="69"/>
      <c r="V251" s="65" t="s">
        <v>2847</v>
      </c>
      <c r="W251" s="71" t="s">
        <v>74</v>
      </c>
      <c r="X251" s="72" t="s">
        <v>75</v>
      </c>
      <c r="Y251" s="61" t="s">
        <v>76</v>
      </c>
      <c r="Z251" s="73"/>
      <c r="AA251" s="61" t="s">
        <v>77</v>
      </c>
      <c r="AB251" s="61" t="s">
        <v>421</v>
      </c>
      <c r="AC251" s="73"/>
      <c r="AD251" s="73"/>
      <c r="AE251" s="73"/>
      <c r="AF251" s="73"/>
      <c r="AG251" s="73"/>
      <c r="AH251" s="73"/>
      <c r="AI251" s="61" t="s">
        <v>79</v>
      </c>
      <c r="AJ251" s="75"/>
      <c r="AK251" s="76" t="s">
        <v>798</v>
      </c>
      <c r="AL251" s="83" t="s">
        <v>2848</v>
      </c>
      <c r="AM251" s="71" t="s">
        <v>2849</v>
      </c>
      <c r="AN251" s="84" t="s">
        <v>2850</v>
      </c>
      <c r="AO251" s="71" t="s">
        <v>2851</v>
      </c>
      <c r="AP251" s="161" t="str">
        <f>IMAGE("https://bellingcat-archive.nyc3.cdn.digitaloceanspaces.com/Ukraine_Witness_Datasheet/Worksheet/youtube_dl_1492524292449443847/out3.jpg")</f>
        <v/>
      </c>
      <c r="AQ251" s="84" t="s">
        <v>2852</v>
      </c>
      <c r="AR251" s="71" t="s">
        <v>2378</v>
      </c>
      <c r="AS251" s="71" t="s">
        <v>2853</v>
      </c>
      <c r="AT251" s="71">
        <v>68.034</v>
      </c>
      <c r="AU251" s="89"/>
      <c r="AV251" s="162"/>
      <c r="AW251" s="81"/>
    </row>
    <row r="252" ht="15.75" customHeight="1">
      <c r="A252" s="87" t="s">
        <v>2580</v>
      </c>
      <c r="B252" s="100"/>
      <c r="C252" s="101" t="s">
        <v>2330</v>
      </c>
      <c r="D252" s="74">
        <v>52.936763</v>
      </c>
      <c r="E252" s="74">
        <v>36.057402</v>
      </c>
      <c r="F252" s="59">
        <v>1.0</v>
      </c>
      <c r="G252" s="84" t="s">
        <v>2854</v>
      </c>
      <c r="H252" s="104" t="s">
        <v>66</v>
      </c>
      <c r="I252" s="75"/>
      <c r="J252" s="63" t="s">
        <v>2646</v>
      </c>
      <c r="K252" s="88" t="s">
        <v>2855</v>
      </c>
      <c r="L252" s="110" t="s">
        <v>873</v>
      </c>
      <c r="M252" s="92" t="s">
        <v>2660</v>
      </c>
      <c r="N252" s="111"/>
      <c r="O252" s="92" t="s">
        <v>534</v>
      </c>
      <c r="P252" s="67" t="str">
        <f t="shared" si="1"/>
        <v>52.936763, 36.057402</v>
      </c>
      <c r="Q252" s="67" t="str">
        <f t="shared" si="2"/>
        <v>52.93611, 36.057459</v>
      </c>
      <c r="R252" s="67">
        <f t="shared" si="3"/>
        <v>52.93611</v>
      </c>
      <c r="S252" s="67">
        <f t="shared" si="4"/>
        <v>36.057459</v>
      </c>
      <c r="T252" s="161"/>
      <c r="U252" s="69"/>
      <c r="V252" s="65" t="s">
        <v>2856</v>
      </c>
      <c r="W252" s="71" t="s">
        <v>74</v>
      </c>
      <c r="X252" s="72" t="s">
        <v>75</v>
      </c>
      <c r="Y252" s="61" t="s">
        <v>76</v>
      </c>
      <c r="Z252" s="73"/>
      <c r="AA252" s="61" t="s">
        <v>77</v>
      </c>
      <c r="AB252" s="61" t="s">
        <v>78</v>
      </c>
      <c r="AC252" s="73"/>
      <c r="AD252" s="73"/>
      <c r="AE252" s="73"/>
      <c r="AF252" s="73"/>
      <c r="AG252" s="73"/>
      <c r="AH252" s="73"/>
      <c r="AI252" s="61" t="s">
        <v>79</v>
      </c>
      <c r="AJ252" s="75"/>
      <c r="AK252" s="76" t="s">
        <v>798</v>
      </c>
      <c r="AL252" s="83" t="s">
        <v>2857</v>
      </c>
      <c r="AM252" s="71" t="s">
        <v>2858</v>
      </c>
      <c r="AN252" s="84" t="s">
        <v>2859</v>
      </c>
      <c r="AO252" s="71" t="s">
        <v>2860</v>
      </c>
      <c r="AP252" s="161" t="str">
        <f>IMAGE("https://bellingcat-archive.nyc3.cdn.digitaloceanspaces.com/Ukraine_Witness_Datasheet/Worksheet/youtube_dl_1492517699376893952/out2.jpg")</f>
        <v/>
      </c>
      <c r="AQ252" s="84" t="s">
        <v>2861</v>
      </c>
      <c r="AR252" s="71" t="s">
        <v>543</v>
      </c>
      <c r="AS252" s="71" t="s">
        <v>2862</v>
      </c>
      <c r="AT252" s="71">
        <v>25.938</v>
      </c>
      <c r="AU252" s="89"/>
      <c r="AV252" s="162"/>
      <c r="AW252" s="81"/>
    </row>
    <row r="253" ht="15.75" customHeight="1">
      <c r="A253" s="87" t="s">
        <v>2580</v>
      </c>
      <c r="B253" s="100"/>
      <c r="C253" s="101" t="s">
        <v>2330</v>
      </c>
      <c r="D253" s="74">
        <v>45.216787</v>
      </c>
      <c r="E253" s="74">
        <v>37.602662</v>
      </c>
      <c r="F253" s="59">
        <v>1.0</v>
      </c>
      <c r="G253" s="84" t="s">
        <v>2863</v>
      </c>
      <c r="H253" s="104" t="s">
        <v>66</v>
      </c>
      <c r="I253" s="75"/>
      <c r="J253" s="63" t="s">
        <v>2864</v>
      </c>
      <c r="K253" s="88" t="s">
        <v>2865</v>
      </c>
      <c r="L253" s="110" t="s">
        <v>873</v>
      </c>
      <c r="M253" s="92" t="s">
        <v>1819</v>
      </c>
      <c r="N253" s="92" t="s">
        <v>2866</v>
      </c>
      <c r="O253" s="111"/>
      <c r="P253" s="67" t="str">
        <f t="shared" si="1"/>
        <v>45.216787, 37.602662</v>
      </c>
      <c r="Q253" s="67" t="str">
        <f t="shared" si="2"/>
        <v>45.216416, 37.603706</v>
      </c>
      <c r="R253" s="67">
        <f t="shared" si="3"/>
        <v>45.216416</v>
      </c>
      <c r="S253" s="67">
        <f t="shared" si="4"/>
        <v>37.603706</v>
      </c>
      <c r="T253" s="161"/>
      <c r="U253" s="69"/>
      <c r="V253" s="65" t="s">
        <v>2867</v>
      </c>
      <c r="W253" s="71" t="s">
        <v>74</v>
      </c>
      <c r="X253" s="72" t="s">
        <v>75</v>
      </c>
      <c r="Y253" s="61" t="s">
        <v>76</v>
      </c>
      <c r="Z253" s="73"/>
      <c r="AA253" s="61" t="s">
        <v>77</v>
      </c>
      <c r="AB253" s="61" t="s">
        <v>421</v>
      </c>
      <c r="AC253" s="73"/>
      <c r="AD253" s="73"/>
      <c r="AE253" s="73"/>
      <c r="AF253" s="73"/>
      <c r="AG253" s="73"/>
      <c r="AH253" s="73"/>
      <c r="AI253" s="61" t="s">
        <v>79</v>
      </c>
      <c r="AJ253" s="75"/>
      <c r="AK253" s="76" t="s">
        <v>798</v>
      </c>
      <c r="AL253" s="83" t="s">
        <v>2868</v>
      </c>
      <c r="AM253" s="71" t="s">
        <v>2869</v>
      </c>
      <c r="AN253" s="84" t="s">
        <v>2870</v>
      </c>
      <c r="AO253" s="71" t="s">
        <v>2871</v>
      </c>
      <c r="AP253" s="161" t="str">
        <f>IMAGE("https://bellingcat-archive.nyc3.cdn.digitaloceanspaces.com/Ukraine_Witness_Datasheet/Worksheet/youtube_dl_1492509483049918468/out2.jpg")</f>
        <v/>
      </c>
      <c r="AQ253" s="84" t="s">
        <v>2872</v>
      </c>
      <c r="AR253" s="71" t="s">
        <v>530</v>
      </c>
      <c r="AS253" s="71" t="s">
        <v>2873</v>
      </c>
      <c r="AT253" s="71">
        <v>12.179</v>
      </c>
      <c r="AU253" s="89"/>
      <c r="AV253" s="162"/>
      <c r="AW253" s="81"/>
    </row>
    <row r="254" ht="15.75" customHeight="1">
      <c r="A254" s="87" t="s">
        <v>63</v>
      </c>
      <c r="B254" s="121"/>
      <c r="C254" s="101" t="s">
        <v>2812</v>
      </c>
      <c r="D254" s="58">
        <v>53.207718</v>
      </c>
      <c r="E254" s="58">
        <v>34.405008</v>
      </c>
      <c r="F254" s="59">
        <v>1.0</v>
      </c>
      <c r="G254" s="84" t="s">
        <v>2874</v>
      </c>
      <c r="H254" s="104" t="s">
        <v>66</v>
      </c>
      <c r="I254" s="75"/>
      <c r="J254" s="63" t="s">
        <v>68</v>
      </c>
      <c r="K254" s="64"/>
      <c r="L254" s="110" t="s">
        <v>873</v>
      </c>
      <c r="M254" s="92" t="s">
        <v>240</v>
      </c>
      <c r="N254" s="111"/>
      <c r="O254" s="92" t="s">
        <v>603</v>
      </c>
      <c r="P254" s="67" t="str">
        <f t="shared" si="1"/>
        <v>53.207718, 34.405008</v>
      </c>
      <c r="Q254" s="67" t="str">
        <f t="shared" si="2"/>
        <v>53.207684, 34.404314</v>
      </c>
      <c r="R254" s="67">
        <f t="shared" si="3"/>
        <v>53.207684</v>
      </c>
      <c r="S254" s="67">
        <f t="shared" si="4"/>
        <v>34.404314</v>
      </c>
      <c r="T254" s="161"/>
      <c r="U254" s="69"/>
      <c r="V254" s="65" t="s">
        <v>2875</v>
      </c>
      <c r="W254" s="71" t="s">
        <v>74</v>
      </c>
      <c r="X254" s="72" t="s">
        <v>75</v>
      </c>
      <c r="Y254" s="61" t="s">
        <v>76</v>
      </c>
      <c r="Z254" s="73"/>
      <c r="AA254" s="73"/>
      <c r="AB254" s="73"/>
      <c r="AC254" s="73"/>
      <c r="AD254" s="73"/>
      <c r="AE254" s="73"/>
      <c r="AF254" s="73"/>
      <c r="AG254" s="73"/>
      <c r="AH254" s="73"/>
      <c r="AI254" s="73"/>
      <c r="AJ254" s="75"/>
      <c r="AK254" s="76" t="s">
        <v>798</v>
      </c>
      <c r="AL254" s="83" t="s">
        <v>2876</v>
      </c>
      <c r="AM254" s="71" t="s">
        <v>2877</v>
      </c>
      <c r="AN254" s="84" t="s">
        <v>2878</v>
      </c>
      <c r="AO254" s="71" t="s">
        <v>2879</v>
      </c>
      <c r="AP254" s="161" t="str">
        <f>IMAGE("https://bellingcat-archive.nyc3.cdn.digitaloceanspaces.com/Ukraine_Witness_Datasheet/Worksheet/youtube_dl_1493081713563611136/out2.jpg")</f>
        <v/>
      </c>
      <c r="AQ254" s="84" t="s">
        <v>2880</v>
      </c>
      <c r="AR254" s="71" t="s">
        <v>780</v>
      </c>
      <c r="AS254" s="71" t="s">
        <v>2881</v>
      </c>
      <c r="AT254" s="71">
        <v>10.712</v>
      </c>
      <c r="AU254" s="89"/>
      <c r="AV254" s="162"/>
      <c r="AW254" s="81"/>
    </row>
    <row r="255" ht="15.75" customHeight="1">
      <c r="A255" s="87" t="s">
        <v>63</v>
      </c>
      <c r="B255" s="121"/>
      <c r="C255" s="101" t="s">
        <v>2392</v>
      </c>
      <c r="D255" s="58">
        <v>50.494355</v>
      </c>
      <c r="E255" s="58">
        <v>36.388704</v>
      </c>
      <c r="F255" s="59">
        <v>1.0</v>
      </c>
      <c r="G255" s="84" t="s">
        <v>2882</v>
      </c>
      <c r="H255" s="104" t="s">
        <v>66</v>
      </c>
      <c r="I255" s="75"/>
      <c r="J255" s="63" t="s">
        <v>2252</v>
      </c>
      <c r="K255" s="88" t="s">
        <v>2883</v>
      </c>
      <c r="L255" s="110" t="s">
        <v>873</v>
      </c>
      <c r="M255" s="92" t="s">
        <v>547</v>
      </c>
      <c r="N255" s="111"/>
      <c r="O255" s="92" t="s">
        <v>1259</v>
      </c>
      <c r="P255" s="67" t="str">
        <f t="shared" si="1"/>
        <v>50.494355, 36.388704</v>
      </c>
      <c r="Q255" s="67" t="str">
        <f t="shared" si="2"/>
        <v>50.493942, 36.388901</v>
      </c>
      <c r="R255" s="67">
        <f t="shared" si="3"/>
        <v>50.493942</v>
      </c>
      <c r="S255" s="67">
        <f t="shared" si="4"/>
        <v>36.388901</v>
      </c>
      <c r="T255" s="161"/>
      <c r="U255" s="69"/>
      <c r="V255" s="65" t="s">
        <v>2884</v>
      </c>
      <c r="W255" s="71" t="s">
        <v>74</v>
      </c>
      <c r="X255" s="72" t="s">
        <v>75</v>
      </c>
      <c r="Y255" s="61" t="s">
        <v>76</v>
      </c>
      <c r="Z255" s="73"/>
      <c r="AA255" s="73"/>
      <c r="AB255" s="73"/>
      <c r="AC255" s="73"/>
      <c r="AD255" s="73"/>
      <c r="AE255" s="73"/>
      <c r="AF255" s="73"/>
      <c r="AG255" s="73"/>
      <c r="AH255" s="73"/>
      <c r="AI255" s="73"/>
      <c r="AJ255" s="75"/>
      <c r="AK255" s="76" t="s">
        <v>798</v>
      </c>
      <c r="AL255" s="83" t="s">
        <v>2885</v>
      </c>
      <c r="AM255" s="71" t="s">
        <v>2886</v>
      </c>
      <c r="AN255" s="84" t="s">
        <v>2887</v>
      </c>
      <c r="AO255" s="71" t="s">
        <v>2888</v>
      </c>
      <c r="AP255" s="161" t="str">
        <f>IMAGE("https://bellingcat-archive.nyc3.cdn.digitaloceanspaces.com/Ukraine_Witness_Datasheet/Worksheet/youtube_dl_EwuaMqYf-jA/out2.jpg")</f>
        <v/>
      </c>
      <c r="AQ255" s="84" t="s">
        <v>2889</v>
      </c>
      <c r="AR255" s="71" t="s">
        <v>2890</v>
      </c>
      <c r="AS255" s="71" t="s">
        <v>2891</v>
      </c>
      <c r="AT255" s="71">
        <v>11.0</v>
      </c>
      <c r="AU255" s="89"/>
      <c r="AV255" s="162"/>
      <c r="AW255" s="81"/>
    </row>
    <row r="256" ht="15.75" customHeight="1">
      <c r="A256" s="87" t="s">
        <v>63</v>
      </c>
      <c r="B256" s="121"/>
      <c r="C256" s="101" t="s">
        <v>2145</v>
      </c>
      <c r="D256" s="58">
        <v>51.051272</v>
      </c>
      <c r="E256" s="58">
        <v>36.140506</v>
      </c>
      <c r="F256" s="59">
        <v>1.0</v>
      </c>
      <c r="G256" s="84" t="s">
        <v>2892</v>
      </c>
      <c r="H256" s="104" t="s">
        <v>66</v>
      </c>
      <c r="I256" s="75"/>
      <c r="J256" s="63" t="s">
        <v>2893</v>
      </c>
      <c r="K256" s="88" t="s">
        <v>2894</v>
      </c>
      <c r="L256" s="110" t="s">
        <v>873</v>
      </c>
      <c r="M256" s="92" t="s">
        <v>547</v>
      </c>
      <c r="N256" s="111"/>
      <c r="O256" s="92" t="s">
        <v>2895</v>
      </c>
      <c r="P256" s="67" t="str">
        <f t="shared" si="1"/>
        <v>51.051272, 36.140506</v>
      </c>
      <c r="Q256" s="67" t="str">
        <f t="shared" si="2"/>
        <v>51.051147, 36.139814</v>
      </c>
      <c r="R256" s="67">
        <f t="shared" si="3"/>
        <v>51.051147</v>
      </c>
      <c r="S256" s="67">
        <f t="shared" si="4"/>
        <v>36.139814</v>
      </c>
      <c r="T256" s="161"/>
      <c r="U256" s="64" t="s">
        <v>2896</v>
      </c>
      <c r="V256" s="65" t="s">
        <v>2897</v>
      </c>
      <c r="W256" s="71" t="s">
        <v>74</v>
      </c>
      <c r="X256" s="72" t="s">
        <v>75</v>
      </c>
      <c r="Y256" s="61" t="s">
        <v>76</v>
      </c>
      <c r="Z256" s="73"/>
      <c r="AA256" s="73"/>
      <c r="AB256" s="73"/>
      <c r="AC256" s="73"/>
      <c r="AD256" s="73"/>
      <c r="AE256" s="73"/>
      <c r="AF256" s="73"/>
      <c r="AG256" s="73"/>
      <c r="AH256" s="73"/>
      <c r="AI256" s="73"/>
      <c r="AJ256" s="75"/>
      <c r="AK256" s="76" t="s">
        <v>798</v>
      </c>
      <c r="AL256" s="83" t="s">
        <v>2898</v>
      </c>
      <c r="AM256" s="71" t="s">
        <v>2899</v>
      </c>
      <c r="AN256" s="84" t="s">
        <v>2900</v>
      </c>
      <c r="AO256" s="71" t="s">
        <v>2901</v>
      </c>
      <c r="AP256" s="161" t="str">
        <f>IMAGE("https://bellingcat-archive.nyc3.cdn.digitaloceanspaces.com/Ukraine_Witness_Datasheet/Worksheet/youtube_dl_1492049844634107904/out3.jpg")</f>
        <v/>
      </c>
      <c r="AQ256" s="84" t="s">
        <v>2902</v>
      </c>
      <c r="AR256" s="71" t="s">
        <v>2903</v>
      </c>
      <c r="AS256" s="71" t="s">
        <v>2904</v>
      </c>
      <c r="AT256" s="71">
        <v>63.963</v>
      </c>
      <c r="AU256" s="89"/>
      <c r="AV256" s="162"/>
      <c r="AW256" s="81"/>
    </row>
    <row r="257" ht="15.75" customHeight="1">
      <c r="A257" s="87" t="s">
        <v>63</v>
      </c>
      <c r="B257" s="121"/>
      <c r="C257" s="101" t="s">
        <v>2392</v>
      </c>
      <c r="D257" s="58">
        <v>51.420216</v>
      </c>
      <c r="E257" s="58">
        <v>34.902004</v>
      </c>
      <c r="F257" s="59">
        <v>1.0</v>
      </c>
      <c r="G257" s="84" t="s">
        <v>2905</v>
      </c>
      <c r="H257" s="104" t="s">
        <v>66</v>
      </c>
      <c r="I257" s="75"/>
      <c r="J257" s="63" t="s">
        <v>68</v>
      </c>
      <c r="K257" s="88" t="s">
        <v>2906</v>
      </c>
      <c r="L257" s="110" t="s">
        <v>873</v>
      </c>
      <c r="M257" s="92" t="s">
        <v>1028</v>
      </c>
      <c r="N257" s="111"/>
      <c r="O257" s="92" t="s">
        <v>1219</v>
      </c>
      <c r="P257" s="67" t="str">
        <f t="shared" si="1"/>
        <v>51.420216, 34.902004</v>
      </c>
      <c r="Q257" s="67" t="str">
        <f t="shared" si="2"/>
        <v>51.420177, 34.902619</v>
      </c>
      <c r="R257" s="67">
        <f t="shared" si="3"/>
        <v>51.420177</v>
      </c>
      <c r="S257" s="67">
        <f t="shared" si="4"/>
        <v>34.902619</v>
      </c>
      <c r="T257" s="161"/>
      <c r="U257" s="69"/>
      <c r="V257" s="65" t="s">
        <v>2907</v>
      </c>
      <c r="W257" s="71" t="s">
        <v>74</v>
      </c>
      <c r="X257" s="72" t="s">
        <v>75</v>
      </c>
      <c r="Y257" s="61" t="s">
        <v>76</v>
      </c>
      <c r="Z257" s="73"/>
      <c r="AA257" s="73"/>
      <c r="AB257" s="73"/>
      <c r="AC257" s="73"/>
      <c r="AD257" s="73"/>
      <c r="AE257" s="73"/>
      <c r="AF257" s="73"/>
      <c r="AG257" s="73"/>
      <c r="AH257" s="73"/>
      <c r="AI257" s="73"/>
      <c r="AJ257" s="75"/>
      <c r="AK257" s="76" t="s">
        <v>798</v>
      </c>
      <c r="AL257" s="83" t="s">
        <v>2908</v>
      </c>
      <c r="AM257" s="71" t="s">
        <v>2909</v>
      </c>
      <c r="AN257" s="84" t="s">
        <v>2910</v>
      </c>
      <c r="AO257" s="71" t="s">
        <v>2911</v>
      </c>
      <c r="AP257" s="161" t="str">
        <f>IMAGE("https://bellingcat-archive.nyc3.cdn.digitaloceanspaces.com/Ukraine_Witness_Datasheet/Worksheet/youtube_dl_1492800611863175168/out2.jpg")</f>
        <v/>
      </c>
      <c r="AQ257" s="84" t="s">
        <v>2912</v>
      </c>
      <c r="AR257" s="71" t="s">
        <v>1155</v>
      </c>
      <c r="AS257" s="71" t="s">
        <v>2913</v>
      </c>
      <c r="AT257" s="71">
        <v>12.433</v>
      </c>
      <c r="AU257" s="89"/>
      <c r="AV257" s="162"/>
      <c r="AW257" s="81"/>
    </row>
    <row r="258" ht="15.75" customHeight="1">
      <c r="A258" s="87" t="s">
        <v>63</v>
      </c>
      <c r="B258" s="121"/>
      <c r="C258" s="101" t="s">
        <v>2392</v>
      </c>
      <c r="D258" s="58">
        <v>52.447302</v>
      </c>
      <c r="E258" s="58">
        <v>37.46034</v>
      </c>
      <c r="F258" s="59">
        <v>1.0</v>
      </c>
      <c r="G258" s="84" t="s">
        <v>2914</v>
      </c>
      <c r="H258" s="104" t="s">
        <v>66</v>
      </c>
      <c r="I258" s="75"/>
      <c r="J258" s="63" t="s">
        <v>2123</v>
      </c>
      <c r="K258" s="88" t="s">
        <v>2915</v>
      </c>
      <c r="L258" s="110" t="s">
        <v>873</v>
      </c>
      <c r="M258" s="92" t="s">
        <v>2660</v>
      </c>
      <c r="N258" s="111"/>
      <c r="O258" s="92" t="s">
        <v>2916</v>
      </c>
      <c r="P258" s="67" t="str">
        <f t="shared" si="1"/>
        <v>52.447302, 37.46034</v>
      </c>
      <c r="Q258" s="67" t="str">
        <f t="shared" si="2"/>
        <v>52.446855, 37.46089</v>
      </c>
      <c r="R258" s="67">
        <f t="shared" si="3"/>
        <v>52.446855</v>
      </c>
      <c r="S258" s="67">
        <f t="shared" si="4"/>
        <v>37.46089</v>
      </c>
      <c r="T258" s="161"/>
      <c r="U258" s="64"/>
      <c r="V258" s="65" t="s">
        <v>2917</v>
      </c>
      <c r="W258" s="71" t="s">
        <v>74</v>
      </c>
      <c r="X258" s="72" t="s">
        <v>75</v>
      </c>
      <c r="Y258" s="61" t="s">
        <v>76</v>
      </c>
      <c r="Z258" s="73"/>
      <c r="AA258" s="73"/>
      <c r="AB258" s="73"/>
      <c r="AC258" s="73"/>
      <c r="AD258" s="73"/>
      <c r="AE258" s="73"/>
      <c r="AF258" s="73"/>
      <c r="AG258" s="73"/>
      <c r="AH258" s="73"/>
      <c r="AI258" s="73"/>
      <c r="AJ258" s="75"/>
      <c r="AK258" s="76" t="s">
        <v>798</v>
      </c>
      <c r="AL258" s="83" t="s">
        <v>2918</v>
      </c>
      <c r="AM258" s="71" t="s">
        <v>2919</v>
      </c>
      <c r="AN258" s="84" t="s">
        <v>2920</v>
      </c>
      <c r="AO258" s="71" t="s">
        <v>2921</v>
      </c>
      <c r="AP258" s="161" t="str">
        <f>IMAGE("https://bellingcat-archive.nyc3.cdn.digitaloceanspaces.com/Ukraine_Witness_Datasheet/Worksheet/youtube_dl_1492927310592462849/out2.jpg")</f>
        <v/>
      </c>
      <c r="AQ258" s="84" t="s">
        <v>2922</v>
      </c>
      <c r="AR258" s="71" t="s">
        <v>2923</v>
      </c>
      <c r="AS258" s="71" t="s">
        <v>2924</v>
      </c>
      <c r="AT258" s="71">
        <v>45.0</v>
      </c>
      <c r="AU258" s="89"/>
      <c r="AV258" s="162"/>
      <c r="AW258" s="81"/>
    </row>
    <row r="259" ht="15.75" customHeight="1">
      <c r="A259" s="87" t="s">
        <v>170</v>
      </c>
      <c r="B259" s="100"/>
      <c r="C259" s="101" t="s">
        <v>2330</v>
      </c>
      <c r="D259" s="74">
        <v>44.766398</v>
      </c>
      <c r="E259" s="74">
        <v>33.86386</v>
      </c>
      <c r="F259" s="59">
        <v>1.0</v>
      </c>
      <c r="G259" s="84" t="s">
        <v>2925</v>
      </c>
      <c r="H259" s="104" t="s">
        <v>66</v>
      </c>
      <c r="I259" s="75"/>
      <c r="J259" s="63" t="s">
        <v>2926</v>
      </c>
      <c r="K259" s="88" t="s">
        <v>2927</v>
      </c>
      <c r="L259" s="134"/>
      <c r="M259" s="92" t="s">
        <v>407</v>
      </c>
      <c r="N259" s="111"/>
      <c r="O259" s="111"/>
      <c r="P259" s="67" t="str">
        <f t="shared" si="1"/>
        <v>44.766398, 33.86386</v>
      </c>
      <c r="Q259" s="67" t="str">
        <f t="shared" si="2"/>
        <v>44.766164, 33.864251</v>
      </c>
      <c r="R259" s="67">
        <f t="shared" si="3"/>
        <v>44.766164</v>
      </c>
      <c r="S259" s="67">
        <f t="shared" si="4"/>
        <v>33.864251</v>
      </c>
      <c r="T259" s="161"/>
      <c r="U259" s="69"/>
      <c r="V259" s="65" t="s">
        <v>2928</v>
      </c>
      <c r="W259" s="71" t="s">
        <v>74</v>
      </c>
      <c r="X259" s="72" t="s">
        <v>75</v>
      </c>
      <c r="Y259" s="61" t="s">
        <v>76</v>
      </c>
      <c r="Z259" s="73"/>
      <c r="AA259" s="61" t="s">
        <v>77</v>
      </c>
      <c r="AB259" s="61" t="s">
        <v>78</v>
      </c>
      <c r="AC259" s="73"/>
      <c r="AD259" s="73"/>
      <c r="AE259" s="73"/>
      <c r="AF259" s="73"/>
      <c r="AG259" s="73"/>
      <c r="AH259" s="73"/>
      <c r="AI259" s="61" t="s">
        <v>79</v>
      </c>
      <c r="AJ259" s="75"/>
      <c r="AK259" s="76" t="s">
        <v>798</v>
      </c>
      <c r="AL259" s="83" t="s">
        <v>2929</v>
      </c>
      <c r="AM259" s="71" t="s">
        <v>2930</v>
      </c>
      <c r="AN259" s="84" t="s">
        <v>2931</v>
      </c>
      <c r="AO259" s="71" t="s">
        <v>2932</v>
      </c>
      <c r="AP259" s="161" t="str">
        <f>IMAGE("https://bellingcat-archive.nyc3.cdn.digitaloceanspaces.com/Ukraine_Witness_Datasheet/Worksheet/youtube_dl_1492488849024589828/out2.jpg")</f>
        <v/>
      </c>
      <c r="AQ259" s="84" t="s">
        <v>2933</v>
      </c>
      <c r="AR259" s="71" t="s">
        <v>1203</v>
      </c>
      <c r="AS259" s="71" t="s">
        <v>2934</v>
      </c>
      <c r="AT259" s="71">
        <v>45.0</v>
      </c>
      <c r="AU259" s="89"/>
      <c r="AV259" s="162"/>
      <c r="AW259" s="81"/>
    </row>
    <row r="260" ht="15.75" customHeight="1">
      <c r="A260" s="87" t="s">
        <v>2580</v>
      </c>
      <c r="B260" s="100"/>
      <c r="C260" s="101" t="s">
        <v>2330</v>
      </c>
      <c r="D260" s="74">
        <v>44.767336</v>
      </c>
      <c r="E260" s="74">
        <v>33.870736</v>
      </c>
      <c r="F260" s="59">
        <v>1.0</v>
      </c>
      <c r="G260" s="84" t="s">
        <v>2935</v>
      </c>
      <c r="H260" s="104" t="s">
        <v>66</v>
      </c>
      <c r="I260" s="75"/>
      <c r="J260" s="63" t="s">
        <v>2936</v>
      </c>
      <c r="K260" s="88" t="s">
        <v>2937</v>
      </c>
      <c r="L260" s="134"/>
      <c r="M260" s="92" t="s">
        <v>407</v>
      </c>
      <c r="N260" s="111"/>
      <c r="O260" s="111"/>
      <c r="P260" s="67" t="str">
        <f t="shared" si="1"/>
        <v>44.767336, 33.870736</v>
      </c>
      <c r="Q260" s="67" t="str">
        <f t="shared" si="2"/>
        <v>44.766707, 33.870812</v>
      </c>
      <c r="R260" s="67">
        <f t="shared" si="3"/>
        <v>44.766707</v>
      </c>
      <c r="S260" s="67">
        <f t="shared" si="4"/>
        <v>33.870812</v>
      </c>
      <c r="T260" s="161"/>
      <c r="U260" s="69"/>
      <c r="V260" s="65" t="s">
        <v>2938</v>
      </c>
      <c r="W260" s="71" t="s">
        <v>74</v>
      </c>
      <c r="X260" s="72" t="s">
        <v>75</v>
      </c>
      <c r="Y260" s="61" t="s">
        <v>76</v>
      </c>
      <c r="Z260" s="73"/>
      <c r="AA260" s="61" t="s">
        <v>77</v>
      </c>
      <c r="AB260" s="61" t="s">
        <v>78</v>
      </c>
      <c r="AC260" s="73"/>
      <c r="AD260" s="73"/>
      <c r="AE260" s="73"/>
      <c r="AF260" s="73"/>
      <c r="AG260" s="73"/>
      <c r="AH260" s="73"/>
      <c r="AI260" s="61" t="s">
        <v>79</v>
      </c>
      <c r="AJ260" s="75"/>
      <c r="AK260" s="76" t="s">
        <v>798</v>
      </c>
      <c r="AL260" s="83" t="s">
        <v>2939</v>
      </c>
      <c r="AM260" s="71" t="s">
        <v>2940</v>
      </c>
      <c r="AN260" s="84" t="s">
        <v>2941</v>
      </c>
      <c r="AO260" s="71" t="s">
        <v>2942</v>
      </c>
      <c r="AP260" s="161" t="str">
        <f>IMAGE("https://bellingcat-archive.nyc3.cdn.digitaloceanspaces.com/Ukraine_Witness_Datasheet/Worksheet/youtube_dl_1492486941375447045/out2.jpg")</f>
        <v/>
      </c>
      <c r="AQ260" s="84" t="s">
        <v>2943</v>
      </c>
      <c r="AR260" s="71" t="s">
        <v>1203</v>
      </c>
      <c r="AS260" s="71" t="s">
        <v>2944</v>
      </c>
      <c r="AT260" s="71">
        <v>40.766</v>
      </c>
      <c r="AU260" s="89"/>
      <c r="AV260" s="162"/>
      <c r="AW260" s="81"/>
    </row>
    <row r="261" ht="15.75" customHeight="1">
      <c r="A261" s="87" t="s">
        <v>2580</v>
      </c>
      <c r="B261" s="100"/>
      <c r="C261" s="101" t="s">
        <v>2330</v>
      </c>
      <c r="D261" s="74">
        <v>44.60492</v>
      </c>
      <c r="E261" s="74">
        <v>132.824411</v>
      </c>
      <c r="F261" s="59">
        <v>1.0</v>
      </c>
      <c r="G261" s="84" t="s">
        <v>2945</v>
      </c>
      <c r="H261" s="104" t="s">
        <v>66</v>
      </c>
      <c r="I261" s="75"/>
      <c r="J261" s="63" t="s">
        <v>2252</v>
      </c>
      <c r="K261" s="88" t="s">
        <v>2946</v>
      </c>
      <c r="L261" s="110" t="s">
        <v>79</v>
      </c>
      <c r="M261" s="92" t="s">
        <v>2947</v>
      </c>
      <c r="N261" s="111"/>
      <c r="O261" s="92" t="s">
        <v>2948</v>
      </c>
      <c r="P261" s="67" t="str">
        <f t="shared" si="1"/>
        <v>44.60492, 132.824411</v>
      </c>
      <c r="Q261" s="67" t="str">
        <f t="shared" si="2"/>
        <v>44.604591, 132.824216</v>
      </c>
      <c r="R261" s="67">
        <f t="shared" si="3"/>
        <v>44.604591</v>
      </c>
      <c r="S261" s="67">
        <f t="shared" si="4"/>
        <v>132.824216</v>
      </c>
      <c r="T261" s="161"/>
      <c r="U261" s="69"/>
      <c r="V261" s="65" t="s">
        <v>2949</v>
      </c>
      <c r="W261" s="71" t="s">
        <v>74</v>
      </c>
      <c r="X261" s="72" t="s">
        <v>75</v>
      </c>
      <c r="Y261" s="61" t="s">
        <v>76</v>
      </c>
      <c r="Z261" s="73"/>
      <c r="AA261" s="61" t="s">
        <v>77</v>
      </c>
      <c r="AB261" s="61" t="s">
        <v>78</v>
      </c>
      <c r="AC261" s="73"/>
      <c r="AD261" s="73"/>
      <c r="AE261" s="73"/>
      <c r="AF261" s="73"/>
      <c r="AG261" s="73"/>
      <c r="AH261" s="73"/>
      <c r="AI261" s="61" t="s">
        <v>79</v>
      </c>
      <c r="AJ261" s="75"/>
      <c r="AK261" s="76" t="s">
        <v>798</v>
      </c>
      <c r="AL261" s="83" t="s">
        <v>2950</v>
      </c>
      <c r="AM261" s="71" t="s">
        <v>2951</v>
      </c>
      <c r="AN261" s="84" t="s">
        <v>2952</v>
      </c>
      <c r="AO261" s="71" t="s">
        <v>2953</v>
      </c>
      <c r="AP261" s="161" t="str">
        <f>IMAGE("https://bellingcat-archive.nyc3.cdn.digitaloceanspaces.com/Ukraine_Witness_Datasheet/Worksheet/youtube_dl_1492463352123117575/out2.jpg")</f>
        <v/>
      </c>
      <c r="AQ261" s="84" t="s">
        <v>2954</v>
      </c>
      <c r="AR261" s="71" t="s">
        <v>2955</v>
      </c>
      <c r="AS261" s="71" t="s">
        <v>2956</v>
      </c>
      <c r="AT261" s="71">
        <v>41.634</v>
      </c>
      <c r="AU261" s="89"/>
      <c r="AV261" s="162"/>
      <c r="AW261" s="81"/>
    </row>
    <row r="262" ht="15.75" customHeight="1">
      <c r="A262" s="87" t="s">
        <v>2580</v>
      </c>
      <c r="B262" s="100"/>
      <c r="C262" s="101" t="s">
        <v>2330</v>
      </c>
      <c r="D262" s="74">
        <v>52.945472</v>
      </c>
      <c r="E262" s="74">
        <v>36.398942</v>
      </c>
      <c r="F262" s="59">
        <v>1.0</v>
      </c>
      <c r="G262" s="84" t="s">
        <v>2957</v>
      </c>
      <c r="H262" s="104" t="s">
        <v>66</v>
      </c>
      <c r="I262" s="75"/>
      <c r="J262" s="63" t="s">
        <v>2252</v>
      </c>
      <c r="K262" s="88" t="s">
        <v>2958</v>
      </c>
      <c r="L262" s="110" t="s">
        <v>79</v>
      </c>
      <c r="M262" s="92" t="s">
        <v>2660</v>
      </c>
      <c r="N262" s="92" t="s">
        <v>2661</v>
      </c>
      <c r="O262" s="111"/>
      <c r="P262" s="67" t="str">
        <f t="shared" si="1"/>
        <v>52.945472, 36.398942</v>
      </c>
      <c r="Q262" s="67" t="str">
        <f t="shared" si="2"/>
        <v>52.945077, 36.39935</v>
      </c>
      <c r="R262" s="67">
        <f t="shared" si="3"/>
        <v>52.945077</v>
      </c>
      <c r="S262" s="67">
        <f t="shared" si="4"/>
        <v>36.39935</v>
      </c>
      <c r="T262" s="161"/>
      <c r="U262" s="69"/>
      <c r="V262" s="65" t="s">
        <v>2959</v>
      </c>
      <c r="W262" s="71" t="s">
        <v>74</v>
      </c>
      <c r="X262" s="72" t="s">
        <v>75</v>
      </c>
      <c r="Y262" s="61" t="s">
        <v>76</v>
      </c>
      <c r="Z262" s="73"/>
      <c r="AA262" s="61" t="s">
        <v>77</v>
      </c>
      <c r="AB262" s="61" t="s">
        <v>78</v>
      </c>
      <c r="AC262" s="73"/>
      <c r="AD262" s="73"/>
      <c r="AE262" s="73"/>
      <c r="AF262" s="73"/>
      <c r="AG262" s="73"/>
      <c r="AH262" s="73"/>
      <c r="AI262" s="61" t="s">
        <v>79</v>
      </c>
      <c r="AJ262" s="75"/>
      <c r="AK262" s="76" t="s">
        <v>798</v>
      </c>
      <c r="AL262" s="83" t="s">
        <v>2960</v>
      </c>
      <c r="AM262" s="71" t="s">
        <v>2961</v>
      </c>
      <c r="AN262" s="84" t="s">
        <v>2962</v>
      </c>
      <c r="AO262" s="71" t="s">
        <v>2963</v>
      </c>
      <c r="AP262" s="161" t="str">
        <f>IMAGE("https://bellingcat-archive.nyc3.cdn.digitaloceanspaces.com/Ukraine_Witness_Datasheet/Worksheet/youtube_dl_1492287257855758337/out2.jpg")</f>
        <v/>
      </c>
      <c r="AQ262" s="84" t="s">
        <v>2964</v>
      </c>
      <c r="AR262" s="71" t="s">
        <v>2965</v>
      </c>
      <c r="AS262" s="71" t="s">
        <v>2966</v>
      </c>
      <c r="AT262" s="71">
        <v>59.276</v>
      </c>
      <c r="AU262" s="89"/>
      <c r="AV262" s="162"/>
      <c r="AW262" s="81"/>
    </row>
    <row r="263" ht="15.75" customHeight="1">
      <c r="A263" s="87" t="s">
        <v>2580</v>
      </c>
      <c r="B263" s="100"/>
      <c r="C263" s="101" t="s">
        <v>2145</v>
      </c>
      <c r="D263" s="74">
        <v>52.979174</v>
      </c>
      <c r="E263" s="74">
        <v>36.111543</v>
      </c>
      <c r="F263" s="59">
        <v>1.0</v>
      </c>
      <c r="G263" s="84" t="s">
        <v>2967</v>
      </c>
      <c r="H263" s="61" t="s">
        <v>66</v>
      </c>
      <c r="I263" s="75"/>
      <c r="J263" s="63" t="s">
        <v>2252</v>
      </c>
      <c r="K263" s="88" t="s">
        <v>2968</v>
      </c>
      <c r="L263" s="110" t="s">
        <v>79</v>
      </c>
      <c r="M263" s="92" t="s">
        <v>2660</v>
      </c>
      <c r="N263" s="111"/>
      <c r="O263" s="92" t="s">
        <v>534</v>
      </c>
      <c r="P263" s="67" t="str">
        <f t="shared" si="1"/>
        <v>52.979174, 36.111543</v>
      </c>
      <c r="Q263" s="67" t="str">
        <f t="shared" si="2"/>
        <v>52.978874, 36.112142</v>
      </c>
      <c r="R263" s="67">
        <f t="shared" si="3"/>
        <v>52.978874</v>
      </c>
      <c r="S263" s="67">
        <f t="shared" si="4"/>
        <v>36.112142</v>
      </c>
      <c r="T263" s="161"/>
      <c r="U263" s="69"/>
      <c r="V263" s="65" t="s">
        <v>2969</v>
      </c>
      <c r="W263" s="71" t="s">
        <v>74</v>
      </c>
      <c r="X263" s="72" t="s">
        <v>75</v>
      </c>
      <c r="Y263" s="61" t="s">
        <v>76</v>
      </c>
      <c r="Z263" s="73"/>
      <c r="AA263" s="61" t="s">
        <v>77</v>
      </c>
      <c r="AB263" s="61" t="s">
        <v>78</v>
      </c>
      <c r="AC263" s="73"/>
      <c r="AD263" s="73"/>
      <c r="AE263" s="73"/>
      <c r="AF263" s="73"/>
      <c r="AG263" s="73"/>
      <c r="AH263" s="73"/>
      <c r="AI263" s="61" t="s">
        <v>79</v>
      </c>
      <c r="AJ263" s="75"/>
      <c r="AK263" s="76" t="s">
        <v>798</v>
      </c>
      <c r="AL263" s="83" t="s">
        <v>2970</v>
      </c>
      <c r="AM263" s="71" t="s">
        <v>2971</v>
      </c>
      <c r="AN263" s="84" t="s">
        <v>2972</v>
      </c>
      <c r="AO263" s="71" t="s">
        <v>2973</v>
      </c>
      <c r="AP263" s="161" t="str">
        <f>IMAGE("https://bellingcat-archive.nyc3.cdn.digitaloceanspaces.com/Ukraine_Witness_Datasheet/Worksheet/youtube_dl_1492189535375081479/out3.jpg")</f>
        <v/>
      </c>
      <c r="AQ263" s="84" t="s">
        <v>2974</v>
      </c>
      <c r="AR263" s="71" t="s">
        <v>543</v>
      </c>
      <c r="AS263" s="71" t="s">
        <v>2975</v>
      </c>
      <c r="AT263" s="71">
        <v>65.319</v>
      </c>
      <c r="AU263" s="89"/>
      <c r="AV263" s="162"/>
      <c r="AW263" s="81"/>
    </row>
    <row r="264" ht="15.75" customHeight="1">
      <c r="A264" s="87" t="s">
        <v>2580</v>
      </c>
      <c r="B264" s="100"/>
      <c r="C264" s="101" t="s">
        <v>1627</v>
      </c>
      <c r="D264" s="74">
        <v>51.271271</v>
      </c>
      <c r="E264" s="74">
        <v>37.529562</v>
      </c>
      <c r="F264" s="59">
        <v>1.0</v>
      </c>
      <c r="G264" s="84" t="s">
        <v>2976</v>
      </c>
      <c r="H264" s="61" t="s">
        <v>66</v>
      </c>
      <c r="I264" s="75"/>
      <c r="J264" s="63" t="s">
        <v>2977</v>
      </c>
      <c r="K264" s="88" t="s">
        <v>2978</v>
      </c>
      <c r="L264" s="110" t="s">
        <v>79</v>
      </c>
      <c r="M264" s="92" t="s">
        <v>2979</v>
      </c>
      <c r="N264" s="111"/>
      <c r="O264" s="92" t="s">
        <v>2980</v>
      </c>
      <c r="P264" s="67" t="str">
        <f t="shared" si="1"/>
        <v>51.271271, 37.529562</v>
      </c>
      <c r="Q264" s="67" t="str">
        <f t="shared" si="2"/>
        <v>51.27127, 37.528913</v>
      </c>
      <c r="R264" s="67">
        <f t="shared" si="3"/>
        <v>51.27127</v>
      </c>
      <c r="S264" s="67">
        <f t="shared" si="4"/>
        <v>37.528913</v>
      </c>
      <c r="T264" s="161"/>
      <c r="U264" s="69"/>
      <c r="V264" s="65" t="s">
        <v>2981</v>
      </c>
      <c r="W264" s="71" t="s">
        <v>74</v>
      </c>
      <c r="X264" s="72" t="s">
        <v>2982</v>
      </c>
      <c r="Y264" s="61" t="s">
        <v>76</v>
      </c>
      <c r="Z264" s="73"/>
      <c r="AA264" s="61" t="s">
        <v>77</v>
      </c>
      <c r="AB264" s="61" t="s">
        <v>78</v>
      </c>
      <c r="AC264" s="73"/>
      <c r="AD264" s="73"/>
      <c r="AE264" s="73"/>
      <c r="AF264" s="73"/>
      <c r="AG264" s="73"/>
      <c r="AH264" s="73"/>
      <c r="AI264" s="61" t="s">
        <v>79</v>
      </c>
      <c r="AJ264" s="75"/>
      <c r="AK264" s="76" t="s">
        <v>798</v>
      </c>
      <c r="AL264" s="83" t="s">
        <v>2983</v>
      </c>
      <c r="AM264" s="71" t="s">
        <v>2984</v>
      </c>
      <c r="AN264" s="84" t="s">
        <v>2985</v>
      </c>
      <c r="AO264" s="71" t="s">
        <v>2986</v>
      </c>
      <c r="AP264" s="161" t="str">
        <f>IMAGE("https://bellingcat-archive.nyc3.cdn.digitaloceanspaces.com/Ukraine_Witness_Datasheet/Worksheet/youtube_dl_1492026082953891841/out2.jpg")</f>
        <v/>
      </c>
      <c r="AQ264" s="84" t="s">
        <v>2987</v>
      </c>
      <c r="AR264" s="71" t="s">
        <v>1794</v>
      </c>
      <c r="AS264" s="71" t="s">
        <v>2988</v>
      </c>
      <c r="AT264" s="71">
        <v>19.8</v>
      </c>
      <c r="AU264" s="89"/>
      <c r="AV264" s="162"/>
      <c r="AW264" s="81"/>
    </row>
    <row r="265" ht="15.75" customHeight="1">
      <c r="A265" s="165"/>
      <c r="B265" s="121"/>
      <c r="C265" s="101" t="s">
        <v>2989</v>
      </c>
      <c r="D265" s="121"/>
      <c r="E265" s="121"/>
      <c r="F265" s="59">
        <v>1.0</v>
      </c>
      <c r="G265" s="166" t="s">
        <v>2990</v>
      </c>
      <c r="H265" s="167" t="s">
        <v>66</v>
      </c>
      <c r="I265" s="75"/>
      <c r="J265" s="168"/>
      <c r="K265" s="69"/>
      <c r="L265" s="134"/>
      <c r="M265" s="111"/>
      <c r="N265" s="111"/>
      <c r="O265" s="111"/>
      <c r="P265" s="67" t="str">
        <f t="shared" si="1"/>
        <v/>
      </c>
      <c r="Q265" s="67" t="str">
        <f t="shared" si="2"/>
        <v/>
      </c>
      <c r="R265" s="67" t="str">
        <f t="shared" si="3"/>
        <v/>
      </c>
      <c r="S265" s="67" t="str">
        <f t="shared" si="4"/>
        <v/>
      </c>
      <c r="T265" s="161"/>
      <c r="U265" s="69"/>
      <c r="V265" s="169"/>
      <c r="W265" s="170"/>
      <c r="X265" s="171"/>
      <c r="Y265" s="61" t="s">
        <v>76</v>
      </c>
      <c r="Z265" s="73"/>
      <c r="AA265" s="73"/>
      <c r="AB265" s="73"/>
      <c r="AC265" s="73"/>
      <c r="AD265" s="73"/>
      <c r="AE265" s="73"/>
      <c r="AF265" s="73"/>
      <c r="AG265" s="73"/>
      <c r="AH265" s="73"/>
      <c r="AI265" s="73"/>
      <c r="AJ265" s="75"/>
      <c r="AK265" s="76" t="s">
        <v>962</v>
      </c>
      <c r="AL265" s="83" t="s">
        <v>2991</v>
      </c>
      <c r="AM265" s="71" t="s">
        <v>2992</v>
      </c>
      <c r="AN265" s="84" t="s">
        <v>2993</v>
      </c>
      <c r="AO265" s="71" t="s">
        <v>2994</v>
      </c>
      <c r="AP265" s="161" t="str">
        <f t="shared" ref="AP265:AP266" si="5">IMAGE("https://bellingcat-archive.nyc3.cdn.digitaloceanspaces.com/Ukraine_Witness_Datasheet/Worksheet/tiktok_7063710896807251201/out2.jpg")</f>
        <v/>
      </c>
      <c r="AQ265" s="84" t="s">
        <v>2995</v>
      </c>
      <c r="AR265" s="71" t="s">
        <v>2996</v>
      </c>
      <c r="AS265" s="71" t="s">
        <v>2997</v>
      </c>
      <c r="AT265" s="71">
        <v>9.0</v>
      </c>
      <c r="AU265" s="89"/>
      <c r="AV265" s="162"/>
      <c r="AW265" s="81"/>
    </row>
    <row r="266" ht="15.75" customHeight="1">
      <c r="A266" s="172"/>
      <c r="B266" s="121"/>
      <c r="C266" s="101" t="s">
        <v>2330</v>
      </c>
      <c r="D266" s="121"/>
      <c r="E266" s="121"/>
      <c r="F266" s="59">
        <v>1.0</v>
      </c>
      <c r="G266" s="84" t="s">
        <v>2990</v>
      </c>
      <c r="H266" s="173" t="s">
        <v>66</v>
      </c>
      <c r="I266" s="75"/>
      <c r="J266" s="168"/>
      <c r="K266" s="69"/>
      <c r="L266" s="134"/>
      <c r="M266" s="111"/>
      <c r="N266" s="111"/>
      <c r="O266" s="111"/>
      <c r="P266" s="67" t="str">
        <f t="shared" si="1"/>
        <v/>
      </c>
      <c r="Q266" s="67" t="str">
        <f t="shared" si="2"/>
        <v/>
      </c>
      <c r="R266" s="67" t="str">
        <f t="shared" si="3"/>
        <v/>
      </c>
      <c r="S266" s="67" t="str">
        <f t="shared" si="4"/>
        <v/>
      </c>
      <c r="T266" s="161"/>
      <c r="U266" s="69"/>
      <c r="V266" s="70"/>
      <c r="W266" s="174"/>
      <c r="X266" s="171"/>
      <c r="Y266" s="61" t="s">
        <v>76</v>
      </c>
      <c r="Z266" s="73"/>
      <c r="AA266" s="73"/>
      <c r="AB266" s="73"/>
      <c r="AC266" s="73"/>
      <c r="AD266" s="73"/>
      <c r="AE266" s="73"/>
      <c r="AF266" s="73"/>
      <c r="AG266" s="73"/>
      <c r="AH266" s="73"/>
      <c r="AI266" s="73"/>
      <c r="AJ266" s="75"/>
      <c r="AK266" s="76" t="s">
        <v>2998</v>
      </c>
      <c r="AL266" s="83" t="s">
        <v>2991</v>
      </c>
      <c r="AM266" s="71" t="s">
        <v>2999</v>
      </c>
      <c r="AN266" s="84" t="s">
        <v>3000</v>
      </c>
      <c r="AO266" s="71" t="s">
        <v>2994</v>
      </c>
      <c r="AP266" s="161" t="str">
        <f t="shared" si="5"/>
        <v/>
      </c>
      <c r="AQ266" s="84" t="s">
        <v>2995</v>
      </c>
      <c r="AR266" s="71" t="s">
        <v>2996</v>
      </c>
      <c r="AS266" s="71" t="s">
        <v>2997</v>
      </c>
      <c r="AT266" s="71">
        <v>9.0</v>
      </c>
      <c r="AU266" s="89"/>
      <c r="AV266" s="162"/>
      <c r="AW266" s="81"/>
    </row>
    <row r="267" ht="15.75" customHeight="1">
      <c r="A267" s="172"/>
      <c r="B267" s="121"/>
      <c r="C267" s="101" t="s">
        <v>2392</v>
      </c>
      <c r="D267" s="121"/>
      <c r="E267" s="121"/>
      <c r="F267" s="59">
        <v>1.0</v>
      </c>
      <c r="G267" s="130" t="s">
        <v>3001</v>
      </c>
      <c r="H267" s="173" t="s">
        <v>66</v>
      </c>
      <c r="I267" s="75"/>
      <c r="J267" s="168"/>
      <c r="K267" s="69"/>
      <c r="L267" s="134"/>
      <c r="M267" s="111"/>
      <c r="N267" s="111"/>
      <c r="O267" s="111"/>
      <c r="P267" s="67" t="str">
        <f t="shared" si="1"/>
        <v/>
      </c>
      <c r="Q267" s="67" t="str">
        <f t="shared" si="2"/>
        <v/>
      </c>
      <c r="R267" s="67" t="str">
        <f t="shared" si="3"/>
        <v/>
      </c>
      <c r="S267" s="67" t="str">
        <f t="shared" si="4"/>
        <v/>
      </c>
      <c r="T267" s="161"/>
      <c r="U267" s="69"/>
      <c r="V267" s="70"/>
      <c r="W267" s="174"/>
      <c r="X267" s="171"/>
      <c r="Y267" s="61" t="s">
        <v>76</v>
      </c>
      <c r="Z267" s="73"/>
      <c r="AA267" s="73"/>
      <c r="AB267" s="73"/>
      <c r="AC267" s="73"/>
      <c r="AD267" s="73"/>
      <c r="AE267" s="73"/>
      <c r="AF267" s="73"/>
      <c r="AG267" s="73"/>
      <c r="AH267" s="73"/>
      <c r="AI267" s="73"/>
      <c r="AJ267" s="75"/>
      <c r="AK267" s="76" t="s">
        <v>962</v>
      </c>
      <c r="AL267" s="83" t="s">
        <v>3002</v>
      </c>
      <c r="AM267" s="71" t="s">
        <v>3003</v>
      </c>
      <c r="AN267" s="84" t="s">
        <v>3004</v>
      </c>
      <c r="AO267" s="71" t="s">
        <v>3005</v>
      </c>
      <c r="AP267" s="161" t="str">
        <f>IMAGE("https://bellingcat-archive.nyc3.cdn.digitaloceanspaces.com/Ukraine_Witness_Datasheet/Worksheet/tiktok_7064192091626261762/out2.jpg")</f>
        <v/>
      </c>
      <c r="AQ267" s="84" t="s">
        <v>3006</v>
      </c>
      <c r="AR267" s="161"/>
      <c r="AS267" s="71" t="s">
        <v>3007</v>
      </c>
      <c r="AT267" s="71">
        <v>10.0</v>
      </c>
      <c r="AU267" s="89"/>
      <c r="AV267" s="162"/>
      <c r="AW267" s="81"/>
    </row>
    <row r="268" ht="15.75" customHeight="1">
      <c r="A268" s="172"/>
      <c r="B268" s="121"/>
      <c r="C268" s="101" t="s">
        <v>2392</v>
      </c>
      <c r="D268" s="121"/>
      <c r="E268" s="121"/>
      <c r="F268" s="59">
        <v>1.0</v>
      </c>
      <c r="G268" s="130" t="s">
        <v>3008</v>
      </c>
      <c r="H268" s="173" t="s">
        <v>66</v>
      </c>
      <c r="I268" s="75"/>
      <c r="J268" s="168"/>
      <c r="K268" s="69"/>
      <c r="L268" s="134"/>
      <c r="M268" s="111"/>
      <c r="N268" s="111"/>
      <c r="O268" s="111"/>
      <c r="P268" s="67" t="str">
        <f t="shared" si="1"/>
        <v/>
      </c>
      <c r="Q268" s="67" t="str">
        <f t="shared" si="2"/>
        <v/>
      </c>
      <c r="R268" s="67" t="str">
        <f t="shared" si="3"/>
        <v/>
      </c>
      <c r="S268" s="67" t="str">
        <f t="shared" si="4"/>
        <v/>
      </c>
      <c r="T268" s="161"/>
      <c r="U268" s="69"/>
      <c r="V268" s="70"/>
      <c r="W268" s="174"/>
      <c r="X268" s="171"/>
      <c r="Y268" s="61" t="s">
        <v>76</v>
      </c>
      <c r="Z268" s="73"/>
      <c r="AA268" s="73"/>
      <c r="AB268" s="73"/>
      <c r="AC268" s="73"/>
      <c r="AD268" s="73"/>
      <c r="AE268" s="73"/>
      <c r="AF268" s="73"/>
      <c r="AG268" s="73"/>
      <c r="AH268" s="73"/>
      <c r="AI268" s="73"/>
      <c r="AJ268" s="75"/>
      <c r="AK268" s="76" t="s">
        <v>962</v>
      </c>
      <c r="AL268" s="83" t="s">
        <v>3009</v>
      </c>
      <c r="AM268" s="71" t="s">
        <v>3010</v>
      </c>
      <c r="AN268" s="84" t="s">
        <v>3011</v>
      </c>
      <c r="AO268" s="71" t="s">
        <v>3012</v>
      </c>
      <c r="AP268" s="161" t="str">
        <f>IMAGE("https://bellingcat-archive.nyc3.cdn.digitaloceanspaces.com/Ukraine_Witness_Datasheet/Worksheet/tiktok_7064064236191878402/out2.jpg")</f>
        <v/>
      </c>
      <c r="AQ268" s="84" t="s">
        <v>3013</v>
      </c>
      <c r="AR268" s="71" t="s">
        <v>3014</v>
      </c>
      <c r="AS268" s="71" t="s">
        <v>3015</v>
      </c>
      <c r="AT268" s="71">
        <v>35.0</v>
      </c>
      <c r="AU268" s="89"/>
      <c r="AV268" s="162"/>
      <c r="AW268" s="81"/>
    </row>
    <row r="269" ht="15.75" customHeight="1">
      <c r="A269" s="172"/>
      <c r="B269" s="121"/>
      <c r="C269" s="101" t="s">
        <v>1627</v>
      </c>
      <c r="D269" s="121"/>
      <c r="E269" s="121"/>
      <c r="F269" s="59">
        <v>1.0</v>
      </c>
      <c r="G269" s="130" t="s">
        <v>3016</v>
      </c>
      <c r="H269" s="173" t="s">
        <v>66</v>
      </c>
      <c r="I269" s="75"/>
      <c r="J269" s="168"/>
      <c r="K269" s="69"/>
      <c r="L269" s="134"/>
      <c r="M269" s="111"/>
      <c r="N269" s="111"/>
      <c r="O269" s="111"/>
      <c r="P269" s="67" t="str">
        <f t="shared" si="1"/>
        <v/>
      </c>
      <c r="Q269" s="67" t="str">
        <f t="shared" si="2"/>
        <v/>
      </c>
      <c r="R269" s="67" t="str">
        <f t="shared" si="3"/>
        <v/>
      </c>
      <c r="S269" s="67" t="str">
        <f t="shared" si="4"/>
        <v/>
      </c>
      <c r="T269" s="161"/>
      <c r="U269" s="69"/>
      <c r="V269" s="70"/>
      <c r="W269" s="174"/>
      <c r="X269" s="171"/>
      <c r="Y269" s="61" t="s">
        <v>76</v>
      </c>
      <c r="Z269" s="73"/>
      <c r="AA269" s="61"/>
      <c r="AB269" s="61"/>
      <c r="AC269" s="73"/>
      <c r="AD269" s="73"/>
      <c r="AE269" s="73"/>
      <c r="AF269" s="73"/>
      <c r="AG269" s="73"/>
      <c r="AH269" s="73"/>
      <c r="AI269" s="61"/>
      <c r="AJ269" s="75"/>
      <c r="AK269" s="136" t="s">
        <v>3017</v>
      </c>
      <c r="AL269" s="160"/>
      <c r="AM269" s="138" t="s">
        <v>3018</v>
      </c>
      <c r="AN269" s="164"/>
      <c r="AO269" s="164"/>
      <c r="AP269" s="164"/>
      <c r="AQ269" s="164"/>
      <c r="AR269" s="164"/>
      <c r="AS269" s="164"/>
      <c r="AT269" s="164"/>
      <c r="AU269" s="89"/>
      <c r="AV269" s="162"/>
      <c r="AW269" s="81"/>
    </row>
    <row r="270" ht="15.75" customHeight="1">
      <c r="A270" s="87" t="s">
        <v>2580</v>
      </c>
      <c r="B270" s="121"/>
      <c r="C270" s="101" t="s">
        <v>2812</v>
      </c>
      <c r="D270" s="104">
        <v>53.263985</v>
      </c>
      <c r="E270" s="104">
        <v>34.405308</v>
      </c>
      <c r="F270" s="59">
        <v>1.0</v>
      </c>
      <c r="G270" s="84" t="s">
        <v>3019</v>
      </c>
      <c r="H270" s="167" t="s">
        <v>66</v>
      </c>
      <c r="I270" s="75"/>
      <c r="J270" s="63" t="s">
        <v>3020</v>
      </c>
      <c r="K270" s="88" t="s">
        <v>3021</v>
      </c>
      <c r="L270" s="110" t="s">
        <v>79</v>
      </c>
      <c r="M270" s="92" t="s">
        <v>772</v>
      </c>
      <c r="N270" s="111"/>
      <c r="O270" s="92" t="s">
        <v>240</v>
      </c>
      <c r="P270" s="67" t="str">
        <f t="shared" si="1"/>
        <v>53.263985, 34.405308</v>
      </c>
      <c r="Q270" s="67" t="str">
        <f t="shared" si="2"/>
        <v>53.263353, 34.406083</v>
      </c>
      <c r="R270" s="67">
        <f t="shared" si="3"/>
        <v>53.263353</v>
      </c>
      <c r="S270" s="67">
        <f t="shared" si="4"/>
        <v>34.406083</v>
      </c>
      <c r="T270" s="161"/>
      <c r="U270" s="69"/>
      <c r="V270" s="65" t="s">
        <v>3022</v>
      </c>
      <c r="W270" s="71" t="s">
        <v>74</v>
      </c>
      <c r="X270" s="72" t="s">
        <v>75</v>
      </c>
      <c r="Y270" s="61" t="s">
        <v>76</v>
      </c>
      <c r="Z270" s="173"/>
      <c r="AA270" s="173" t="s">
        <v>77</v>
      </c>
      <c r="AB270" s="173" t="s">
        <v>78</v>
      </c>
      <c r="AC270" s="173"/>
      <c r="AD270" s="173"/>
      <c r="AE270" s="173"/>
      <c r="AF270" s="173"/>
      <c r="AG270" s="173"/>
      <c r="AH270" s="173"/>
      <c r="AI270" s="173" t="s">
        <v>79</v>
      </c>
      <c r="AJ270" s="75"/>
      <c r="AK270" s="76" t="s">
        <v>798</v>
      </c>
      <c r="AL270" s="83" t="s">
        <v>3023</v>
      </c>
      <c r="AM270" s="71" t="s">
        <v>3024</v>
      </c>
      <c r="AN270" s="84" t="s">
        <v>3025</v>
      </c>
      <c r="AO270" s="71" t="s">
        <v>3026</v>
      </c>
      <c r="AP270" s="161" t="str">
        <f>IMAGE("https://bellingcat-archive.nyc3.cdn.digitaloceanspaces.com/Ukraine_Witness_Datasheet/Worksheet/youtube_dl_1493246368592404486/out2.jpg")</f>
        <v/>
      </c>
      <c r="AQ270" s="84" t="s">
        <v>3027</v>
      </c>
      <c r="AR270" s="71" t="s">
        <v>1051</v>
      </c>
      <c r="AS270" s="71" t="s">
        <v>3028</v>
      </c>
      <c r="AT270" s="71">
        <v>12.16</v>
      </c>
      <c r="AU270" s="89"/>
      <c r="AV270" s="162"/>
      <c r="AW270" s="81"/>
    </row>
    <row r="271" ht="15.75" customHeight="1">
      <c r="A271" s="87" t="s">
        <v>2580</v>
      </c>
      <c r="B271" s="121"/>
      <c r="C271" s="101" t="s">
        <v>2812</v>
      </c>
      <c r="D271" s="104">
        <v>51.419629</v>
      </c>
      <c r="E271" s="74">
        <v>34.90222</v>
      </c>
      <c r="F271" s="59">
        <v>1.0</v>
      </c>
      <c r="G271" s="84" t="s">
        <v>3029</v>
      </c>
      <c r="H271" s="167" t="s">
        <v>66</v>
      </c>
      <c r="I271" s="75"/>
      <c r="J271" s="63" t="s">
        <v>3020</v>
      </c>
      <c r="K271" s="88" t="s">
        <v>3030</v>
      </c>
      <c r="L271" s="110" t="s">
        <v>79</v>
      </c>
      <c r="M271" s="92" t="s">
        <v>946</v>
      </c>
      <c r="N271" s="111"/>
      <c r="O271" s="92" t="s">
        <v>1219</v>
      </c>
      <c r="P271" s="67" t="str">
        <f t="shared" si="1"/>
        <v>51.419629, 34.90222</v>
      </c>
      <c r="Q271" s="67" t="str">
        <f t="shared" si="2"/>
        <v>51.419198, 34.90177</v>
      </c>
      <c r="R271" s="67">
        <f t="shared" si="3"/>
        <v>51.419198</v>
      </c>
      <c r="S271" s="67">
        <f t="shared" si="4"/>
        <v>34.90177</v>
      </c>
      <c r="T271" s="161"/>
      <c r="U271" s="69"/>
      <c r="V271" s="65" t="s">
        <v>3031</v>
      </c>
      <c r="W271" s="71" t="s">
        <v>74</v>
      </c>
      <c r="X271" s="72" t="s">
        <v>75</v>
      </c>
      <c r="Y271" s="61" t="s">
        <v>76</v>
      </c>
      <c r="Z271" s="73"/>
      <c r="AA271" s="61" t="s">
        <v>77</v>
      </c>
      <c r="AB271" s="61" t="s">
        <v>78</v>
      </c>
      <c r="AC271" s="73"/>
      <c r="AD271" s="73"/>
      <c r="AE271" s="73"/>
      <c r="AF271" s="73"/>
      <c r="AG271" s="73"/>
      <c r="AH271" s="73"/>
      <c r="AI271" s="61" t="s">
        <v>79</v>
      </c>
      <c r="AJ271" s="75"/>
      <c r="AK271" s="76" t="s">
        <v>798</v>
      </c>
      <c r="AL271" s="83" t="s">
        <v>3032</v>
      </c>
      <c r="AM271" s="71" t="s">
        <v>3033</v>
      </c>
      <c r="AN271" s="84" t="s">
        <v>3034</v>
      </c>
      <c r="AO271" s="71" t="s">
        <v>3035</v>
      </c>
      <c r="AP271" s="161" t="str">
        <f>IMAGE("https://bellingcat-archive.nyc3.cdn.digitaloceanspaces.com/Ukraine_Witness_Datasheet/Worksheet/youtube_dl_1492745393423237121/out2.jpg")</f>
        <v/>
      </c>
      <c r="AQ271" s="84" t="s">
        <v>3036</v>
      </c>
      <c r="AR271" s="71" t="s">
        <v>1155</v>
      </c>
      <c r="AS271" s="71" t="s">
        <v>3037</v>
      </c>
      <c r="AT271" s="71">
        <v>25.3</v>
      </c>
      <c r="AU271" s="89"/>
      <c r="AV271" s="162"/>
      <c r="AW271" s="81"/>
    </row>
    <row r="272" ht="15.75" customHeight="1">
      <c r="A272" s="87" t="s">
        <v>2580</v>
      </c>
      <c r="B272" s="73"/>
      <c r="C272" s="57" t="s">
        <v>2812</v>
      </c>
      <c r="D272" s="104">
        <v>50.589888</v>
      </c>
      <c r="E272" s="74">
        <v>36.569779</v>
      </c>
      <c r="F272" s="59">
        <v>1.0</v>
      </c>
      <c r="G272" s="84" t="s">
        <v>3038</v>
      </c>
      <c r="H272" s="167" t="s">
        <v>66</v>
      </c>
      <c r="I272" s="75"/>
      <c r="J272" s="63" t="s">
        <v>3039</v>
      </c>
      <c r="K272" s="88" t="s">
        <v>3040</v>
      </c>
      <c r="L272" s="110" t="s">
        <v>79</v>
      </c>
      <c r="M272" s="92" t="s">
        <v>2979</v>
      </c>
      <c r="N272" s="111"/>
      <c r="O272" s="92" t="s">
        <v>2772</v>
      </c>
      <c r="P272" s="67" t="str">
        <f t="shared" si="1"/>
        <v>50.589888, 36.569779</v>
      </c>
      <c r="Q272" s="67" t="str">
        <f t="shared" si="2"/>
        <v>50.589145, 36.570216</v>
      </c>
      <c r="R272" s="67">
        <f t="shared" si="3"/>
        <v>50.589145</v>
      </c>
      <c r="S272" s="67">
        <f t="shared" si="4"/>
        <v>36.570216</v>
      </c>
      <c r="T272" s="161"/>
      <c r="U272" s="69"/>
      <c r="V272" s="65" t="s">
        <v>3041</v>
      </c>
      <c r="W272" s="71" t="s">
        <v>74</v>
      </c>
      <c r="X272" s="72" t="s">
        <v>75</v>
      </c>
      <c r="Y272" s="61" t="s">
        <v>76</v>
      </c>
      <c r="Z272" s="73"/>
      <c r="AA272" s="61" t="s">
        <v>77</v>
      </c>
      <c r="AB272" s="61" t="s">
        <v>421</v>
      </c>
      <c r="AC272" s="73"/>
      <c r="AD272" s="73"/>
      <c r="AE272" s="73"/>
      <c r="AF272" s="73"/>
      <c r="AG272" s="73"/>
      <c r="AH272" s="73"/>
      <c r="AI272" s="61" t="s">
        <v>79</v>
      </c>
      <c r="AJ272" s="75"/>
      <c r="AK272" s="76" t="s">
        <v>798</v>
      </c>
      <c r="AL272" s="83" t="s">
        <v>3042</v>
      </c>
      <c r="AM272" s="71" t="s">
        <v>3043</v>
      </c>
      <c r="AN272" s="84" t="s">
        <v>3044</v>
      </c>
      <c r="AO272" s="71" t="s">
        <v>3045</v>
      </c>
      <c r="AP272" s="161" t="str">
        <f>IMAGE("https://bellingcat-archive.nyc3.cdn.digitaloceanspaces.com/Ukraine_Witness_Datasheet/Worksheet/youtube_dl_1493281590281129987/out2.jpg")</f>
        <v/>
      </c>
      <c r="AQ272" s="84" t="s">
        <v>3046</v>
      </c>
      <c r="AR272" s="71" t="s">
        <v>1051</v>
      </c>
      <c r="AS272" s="71" t="s">
        <v>3047</v>
      </c>
      <c r="AT272" s="71">
        <v>20.969</v>
      </c>
      <c r="AU272" s="89"/>
      <c r="AV272" s="162"/>
      <c r="AW272" s="81"/>
    </row>
    <row r="273" ht="15.75" customHeight="1">
      <c r="A273" s="87" t="s">
        <v>2580</v>
      </c>
      <c r="B273" s="73"/>
      <c r="C273" s="57" t="s">
        <v>2812</v>
      </c>
      <c r="D273" s="104">
        <v>53.93592</v>
      </c>
      <c r="E273" s="104">
        <v>25.764282</v>
      </c>
      <c r="F273" s="59">
        <v>1.0</v>
      </c>
      <c r="G273" s="84" t="s">
        <v>3048</v>
      </c>
      <c r="H273" s="61" t="s">
        <v>66</v>
      </c>
      <c r="I273" s="75"/>
      <c r="J273" s="63" t="s">
        <v>3049</v>
      </c>
      <c r="K273" s="88" t="s">
        <v>3050</v>
      </c>
      <c r="L273" s="110" t="s">
        <v>69</v>
      </c>
      <c r="M273" s="111"/>
      <c r="N273" s="111"/>
      <c r="O273" s="92" t="s">
        <v>3051</v>
      </c>
      <c r="P273" s="67" t="str">
        <f t="shared" si="1"/>
        <v>53.93592, 25.764282</v>
      </c>
      <c r="Q273" s="67" t="str">
        <f t="shared" si="2"/>
        <v>53.935639, 25.764711</v>
      </c>
      <c r="R273" s="67">
        <f t="shared" si="3"/>
        <v>53.935639</v>
      </c>
      <c r="S273" s="67">
        <f t="shared" si="4"/>
        <v>25.764711</v>
      </c>
      <c r="T273" s="161"/>
      <c r="U273" s="69"/>
      <c r="V273" s="65" t="s">
        <v>3052</v>
      </c>
      <c r="W273" s="71" t="s">
        <v>74</v>
      </c>
      <c r="X273" s="72" t="s">
        <v>75</v>
      </c>
      <c r="Y273" s="61" t="s">
        <v>76</v>
      </c>
      <c r="Z273" s="73"/>
      <c r="AA273" s="61" t="s">
        <v>77</v>
      </c>
      <c r="AB273" s="61" t="s">
        <v>78</v>
      </c>
      <c r="AC273" s="73"/>
      <c r="AD273" s="73"/>
      <c r="AE273" s="73"/>
      <c r="AF273" s="73"/>
      <c r="AG273" s="73"/>
      <c r="AH273" s="73"/>
      <c r="AI273" s="61" t="s">
        <v>79</v>
      </c>
      <c r="AJ273" s="75"/>
      <c r="AK273" s="136" t="s">
        <v>1261</v>
      </c>
      <c r="AL273" s="147" t="s">
        <v>3053</v>
      </c>
      <c r="AM273" s="138" t="s">
        <v>3054</v>
      </c>
      <c r="AN273" s="163" t="s">
        <v>3055</v>
      </c>
      <c r="AO273" s="164"/>
      <c r="AP273" s="164"/>
      <c r="AQ273" s="164"/>
      <c r="AR273" s="138" t="s">
        <v>3056</v>
      </c>
      <c r="AS273" s="164"/>
      <c r="AT273" s="164"/>
      <c r="AU273" s="89"/>
      <c r="AV273" s="162"/>
      <c r="AW273" s="81"/>
    </row>
    <row r="274" ht="15.75" customHeight="1">
      <c r="A274" s="87" t="s">
        <v>2580</v>
      </c>
      <c r="B274" s="73"/>
      <c r="C274" s="57" t="s">
        <v>2812</v>
      </c>
      <c r="D274" s="104">
        <v>50.4227906722802</v>
      </c>
      <c r="E274" s="74">
        <v>36.5079793048575</v>
      </c>
      <c r="F274" s="59">
        <v>1.0</v>
      </c>
      <c r="G274" s="84" t="s">
        <v>3057</v>
      </c>
      <c r="H274" s="61" t="s">
        <v>66</v>
      </c>
      <c r="I274" s="75"/>
      <c r="J274" s="63" t="s">
        <v>3058</v>
      </c>
      <c r="K274" s="88" t="s">
        <v>3059</v>
      </c>
      <c r="L274" s="110" t="s">
        <v>79</v>
      </c>
      <c r="M274" s="92" t="s">
        <v>2979</v>
      </c>
      <c r="N274" s="92" t="s">
        <v>3060</v>
      </c>
      <c r="O274" s="111"/>
      <c r="P274" s="67" t="str">
        <f t="shared" si="1"/>
        <v>50.4227906722802, 36.5079793048575</v>
      </c>
      <c r="Q274" s="67" t="str">
        <f t="shared" si="2"/>
        <v>50.422399, 36.508708</v>
      </c>
      <c r="R274" s="67">
        <f t="shared" si="3"/>
        <v>50.422399</v>
      </c>
      <c r="S274" s="67">
        <f t="shared" si="4"/>
        <v>36.508708</v>
      </c>
      <c r="T274" s="161"/>
      <c r="U274" s="69"/>
      <c r="V274" s="65" t="s">
        <v>3061</v>
      </c>
      <c r="W274" s="71" t="s">
        <v>74</v>
      </c>
      <c r="X274" s="72" t="s">
        <v>75</v>
      </c>
      <c r="Y274" s="61" t="s">
        <v>76</v>
      </c>
      <c r="Z274" s="73"/>
      <c r="AA274" s="61" t="s">
        <v>77</v>
      </c>
      <c r="AB274" s="61" t="s">
        <v>78</v>
      </c>
      <c r="AC274" s="73"/>
      <c r="AD274" s="73"/>
      <c r="AE274" s="73"/>
      <c r="AF274" s="73"/>
      <c r="AG274" s="73"/>
      <c r="AH274" s="73"/>
      <c r="AI274" s="61" t="s">
        <v>79</v>
      </c>
      <c r="AJ274" s="75"/>
      <c r="AK274" s="76" t="s">
        <v>798</v>
      </c>
      <c r="AL274" s="83" t="s">
        <v>3062</v>
      </c>
      <c r="AM274" s="71" t="s">
        <v>3063</v>
      </c>
      <c r="AN274" s="84" t="s">
        <v>3064</v>
      </c>
      <c r="AO274" s="71" t="s">
        <v>3065</v>
      </c>
      <c r="AP274" s="161" t="str">
        <f>IMAGE("https://bellingcat-archive.nyc3.cdn.digitaloceanspaces.com/Ukraine_Witness_Datasheet/Worksheet/youtube_dl_1493246283875864576/out2.jpg")</f>
        <v/>
      </c>
      <c r="AQ274" s="84" t="s">
        <v>3066</v>
      </c>
      <c r="AR274" s="71" t="s">
        <v>3067</v>
      </c>
      <c r="AS274" s="71" t="s">
        <v>3068</v>
      </c>
      <c r="AT274" s="71">
        <v>18.436</v>
      </c>
      <c r="AU274" s="89"/>
      <c r="AV274" s="162"/>
      <c r="AW274" s="81"/>
    </row>
    <row r="275" ht="15.75" customHeight="1">
      <c r="A275" s="87" t="s">
        <v>2580</v>
      </c>
      <c r="B275" s="73"/>
      <c r="C275" s="57" t="s">
        <v>2812</v>
      </c>
      <c r="D275" s="149">
        <v>50.652126</v>
      </c>
      <c r="E275" s="74">
        <v>36.143099</v>
      </c>
      <c r="F275" s="59">
        <v>1.0</v>
      </c>
      <c r="G275" s="84" t="s">
        <v>2813</v>
      </c>
      <c r="H275" s="61" t="s">
        <v>66</v>
      </c>
      <c r="I275" s="75"/>
      <c r="J275" s="63" t="s">
        <v>2781</v>
      </c>
      <c r="K275" s="88" t="s">
        <v>2815</v>
      </c>
      <c r="L275" s="110" t="s">
        <v>79</v>
      </c>
      <c r="M275" s="92" t="s">
        <v>2979</v>
      </c>
      <c r="N275" s="111"/>
      <c r="O275" s="92" t="s">
        <v>2816</v>
      </c>
      <c r="P275" s="67" t="str">
        <f t="shared" si="1"/>
        <v>50.652126, 36.143099</v>
      </c>
      <c r="Q275" s="67" t="str">
        <f t="shared" si="2"/>
        <v>50.6516, 36.14397</v>
      </c>
      <c r="R275" s="67">
        <f t="shared" si="3"/>
        <v>50.6516</v>
      </c>
      <c r="S275" s="67">
        <f t="shared" si="4"/>
        <v>36.14397</v>
      </c>
      <c r="T275" s="161"/>
      <c r="U275" s="69"/>
      <c r="V275" s="65" t="s">
        <v>3069</v>
      </c>
      <c r="W275" s="71" t="s">
        <v>74</v>
      </c>
      <c r="X275" s="72" t="s">
        <v>75</v>
      </c>
      <c r="Y275" s="61" t="s">
        <v>76</v>
      </c>
      <c r="Z275" s="73"/>
      <c r="AA275" s="61" t="s">
        <v>77</v>
      </c>
      <c r="AB275" s="61" t="s">
        <v>78</v>
      </c>
      <c r="AC275" s="73"/>
      <c r="AD275" s="73"/>
      <c r="AE275" s="73"/>
      <c r="AF275" s="73"/>
      <c r="AG275" s="73"/>
      <c r="AH275" s="73"/>
      <c r="AI275" s="61" t="s">
        <v>79</v>
      </c>
      <c r="AJ275" s="75"/>
      <c r="AK275" s="76" t="s">
        <v>930</v>
      </c>
      <c r="AL275" s="83" t="s">
        <v>2819</v>
      </c>
      <c r="AM275" s="71" t="s">
        <v>3070</v>
      </c>
      <c r="AN275" s="84" t="s">
        <v>3071</v>
      </c>
      <c r="AO275" s="71" t="s">
        <v>2822</v>
      </c>
      <c r="AP275" s="161" t="str">
        <f>IMAGE("https://bellingcat-archive.nyc3.cdn.digitaloceanspaces.com/Ukraine_Witness_Datasheet/Worksheet/youtube_dl_1493036503974486018/out3.jpg")</f>
        <v/>
      </c>
      <c r="AQ275" s="84" t="s">
        <v>2823</v>
      </c>
      <c r="AR275" s="71" t="s">
        <v>2824</v>
      </c>
      <c r="AS275" s="71" t="s">
        <v>2825</v>
      </c>
      <c r="AT275" s="71">
        <v>65.326</v>
      </c>
      <c r="AU275" s="89"/>
      <c r="AV275" s="162"/>
      <c r="AW275" s="81"/>
    </row>
    <row r="276" ht="15.75" customHeight="1">
      <c r="A276" s="87" t="s">
        <v>2580</v>
      </c>
      <c r="B276" s="73"/>
      <c r="C276" s="57" t="s">
        <v>2812</v>
      </c>
      <c r="D276" s="92">
        <v>50.673308</v>
      </c>
      <c r="E276" s="92">
        <v>36.237427</v>
      </c>
      <c r="F276" s="59">
        <v>1.0</v>
      </c>
      <c r="G276" s="84" t="s">
        <v>2835</v>
      </c>
      <c r="H276" s="61" t="s">
        <v>66</v>
      </c>
      <c r="I276" s="75"/>
      <c r="J276" s="63" t="s">
        <v>3072</v>
      </c>
      <c r="K276" s="88" t="s">
        <v>3073</v>
      </c>
      <c r="L276" s="110" t="s">
        <v>79</v>
      </c>
      <c r="M276" s="92" t="s">
        <v>2979</v>
      </c>
      <c r="N276" s="111"/>
      <c r="O276" s="92" t="s">
        <v>3074</v>
      </c>
      <c r="P276" s="67" t="str">
        <f t="shared" si="1"/>
        <v>50.673308, 36.237427</v>
      </c>
      <c r="Q276" s="67" t="str">
        <f t="shared" si="2"/>
        <v>50.672765, 36.23814</v>
      </c>
      <c r="R276" s="67">
        <f t="shared" si="3"/>
        <v>50.672765</v>
      </c>
      <c r="S276" s="67">
        <f t="shared" si="4"/>
        <v>36.23814</v>
      </c>
      <c r="T276" s="161"/>
      <c r="U276" s="69"/>
      <c r="V276" s="65" t="s">
        <v>3075</v>
      </c>
      <c r="W276" s="71" t="s">
        <v>74</v>
      </c>
      <c r="X276" s="72" t="s">
        <v>75</v>
      </c>
      <c r="Y276" s="61" t="s">
        <v>76</v>
      </c>
      <c r="Z276" s="73"/>
      <c r="AA276" s="61" t="s">
        <v>77</v>
      </c>
      <c r="AB276" s="61" t="s">
        <v>78</v>
      </c>
      <c r="AC276" s="73"/>
      <c r="AD276" s="73"/>
      <c r="AE276" s="73"/>
      <c r="AF276" s="73"/>
      <c r="AG276" s="73"/>
      <c r="AH276" s="73"/>
      <c r="AI276" s="61" t="s">
        <v>79</v>
      </c>
      <c r="AJ276" s="75"/>
      <c r="AK276" s="76" t="s">
        <v>930</v>
      </c>
      <c r="AL276" s="83" t="s">
        <v>2837</v>
      </c>
      <c r="AM276" s="71" t="s">
        <v>3076</v>
      </c>
      <c r="AN276" s="84" t="s">
        <v>3077</v>
      </c>
      <c r="AO276" s="71" t="s">
        <v>2840</v>
      </c>
      <c r="AP276" s="161" t="str">
        <f>IMAGE("https://bellingcat-archive.nyc3.cdn.digitaloceanspaces.com/Ukraine_Witness_Datasheet/Worksheet/youtube_dl_1493037767625826306/out3.jpg")</f>
        <v/>
      </c>
      <c r="AQ276" s="84" t="s">
        <v>2841</v>
      </c>
      <c r="AR276" s="71" t="s">
        <v>2842</v>
      </c>
      <c r="AS276" s="71" t="s">
        <v>2843</v>
      </c>
      <c r="AT276" s="71">
        <v>85.533</v>
      </c>
      <c r="AU276" s="89"/>
      <c r="AV276" s="162"/>
      <c r="AW276" s="81"/>
    </row>
    <row r="277" ht="15.75" customHeight="1">
      <c r="A277" s="87" t="s">
        <v>2580</v>
      </c>
      <c r="B277" s="73"/>
      <c r="C277" s="57" t="s">
        <v>2392</v>
      </c>
      <c r="D277" s="92">
        <v>50.430378</v>
      </c>
      <c r="E277" s="92">
        <v>36.343892</v>
      </c>
      <c r="F277" s="59">
        <v>1.0</v>
      </c>
      <c r="G277" s="84" t="s">
        <v>2496</v>
      </c>
      <c r="H277" s="61" t="s">
        <v>66</v>
      </c>
      <c r="I277" s="75"/>
      <c r="J277" s="63" t="s">
        <v>3078</v>
      </c>
      <c r="K277" s="88" t="s">
        <v>2495</v>
      </c>
      <c r="L277" s="110" t="s">
        <v>79</v>
      </c>
      <c r="M277" s="92" t="s">
        <v>2979</v>
      </c>
      <c r="N277" s="111"/>
      <c r="O277" s="92" t="s">
        <v>1763</v>
      </c>
      <c r="P277" s="67" t="str">
        <f t="shared" si="1"/>
        <v>50.430378, 36.343892</v>
      </c>
      <c r="Q277" s="67" t="str">
        <f t="shared" si="2"/>
        <v>50.4297, 36.344548</v>
      </c>
      <c r="R277" s="67">
        <f t="shared" si="3"/>
        <v>50.4297</v>
      </c>
      <c r="S277" s="67">
        <f t="shared" si="4"/>
        <v>36.344548</v>
      </c>
      <c r="T277" s="161"/>
      <c r="U277" s="69"/>
      <c r="V277" s="65" t="s">
        <v>3079</v>
      </c>
      <c r="W277" s="71" t="s">
        <v>74</v>
      </c>
      <c r="X277" s="72" t="s">
        <v>75</v>
      </c>
      <c r="Y277" s="61" t="s">
        <v>76</v>
      </c>
      <c r="Z277" s="73"/>
      <c r="AA277" s="61" t="s">
        <v>77</v>
      </c>
      <c r="AB277" s="61" t="s">
        <v>78</v>
      </c>
      <c r="AC277" s="73"/>
      <c r="AD277" s="73"/>
      <c r="AE277" s="73"/>
      <c r="AF277" s="73"/>
      <c r="AG277" s="73"/>
      <c r="AH277" s="73"/>
      <c r="AI277" s="61" t="s">
        <v>79</v>
      </c>
      <c r="AJ277" s="75"/>
      <c r="AK277" s="76" t="s">
        <v>798</v>
      </c>
      <c r="AL277" s="83" t="s">
        <v>3080</v>
      </c>
      <c r="AM277" s="71" t="s">
        <v>3081</v>
      </c>
      <c r="AN277" s="84" t="s">
        <v>3082</v>
      </c>
      <c r="AO277" s="71" t="s">
        <v>3083</v>
      </c>
      <c r="AP277" s="161" t="str">
        <f>IMAGE("https://bellingcat-archive.nyc3.cdn.digitaloceanspaces.com/Ukraine_Witness_Datasheet/Worksheet/youtube_dl_1492886012082728961/out2.jpg")</f>
        <v/>
      </c>
      <c r="AQ277" s="84" t="s">
        <v>3084</v>
      </c>
      <c r="AR277" s="71" t="s">
        <v>3085</v>
      </c>
      <c r="AS277" s="71" t="s">
        <v>3086</v>
      </c>
      <c r="AT277" s="71">
        <v>54.079</v>
      </c>
      <c r="AU277" s="89"/>
      <c r="AV277" s="162"/>
      <c r="AW277" s="81"/>
    </row>
    <row r="278" ht="15.75" customHeight="1">
      <c r="A278" s="87" t="s">
        <v>2580</v>
      </c>
      <c r="B278" s="73"/>
      <c r="C278" s="57" t="s">
        <v>2330</v>
      </c>
      <c r="D278" s="149">
        <v>51.558104</v>
      </c>
      <c r="E278" s="74">
        <v>39.241489</v>
      </c>
      <c r="F278" s="59">
        <v>1.0</v>
      </c>
      <c r="G278" s="84" t="s">
        <v>3087</v>
      </c>
      <c r="H278" s="61" t="s">
        <v>66</v>
      </c>
      <c r="I278" s="75"/>
      <c r="J278" s="63" t="s">
        <v>3088</v>
      </c>
      <c r="K278" s="88" t="s">
        <v>3089</v>
      </c>
      <c r="L278" s="110" t="s">
        <v>79</v>
      </c>
      <c r="M278" s="92" t="s">
        <v>3090</v>
      </c>
      <c r="N278" s="111"/>
      <c r="O278" s="92" t="s">
        <v>563</v>
      </c>
      <c r="P278" s="67" t="str">
        <f t="shared" si="1"/>
        <v>51.558104, 39.241489</v>
      </c>
      <c r="Q278" s="67" t="str">
        <f t="shared" si="2"/>
        <v>51.5577, 39.241716</v>
      </c>
      <c r="R278" s="67">
        <f t="shared" si="3"/>
        <v>51.5577</v>
      </c>
      <c r="S278" s="67">
        <f t="shared" si="4"/>
        <v>39.241716</v>
      </c>
      <c r="T278" s="161"/>
      <c r="U278" s="69"/>
      <c r="V278" s="65" t="s">
        <v>3091</v>
      </c>
      <c r="W278" s="71" t="s">
        <v>74</v>
      </c>
      <c r="X278" s="72" t="s">
        <v>75</v>
      </c>
      <c r="Y278" s="61" t="s">
        <v>76</v>
      </c>
      <c r="Z278" s="73"/>
      <c r="AA278" s="61" t="s">
        <v>77</v>
      </c>
      <c r="AB278" s="61" t="s">
        <v>78</v>
      </c>
      <c r="AC278" s="73"/>
      <c r="AD278" s="73"/>
      <c r="AE278" s="73"/>
      <c r="AF278" s="73"/>
      <c r="AG278" s="73"/>
      <c r="AH278" s="73"/>
      <c r="AI278" s="61" t="s">
        <v>79</v>
      </c>
      <c r="AJ278" s="75"/>
      <c r="AK278" s="76" t="s">
        <v>798</v>
      </c>
      <c r="AL278" s="83" t="s">
        <v>3092</v>
      </c>
      <c r="AM278" s="71" t="s">
        <v>3093</v>
      </c>
      <c r="AN278" s="84" t="s">
        <v>3094</v>
      </c>
      <c r="AO278" s="71" t="s">
        <v>3095</v>
      </c>
      <c r="AP278" s="161" t="str">
        <f>IMAGE("https://bellingcat-archive.nyc3.cdn.digitaloceanspaces.com/Ukraine_Witness_Datasheet/Worksheet/youtube_dl_1492368406036860930/out2.jpg")</f>
        <v/>
      </c>
      <c r="AQ278" s="84" t="s">
        <v>3096</v>
      </c>
      <c r="AR278" s="71" t="s">
        <v>3097</v>
      </c>
      <c r="AS278" s="71" t="s">
        <v>3098</v>
      </c>
      <c r="AT278" s="71">
        <v>11.666</v>
      </c>
      <c r="AU278" s="89"/>
      <c r="AV278" s="162"/>
      <c r="AW278" s="81"/>
    </row>
    <row r="279" ht="15.75" customHeight="1">
      <c r="A279" s="87" t="s">
        <v>2580</v>
      </c>
      <c r="B279" s="73"/>
      <c r="C279" s="57" t="s">
        <v>2330</v>
      </c>
      <c r="D279" s="74">
        <v>44.766014</v>
      </c>
      <c r="E279" s="74">
        <v>33.866656</v>
      </c>
      <c r="F279" s="59">
        <v>1.0</v>
      </c>
      <c r="G279" s="84" t="s">
        <v>2404</v>
      </c>
      <c r="H279" s="61" t="s">
        <v>66</v>
      </c>
      <c r="I279" s="75"/>
      <c r="J279" s="63" t="s">
        <v>3099</v>
      </c>
      <c r="K279" s="88" t="s">
        <v>2406</v>
      </c>
      <c r="L279" s="134"/>
      <c r="M279" s="92" t="s">
        <v>407</v>
      </c>
      <c r="N279" s="111"/>
      <c r="O279" s="111"/>
      <c r="P279" s="67" t="str">
        <f t="shared" si="1"/>
        <v>44.766014, 33.866656</v>
      </c>
      <c r="Q279" s="67" t="str">
        <f t="shared" si="2"/>
        <v>44.765501, 33.866631</v>
      </c>
      <c r="R279" s="67">
        <f t="shared" si="3"/>
        <v>44.765501</v>
      </c>
      <c r="S279" s="67">
        <f t="shared" si="4"/>
        <v>33.866631</v>
      </c>
      <c r="T279" s="161"/>
      <c r="U279" s="69"/>
      <c r="V279" s="65" t="s">
        <v>3100</v>
      </c>
      <c r="W279" s="71" t="s">
        <v>74</v>
      </c>
      <c r="X279" s="72" t="s">
        <v>75</v>
      </c>
      <c r="Y279" s="61" t="s">
        <v>76</v>
      </c>
      <c r="Z279" s="73"/>
      <c r="AA279" s="61" t="s">
        <v>77</v>
      </c>
      <c r="AB279" s="61" t="s">
        <v>78</v>
      </c>
      <c r="AC279" s="73"/>
      <c r="AD279" s="73"/>
      <c r="AE279" s="73"/>
      <c r="AF279" s="73"/>
      <c r="AG279" s="73"/>
      <c r="AH279" s="73"/>
      <c r="AI279" s="61" t="s">
        <v>79</v>
      </c>
      <c r="AJ279" s="75"/>
      <c r="AK279" s="76" t="s">
        <v>930</v>
      </c>
      <c r="AL279" s="83" t="s">
        <v>2410</v>
      </c>
      <c r="AM279" s="71" t="s">
        <v>3101</v>
      </c>
      <c r="AN279" s="84" t="s">
        <v>3102</v>
      </c>
      <c r="AO279" s="71" t="s">
        <v>2413</v>
      </c>
      <c r="AP279" s="161" t="str">
        <f>IMAGE("https://bellingcat-archive.nyc3.cdn.digitaloceanspaces.com/Ukraine_Witness_Datasheet/Worksheet/youtube_dl_1492329248052420610/out2.jpg")</f>
        <v/>
      </c>
      <c r="AQ279" s="84" t="s">
        <v>2414</v>
      </c>
      <c r="AR279" s="71" t="s">
        <v>2415</v>
      </c>
      <c r="AS279" s="71" t="s">
        <v>2416</v>
      </c>
      <c r="AT279" s="71">
        <v>45.366</v>
      </c>
      <c r="AU279" s="89"/>
      <c r="AV279" s="162"/>
      <c r="AW279" s="81"/>
    </row>
    <row r="280" ht="15.75" customHeight="1">
      <c r="A280" s="87" t="s">
        <v>2580</v>
      </c>
      <c r="B280" s="73"/>
      <c r="C280" s="57" t="s">
        <v>2145</v>
      </c>
      <c r="D280" s="149">
        <v>51.731907</v>
      </c>
      <c r="E280" s="149">
        <v>36.241563</v>
      </c>
      <c r="F280" s="59">
        <v>1.0</v>
      </c>
      <c r="G280" s="84" t="s">
        <v>3103</v>
      </c>
      <c r="H280" s="61" t="s">
        <v>66</v>
      </c>
      <c r="I280" s="75"/>
      <c r="J280" s="63" t="s">
        <v>3104</v>
      </c>
      <c r="K280" s="88" t="s">
        <v>3105</v>
      </c>
      <c r="L280" s="110" t="s">
        <v>79</v>
      </c>
      <c r="M280" s="92" t="s">
        <v>946</v>
      </c>
      <c r="N280" s="111"/>
      <c r="O280" s="92" t="s">
        <v>1028</v>
      </c>
      <c r="P280" s="67" t="str">
        <f t="shared" si="1"/>
        <v>51.731907, 36.241563</v>
      </c>
      <c r="Q280" s="67" t="str">
        <f t="shared" si="2"/>
        <v>51.731555, 36.241045</v>
      </c>
      <c r="R280" s="67">
        <f t="shared" si="3"/>
        <v>51.731555</v>
      </c>
      <c r="S280" s="67">
        <f t="shared" si="4"/>
        <v>36.241045</v>
      </c>
      <c r="T280" s="161"/>
      <c r="U280" s="69"/>
      <c r="V280" s="65" t="s">
        <v>3106</v>
      </c>
      <c r="W280" s="71" t="s">
        <v>74</v>
      </c>
      <c r="X280" s="72" t="s">
        <v>75</v>
      </c>
      <c r="Y280" s="61" t="s">
        <v>76</v>
      </c>
      <c r="Z280" s="73"/>
      <c r="AA280" s="61" t="s">
        <v>77</v>
      </c>
      <c r="AB280" s="61" t="s">
        <v>78</v>
      </c>
      <c r="AC280" s="73"/>
      <c r="AD280" s="73"/>
      <c r="AE280" s="73"/>
      <c r="AF280" s="73"/>
      <c r="AG280" s="73"/>
      <c r="AH280" s="73"/>
      <c r="AI280" s="61" t="s">
        <v>79</v>
      </c>
      <c r="AJ280" s="75"/>
      <c r="AK280" s="76" t="s">
        <v>798</v>
      </c>
      <c r="AL280" s="83" t="s">
        <v>3107</v>
      </c>
      <c r="AM280" s="71" t="s">
        <v>3108</v>
      </c>
      <c r="AN280" s="84" t="s">
        <v>3109</v>
      </c>
      <c r="AO280" s="71" t="s">
        <v>3110</v>
      </c>
      <c r="AP280" s="161" t="str">
        <f>IMAGE("https://bellingcat-archive.nyc3.cdn.digitaloceanspaces.com/Ukraine_Witness_Datasheet/Worksheet/youtube_dl_1492229233485225991/out2.jpg")</f>
        <v/>
      </c>
      <c r="AQ280" s="84" t="s">
        <v>3111</v>
      </c>
      <c r="AR280" s="71" t="s">
        <v>3112</v>
      </c>
      <c r="AS280" s="71" t="s">
        <v>3113</v>
      </c>
      <c r="AT280" s="71">
        <v>16.7</v>
      </c>
      <c r="AU280" s="89"/>
      <c r="AV280" s="162"/>
      <c r="AW280" s="81"/>
    </row>
    <row r="281" ht="15.75" customHeight="1">
      <c r="A281" s="87" t="s">
        <v>2580</v>
      </c>
      <c r="B281" s="73"/>
      <c r="C281" s="57" t="s">
        <v>2145</v>
      </c>
      <c r="D281" s="74">
        <v>51.79662</v>
      </c>
      <c r="E281" s="74">
        <v>29.50597</v>
      </c>
      <c r="F281" s="59">
        <v>1.0</v>
      </c>
      <c r="G281" s="84" t="s">
        <v>3114</v>
      </c>
      <c r="H281" s="61" t="s">
        <v>66</v>
      </c>
      <c r="I281" s="75"/>
      <c r="J281" s="63" t="s">
        <v>3115</v>
      </c>
      <c r="K281" s="88" t="s">
        <v>3116</v>
      </c>
      <c r="L281" s="110" t="s">
        <v>69</v>
      </c>
      <c r="M281" s="111"/>
      <c r="N281" s="111"/>
      <c r="O281" s="92" t="s">
        <v>1993</v>
      </c>
      <c r="P281" s="67" t="str">
        <f t="shared" si="1"/>
        <v>51.79662, 29.50597</v>
      </c>
      <c r="Q281" s="67" t="str">
        <f t="shared" si="2"/>
        <v>51.796189, 29.507051</v>
      </c>
      <c r="R281" s="67">
        <f t="shared" si="3"/>
        <v>51.796189</v>
      </c>
      <c r="S281" s="67">
        <f t="shared" si="4"/>
        <v>29.507051</v>
      </c>
      <c r="T281" s="161"/>
      <c r="U281" s="69"/>
      <c r="V281" s="65" t="s">
        <v>3117</v>
      </c>
      <c r="W281" s="71" t="s">
        <v>74</v>
      </c>
      <c r="X281" s="72" t="s">
        <v>75</v>
      </c>
      <c r="Y281" s="61" t="s">
        <v>76</v>
      </c>
      <c r="Z281" s="73"/>
      <c r="AA281" s="61" t="s">
        <v>77</v>
      </c>
      <c r="AB281" s="61" t="s">
        <v>78</v>
      </c>
      <c r="AC281" s="73"/>
      <c r="AD281" s="73"/>
      <c r="AE281" s="73"/>
      <c r="AF281" s="73"/>
      <c r="AG281" s="73"/>
      <c r="AH281" s="73"/>
      <c r="AI281" s="61" t="s">
        <v>79</v>
      </c>
      <c r="AJ281" s="75"/>
      <c r="AK281" s="76" t="s">
        <v>798</v>
      </c>
      <c r="AL281" s="83" t="s">
        <v>3118</v>
      </c>
      <c r="AM281" s="71" t="s">
        <v>3119</v>
      </c>
      <c r="AN281" s="84" t="s">
        <v>3120</v>
      </c>
      <c r="AO281" s="71" t="s">
        <v>3121</v>
      </c>
      <c r="AP281" s="161" t="str">
        <f>IMAGE("https://bellingcat-archive.nyc3.cdn.digitaloceanspaces.com/Ukraine_Witness_Datasheet/Worksheet/youtube_dl_1492013018296819720/out2.jpg")</f>
        <v/>
      </c>
      <c r="AQ281" s="84" t="s">
        <v>3122</v>
      </c>
      <c r="AR281" s="71" t="s">
        <v>3123</v>
      </c>
      <c r="AS281" s="71" t="s">
        <v>3124</v>
      </c>
      <c r="AT281" s="71">
        <v>23.64</v>
      </c>
      <c r="AU281" s="89"/>
      <c r="AV281" s="162"/>
      <c r="AW281" s="81"/>
    </row>
    <row r="282" ht="15.75" customHeight="1">
      <c r="A282" s="87" t="s">
        <v>2580</v>
      </c>
      <c r="B282" s="73"/>
      <c r="C282" s="57" t="s">
        <v>2392</v>
      </c>
      <c r="D282" s="74">
        <v>51.785927</v>
      </c>
      <c r="E282" s="74">
        <v>36.410409</v>
      </c>
      <c r="F282" s="59">
        <v>1.0</v>
      </c>
      <c r="G282" s="84" t="s">
        <v>3125</v>
      </c>
      <c r="H282" s="61" t="s">
        <v>66</v>
      </c>
      <c r="I282" s="75"/>
      <c r="J282" s="63" t="s">
        <v>3126</v>
      </c>
      <c r="K282" s="88" t="s">
        <v>3127</v>
      </c>
      <c r="L282" s="110" t="s">
        <v>79</v>
      </c>
      <c r="M282" s="92" t="s">
        <v>946</v>
      </c>
      <c r="N282" s="92" t="s">
        <v>2039</v>
      </c>
      <c r="O282" s="111"/>
      <c r="P282" s="67" t="str">
        <f t="shared" si="1"/>
        <v>51.785927, 36.410409</v>
      </c>
      <c r="Q282" s="67" t="str">
        <f t="shared" si="2"/>
        <v>51.78573, 36.409651</v>
      </c>
      <c r="R282" s="67">
        <f t="shared" si="3"/>
        <v>51.78573</v>
      </c>
      <c r="S282" s="67">
        <f t="shared" si="4"/>
        <v>36.409651</v>
      </c>
      <c r="T282" s="161"/>
      <c r="U282" s="69"/>
      <c r="V282" s="65" t="s">
        <v>3128</v>
      </c>
      <c r="W282" s="71" t="s">
        <v>74</v>
      </c>
      <c r="X282" s="72" t="s">
        <v>75</v>
      </c>
      <c r="Y282" s="61" t="s">
        <v>76</v>
      </c>
      <c r="Z282" s="73"/>
      <c r="AA282" s="61" t="s">
        <v>77</v>
      </c>
      <c r="AB282" s="61" t="s">
        <v>78</v>
      </c>
      <c r="AC282" s="73"/>
      <c r="AD282" s="73"/>
      <c r="AE282" s="73"/>
      <c r="AF282" s="73"/>
      <c r="AG282" s="73"/>
      <c r="AH282" s="73"/>
      <c r="AI282" s="61" t="s">
        <v>79</v>
      </c>
      <c r="AJ282" s="75"/>
      <c r="AK282" s="76" t="s">
        <v>798</v>
      </c>
      <c r="AL282" s="83" t="s">
        <v>3129</v>
      </c>
      <c r="AM282" s="71" t="s">
        <v>3130</v>
      </c>
      <c r="AN282" s="84" t="s">
        <v>3131</v>
      </c>
      <c r="AO282" s="71" t="s">
        <v>3132</v>
      </c>
      <c r="AP282" s="161" t="str">
        <f>IMAGE("https://bellingcat-archive.nyc3.cdn.digitaloceanspaces.com/Ukraine_Witness_Datasheet/Worksheet/youtube_dl_1492765937568821249/out2.jpg")</f>
        <v/>
      </c>
      <c r="AQ282" s="84" t="s">
        <v>3133</v>
      </c>
      <c r="AR282" s="71" t="s">
        <v>1155</v>
      </c>
      <c r="AS282" s="71" t="s">
        <v>3134</v>
      </c>
      <c r="AT282" s="71">
        <v>36.5</v>
      </c>
      <c r="AU282" s="89"/>
      <c r="AV282" s="162"/>
      <c r="AW282" s="81"/>
    </row>
    <row r="283" ht="15.75" customHeight="1">
      <c r="A283" s="87" t="s">
        <v>2580</v>
      </c>
      <c r="B283" s="73"/>
      <c r="C283" s="57" t="s">
        <v>2330</v>
      </c>
      <c r="D283" s="74">
        <v>51.789698</v>
      </c>
      <c r="E283" s="74">
        <v>36.43405</v>
      </c>
      <c r="F283" s="59">
        <v>1.0</v>
      </c>
      <c r="G283" s="84" t="s">
        <v>3135</v>
      </c>
      <c r="H283" s="61" t="s">
        <v>66</v>
      </c>
      <c r="I283" s="75"/>
      <c r="J283" s="63" t="s">
        <v>2936</v>
      </c>
      <c r="K283" s="88" t="s">
        <v>3136</v>
      </c>
      <c r="L283" s="110" t="s">
        <v>873</v>
      </c>
      <c r="M283" s="92" t="s">
        <v>946</v>
      </c>
      <c r="N283" s="92" t="s">
        <v>2039</v>
      </c>
      <c r="O283" s="111"/>
      <c r="P283" s="67" t="str">
        <f t="shared" si="1"/>
        <v>51.789698, 36.43405</v>
      </c>
      <c r="Q283" s="67" t="str">
        <f t="shared" si="2"/>
        <v>51.789692, 36.433125</v>
      </c>
      <c r="R283" s="67">
        <f t="shared" si="3"/>
        <v>51.789692</v>
      </c>
      <c r="S283" s="67">
        <f t="shared" si="4"/>
        <v>36.433125</v>
      </c>
      <c r="T283" s="161"/>
      <c r="U283" s="69"/>
      <c r="V283" s="65" t="s">
        <v>3137</v>
      </c>
      <c r="W283" s="71" t="s">
        <v>74</v>
      </c>
      <c r="X283" s="72" t="s">
        <v>75</v>
      </c>
      <c r="Y283" s="61" t="s">
        <v>76</v>
      </c>
      <c r="Z283" s="73"/>
      <c r="AA283" s="61" t="s">
        <v>77</v>
      </c>
      <c r="AB283" s="61" t="s">
        <v>78</v>
      </c>
      <c r="AC283" s="73"/>
      <c r="AD283" s="73"/>
      <c r="AE283" s="73"/>
      <c r="AF283" s="73"/>
      <c r="AG283" s="73"/>
      <c r="AH283" s="73"/>
      <c r="AI283" s="61" t="s">
        <v>79</v>
      </c>
      <c r="AJ283" s="75"/>
      <c r="AK283" s="76" t="s">
        <v>798</v>
      </c>
      <c r="AL283" s="83" t="s">
        <v>3138</v>
      </c>
      <c r="AM283" s="71" t="s">
        <v>3139</v>
      </c>
      <c r="AN283" s="84" t="s">
        <v>3140</v>
      </c>
      <c r="AO283" s="71" t="s">
        <v>3141</v>
      </c>
      <c r="AP283" s="161" t="str">
        <f>IMAGE("https://bellingcat-archive.nyc3.cdn.digitaloceanspaces.com/Ukraine_Witness_Datasheet/Worksheet/youtube_dl_1492540764961792012/out2.jpg")</f>
        <v/>
      </c>
      <c r="AQ283" s="84" t="s">
        <v>3142</v>
      </c>
      <c r="AR283" s="71" t="s">
        <v>3143</v>
      </c>
      <c r="AS283" s="71" t="s">
        <v>3144</v>
      </c>
      <c r="AT283" s="71">
        <v>22.082</v>
      </c>
      <c r="AU283" s="89"/>
      <c r="AV283" s="162"/>
      <c r="AW283" s="81"/>
    </row>
    <row r="284" ht="15.75" customHeight="1">
      <c r="A284" s="95" t="s">
        <v>63</v>
      </c>
      <c r="B284" s="73"/>
      <c r="C284" s="57" t="s">
        <v>3145</v>
      </c>
      <c r="D284" s="58">
        <v>51.420238</v>
      </c>
      <c r="E284" s="58">
        <v>34.901871</v>
      </c>
      <c r="F284" s="59">
        <v>1.0</v>
      </c>
      <c r="G284" s="84" t="s">
        <v>3146</v>
      </c>
      <c r="H284" s="61" t="s">
        <v>66</v>
      </c>
      <c r="I284" s="75"/>
      <c r="J284" s="63" t="s">
        <v>68</v>
      </c>
      <c r="K284" s="69"/>
      <c r="L284" s="110" t="s">
        <v>79</v>
      </c>
      <c r="M284" s="92" t="s">
        <v>946</v>
      </c>
      <c r="N284" s="92" t="s">
        <v>3147</v>
      </c>
      <c r="O284" s="92" t="s">
        <v>1219</v>
      </c>
      <c r="P284" s="67" t="str">
        <f t="shared" si="1"/>
        <v>51.420238, 34.901871</v>
      </c>
      <c r="Q284" s="67" t="str">
        <f t="shared" si="2"/>
        <v>51.419707, 34.90145</v>
      </c>
      <c r="R284" s="67">
        <f t="shared" si="3"/>
        <v>51.419707</v>
      </c>
      <c r="S284" s="67">
        <f t="shared" si="4"/>
        <v>34.90145</v>
      </c>
      <c r="T284" s="161"/>
      <c r="U284" s="69"/>
      <c r="V284" s="65" t="s">
        <v>3148</v>
      </c>
      <c r="W284" s="71" t="s">
        <v>74</v>
      </c>
      <c r="X284" s="72" t="s">
        <v>75</v>
      </c>
      <c r="Y284" s="61" t="s">
        <v>76</v>
      </c>
      <c r="Z284" s="73"/>
      <c r="AA284" s="61" t="s">
        <v>77</v>
      </c>
      <c r="AB284" s="73"/>
      <c r="AC284" s="73"/>
      <c r="AD284" s="73"/>
      <c r="AE284" s="73"/>
      <c r="AF284" s="73"/>
      <c r="AG284" s="73"/>
      <c r="AH284" s="73"/>
      <c r="AI284" s="73"/>
      <c r="AJ284" s="75"/>
      <c r="AK284" s="76" t="s">
        <v>1261</v>
      </c>
      <c r="AL284" s="83" t="s">
        <v>3149</v>
      </c>
      <c r="AM284" s="71" t="s">
        <v>3150</v>
      </c>
      <c r="AN284" s="84" t="s">
        <v>3151</v>
      </c>
      <c r="AO284" s="161"/>
      <c r="AP284" s="161"/>
      <c r="AQ284" s="161"/>
      <c r="AR284" s="71" t="s">
        <v>2228</v>
      </c>
      <c r="AS284" s="161"/>
      <c r="AT284" s="161"/>
      <c r="AU284" s="89"/>
      <c r="AV284" s="162"/>
      <c r="AW284" s="81"/>
    </row>
    <row r="285" ht="15.75" customHeight="1">
      <c r="A285" s="95" t="s">
        <v>63</v>
      </c>
      <c r="B285" s="73"/>
      <c r="C285" s="57" t="s">
        <v>3145</v>
      </c>
      <c r="D285" s="58">
        <v>51.420552</v>
      </c>
      <c r="E285" s="58">
        <v>34.901885</v>
      </c>
      <c r="F285" s="59">
        <v>1.0</v>
      </c>
      <c r="G285" s="84" t="s">
        <v>3152</v>
      </c>
      <c r="H285" s="61" t="s">
        <v>66</v>
      </c>
      <c r="I285" s="75"/>
      <c r="J285" s="63" t="s">
        <v>68</v>
      </c>
      <c r="K285" s="69"/>
      <c r="L285" s="110" t="s">
        <v>79</v>
      </c>
      <c r="M285" s="92" t="s">
        <v>946</v>
      </c>
      <c r="N285" s="92" t="s">
        <v>3147</v>
      </c>
      <c r="O285" s="92" t="s">
        <v>1219</v>
      </c>
      <c r="P285" s="67" t="str">
        <f t="shared" si="1"/>
        <v>51.420552, 34.901885</v>
      </c>
      <c r="Q285" s="67" t="str">
        <f t="shared" si="2"/>
        <v>51.420525, 34.90272</v>
      </c>
      <c r="R285" s="67">
        <f t="shared" si="3"/>
        <v>51.420525</v>
      </c>
      <c r="S285" s="67">
        <f t="shared" si="4"/>
        <v>34.90272</v>
      </c>
      <c r="T285" s="161"/>
      <c r="U285" s="69"/>
      <c r="V285" s="65" t="s">
        <v>3153</v>
      </c>
      <c r="W285" s="71" t="s">
        <v>74</v>
      </c>
      <c r="X285" s="72" t="s">
        <v>75</v>
      </c>
      <c r="Y285" s="61" t="s">
        <v>76</v>
      </c>
      <c r="Z285" s="73"/>
      <c r="AA285" s="61" t="s">
        <v>77</v>
      </c>
      <c r="AB285" s="73"/>
      <c r="AC285" s="73"/>
      <c r="AD285" s="73"/>
      <c r="AE285" s="73"/>
      <c r="AF285" s="73"/>
      <c r="AG285" s="73"/>
      <c r="AH285" s="73"/>
      <c r="AI285" s="73"/>
      <c r="AJ285" s="75"/>
      <c r="AK285" s="76" t="s">
        <v>1261</v>
      </c>
      <c r="AL285" s="83" t="s">
        <v>3154</v>
      </c>
      <c r="AM285" s="71" t="s">
        <v>3155</v>
      </c>
      <c r="AN285" s="84" t="s">
        <v>3156</v>
      </c>
      <c r="AO285" s="161"/>
      <c r="AP285" s="161"/>
      <c r="AQ285" s="161"/>
      <c r="AR285" s="71" t="s">
        <v>2228</v>
      </c>
      <c r="AS285" s="161"/>
      <c r="AT285" s="161"/>
      <c r="AU285" s="89"/>
      <c r="AV285" s="162"/>
      <c r="AW285" s="81"/>
    </row>
    <row r="286" ht="15.75" customHeight="1">
      <c r="A286" s="87" t="s">
        <v>63</v>
      </c>
      <c r="B286" s="73"/>
      <c r="C286" s="57" t="s">
        <v>2392</v>
      </c>
      <c r="D286" s="58">
        <v>50.673422</v>
      </c>
      <c r="E286" s="58">
        <v>36.237189</v>
      </c>
      <c r="F286" s="59">
        <v>1.0</v>
      </c>
      <c r="G286" s="84" t="s">
        <v>3157</v>
      </c>
      <c r="H286" s="61" t="s">
        <v>66</v>
      </c>
      <c r="I286" s="75"/>
      <c r="J286" s="63" t="s">
        <v>1924</v>
      </c>
      <c r="K286" s="88" t="s">
        <v>3158</v>
      </c>
      <c r="L286" s="110" t="s">
        <v>79</v>
      </c>
      <c r="M286" s="92" t="s">
        <v>547</v>
      </c>
      <c r="N286" s="92" t="s">
        <v>3159</v>
      </c>
      <c r="O286" s="92" t="s">
        <v>3074</v>
      </c>
      <c r="P286" s="67" t="str">
        <f t="shared" si="1"/>
        <v>50.673422, 36.237189</v>
      </c>
      <c r="Q286" s="67" t="str">
        <f t="shared" si="2"/>
        <v>50.673007, 36.237779</v>
      </c>
      <c r="R286" s="67">
        <f t="shared" si="3"/>
        <v>50.673007</v>
      </c>
      <c r="S286" s="67">
        <f t="shared" si="4"/>
        <v>36.237779</v>
      </c>
      <c r="T286" s="161"/>
      <c r="U286" s="69"/>
      <c r="V286" s="65" t="s">
        <v>3160</v>
      </c>
      <c r="W286" s="71" t="s">
        <v>74</v>
      </c>
      <c r="X286" s="72" t="s">
        <v>75</v>
      </c>
      <c r="Y286" s="61" t="s">
        <v>76</v>
      </c>
      <c r="Z286" s="73"/>
      <c r="AA286" s="61" t="s">
        <v>77</v>
      </c>
      <c r="AB286" s="73"/>
      <c r="AC286" s="73"/>
      <c r="AD286" s="73"/>
      <c r="AE286" s="73"/>
      <c r="AF286" s="73"/>
      <c r="AG286" s="73"/>
      <c r="AH286" s="73"/>
      <c r="AI286" s="73"/>
      <c r="AJ286" s="75"/>
      <c r="AK286" s="76" t="s">
        <v>798</v>
      </c>
      <c r="AL286" s="83" t="s">
        <v>3161</v>
      </c>
      <c r="AM286" s="71" t="s">
        <v>3162</v>
      </c>
      <c r="AN286" s="84" t="s">
        <v>3163</v>
      </c>
      <c r="AO286" s="71" t="s">
        <v>3164</v>
      </c>
      <c r="AP286" s="161" t="str">
        <f>IMAGE("https://bellingcat-archive.nyc3.cdn.digitaloceanspaces.com/Ukraine_Witness_Datasheet/Worksheet/youtube_dl_1493296620053618690/out3.jpg")</f>
        <v/>
      </c>
      <c r="AQ286" s="84" t="s">
        <v>3165</v>
      </c>
      <c r="AR286" s="71" t="s">
        <v>1838</v>
      </c>
      <c r="AS286" s="71" t="s">
        <v>3166</v>
      </c>
      <c r="AT286" s="71">
        <v>81.108</v>
      </c>
      <c r="AU286" s="89"/>
      <c r="AV286" s="162"/>
      <c r="AW286" s="81"/>
    </row>
    <row r="287" ht="15.75" customHeight="1">
      <c r="A287" s="87" t="s">
        <v>63</v>
      </c>
      <c r="B287" s="73"/>
      <c r="C287" s="57" t="s">
        <v>2392</v>
      </c>
      <c r="D287" s="58">
        <v>50.673329</v>
      </c>
      <c r="E287" s="58">
        <v>36.237008</v>
      </c>
      <c r="F287" s="59">
        <v>1.0</v>
      </c>
      <c r="G287" s="84" t="s">
        <v>3167</v>
      </c>
      <c r="H287" s="61" t="s">
        <v>66</v>
      </c>
      <c r="I287" s="75"/>
      <c r="J287" s="63" t="s">
        <v>3168</v>
      </c>
      <c r="K287" s="88" t="s">
        <v>3169</v>
      </c>
      <c r="L287" s="110" t="s">
        <v>79</v>
      </c>
      <c r="M287" s="92" t="s">
        <v>547</v>
      </c>
      <c r="N287" s="92" t="s">
        <v>3159</v>
      </c>
      <c r="O287" s="92" t="s">
        <v>3074</v>
      </c>
      <c r="P287" s="67" t="str">
        <f t="shared" si="1"/>
        <v>50.673329, 36.237008</v>
      </c>
      <c r="Q287" s="67" t="str">
        <f t="shared" si="2"/>
        <v>50.672601, 36.236715</v>
      </c>
      <c r="R287" s="67">
        <f t="shared" si="3"/>
        <v>50.672601</v>
      </c>
      <c r="S287" s="67">
        <f t="shared" si="4"/>
        <v>36.236715</v>
      </c>
      <c r="T287" s="161"/>
      <c r="U287" s="69"/>
      <c r="V287" s="65" t="s">
        <v>3170</v>
      </c>
      <c r="W287" s="71" t="s">
        <v>74</v>
      </c>
      <c r="X287" s="72" t="s">
        <v>75</v>
      </c>
      <c r="Y287" s="61" t="s">
        <v>76</v>
      </c>
      <c r="Z287" s="73"/>
      <c r="AA287" s="61" t="s">
        <v>77</v>
      </c>
      <c r="AB287" s="73"/>
      <c r="AC287" s="73"/>
      <c r="AD287" s="73"/>
      <c r="AE287" s="73"/>
      <c r="AF287" s="73"/>
      <c r="AG287" s="73"/>
      <c r="AH287" s="73"/>
      <c r="AI287" s="73"/>
      <c r="AJ287" s="75"/>
      <c r="AK287" s="76" t="s">
        <v>930</v>
      </c>
      <c r="AL287" s="83" t="s">
        <v>3171</v>
      </c>
      <c r="AM287" s="71" t="s">
        <v>3172</v>
      </c>
      <c r="AN287" s="84" t="s">
        <v>3173</v>
      </c>
      <c r="AO287" s="71" t="s">
        <v>3174</v>
      </c>
      <c r="AP287" s="161" t="str">
        <f>IMAGE("https://bellingcat-archive.nyc3.cdn.digitaloceanspaces.com/Ukraine_Witness_Datasheet/Worksheet/youtube_dl_G1ro0qi-Wnw/out3.jpg")</f>
        <v/>
      </c>
      <c r="AQ287" s="84" t="s">
        <v>3175</v>
      </c>
      <c r="AR287" s="71" t="s">
        <v>3176</v>
      </c>
      <c r="AS287" s="71" t="s">
        <v>2891</v>
      </c>
      <c r="AT287" s="71">
        <v>93.0</v>
      </c>
      <c r="AU287" s="89"/>
      <c r="AV287" s="162"/>
      <c r="AW287" s="81"/>
    </row>
    <row r="288" ht="15.75" customHeight="1">
      <c r="A288" s="87" t="s">
        <v>63</v>
      </c>
      <c r="B288" s="73"/>
      <c r="C288" s="57" t="s">
        <v>2392</v>
      </c>
      <c r="D288" s="58">
        <v>50.67338</v>
      </c>
      <c r="E288" s="58">
        <v>36.237134</v>
      </c>
      <c r="F288" s="59">
        <v>1.0</v>
      </c>
      <c r="G288" s="84" t="s">
        <v>3177</v>
      </c>
      <c r="H288" s="61" t="s">
        <v>66</v>
      </c>
      <c r="I288" s="75"/>
      <c r="J288" s="63" t="s">
        <v>3168</v>
      </c>
      <c r="K288" s="88" t="s">
        <v>3158</v>
      </c>
      <c r="L288" s="110" t="s">
        <v>79</v>
      </c>
      <c r="M288" s="92" t="s">
        <v>547</v>
      </c>
      <c r="N288" s="92" t="s">
        <v>3159</v>
      </c>
      <c r="O288" s="92" t="s">
        <v>3074</v>
      </c>
      <c r="P288" s="67" t="str">
        <f t="shared" si="1"/>
        <v>50.67338, 36.237134</v>
      </c>
      <c r="Q288" s="67" t="str">
        <f t="shared" si="2"/>
        <v>50.67293, 36.238004</v>
      </c>
      <c r="R288" s="67">
        <f t="shared" si="3"/>
        <v>50.67293</v>
      </c>
      <c r="S288" s="67">
        <f t="shared" si="4"/>
        <v>36.238004</v>
      </c>
      <c r="T288" s="161"/>
      <c r="U288" s="69"/>
      <c r="V288" s="65" t="s">
        <v>3178</v>
      </c>
      <c r="W288" s="71" t="s">
        <v>74</v>
      </c>
      <c r="X288" s="72" t="s">
        <v>75</v>
      </c>
      <c r="Y288" s="61" t="s">
        <v>76</v>
      </c>
      <c r="Z288" s="73"/>
      <c r="AA288" s="61" t="s">
        <v>77</v>
      </c>
      <c r="AB288" s="73"/>
      <c r="AC288" s="73"/>
      <c r="AD288" s="73"/>
      <c r="AE288" s="73"/>
      <c r="AF288" s="73"/>
      <c r="AG288" s="73"/>
      <c r="AH288" s="73"/>
      <c r="AI288" s="73"/>
      <c r="AJ288" s="75"/>
      <c r="AK288" s="76" t="s">
        <v>798</v>
      </c>
      <c r="AL288" s="83" t="s">
        <v>3179</v>
      </c>
      <c r="AM288" s="71" t="s">
        <v>3180</v>
      </c>
      <c r="AN288" s="84" t="s">
        <v>3181</v>
      </c>
      <c r="AO288" s="71" t="s">
        <v>3182</v>
      </c>
      <c r="AP288" s="161" t="str">
        <f>IMAGE("https://bellingcat-archive.nyc3.cdn.digitaloceanspaces.com/Ukraine_Witness_Datasheet/Worksheet/youtube_dl_1493060690197766148/out3.jpg")</f>
        <v/>
      </c>
      <c r="AQ288" s="84" t="s">
        <v>3183</v>
      </c>
      <c r="AR288" s="71" t="s">
        <v>3184</v>
      </c>
      <c r="AS288" s="71" t="s">
        <v>3185</v>
      </c>
      <c r="AT288" s="71">
        <v>104.0</v>
      </c>
      <c r="AU288" s="89"/>
      <c r="AV288" s="162"/>
      <c r="AW288" s="81"/>
    </row>
    <row r="289" ht="15.75" customHeight="1">
      <c r="A289" s="175"/>
      <c r="B289" s="73"/>
      <c r="C289" s="176"/>
      <c r="D289" s="121"/>
      <c r="E289" s="121"/>
      <c r="F289" s="59">
        <v>1.0</v>
      </c>
      <c r="G289" s="130" t="s">
        <v>3186</v>
      </c>
      <c r="H289" s="61" t="s">
        <v>66</v>
      </c>
      <c r="I289" s="75"/>
      <c r="J289" s="168"/>
      <c r="K289" s="69"/>
      <c r="L289" s="134"/>
      <c r="M289" s="111"/>
      <c r="N289" s="111"/>
      <c r="O289" s="111"/>
      <c r="P289" s="67" t="str">
        <f t="shared" si="1"/>
        <v/>
      </c>
      <c r="Q289" s="67" t="str">
        <f t="shared" si="2"/>
        <v/>
      </c>
      <c r="R289" s="67" t="str">
        <f t="shared" si="3"/>
        <v/>
      </c>
      <c r="S289" s="67" t="str">
        <f t="shared" si="4"/>
        <v/>
      </c>
      <c r="T289" s="161"/>
      <c r="U289" s="69"/>
      <c r="V289" s="65" t="s">
        <v>3187</v>
      </c>
      <c r="W289" s="71"/>
      <c r="X289" s="171"/>
      <c r="Y289" s="61" t="s">
        <v>76</v>
      </c>
      <c r="Z289" s="73"/>
      <c r="AA289" s="61" t="s">
        <v>77</v>
      </c>
      <c r="AB289" s="73"/>
      <c r="AC289" s="73"/>
      <c r="AD289" s="73"/>
      <c r="AE289" s="73"/>
      <c r="AF289" s="73"/>
      <c r="AG289" s="73"/>
      <c r="AH289" s="73"/>
      <c r="AI289" s="73"/>
      <c r="AJ289" s="75"/>
      <c r="AK289" s="76" t="s">
        <v>962</v>
      </c>
      <c r="AL289" s="83" t="s">
        <v>3188</v>
      </c>
      <c r="AM289" s="71" t="s">
        <v>3189</v>
      </c>
      <c r="AN289" s="84" t="s">
        <v>3190</v>
      </c>
      <c r="AO289" s="71" t="s">
        <v>3191</v>
      </c>
      <c r="AP289" s="161" t="str">
        <f>IMAGE("https://bellingcat-archive.nyc3.cdn.digitaloceanspaces.com/Ukraine_Witness_Datasheet/Worksheet/tiktok_7064560617033567490/out2.jpg")</f>
        <v/>
      </c>
      <c r="AQ289" s="84" t="s">
        <v>3192</v>
      </c>
      <c r="AR289" s="71" t="s">
        <v>3193</v>
      </c>
      <c r="AS289" s="71" t="s">
        <v>3194</v>
      </c>
      <c r="AT289" s="71">
        <v>24.0</v>
      </c>
      <c r="AU289" s="89"/>
      <c r="AV289" s="162"/>
      <c r="AW289" s="81"/>
    </row>
    <row r="290" ht="15.75" customHeight="1">
      <c r="A290" s="87" t="s">
        <v>2580</v>
      </c>
      <c r="B290" s="73"/>
      <c r="C290" s="57" t="s">
        <v>3145</v>
      </c>
      <c r="D290" s="104">
        <v>50.934352</v>
      </c>
      <c r="E290" s="104">
        <v>36.026949</v>
      </c>
      <c r="F290" s="59">
        <v>1.0</v>
      </c>
      <c r="G290" s="60" t="s">
        <v>3195</v>
      </c>
      <c r="H290" s="61" t="s">
        <v>66</v>
      </c>
      <c r="I290" s="75"/>
      <c r="J290" s="63" t="s">
        <v>3168</v>
      </c>
      <c r="K290" s="88" t="s">
        <v>3196</v>
      </c>
      <c r="L290" s="110" t="s">
        <v>79</v>
      </c>
      <c r="M290" s="92" t="s">
        <v>547</v>
      </c>
      <c r="N290" s="111"/>
      <c r="O290" s="92" t="s">
        <v>3197</v>
      </c>
      <c r="P290" s="67" t="str">
        <f t="shared" si="1"/>
        <v>50.934352, 36.026949</v>
      </c>
      <c r="Q290" s="67" t="str">
        <f t="shared" si="2"/>
        <v>50.933708, 36.027466</v>
      </c>
      <c r="R290" s="67">
        <f t="shared" si="3"/>
        <v>50.933708</v>
      </c>
      <c r="S290" s="67">
        <f t="shared" si="4"/>
        <v>36.027466</v>
      </c>
      <c r="T290" s="161"/>
      <c r="U290" s="69"/>
      <c r="V290" s="65" t="s">
        <v>3198</v>
      </c>
      <c r="W290" s="71" t="s">
        <v>74</v>
      </c>
      <c r="X290" s="72" t="s">
        <v>75</v>
      </c>
      <c r="Y290" s="61" t="s">
        <v>76</v>
      </c>
      <c r="Z290" s="73"/>
      <c r="AA290" s="61" t="s">
        <v>77</v>
      </c>
      <c r="AB290" s="61" t="s">
        <v>78</v>
      </c>
      <c r="AC290" s="73"/>
      <c r="AD290" s="73"/>
      <c r="AE290" s="73"/>
      <c r="AF290" s="73"/>
      <c r="AG290" s="73"/>
      <c r="AH290" s="73"/>
      <c r="AI290" s="61" t="s">
        <v>79</v>
      </c>
      <c r="AJ290" s="75"/>
      <c r="AK290" s="76" t="s">
        <v>798</v>
      </c>
      <c r="AL290" s="83" t="s">
        <v>3199</v>
      </c>
      <c r="AM290" s="71" t="s">
        <v>3200</v>
      </c>
      <c r="AN290" s="84" t="s">
        <v>3201</v>
      </c>
      <c r="AO290" s="71" t="s">
        <v>3202</v>
      </c>
      <c r="AP290" s="161" t="str">
        <f>IMAGE("https://bellingcat-archive.nyc3.cdn.digitaloceanspaces.com/Ukraine_Witness_Datasheet/Worksheet/youtube_dl_1493680048234287119/out2.jpg")</f>
        <v/>
      </c>
      <c r="AQ290" s="84" t="s">
        <v>3203</v>
      </c>
      <c r="AR290" s="71" t="s">
        <v>3204</v>
      </c>
      <c r="AS290" s="71" t="s">
        <v>3205</v>
      </c>
      <c r="AT290" s="71">
        <v>30.113</v>
      </c>
      <c r="AU290" s="89"/>
      <c r="AV290" s="162"/>
      <c r="AW290" s="81"/>
    </row>
    <row r="291" ht="15.75" customHeight="1">
      <c r="A291" s="87" t="s">
        <v>2580</v>
      </c>
      <c r="B291" s="73"/>
      <c r="C291" s="57" t="s">
        <v>3206</v>
      </c>
      <c r="D291" s="74">
        <v>51.662172</v>
      </c>
      <c r="E291" s="74">
        <v>35.239093</v>
      </c>
      <c r="F291" s="59">
        <v>1.0</v>
      </c>
      <c r="G291" s="84" t="s">
        <v>3207</v>
      </c>
      <c r="H291" s="61" t="s">
        <v>66</v>
      </c>
      <c r="I291" s="75"/>
      <c r="J291" s="63" t="s">
        <v>3168</v>
      </c>
      <c r="K291" s="88" t="s">
        <v>3208</v>
      </c>
      <c r="L291" s="110" t="s">
        <v>79</v>
      </c>
      <c r="M291" s="92" t="s">
        <v>946</v>
      </c>
      <c r="N291" s="92" t="s">
        <v>1428</v>
      </c>
      <c r="O291" s="111"/>
      <c r="P291" s="67" t="str">
        <f t="shared" si="1"/>
        <v>51.662172, 35.239093</v>
      </c>
      <c r="Q291" s="67" t="str">
        <f t="shared" si="2"/>
        <v>51.661586, 35.239416</v>
      </c>
      <c r="R291" s="67">
        <f t="shared" si="3"/>
        <v>51.661586</v>
      </c>
      <c r="S291" s="67">
        <f t="shared" si="4"/>
        <v>35.239416</v>
      </c>
      <c r="T291" s="161"/>
      <c r="U291" s="69"/>
      <c r="V291" s="65" t="s">
        <v>3209</v>
      </c>
      <c r="W291" s="71" t="s">
        <v>74</v>
      </c>
      <c r="X291" s="72" t="s">
        <v>75</v>
      </c>
      <c r="Y291" s="61" t="s">
        <v>76</v>
      </c>
      <c r="Z291" s="73"/>
      <c r="AA291" s="61" t="s">
        <v>77</v>
      </c>
      <c r="AB291" s="61" t="s">
        <v>78</v>
      </c>
      <c r="AC291" s="73"/>
      <c r="AD291" s="73"/>
      <c r="AE291" s="73"/>
      <c r="AF291" s="73"/>
      <c r="AG291" s="73"/>
      <c r="AH291" s="73"/>
      <c r="AI291" s="61" t="s">
        <v>79</v>
      </c>
      <c r="AJ291" s="75"/>
      <c r="AK291" s="76" t="s">
        <v>798</v>
      </c>
      <c r="AL291" s="83" t="s">
        <v>3210</v>
      </c>
      <c r="AM291" s="71" t="s">
        <v>3211</v>
      </c>
      <c r="AN291" s="84" t="s">
        <v>3212</v>
      </c>
      <c r="AO291" s="71" t="s">
        <v>3213</v>
      </c>
      <c r="AP291" s="161" t="str">
        <f>IMAGE("https://bellingcat-archive.nyc3.cdn.digitaloceanspaces.com/Ukraine_Witness_Datasheet/Worksheet/youtube_dl_1493801932363911171/out2.jpg")</f>
        <v/>
      </c>
      <c r="AQ291" s="84" t="s">
        <v>3214</v>
      </c>
      <c r="AR291" s="71" t="s">
        <v>3215</v>
      </c>
      <c r="AS291" s="71" t="s">
        <v>3216</v>
      </c>
      <c r="AT291" s="71">
        <v>42.025</v>
      </c>
      <c r="AU291" s="89"/>
      <c r="AV291" s="162"/>
      <c r="AW291" s="81"/>
    </row>
    <row r="292" ht="15.75" customHeight="1">
      <c r="A292" s="87" t="s">
        <v>2580</v>
      </c>
      <c r="B292" s="73"/>
      <c r="C292" s="57" t="s">
        <v>3145</v>
      </c>
      <c r="D292" s="74">
        <v>50.526649</v>
      </c>
      <c r="E292" s="74">
        <v>36.255523</v>
      </c>
      <c r="F292" s="59">
        <v>1.0</v>
      </c>
      <c r="G292" s="84" t="s">
        <v>3217</v>
      </c>
      <c r="H292" s="61" t="s">
        <v>66</v>
      </c>
      <c r="I292" s="75"/>
      <c r="J292" s="63" t="s">
        <v>3168</v>
      </c>
      <c r="K292" s="88" t="s">
        <v>3218</v>
      </c>
      <c r="L292" s="110" t="s">
        <v>79</v>
      </c>
      <c r="M292" s="92" t="s">
        <v>1325</v>
      </c>
      <c r="N292" s="92" t="s">
        <v>3219</v>
      </c>
      <c r="O292" s="111"/>
      <c r="P292" s="67" t="str">
        <f t="shared" si="1"/>
        <v>50.526649, 36.255523</v>
      </c>
      <c r="Q292" s="67" t="str">
        <f t="shared" si="2"/>
        <v>50.526325, 36.254821</v>
      </c>
      <c r="R292" s="67">
        <f t="shared" si="3"/>
        <v>50.526325</v>
      </c>
      <c r="S292" s="67">
        <f t="shared" si="4"/>
        <v>36.254821</v>
      </c>
      <c r="T292" s="161"/>
      <c r="U292" s="69"/>
      <c r="V292" s="65" t="s">
        <v>3220</v>
      </c>
      <c r="W292" s="71" t="s">
        <v>74</v>
      </c>
      <c r="X292" s="72" t="s">
        <v>75</v>
      </c>
      <c r="Y292" s="61" t="s">
        <v>76</v>
      </c>
      <c r="Z292" s="73"/>
      <c r="AA292" s="61" t="s">
        <v>77</v>
      </c>
      <c r="AB292" s="61" t="s">
        <v>78</v>
      </c>
      <c r="AC292" s="73"/>
      <c r="AD292" s="73"/>
      <c r="AE292" s="73"/>
      <c r="AF292" s="73"/>
      <c r="AG292" s="73"/>
      <c r="AH292" s="73"/>
      <c r="AI292" s="61" t="s">
        <v>79</v>
      </c>
      <c r="AJ292" s="75"/>
      <c r="AK292" s="76" t="s">
        <v>798</v>
      </c>
      <c r="AL292" s="83" t="s">
        <v>3221</v>
      </c>
      <c r="AM292" s="71" t="s">
        <v>3222</v>
      </c>
      <c r="AN292" s="84" t="s">
        <v>3223</v>
      </c>
      <c r="AO292" s="71" t="s">
        <v>3224</v>
      </c>
      <c r="AP292" s="161" t="str">
        <f>IMAGE("https://bellingcat-archive.nyc3.cdn.digitaloceanspaces.com/Ukraine_Witness_Datasheet/Worksheet/youtube_dl_1493720746392272899/out2.jpg")</f>
        <v/>
      </c>
      <c r="AQ292" s="84" t="s">
        <v>3225</v>
      </c>
      <c r="AR292" s="71" t="s">
        <v>3226</v>
      </c>
      <c r="AS292" s="71" t="s">
        <v>3227</v>
      </c>
      <c r="AT292" s="71">
        <v>17.533</v>
      </c>
      <c r="AU292" s="89"/>
      <c r="AV292" s="162"/>
      <c r="AW292" s="81"/>
    </row>
    <row r="293" ht="15.75" customHeight="1">
      <c r="A293" s="87" t="s">
        <v>2580</v>
      </c>
      <c r="B293" s="73"/>
      <c r="C293" s="57" t="s">
        <v>2812</v>
      </c>
      <c r="D293" s="92">
        <v>50.504765</v>
      </c>
      <c r="E293" s="92">
        <v>36.382523</v>
      </c>
      <c r="F293" s="59">
        <v>1.0</v>
      </c>
      <c r="G293" s="84" t="s">
        <v>3228</v>
      </c>
      <c r="H293" s="61" t="s">
        <v>66</v>
      </c>
      <c r="I293" s="75"/>
      <c r="J293" s="63" t="s">
        <v>3229</v>
      </c>
      <c r="K293" s="88" t="s">
        <v>3230</v>
      </c>
      <c r="L293" s="110" t="s">
        <v>79</v>
      </c>
      <c r="M293" s="92" t="s">
        <v>1325</v>
      </c>
      <c r="N293" s="92" t="s">
        <v>1259</v>
      </c>
      <c r="O293" s="92" t="s">
        <v>3231</v>
      </c>
      <c r="P293" s="67" t="str">
        <f t="shared" si="1"/>
        <v>50.504765, 36.382523</v>
      </c>
      <c r="Q293" s="67" t="str">
        <f t="shared" si="2"/>
        <v>50.504559, 36.381349</v>
      </c>
      <c r="R293" s="67">
        <f t="shared" si="3"/>
        <v>50.504559</v>
      </c>
      <c r="S293" s="67">
        <f t="shared" si="4"/>
        <v>36.381349</v>
      </c>
      <c r="T293" s="161"/>
      <c r="U293" s="69"/>
      <c r="V293" s="65" t="s">
        <v>3232</v>
      </c>
      <c r="W293" s="71" t="s">
        <v>74</v>
      </c>
      <c r="X293" s="72" t="s">
        <v>75</v>
      </c>
      <c r="Y293" s="61" t="s">
        <v>76</v>
      </c>
      <c r="Z293" s="73"/>
      <c r="AA293" s="61" t="s">
        <v>77</v>
      </c>
      <c r="AB293" s="61" t="s">
        <v>78</v>
      </c>
      <c r="AC293" s="73"/>
      <c r="AD293" s="73"/>
      <c r="AE293" s="73"/>
      <c r="AF293" s="73"/>
      <c r="AG293" s="73"/>
      <c r="AH293" s="73"/>
      <c r="AI293" s="61" t="s">
        <v>79</v>
      </c>
      <c r="AJ293" s="75"/>
      <c r="AK293" s="76" t="s">
        <v>798</v>
      </c>
      <c r="AL293" s="83" t="s">
        <v>3233</v>
      </c>
      <c r="AM293" s="71" t="s">
        <v>3234</v>
      </c>
      <c r="AN293" s="84" t="s">
        <v>3235</v>
      </c>
      <c r="AO293" s="71" t="s">
        <v>3236</v>
      </c>
      <c r="AP293" s="161" t="str">
        <f>IMAGE("https://bellingcat-archive.nyc3.cdn.digitaloceanspaces.com/Ukraine_Witness_Datasheet/Worksheet/youtube_dl_1493245936830660610/out2.jpg")</f>
        <v/>
      </c>
      <c r="AQ293" s="84" t="s">
        <v>3237</v>
      </c>
      <c r="AR293" s="71" t="s">
        <v>3067</v>
      </c>
      <c r="AS293" s="71" t="s">
        <v>3238</v>
      </c>
      <c r="AT293" s="71">
        <v>17.136</v>
      </c>
      <c r="AU293" s="89"/>
      <c r="AV293" s="162"/>
      <c r="AW293" s="81"/>
    </row>
    <row r="294" ht="15.75" customHeight="1">
      <c r="A294" s="87" t="s">
        <v>2580</v>
      </c>
      <c r="B294" s="73"/>
      <c r="C294" s="57" t="s">
        <v>2330</v>
      </c>
      <c r="D294" s="104">
        <v>51.64801</v>
      </c>
      <c r="E294" s="104">
        <v>35.9558</v>
      </c>
      <c r="F294" s="59">
        <v>1.0</v>
      </c>
      <c r="G294" s="84" t="s">
        <v>3239</v>
      </c>
      <c r="H294" s="61" t="s">
        <v>66</v>
      </c>
      <c r="I294" s="75"/>
      <c r="J294" s="63" t="s">
        <v>3168</v>
      </c>
      <c r="K294" s="88" t="s">
        <v>3240</v>
      </c>
      <c r="L294" s="110" t="s">
        <v>873</v>
      </c>
      <c r="M294" s="92" t="s">
        <v>946</v>
      </c>
      <c r="N294" s="92" t="s">
        <v>1030</v>
      </c>
      <c r="O294" s="111"/>
      <c r="P294" s="67" t="str">
        <f t="shared" si="1"/>
        <v>51.64801, 35.9558</v>
      </c>
      <c r="Q294" s="67" t="str">
        <f t="shared" si="2"/>
        <v>51.647904, 35.9567</v>
      </c>
      <c r="R294" s="67">
        <f t="shared" si="3"/>
        <v>51.647904</v>
      </c>
      <c r="S294" s="67">
        <f t="shared" si="4"/>
        <v>35.9567</v>
      </c>
      <c r="T294" s="161"/>
      <c r="U294" s="69"/>
      <c r="V294" s="65" t="s">
        <v>3241</v>
      </c>
      <c r="W294" s="71" t="s">
        <v>74</v>
      </c>
      <c r="X294" s="72" t="s">
        <v>75</v>
      </c>
      <c r="Y294" s="61" t="s">
        <v>76</v>
      </c>
      <c r="Z294" s="73"/>
      <c r="AA294" s="61" t="s">
        <v>77</v>
      </c>
      <c r="AB294" s="61" t="s">
        <v>78</v>
      </c>
      <c r="AC294" s="73"/>
      <c r="AD294" s="73"/>
      <c r="AE294" s="73"/>
      <c r="AF294" s="73"/>
      <c r="AG294" s="73"/>
      <c r="AH294" s="73"/>
      <c r="AI294" s="61" t="s">
        <v>79</v>
      </c>
      <c r="AJ294" s="75"/>
      <c r="AK294" s="76" t="s">
        <v>798</v>
      </c>
      <c r="AL294" s="83" t="s">
        <v>3242</v>
      </c>
      <c r="AM294" s="71" t="s">
        <v>3243</v>
      </c>
      <c r="AN294" s="84" t="s">
        <v>3244</v>
      </c>
      <c r="AO294" s="71" t="s">
        <v>3245</v>
      </c>
      <c r="AP294" s="161" t="str">
        <f>IMAGE("https://bellingcat-archive.nyc3.cdn.digitaloceanspaces.com/Ukraine_Witness_Datasheet/Worksheet/youtube_dl_1492837289055207427/out2.jpg")</f>
        <v/>
      </c>
      <c r="AQ294" s="84" t="s">
        <v>3246</v>
      </c>
      <c r="AR294" s="71" t="s">
        <v>3247</v>
      </c>
      <c r="AS294" s="71" t="s">
        <v>3248</v>
      </c>
      <c r="AT294" s="71">
        <v>28.3</v>
      </c>
      <c r="AU294" s="89"/>
      <c r="AV294" s="162"/>
      <c r="AW294" s="81"/>
    </row>
    <row r="295" ht="15.75" customHeight="1">
      <c r="A295" s="87" t="s">
        <v>2580</v>
      </c>
      <c r="B295" s="73"/>
      <c r="C295" s="57" t="s">
        <v>2812</v>
      </c>
      <c r="D295" s="92">
        <v>52.144771</v>
      </c>
      <c r="E295" s="74">
        <v>30.607</v>
      </c>
      <c r="F295" s="59">
        <v>1.0</v>
      </c>
      <c r="G295" s="84" t="s">
        <v>3249</v>
      </c>
      <c r="H295" s="61" t="s">
        <v>66</v>
      </c>
      <c r="I295" s="75"/>
      <c r="J295" s="63" t="s">
        <v>3168</v>
      </c>
      <c r="K295" s="88" t="s">
        <v>3250</v>
      </c>
      <c r="L295" s="110" t="s">
        <v>69</v>
      </c>
      <c r="M295" s="111"/>
      <c r="N295" s="111"/>
      <c r="O295" s="111"/>
      <c r="P295" s="67" t="str">
        <f t="shared" si="1"/>
        <v>52.144771, 30.607</v>
      </c>
      <c r="Q295" s="67" t="str">
        <f t="shared" si="2"/>
        <v>52.144033, 30.606739</v>
      </c>
      <c r="R295" s="67">
        <f t="shared" si="3"/>
        <v>52.144033</v>
      </c>
      <c r="S295" s="67">
        <f t="shared" si="4"/>
        <v>30.606739</v>
      </c>
      <c r="T295" s="161"/>
      <c r="U295" s="69"/>
      <c r="V295" s="65" t="s">
        <v>3251</v>
      </c>
      <c r="W295" s="71" t="s">
        <v>74</v>
      </c>
      <c r="X295" s="72" t="s">
        <v>75</v>
      </c>
      <c r="Y295" s="61" t="s">
        <v>76</v>
      </c>
      <c r="Z295" s="73"/>
      <c r="AA295" s="61" t="s">
        <v>77</v>
      </c>
      <c r="AB295" s="61" t="s">
        <v>78</v>
      </c>
      <c r="AC295" s="73"/>
      <c r="AD295" s="73"/>
      <c r="AE295" s="73"/>
      <c r="AF295" s="73"/>
      <c r="AG295" s="73"/>
      <c r="AH295" s="73"/>
      <c r="AI295" s="61" t="s">
        <v>79</v>
      </c>
      <c r="AJ295" s="75"/>
      <c r="AK295" s="76" t="s">
        <v>798</v>
      </c>
      <c r="AL295" s="83" t="s">
        <v>3252</v>
      </c>
      <c r="AM295" s="71" t="s">
        <v>3253</v>
      </c>
      <c r="AN295" s="84" t="s">
        <v>3254</v>
      </c>
      <c r="AO295" s="71" t="s">
        <v>3255</v>
      </c>
      <c r="AP295" s="161" t="str">
        <f>IMAGE("https://bellingcat-archive.nyc3.cdn.digitaloceanspaces.com/Ukraine_Witness_Datasheet/Worksheet/youtube_dl_1493540727174963202/out2.jpg")</f>
        <v/>
      </c>
      <c r="AQ295" s="84" t="s">
        <v>3256</v>
      </c>
      <c r="AR295" s="71" t="s">
        <v>3257</v>
      </c>
      <c r="AS295" s="71" t="s">
        <v>3258</v>
      </c>
      <c r="AT295" s="71">
        <v>12.033</v>
      </c>
      <c r="AU295" s="89"/>
      <c r="AV295" s="162"/>
      <c r="AW295" s="81"/>
    </row>
    <row r="296" ht="15.75" customHeight="1">
      <c r="A296" s="87" t="s">
        <v>3259</v>
      </c>
      <c r="B296" s="73"/>
      <c r="C296" s="57" t="s">
        <v>2812</v>
      </c>
      <c r="D296" s="92">
        <v>50.4970468079353</v>
      </c>
      <c r="E296" s="92">
        <v>36.3899345709937</v>
      </c>
      <c r="F296" s="59">
        <v>1.0</v>
      </c>
      <c r="G296" s="60" t="s">
        <v>3260</v>
      </c>
      <c r="H296" s="61" t="s">
        <v>66</v>
      </c>
      <c r="I296" s="75"/>
      <c r="J296" s="63" t="s">
        <v>3261</v>
      </c>
      <c r="K296" s="88" t="s">
        <v>3260</v>
      </c>
      <c r="L296" s="110" t="s">
        <v>79</v>
      </c>
      <c r="M296" s="92" t="s">
        <v>1325</v>
      </c>
      <c r="N296" s="92" t="s">
        <v>3231</v>
      </c>
      <c r="O296" s="92" t="s">
        <v>3231</v>
      </c>
      <c r="P296" s="67" t="str">
        <f t="shared" si="1"/>
        <v>50.4970468079353, 36.3899345709937</v>
      </c>
      <c r="Q296" s="67" t="str">
        <f t="shared" si="2"/>
        <v>50.496784, 36.389189</v>
      </c>
      <c r="R296" s="67">
        <f t="shared" si="3"/>
        <v>50.496784</v>
      </c>
      <c r="S296" s="67">
        <f t="shared" si="4"/>
        <v>36.389189</v>
      </c>
      <c r="T296" s="161"/>
      <c r="U296" s="64" t="s">
        <v>3262</v>
      </c>
      <c r="V296" s="65" t="s">
        <v>3263</v>
      </c>
      <c r="W296" s="71" t="s">
        <v>74</v>
      </c>
      <c r="X296" s="72" t="s">
        <v>75</v>
      </c>
      <c r="Y296" s="61" t="s">
        <v>76</v>
      </c>
      <c r="Z296" s="73"/>
      <c r="AA296" s="61" t="s">
        <v>77</v>
      </c>
      <c r="AB296" s="61" t="s">
        <v>78</v>
      </c>
      <c r="AC296" s="73"/>
      <c r="AD296" s="73"/>
      <c r="AE296" s="73"/>
      <c r="AF296" s="73"/>
      <c r="AG296" s="73"/>
      <c r="AH296" s="73"/>
      <c r="AI296" s="61" t="s">
        <v>79</v>
      </c>
      <c r="AJ296" s="62" t="s">
        <v>3264</v>
      </c>
      <c r="AK296" s="76" t="s">
        <v>930</v>
      </c>
      <c r="AL296" s="83" t="s">
        <v>3265</v>
      </c>
      <c r="AM296" s="71" t="s">
        <v>3266</v>
      </c>
      <c r="AN296" s="84" t="s">
        <v>3267</v>
      </c>
      <c r="AO296" s="71" t="s">
        <v>3268</v>
      </c>
      <c r="AP296" s="161" t="str">
        <f>IMAGE("https://bellingcat-archive.nyc3.cdn.digitaloceanspaces.com/Ukraine_Witness_Datasheet/Worksheet/youtube_dl_1493625284318449671/out2.jpg")</f>
        <v/>
      </c>
      <c r="AQ296" s="84" t="s">
        <v>3269</v>
      </c>
      <c r="AR296" s="71" t="s">
        <v>3270</v>
      </c>
      <c r="AS296" s="71" t="s">
        <v>3271</v>
      </c>
      <c r="AT296" s="71">
        <v>10.48</v>
      </c>
      <c r="AU296" s="89"/>
      <c r="AV296" s="162"/>
      <c r="AW296" s="81"/>
    </row>
    <row r="297" ht="15.75" customHeight="1">
      <c r="A297" s="87" t="s">
        <v>63</v>
      </c>
      <c r="B297" s="73"/>
      <c r="C297" s="57" t="s">
        <v>3145</v>
      </c>
      <c r="D297" s="92">
        <v>50.587352</v>
      </c>
      <c r="E297" s="92">
        <v>36.562645</v>
      </c>
      <c r="F297" s="59">
        <v>1.0</v>
      </c>
      <c r="G297" s="84" t="s">
        <v>3272</v>
      </c>
      <c r="H297" s="61" t="s">
        <v>66</v>
      </c>
      <c r="I297" s="75"/>
      <c r="J297" s="63" t="s">
        <v>68</v>
      </c>
      <c r="K297" s="88" t="s">
        <v>3273</v>
      </c>
      <c r="L297" s="110" t="s">
        <v>79</v>
      </c>
      <c r="M297" s="92" t="s">
        <v>1325</v>
      </c>
      <c r="N297" s="111"/>
      <c r="O297" s="92" t="s">
        <v>547</v>
      </c>
      <c r="P297" s="67" t="str">
        <f t="shared" si="1"/>
        <v>50.587352, 36.562645</v>
      </c>
      <c r="Q297" s="67" t="str">
        <f t="shared" si="2"/>
        <v>50.587094, 36.563007</v>
      </c>
      <c r="R297" s="67">
        <f t="shared" si="3"/>
        <v>50.587094</v>
      </c>
      <c r="S297" s="67">
        <f t="shared" si="4"/>
        <v>36.563007</v>
      </c>
      <c r="T297" s="161"/>
      <c r="U297" s="69"/>
      <c r="V297" s="65" t="s">
        <v>3274</v>
      </c>
      <c r="W297" s="71" t="s">
        <v>74</v>
      </c>
      <c r="X297" s="72" t="s">
        <v>75</v>
      </c>
      <c r="Y297" s="61" t="s">
        <v>76</v>
      </c>
      <c r="Z297" s="73"/>
      <c r="AA297" s="61" t="s">
        <v>77</v>
      </c>
      <c r="AB297" s="73"/>
      <c r="AC297" s="73"/>
      <c r="AD297" s="73"/>
      <c r="AE297" s="73"/>
      <c r="AF297" s="73"/>
      <c r="AG297" s="73"/>
      <c r="AH297" s="73"/>
      <c r="AI297" s="73"/>
      <c r="AJ297" s="75"/>
      <c r="AK297" s="76" t="s">
        <v>798</v>
      </c>
      <c r="AL297" s="83" t="s">
        <v>3275</v>
      </c>
      <c r="AM297" s="71" t="s">
        <v>3276</v>
      </c>
      <c r="AN297" s="84" t="s">
        <v>3277</v>
      </c>
      <c r="AO297" s="71" t="s">
        <v>3278</v>
      </c>
      <c r="AP297" s="161" t="str">
        <f>IMAGE("https://bellingcat-archive.nyc3.cdn.digitaloceanspaces.com/Ukraine_Witness_Datasheet/Worksheet/youtube_dl_1493658749529202689/out2.jpg")</f>
        <v/>
      </c>
      <c r="AQ297" s="84" t="s">
        <v>3279</v>
      </c>
      <c r="AR297" s="71" t="s">
        <v>3280</v>
      </c>
      <c r="AS297" s="71" t="s">
        <v>3281</v>
      </c>
      <c r="AT297" s="71">
        <v>19.533</v>
      </c>
      <c r="AU297" s="89"/>
      <c r="AV297" s="162"/>
      <c r="AW297" s="81"/>
    </row>
    <row r="298" ht="15.75" customHeight="1">
      <c r="A298" s="87" t="s">
        <v>63</v>
      </c>
      <c r="B298" s="73"/>
      <c r="C298" s="57" t="s">
        <v>3145</v>
      </c>
      <c r="D298" s="92">
        <v>50.795213</v>
      </c>
      <c r="E298" s="92">
        <v>35.715781</v>
      </c>
      <c r="F298" s="59">
        <v>1.0</v>
      </c>
      <c r="G298" s="84" t="s">
        <v>3282</v>
      </c>
      <c r="H298" s="61" t="s">
        <v>66</v>
      </c>
      <c r="I298" s="75"/>
      <c r="J298" s="63" t="s">
        <v>3283</v>
      </c>
      <c r="K298" s="88" t="s">
        <v>3284</v>
      </c>
      <c r="L298" s="110" t="s">
        <v>79</v>
      </c>
      <c r="M298" s="92" t="s">
        <v>1325</v>
      </c>
      <c r="N298" s="111"/>
      <c r="O298" s="92" t="s">
        <v>3285</v>
      </c>
      <c r="P298" s="67" t="str">
        <f t="shared" si="1"/>
        <v>50.795213, 35.715781</v>
      </c>
      <c r="Q298" s="67" t="str">
        <f t="shared" si="2"/>
        <v>50.794895, 35.716323</v>
      </c>
      <c r="R298" s="67">
        <f t="shared" si="3"/>
        <v>50.794895</v>
      </c>
      <c r="S298" s="67">
        <f t="shared" si="4"/>
        <v>35.716323</v>
      </c>
      <c r="T298" s="161"/>
      <c r="U298" s="69"/>
      <c r="V298" s="65" t="s">
        <v>3286</v>
      </c>
      <c r="W298" s="71" t="s">
        <v>74</v>
      </c>
      <c r="X298" s="72" t="s">
        <v>75</v>
      </c>
      <c r="Y298" s="61" t="s">
        <v>76</v>
      </c>
      <c r="Z298" s="73"/>
      <c r="AA298" s="61" t="s">
        <v>77</v>
      </c>
      <c r="AB298" s="73"/>
      <c r="AC298" s="73"/>
      <c r="AD298" s="73"/>
      <c r="AE298" s="73"/>
      <c r="AF298" s="73"/>
      <c r="AG298" s="73"/>
      <c r="AH298" s="73"/>
      <c r="AI298" s="73"/>
      <c r="AJ298" s="75"/>
      <c r="AK298" s="76" t="s">
        <v>798</v>
      </c>
      <c r="AL298" s="83" t="s">
        <v>3287</v>
      </c>
      <c r="AM298" s="71" t="s">
        <v>3288</v>
      </c>
      <c r="AN298" s="84" t="s">
        <v>3289</v>
      </c>
      <c r="AO298" s="71" t="s">
        <v>3290</v>
      </c>
      <c r="AP298" s="161" t="str">
        <f>IMAGE("https://bellingcat-archive.nyc3.cdn.digitaloceanspaces.com/Ukraine_Witness_Datasheet/Worksheet/youtube_dl_1493531282134945796/out2.jpg")</f>
        <v/>
      </c>
      <c r="AQ298" s="84" t="s">
        <v>3291</v>
      </c>
      <c r="AR298" s="71" t="s">
        <v>3292</v>
      </c>
      <c r="AS298" s="71" t="s">
        <v>3293</v>
      </c>
      <c r="AT298" s="71">
        <v>42.366</v>
      </c>
      <c r="AU298" s="89"/>
      <c r="AV298" s="162"/>
      <c r="AW298" s="81"/>
    </row>
    <row r="299" ht="15.75" customHeight="1">
      <c r="A299" s="87" t="s">
        <v>63</v>
      </c>
      <c r="B299" s="73"/>
      <c r="C299" s="57" t="s">
        <v>3206</v>
      </c>
      <c r="D299" s="92">
        <v>50.63062</v>
      </c>
      <c r="E299" s="92">
        <v>36.121997</v>
      </c>
      <c r="F299" s="59">
        <v>1.0</v>
      </c>
      <c r="G299" s="84" t="s">
        <v>3294</v>
      </c>
      <c r="H299" s="61" t="s">
        <v>66</v>
      </c>
      <c r="I299" s="75"/>
      <c r="J299" s="63" t="s">
        <v>3295</v>
      </c>
      <c r="K299" s="88" t="s">
        <v>3296</v>
      </c>
      <c r="L299" s="110" t="s">
        <v>79</v>
      </c>
      <c r="M299" s="92" t="s">
        <v>1325</v>
      </c>
      <c r="N299" s="111"/>
      <c r="O299" s="92" t="s">
        <v>3297</v>
      </c>
      <c r="P299" s="67" t="str">
        <f t="shared" si="1"/>
        <v>50.63062, 36.121997</v>
      </c>
      <c r="Q299" s="67" t="str">
        <f t="shared" si="2"/>
        <v>50.630184, 36.123034</v>
      </c>
      <c r="R299" s="67">
        <f t="shared" si="3"/>
        <v>50.630184</v>
      </c>
      <c r="S299" s="67">
        <f t="shared" si="4"/>
        <v>36.123034</v>
      </c>
      <c r="T299" s="161"/>
      <c r="U299" s="69"/>
      <c r="V299" s="65" t="s">
        <v>3298</v>
      </c>
      <c r="W299" s="71" t="s">
        <v>74</v>
      </c>
      <c r="X299" s="72" t="s">
        <v>75</v>
      </c>
      <c r="Y299" s="61" t="s">
        <v>76</v>
      </c>
      <c r="Z299" s="73"/>
      <c r="AA299" s="61" t="s">
        <v>77</v>
      </c>
      <c r="AB299" s="73"/>
      <c r="AC299" s="73"/>
      <c r="AD299" s="73"/>
      <c r="AE299" s="73"/>
      <c r="AF299" s="73"/>
      <c r="AG299" s="73"/>
      <c r="AH299" s="73"/>
      <c r="AI299" s="73"/>
      <c r="AJ299" s="75"/>
      <c r="AK299" s="76" t="s">
        <v>962</v>
      </c>
      <c r="AL299" s="83" t="s">
        <v>3299</v>
      </c>
      <c r="AM299" s="71" t="s">
        <v>3300</v>
      </c>
      <c r="AN299" s="84" t="s">
        <v>3301</v>
      </c>
      <c r="AO299" s="71" t="s">
        <v>3302</v>
      </c>
      <c r="AP299" s="161" t="str">
        <f>IMAGE("https://bellingcat-archive.nyc3.cdn.digitaloceanspaces.com/Ukraine_Witness_Datasheet/Worksheet/tiktok_7064987689652718850/out2.jpg")</f>
        <v/>
      </c>
      <c r="AQ299" s="84" t="s">
        <v>3303</v>
      </c>
      <c r="AR299" s="71" t="s">
        <v>3304</v>
      </c>
      <c r="AS299" s="71" t="s">
        <v>3305</v>
      </c>
      <c r="AT299" s="71">
        <v>6.0</v>
      </c>
      <c r="AU299" s="89"/>
      <c r="AV299" s="162"/>
      <c r="AW299" s="81"/>
    </row>
    <row r="300" ht="15.75" customHeight="1">
      <c r="A300" s="87" t="s">
        <v>63</v>
      </c>
      <c r="B300" s="73"/>
      <c r="C300" s="57" t="s">
        <v>3145</v>
      </c>
      <c r="D300" s="92">
        <v>50.496261</v>
      </c>
      <c r="E300" s="92">
        <v>36.389658</v>
      </c>
      <c r="F300" s="59">
        <v>1.0</v>
      </c>
      <c r="G300" s="84" t="s">
        <v>3306</v>
      </c>
      <c r="H300" s="61" t="s">
        <v>66</v>
      </c>
      <c r="I300" s="75"/>
      <c r="J300" s="63" t="s">
        <v>3307</v>
      </c>
      <c r="K300" s="88" t="s">
        <v>3308</v>
      </c>
      <c r="L300" s="110" t="s">
        <v>79</v>
      </c>
      <c r="M300" s="92" t="s">
        <v>1325</v>
      </c>
      <c r="N300" s="92" t="s">
        <v>3231</v>
      </c>
      <c r="O300" s="92" t="s">
        <v>3231</v>
      </c>
      <c r="P300" s="67" t="str">
        <f t="shared" si="1"/>
        <v>50.496261, 36.389658</v>
      </c>
      <c r="Q300" s="67" t="str">
        <f t="shared" si="2"/>
        <v>50.495517, 36.389465</v>
      </c>
      <c r="R300" s="67">
        <f t="shared" si="3"/>
        <v>50.495517</v>
      </c>
      <c r="S300" s="67">
        <f t="shared" si="4"/>
        <v>36.389465</v>
      </c>
      <c r="T300" s="161"/>
      <c r="U300" s="69"/>
      <c r="V300" s="65" t="s">
        <v>3309</v>
      </c>
      <c r="W300" s="71" t="s">
        <v>74</v>
      </c>
      <c r="X300" s="72" t="s">
        <v>75</v>
      </c>
      <c r="Y300" s="61" t="s">
        <v>76</v>
      </c>
      <c r="Z300" s="73"/>
      <c r="AA300" s="61" t="s">
        <v>77</v>
      </c>
      <c r="AB300" s="73"/>
      <c r="AC300" s="73"/>
      <c r="AD300" s="73"/>
      <c r="AE300" s="73"/>
      <c r="AF300" s="73"/>
      <c r="AG300" s="73"/>
      <c r="AH300" s="73"/>
      <c r="AI300" s="73"/>
      <c r="AJ300" s="75"/>
      <c r="AK300" s="76" t="s">
        <v>798</v>
      </c>
      <c r="AL300" s="83" t="s">
        <v>3310</v>
      </c>
      <c r="AM300" s="71" t="s">
        <v>3211</v>
      </c>
      <c r="AN300" s="84" t="s">
        <v>3311</v>
      </c>
      <c r="AO300" s="71" t="s">
        <v>3312</v>
      </c>
      <c r="AP300" s="161" t="str">
        <f>IMAGE("https://bellingcat-archive.nyc3.cdn.digitaloceanspaces.com/Ukraine_Witness_Datasheet/Worksheet/youtube_dl_1493531939126534146/out2.jpg")</f>
        <v/>
      </c>
      <c r="AQ300" s="84" t="s">
        <v>3313</v>
      </c>
      <c r="AR300" s="71" t="s">
        <v>1051</v>
      </c>
      <c r="AS300" s="71" t="s">
        <v>3314</v>
      </c>
      <c r="AT300" s="71">
        <v>33.4</v>
      </c>
      <c r="AU300" s="89"/>
      <c r="AV300" s="162"/>
      <c r="AW300" s="81"/>
    </row>
    <row r="301" ht="15.75" customHeight="1">
      <c r="A301" s="87" t="s">
        <v>63</v>
      </c>
      <c r="B301" s="73"/>
      <c r="C301" s="57" t="s">
        <v>3145</v>
      </c>
      <c r="D301" s="92">
        <v>52.757044</v>
      </c>
      <c r="E301" s="92">
        <v>32.230254</v>
      </c>
      <c r="F301" s="59">
        <v>1.0</v>
      </c>
      <c r="G301" s="84" t="s">
        <v>3315</v>
      </c>
      <c r="H301" s="61" t="s">
        <v>66</v>
      </c>
      <c r="I301" s="75"/>
      <c r="J301" s="63" t="s">
        <v>3316</v>
      </c>
      <c r="K301" s="88" t="s">
        <v>3317</v>
      </c>
      <c r="L301" s="110" t="s">
        <v>79</v>
      </c>
      <c r="M301" s="92" t="s">
        <v>240</v>
      </c>
      <c r="N301" s="111"/>
      <c r="O301" s="92" t="s">
        <v>1083</v>
      </c>
      <c r="P301" s="67" t="str">
        <f t="shared" si="1"/>
        <v>52.757044, 32.230254</v>
      </c>
      <c r="Q301" s="67" t="str">
        <f t="shared" si="2"/>
        <v>52.756662, 32.22936</v>
      </c>
      <c r="R301" s="67">
        <f t="shared" si="3"/>
        <v>52.756662</v>
      </c>
      <c r="S301" s="67">
        <f t="shared" si="4"/>
        <v>32.22936</v>
      </c>
      <c r="T301" s="161"/>
      <c r="U301" s="69"/>
      <c r="V301" s="65" t="s">
        <v>3318</v>
      </c>
      <c r="W301" s="71" t="s">
        <v>74</v>
      </c>
      <c r="X301" s="72" t="s">
        <v>75</v>
      </c>
      <c r="Y301" s="61" t="s">
        <v>76</v>
      </c>
      <c r="Z301" s="73"/>
      <c r="AA301" s="61" t="s">
        <v>77</v>
      </c>
      <c r="AB301" s="73"/>
      <c r="AC301" s="73"/>
      <c r="AD301" s="73"/>
      <c r="AE301" s="73"/>
      <c r="AF301" s="73"/>
      <c r="AG301" s="73"/>
      <c r="AH301" s="73"/>
      <c r="AI301" s="73"/>
      <c r="AJ301" s="75"/>
      <c r="AK301" s="76" t="s">
        <v>798</v>
      </c>
      <c r="AL301" s="83" t="s">
        <v>3319</v>
      </c>
      <c r="AM301" s="71" t="s">
        <v>3320</v>
      </c>
      <c r="AN301" s="84" t="s">
        <v>3321</v>
      </c>
      <c r="AO301" s="71" t="s">
        <v>3322</v>
      </c>
      <c r="AP301" s="161" t="str">
        <f>IMAGE("https://bellingcat-archive.nyc3.cdn.digitaloceanspaces.com/Ukraine_Witness_Datasheet/Worksheet/youtube_dl_1493708688481304586/out2.jpg")</f>
        <v/>
      </c>
      <c r="AQ301" s="84" t="s">
        <v>3323</v>
      </c>
      <c r="AR301" s="71" t="s">
        <v>3324</v>
      </c>
      <c r="AS301" s="71" t="s">
        <v>3325</v>
      </c>
      <c r="AT301" s="71">
        <v>21.88</v>
      </c>
      <c r="AU301" s="89"/>
      <c r="AV301" s="162"/>
      <c r="AW301" s="81"/>
    </row>
    <row r="302" ht="15.75" customHeight="1">
      <c r="A302" s="87" t="s">
        <v>63</v>
      </c>
      <c r="B302" s="73"/>
      <c r="C302" s="57" t="s">
        <v>3206</v>
      </c>
      <c r="D302" s="92">
        <v>52.5814</v>
      </c>
      <c r="E302" s="92">
        <v>32.763151</v>
      </c>
      <c r="F302" s="59">
        <v>1.0</v>
      </c>
      <c r="G302" s="84" t="s">
        <v>3326</v>
      </c>
      <c r="H302" s="61" t="s">
        <v>66</v>
      </c>
      <c r="I302" s="75"/>
      <c r="J302" s="63" t="s">
        <v>3316</v>
      </c>
      <c r="K302" s="88" t="s">
        <v>3327</v>
      </c>
      <c r="L302" s="110" t="s">
        <v>79</v>
      </c>
      <c r="M302" s="92" t="s">
        <v>240</v>
      </c>
      <c r="N302" s="111"/>
      <c r="O302" s="92" t="s">
        <v>3328</v>
      </c>
      <c r="P302" s="67" t="str">
        <f t="shared" si="1"/>
        <v>52.5814, 32.763151</v>
      </c>
      <c r="Q302" s="67" t="str">
        <f t="shared" si="2"/>
        <v>52.580799, 32.763287</v>
      </c>
      <c r="R302" s="67">
        <f t="shared" si="3"/>
        <v>52.580799</v>
      </c>
      <c r="S302" s="67">
        <f t="shared" si="4"/>
        <v>32.763287</v>
      </c>
      <c r="T302" s="161"/>
      <c r="U302" s="69"/>
      <c r="V302" s="65" t="s">
        <v>3329</v>
      </c>
      <c r="W302" s="71" t="s">
        <v>74</v>
      </c>
      <c r="X302" s="72" t="s">
        <v>75</v>
      </c>
      <c r="Y302" s="61" t="s">
        <v>76</v>
      </c>
      <c r="Z302" s="73"/>
      <c r="AA302" s="61" t="s">
        <v>77</v>
      </c>
      <c r="AB302" s="73"/>
      <c r="AC302" s="73"/>
      <c r="AD302" s="73"/>
      <c r="AE302" s="73"/>
      <c r="AF302" s="73"/>
      <c r="AG302" s="73"/>
      <c r="AH302" s="73"/>
      <c r="AI302" s="73"/>
      <c r="AJ302" s="75"/>
      <c r="AK302" s="76" t="s">
        <v>798</v>
      </c>
      <c r="AL302" s="83" t="s">
        <v>3330</v>
      </c>
      <c r="AM302" s="71" t="s">
        <v>3331</v>
      </c>
      <c r="AN302" s="84" t="s">
        <v>3332</v>
      </c>
      <c r="AO302" s="71" t="s">
        <v>3333</v>
      </c>
      <c r="AP302" s="161" t="str">
        <f>IMAGE("https://bellingcat-archive.nyc3.cdn.digitaloceanspaces.com/Ukraine_Witness_Datasheet/Worksheet/youtube_dl_1493725297879003139/out2.jpg")</f>
        <v/>
      </c>
      <c r="AQ302" s="84" t="s">
        <v>3334</v>
      </c>
      <c r="AR302" s="71" t="s">
        <v>3335</v>
      </c>
      <c r="AS302" s="71" t="s">
        <v>3336</v>
      </c>
      <c r="AT302" s="71">
        <v>20.08</v>
      </c>
      <c r="AU302" s="89"/>
      <c r="AV302" s="162"/>
      <c r="AW302" s="81"/>
    </row>
    <row r="303" ht="15.75" customHeight="1">
      <c r="A303" s="87" t="s">
        <v>63</v>
      </c>
      <c r="B303" s="73"/>
      <c r="C303" s="57" t="s">
        <v>3206</v>
      </c>
      <c r="D303" s="92">
        <v>50.668416</v>
      </c>
      <c r="E303" s="92">
        <v>36.224079</v>
      </c>
      <c r="F303" s="59">
        <v>1.0</v>
      </c>
      <c r="G303" s="84" t="s">
        <v>3337</v>
      </c>
      <c r="H303" s="61" t="s">
        <v>66</v>
      </c>
      <c r="I303" s="75"/>
      <c r="J303" s="63" t="s">
        <v>3338</v>
      </c>
      <c r="K303" s="88" t="s">
        <v>3339</v>
      </c>
      <c r="L303" s="110" t="s">
        <v>79</v>
      </c>
      <c r="M303" s="92" t="s">
        <v>547</v>
      </c>
      <c r="N303" s="92" t="s">
        <v>3159</v>
      </c>
      <c r="O303" s="92" t="s">
        <v>3074</v>
      </c>
      <c r="P303" s="67" t="str">
        <f t="shared" si="1"/>
        <v>50.668416, 36.224079</v>
      </c>
      <c r="Q303" s="67" t="str">
        <f t="shared" si="2"/>
        <v>50.668356, 36.223471</v>
      </c>
      <c r="R303" s="67">
        <f t="shared" si="3"/>
        <v>50.668356</v>
      </c>
      <c r="S303" s="67">
        <f t="shared" si="4"/>
        <v>36.223471</v>
      </c>
      <c r="T303" s="161"/>
      <c r="U303" s="69"/>
      <c r="V303" s="65" t="s">
        <v>3340</v>
      </c>
      <c r="W303" s="71" t="s">
        <v>74</v>
      </c>
      <c r="X303" s="72" t="s">
        <v>75</v>
      </c>
      <c r="Y303" s="61" t="s">
        <v>76</v>
      </c>
      <c r="Z303" s="73"/>
      <c r="AA303" s="61" t="s">
        <v>77</v>
      </c>
      <c r="AB303" s="73"/>
      <c r="AC303" s="73"/>
      <c r="AD303" s="73"/>
      <c r="AE303" s="73"/>
      <c r="AF303" s="73"/>
      <c r="AG303" s="73"/>
      <c r="AH303" s="73"/>
      <c r="AI303" s="73"/>
      <c r="AJ303" s="75"/>
      <c r="AK303" s="76" t="s">
        <v>798</v>
      </c>
      <c r="AL303" s="83" t="s">
        <v>3341</v>
      </c>
      <c r="AM303" s="71" t="s">
        <v>3342</v>
      </c>
      <c r="AN303" s="84" t="s">
        <v>3343</v>
      </c>
      <c r="AO303" s="71" t="s">
        <v>3344</v>
      </c>
      <c r="AP303" s="161" t="str">
        <f>IMAGE("https://bellingcat-archive.nyc3.cdn.digitaloceanspaces.com/Ukraine_Witness_Datasheet/Worksheet/youtube_dl_1493729688920887307/out2.jpg")</f>
        <v/>
      </c>
      <c r="AQ303" s="84" t="s">
        <v>3345</v>
      </c>
      <c r="AR303" s="71" t="s">
        <v>3346</v>
      </c>
      <c r="AS303" s="71" t="s">
        <v>3347</v>
      </c>
      <c r="AT303" s="71">
        <v>34.92</v>
      </c>
      <c r="AU303" s="89"/>
      <c r="AV303" s="162"/>
      <c r="AW303" s="81"/>
    </row>
    <row r="304" ht="15.75" customHeight="1">
      <c r="A304" s="87" t="s">
        <v>63</v>
      </c>
      <c r="B304" s="73"/>
      <c r="C304" s="57" t="s">
        <v>3145</v>
      </c>
      <c r="D304" s="92">
        <v>51.5327</v>
      </c>
      <c r="E304" s="92">
        <v>29.86593</v>
      </c>
      <c r="F304" s="59">
        <v>1.0</v>
      </c>
      <c r="G304" s="60" t="s">
        <v>3348</v>
      </c>
      <c r="H304" s="61" t="s">
        <v>66</v>
      </c>
      <c r="I304" s="75"/>
      <c r="J304" s="63" t="s">
        <v>3349</v>
      </c>
      <c r="K304" s="88" t="s">
        <v>3350</v>
      </c>
      <c r="L304" s="110" t="s">
        <v>69</v>
      </c>
      <c r="M304" s="111"/>
      <c r="N304" s="111"/>
      <c r="O304" s="92" t="s">
        <v>3351</v>
      </c>
      <c r="P304" s="67" t="str">
        <f t="shared" si="1"/>
        <v>51.5327, 29.86593</v>
      </c>
      <c r="Q304" s="67" t="str">
        <f t="shared" si="2"/>
        <v>51.532414, 29.865162</v>
      </c>
      <c r="R304" s="67">
        <f t="shared" si="3"/>
        <v>51.532414</v>
      </c>
      <c r="S304" s="67">
        <f t="shared" si="4"/>
        <v>29.865162</v>
      </c>
      <c r="T304" s="161"/>
      <c r="U304" s="69"/>
      <c r="V304" s="65" t="s">
        <v>3352</v>
      </c>
      <c r="W304" s="71" t="s">
        <v>811</v>
      </c>
      <c r="X304" s="72" t="s">
        <v>75</v>
      </c>
      <c r="Y304" s="61" t="s">
        <v>76</v>
      </c>
      <c r="Z304" s="73"/>
      <c r="AA304" s="61" t="s">
        <v>77</v>
      </c>
      <c r="AB304" s="73"/>
      <c r="AC304" s="73"/>
      <c r="AD304" s="73"/>
      <c r="AE304" s="73"/>
      <c r="AF304" s="73"/>
      <c r="AG304" s="73"/>
      <c r="AH304" s="73"/>
      <c r="AI304" s="73"/>
      <c r="AJ304" s="75"/>
      <c r="AK304" s="76" t="s">
        <v>2108</v>
      </c>
      <c r="AL304" s="83" t="s">
        <v>3353</v>
      </c>
      <c r="AM304" s="71" t="s">
        <v>3354</v>
      </c>
      <c r="AN304" s="84" t="s">
        <v>3355</v>
      </c>
      <c r="AO304" s="71" t="s">
        <v>3356</v>
      </c>
      <c r="AP304" s="161" t="str">
        <f>IMAGE("https://bellingcat-archive.nyc3.cdn.digitaloceanspaces.com/Ukraine_Witness_Datasheet/Worksheet/twitter__media_FLv6siLXIAA-5l7.jpg")</f>
        <v/>
      </c>
      <c r="AQ304" s="161"/>
      <c r="AR304" s="161"/>
      <c r="AS304" s="161"/>
      <c r="AT304" s="161"/>
      <c r="AU304" s="89"/>
      <c r="AV304" s="162"/>
      <c r="AW304" s="81"/>
    </row>
    <row r="305" ht="15.75" customHeight="1">
      <c r="A305" s="87" t="s">
        <v>63</v>
      </c>
      <c r="B305" s="73"/>
      <c r="C305" s="57" t="s">
        <v>3206</v>
      </c>
      <c r="D305" s="92">
        <v>50.673064</v>
      </c>
      <c r="E305" s="92">
        <v>36.237465</v>
      </c>
      <c r="F305" s="59">
        <v>1.0</v>
      </c>
      <c r="G305" s="84" t="s">
        <v>3357</v>
      </c>
      <c r="H305" s="61" t="s">
        <v>66</v>
      </c>
      <c r="I305" s="75"/>
      <c r="J305" s="63" t="s">
        <v>3358</v>
      </c>
      <c r="K305" s="88" t="s">
        <v>3359</v>
      </c>
      <c r="L305" s="110" t="s">
        <v>79</v>
      </c>
      <c r="M305" s="92" t="s">
        <v>547</v>
      </c>
      <c r="N305" s="111"/>
      <c r="O305" s="92" t="s">
        <v>3074</v>
      </c>
      <c r="P305" s="67" t="str">
        <f t="shared" si="1"/>
        <v>50.673064, 36.237465</v>
      </c>
      <c r="Q305" s="67" t="str">
        <f t="shared" si="2"/>
        <v>50.67249, 36.237067</v>
      </c>
      <c r="R305" s="67">
        <f t="shared" si="3"/>
        <v>50.67249</v>
      </c>
      <c r="S305" s="67">
        <f t="shared" si="4"/>
        <v>36.237067</v>
      </c>
      <c r="T305" s="161"/>
      <c r="U305" s="69"/>
      <c r="V305" s="65" t="s">
        <v>3360</v>
      </c>
      <c r="W305" s="71" t="s">
        <v>74</v>
      </c>
      <c r="X305" s="72" t="s">
        <v>75</v>
      </c>
      <c r="Y305" s="61" t="s">
        <v>76</v>
      </c>
      <c r="Z305" s="73"/>
      <c r="AA305" s="61" t="s">
        <v>77</v>
      </c>
      <c r="AB305" s="73"/>
      <c r="AC305" s="73"/>
      <c r="AD305" s="73"/>
      <c r="AE305" s="73"/>
      <c r="AF305" s="73"/>
      <c r="AG305" s="73"/>
      <c r="AH305" s="73"/>
      <c r="AI305" s="73"/>
      <c r="AJ305" s="75"/>
      <c r="AK305" s="76" t="s">
        <v>798</v>
      </c>
      <c r="AL305" s="83" t="s">
        <v>3361</v>
      </c>
      <c r="AM305" s="71" t="s">
        <v>3362</v>
      </c>
      <c r="AN305" s="84" t="s">
        <v>3363</v>
      </c>
      <c r="AO305" s="71" t="s">
        <v>3364</v>
      </c>
      <c r="AP305" s="161" t="str">
        <f>IMAGE("https://bellingcat-archive.nyc3.cdn.digitaloceanspaces.com/Ukraine_Witness_Datasheet/Worksheet/youtube_dl_1493794951200706560/out2.jpg")</f>
        <v/>
      </c>
      <c r="AQ305" s="84" t="s">
        <v>3365</v>
      </c>
      <c r="AR305" s="71" t="s">
        <v>1051</v>
      </c>
      <c r="AS305" s="71" t="s">
        <v>3366</v>
      </c>
      <c r="AT305" s="71">
        <v>26.5</v>
      </c>
      <c r="AU305" s="89"/>
      <c r="AV305" s="162"/>
      <c r="AW305" s="81"/>
    </row>
    <row r="306" ht="15.75" customHeight="1">
      <c r="A306" s="87" t="s">
        <v>63</v>
      </c>
      <c r="B306" s="73"/>
      <c r="C306" s="57" t="s">
        <v>3206</v>
      </c>
      <c r="D306" s="92">
        <v>52.36901</v>
      </c>
      <c r="E306" s="92">
        <v>30.3431</v>
      </c>
      <c r="F306" s="59">
        <v>1.0</v>
      </c>
      <c r="G306" s="84" t="s">
        <v>3367</v>
      </c>
      <c r="H306" s="61" t="s">
        <v>66</v>
      </c>
      <c r="I306" s="75"/>
      <c r="J306" s="63" t="s">
        <v>3368</v>
      </c>
      <c r="K306" s="88" t="s">
        <v>3369</v>
      </c>
      <c r="L306" s="110" t="s">
        <v>69</v>
      </c>
      <c r="M306" s="92" t="s">
        <v>70</v>
      </c>
      <c r="N306" s="111"/>
      <c r="O306" s="92" t="s">
        <v>71</v>
      </c>
      <c r="P306" s="67" t="str">
        <f t="shared" si="1"/>
        <v>52.36901, 30.3431</v>
      </c>
      <c r="Q306" s="67" t="str">
        <f t="shared" si="2"/>
        <v>52.368843, 30.342298</v>
      </c>
      <c r="R306" s="67">
        <f t="shared" si="3"/>
        <v>52.368843</v>
      </c>
      <c r="S306" s="67">
        <f t="shared" si="4"/>
        <v>30.342298</v>
      </c>
      <c r="T306" s="161"/>
      <c r="U306" s="69"/>
      <c r="V306" s="65" t="s">
        <v>3370</v>
      </c>
      <c r="W306" s="71" t="s">
        <v>74</v>
      </c>
      <c r="X306" s="72" t="s">
        <v>75</v>
      </c>
      <c r="Y306" s="61" t="s">
        <v>76</v>
      </c>
      <c r="Z306" s="73"/>
      <c r="AA306" s="61" t="s">
        <v>77</v>
      </c>
      <c r="AB306" s="73"/>
      <c r="AC306" s="73"/>
      <c r="AD306" s="73"/>
      <c r="AE306" s="73"/>
      <c r="AF306" s="73"/>
      <c r="AG306" s="73"/>
      <c r="AH306" s="73"/>
      <c r="AI306" s="73"/>
      <c r="AJ306" s="75"/>
      <c r="AK306" s="76" t="s">
        <v>798</v>
      </c>
      <c r="AL306" s="83" t="s">
        <v>3371</v>
      </c>
      <c r="AM306" s="71" t="s">
        <v>3372</v>
      </c>
      <c r="AN306" s="84" t="s">
        <v>3373</v>
      </c>
      <c r="AO306" s="71" t="s">
        <v>3374</v>
      </c>
      <c r="AP306" s="161" t="str">
        <f>IMAGE("https://bellingcat-archive.nyc3.cdn.digitaloceanspaces.com/Ukraine_Witness_Datasheet/Worksheet/youtube_dl_1493738346564268032/out2.jpg")</f>
        <v/>
      </c>
      <c r="AQ306" s="84" t="s">
        <v>3375</v>
      </c>
      <c r="AR306" s="71" t="s">
        <v>3376</v>
      </c>
      <c r="AS306" s="71" t="s">
        <v>3377</v>
      </c>
      <c r="AT306" s="71">
        <v>24.96</v>
      </c>
      <c r="AU306" s="89"/>
      <c r="AV306" s="162"/>
      <c r="AW306" s="81"/>
    </row>
    <row r="307" ht="15.75" customHeight="1">
      <c r="A307" s="87" t="s">
        <v>63</v>
      </c>
      <c r="B307" s="73"/>
      <c r="C307" s="57" t="s">
        <v>2812</v>
      </c>
      <c r="D307" s="92">
        <v>50.225408</v>
      </c>
      <c r="E307" s="92">
        <v>38.107128</v>
      </c>
      <c r="F307" s="59">
        <v>1.0</v>
      </c>
      <c r="G307" s="84" t="s">
        <v>3378</v>
      </c>
      <c r="H307" s="61" t="s">
        <v>66</v>
      </c>
      <c r="I307" s="75"/>
      <c r="J307" s="63" t="s">
        <v>3379</v>
      </c>
      <c r="K307" s="88" t="s">
        <v>3380</v>
      </c>
      <c r="L307" s="110" t="s">
        <v>79</v>
      </c>
      <c r="M307" s="92" t="s">
        <v>547</v>
      </c>
      <c r="N307" s="111"/>
      <c r="O307" s="92" t="s">
        <v>548</v>
      </c>
      <c r="P307" s="67" t="str">
        <f t="shared" si="1"/>
        <v>50.225408, 38.107128</v>
      </c>
      <c r="Q307" s="67" t="str">
        <f t="shared" si="2"/>
        <v>50.22517, 38.107616</v>
      </c>
      <c r="R307" s="67">
        <f t="shared" si="3"/>
        <v>50.22517</v>
      </c>
      <c r="S307" s="67">
        <f t="shared" si="4"/>
        <v>38.107616</v>
      </c>
      <c r="T307" s="161"/>
      <c r="U307" s="69"/>
      <c r="V307" s="65" t="s">
        <v>3381</v>
      </c>
      <c r="W307" s="71" t="s">
        <v>74</v>
      </c>
      <c r="X307" s="72" t="s">
        <v>75</v>
      </c>
      <c r="Y307" s="61" t="s">
        <v>76</v>
      </c>
      <c r="Z307" s="73"/>
      <c r="AA307" s="61" t="s">
        <v>77</v>
      </c>
      <c r="AB307" s="73"/>
      <c r="AC307" s="73"/>
      <c r="AD307" s="73"/>
      <c r="AE307" s="73"/>
      <c r="AF307" s="73"/>
      <c r="AG307" s="73"/>
      <c r="AH307" s="73"/>
      <c r="AI307" s="73"/>
      <c r="AJ307" s="75"/>
      <c r="AK307" s="76" t="s">
        <v>798</v>
      </c>
      <c r="AL307" s="83" t="s">
        <v>3382</v>
      </c>
      <c r="AM307" s="71" t="s">
        <v>3383</v>
      </c>
      <c r="AN307" s="84" t="s">
        <v>3384</v>
      </c>
      <c r="AO307" s="71" t="s">
        <v>3385</v>
      </c>
      <c r="AP307" s="161" t="str">
        <f>IMAGE("https://bellingcat-archive.nyc3.cdn.digitaloceanspaces.com/Ukraine_Witness_Datasheet/Worksheet/youtube_dl_1493370314293719046/out2.jpg")</f>
        <v/>
      </c>
      <c r="AQ307" s="84" t="s">
        <v>3386</v>
      </c>
      <c r="AR307" s="71" t="s">
        <v>3387</v>
      </c>
      <c r="AS307" s="71" t="s">
        <v>3388</v>
      </c>
      <c r="AT307" s="71">
        <v>23.429</v>
      </c>
      <c r="AU307" s="89"/>
      <c r="AV307" s="162"/>
      <c r="AW307" s="81"/>
    </row>
    <row r="308" ht="15.75" customHeight="1">
      <c r="A308" s="87" t="s">
        <v>63</v>
      </c>
      <c r="B308" s="73"/>
      <c r="C308" s="57" t="s">
        <v>2812</v>
      </c>
      <c r="D308" s="92">
        <v>50.437327</v>
      </c>
      <c r="E308" s="92">
        <v>36.379815</v>
      </c>
      <c r="F308" s="59">
        <v>1.0</v>
      </c>
      <c r="G308" s="84" t="s">
        <v>3057</v>
      </c>
      <c r="H308" s="61" t="s">
        <v>66</v>
      </c>
      <c r="I308" s="75"/>
      <c r="J308" s="63" t="s">
        <v>3389</v>
      </c>
      <c r="K308" s="88" t="s">
        <v>3390</v>
      </c>
      <c r="L308" s="110" t="s">
        <v>79</v>
      </c>
      <c r="M308" s="92" t="s">
        <v>547</v>
      </c>
      <c r="N308" s="92" t="s">
        <v>1258</v>
      </c>
      <c r="O308" s="92" t="s">
        <v>1029</v>
      </c>
      <c r="P308" s="67" t="str">
        <f t="shared" si="1"/>
        <v>50.437327, 36.379815</v>
      </c>
      <c r="Q308" s="67" t="str">
        <f t="shared" si="2"/>
        <v>50.437076, 36.380817</v>
      </c>
      <c r="R308" s="67">
        <f t="shared" si="3"/>
        <v>50.437076</v>
      </c>
      <c r="S308" s="67">
        <f t="shared" si="4"/>
        <v>36.380817</v>
      </c>
      <c r="T308" s="161"/>
      <c r="U308" s="177" t="s">
        <v>3391</v>
      </c>
      <c r="V308" s="65" t="s">
        <v>3392</v>
      </c>
      <c r="W308" s="71" t="s">
        <v>74</v>
      </c>
      <c r="X308" s="72" t="s">
        <v>75</v>
      </c>
      <c r="Y308" s="61" t="s">
        <v>76</v>
      </c>
      <c r="Z308" s="73"/>
      <c r="AA308" s="61" t="s">
        <v>77</v>
      </c>
      <c r="AB308" s="73"/>
      <c r="AC308" s="73"/>
      <c r="AD308" s="73"/>
      <c r="AE308" s="73"/>
      <c r="AF308" s="73"/>
      <c r="AG308" s="73"/>
      <c r="AH308" s="73"/>
      <c r="AI308" s="73"/>
      <c r="AJ308" s="75"/>
      <c r="AK308" s="76" t="s">
        <v>930</v>
      </c>
      <c r="AL308" s="83" t="s">
        <v>3062</v>
      </c>
      <c r="AM308" s="71" t="s">
        <v>3393</v>
      </c>
      <c r="AN308" s="84" t="s">
        <v>3394</v>
      </c>
      <c r="AO308" s="71" t="s">
        <v>3065</v>
      </c>
      <c r="AP308" s="161" t="str">
        <f>IMAGE("https://bellingcat-archive.nyc3.cdn.digitaloceanspaces.com/Ukraine_Witness_Datasheet/Worksheet/youtube_dl_1493246283875864576/out2.jpg")</f>
        <v/>
      </c>
      <c r="AQ308" s="84" t="s">
        <v>3066</v>
      </c>
      <c r="AR308" s="71" t="s">
        <v>3067</v>
      </c>
      <c r="AS308" s="71" t="s">
        <v>3068</v>
      </c>
      <c r="AT308" s="71">
        <v>18.436</v>
      </c>
      <c r="AU308" s="89"/>
      <c r="AV308" s="162"/>
      <c r="AW308" s="81"/>
    </row>
    <row r="309" ht="15.75" customHeight="1">
      <c r="A309" s="175"/>
      <c r="B309" s="73"/>
      <c r="C309" s="176"/>
      <c r="D309" s="111"/>
      <c r="E309" s="111"/>
      <c r="F309" s="59">
        <v>1.0</v>
      </c>
      <c r="G309" s="84" t="s">
        <v>3395</v>
      </c>
      <c r="H309" s="61" t="s">
        <v>66</v>
      </c>
      <c r="I309" s="75"/>
      <c r="J309" s="168"/>
      <c r="K309" s="69"/>
      <c r="L309" s="134"/>
      <c r="M309" s="111"/>
      <c r="N309" s="111"/>
      <c r="O309" s="111"/>
      <c r="P309" s="67" t="str">
        <f t="shared" si="1"/>
        <v/>
      </c>
      <c r="Q309" s="67" t="str">
        <f t="shared" si="2"/>
        <v/>
      </c>
      <c r="R309" s="67" t="str">
        <f t="shared" si="3"/>
        <v/>
      </c>
      <c r="S309" s="67" t="str">
        <f t="shared" si="4"/>
        <v/>
      </c>
      <c r="T309" s="161"/>
      <c r="U309" s="69"/>
      <c r="V309" s="65" t="s">
        <v>3396</v>
      </c>
      <c r="W309" s="71"/>
      <c r="X309" s="171"/>
      <c r="Y309" s="61" t="s">
        <v>76</v>
      </c>
      <c r="Z309" s="73"/>
      <c r="AA309" s="61" t="s">
        <v>77</v>
      </c>
      <c r="AB309" s="73"/>
      <c r="AC309" s="73"/>
      <c r="AD309" s="73"/>
      <c r="AE309" s="73"/>
      <c r="AF309" s="73"/>
      <c r="AG309" s="73"/>
      <c r="AH309" s="73"/>
      <c r="AI309" s="73"/>
      <c r="AJ309" s="75"/>
      <c r="AK309" s="76" t="s">
        <v>798</v>
      </c>
      <c r="AL309" s="83" t="s">
        <v>3397</v>
      </c>
      <c r="AM309" s="71" t="s">
        <v>3398</v>
      </c>
      <c r="AN309" s="84" t="s">
        <v>3399</v>
      </c>
      <c r="AO309" s="71" t="s">
        <v>3400</v>
      </c>
      <c r="AP309" s="161" t="str">
        <f>IMAGE("https://bellingcat-archive.nyc3.cdn.digitaloceanspaces.com/Ukraine_Witness_Datasheet/Worksheet/youtube_dl_1493893659061899267/out2.jpg")</f>
        <v/>
      </c>
      <c r="AQ309" s="84" t="s">
        <v>3401</v>
      </c>
      <c r="AR309" s="71" t="s">
        <v>3402</v>
      </c>
      <c r="AS309" s="71" t="s">
        <v>3403</v>
      </c>
      <c r="AT309" s="71">
        <v>18.111</v>
      </c>
      <c r="AU309" s="89"/>
      <c r="AV309" s="162"/>
      <c r="AW309" s="81"/>
    </row>
    <row r="310" ht="15.75" customHeight="1">
      <c r="A310" s="87" t="s">
        <v>63</v>
      </c>
      <c r="B310" s="73"/>
      <c r="C310" s="57" t="s">
        <v>3206</v>
      </c>
      <c r="D310" s="92">
        <v>50.570198</v>
      </c>
      <c r="E310" s="92">
        <v>36.52756</v>
      </c>
      <c r="F310" s="59">
        <v>1.0</v>
      </c>
      <c r="G310" s="84" t="s">
        <v>3404</v>
      </c>
      <c r="H310" s="61" t="s">
        <v>66</v>
      </c>
      <c r="I310" s="75"/>
      <c r="J310" s="63" t="s">
        <v>68</v>
      </c>
      <c r="K310" s="88" t="s">
        <v>3405</v>
      </c>
      <c r="L310" s="110" t="s">
        <v>873</v>
      </c>
      <c r="M310" s="92" t="s">
        <v>1325</v>
      </c>
      <c r="N310" s="111"/>
      <c r="O310" s="92" t="s">
        <v>547</v>
      </c>
      <c r="P310" s="67" t="str">
        <f t="shared" si="1"/>
        <v>50.570198, 36.52756</v>
      </c>
      <c r="Q310" s="67" t="str">
        <f t="shared" si="2"/>
        <v>50.569872, 36.52821</v>
      </c>
      <c r="R310" s="67">
        <f t="shared" si="3"/>
        <v>50.569872</v>
      </c>
      <c r="S310" s="67">
        <f t="shared" si="4"/>
        <v>36.52821</v>
      </c>
      <c r="T310" s="161"/>
      <c r="U310" s="69"/>
      <c r="V310" s="65" t="s">
        <v>3406</v>
      </c>
      <c r="W310" s="71" t="s">
        <v>74</v>
      </c>
      <c r="X310" s="72" t="s">
        <v>75</v>
      </c>
      <c r="Y310" s="61" t="s">
        <v>76</v>
      </c>
      <c r="Z310" s="73"/>
      <c r="AA310" s="61" t="s">
        <v>77</v>
      </c>
      <c r="AB310" s="73"/>
      <c r="AC310" s="73"/>
      <c r="AD310" s="73"/>
      <c r="AE310" s="73"/>
      <c r="AF310" s="73"/>
      <c r="AG310" s="73"/>
      <c r="AH310" s="73"/>
      <c r="AI310" s="73"/>
      <c r="AJ310" s="75"/>
      <c r="AK310" s="76" t="s">
        <v>798</v>
      </c>
      <c r="AL310" s="83" t="s">
        <v>3407</v>
      </c>
      <c r="AM310" s="71" t="s">
        <v>3408</v>
      </c>
      <c r="AN310" s="84" t="s">
        <v>3409</v>
      </c>
      <c r="AO310" s="71" t="s">
        <v>3410</v>
      </c>
      <c r="AP310" s="161" t="str">
        <f>IMAGE("https://bellingcat-archive.nyc3.cdn.digitaloceanspaces.com/Ukraine_Witness_Datasheet/Worksheet/youtube_dl_1493916265408339973/out2.jpg")</f>
        <v/>
      </c>
      <c r="AQ310" s="84" t="s">
        <v>3411</v>
      </c>
      <c r="AR310" s="71" t="s">
        <v>1051</v>
      </c>
      <c r="AS310" s="71" t="s">
        <v>3412</v>
      </c>
      <c r="AT310" s="71">
        <v>35.066</v>
      </c>
      <c r="AU310" s="89"/>
      <c r="AV310" s="162"/>
      <c r="AW310" s="81"/>
    </row>
    <row r="311" ht="15.75" customHeight="1">
      <c r="A311" s="95" t="s">
        <v>3259</v>
      </c>
      <c r="B311" s="73"/>
      <c r="C311" s="57" t="s">
        <v>3145</v>
      </c>
      <c r="D311" s="92">
        <v>50.673287</v>
      </c>
      <c r="E311" s="92">
        <v>36.236882</v>
      </c>
      <c r="F311" s="59">
        <v>1.0</v>
      </c>
      <c r="G311" s="60" t="s">
        <v>3413</v>
      </c>
      <c r="H311" s="61" t="s">
        <v>66</v>
      </c>
      <c r="I311" s="75"/>
      <c r="J311" s="178" t="s">
        <v>3414</v>
      </c>
      <c r="K311" s="69"/>
      <c r="L311" s="110" t="s">
        <v>873</v>
      </c>
      <c r="M311" s="92" t="s">
        <v>1325</v>
      </c>
      <c r="N311" s="111"/>
      <c r="O311" s="92" t="s">
        <v>3074</v>
      </c>
      <c r="P311" s="67" t="str">
        <f t="shared" si="1"/>
        <v>50.673287, 36.236882</v>
      </c>
      <c r="Q311" s="67" t="str">
        <f t="shared" si="2"/>
        <v>50.672592, 36.23642</v>
      </c>
      <c r="R311" s="67">
        <f t="shared" si="3"/>
        <v>50.672592</v>
      </c>
      <c r="S311" s="67">
        <f t="shared" si="4"/>
        <v>36.23642</v>
      </c>
      <c r="T311" s="71" t="s">
        <v>3415</v>
      </c>
      <c r="U311" s="115" t="s">
        <v>3416</v>
      </c>
      <c r="V311" s="65" t="s">
        <v>3417</v>
      </c>
      <c r="W311" s="71" t="s">
        <v>74</v>
      </c>
      <c r="X311" s="72" t="s">
        <v>75</v>
      </c>
      <c r="Y311" s="61" t="s">
        <v>76</v>
      </c>
      <c r="Z311" s="73"/>
      <c r="AA311" s="61" t="s">
        <v>77</v>
      </c>
      <c r="AB311" s="73"/>
      <c r="AC311" s="73"/>
      <c r="AD311" s="73"/>
      <c r="AE311" s="73"/>
      <c r="AF311" s="73"/>
      <c r="AG311" s="73"/>
      <c r="AH311" s="73"/>
      <c r="AI311" s="73"/>
      <c r="AJ311" s="75"/>
      <c r="AK311" s="76" t="s">
        <v>962</v>
      </c>
      <c r="AL311" s="83" t="s">
        <v>3418</v>
      </c>
      <c r="AM311" s="71" t="s">
        <v>3419</v>
      </c>
      <c r="AN311" s="84" t="s">
        <v>3420</v>
      </c>
      <c r="AO311" s="71" t="s">
        <v>3421</v>
      </c>
      <c r="AP311" s="161" t="str">
        <f>IMAGE("https://bellingcat-archive.nyc3.cdn.digitaloceanspaces.com/Ukraine_Witness_Datasheet/Worksheet/tiktok_7064951242409250049/out2.jpg")</f>
        <v/>
      </c>
      <c r="AQ311" s="84" t="s">
        <v>3422</v>
      </c>
      <c r="AR311" s="161"/>
      <c r="AS311" s="71" t="s">
        <v>3423</v>
      </c>
      <c r="AT311" s="71">
        <v>55.0</v>
      </c>
      <c r="AU311" s="89"/>
      <c r="AV311" s="162"/>
      <c r="AW311" s="81"/>
    </row>
    <row r="312" ht="15.75" customHeight="1">
      <c r="A312" s="95" t="s">
        <v>3259</v>
      </c>
      <c r="B312" s="73"/>
      <c r="C312" s="57" t="s">
        <v>3206</v>
      </c>
      <c r="D312" s="92">
        <v>50.672901</v>
      </c>
      <c r="E312" s="92">
        <v>36.237582</v>
      </c>
      <c r="F312" s="59">
        <v>1.0</v>
      </c>
      <c r="G312" s="60" t="s">
        <v>3424</v>
      </c>
      <c r="H312" s="61" t="s">
        <v>66</v>
      </c>
      <c r="I312" s="75"/>
      <c r="J312" s="63" t="s">
        <v>3425</v>
      </c>
      <c r="K312" s="69"/>
      <c r="L312" s="110" t="s">
        <v>873</v>
      </c>
      <c r="M312" s="92" t="s">
        <v>1325</v>
      </c>
      <c r="N312" s="111"/>
      <c r="O312" s="92" t="s">
        <v>3074</v>
      </c>
      <c r="P312" s="67" t="str">
        <f t="shared" si="1"/>
        <v>50.672901, 36.237582</v>
      </c>
      <c r="Q312" s="67" t="str">
        <f t="shared" si="2"/>
        <v>50.67246, 36.238664</v>
      </c>
      <c r="R312" s="67">
        <f t="shared" si="3"/>
        <v>50.67246</v>
      </c>
      <c r="S312" s="67">
        <f t="shared" si="4"/>
        <v>36.238664</v>
      </c>
      <c r="T312" s="71" t="s">
        <v>3415</v>
      </c>
      <c r="U312" s="115" t="s">
        <v>3426</v>
      </c>
      <c r="V312" s="65" t="s">
        <v>3427</v>
      </c>
      <c r="W312" s="71" t="s">
        <v>74</v>
      </c>
      <c r="X312" s="72" t="s">
        <v>75</v>
      </c>
      <c r="Y312" s="61" t="s">
        <v>76</v>
      </c>
      <c r="Z312" s="73"/>
      <c r="AA312" s="61" t="s">
        <v>77</v>
      </c>
      <c r="AB312" s="73"/>
      <c r="AC312" s="73"/>
      <c r="AD312" s="73"/>
      <c r="AE312" s="73"/>
      <c r="AF312" s="73"/>
      <c r="AG312" s="73"/>
      <c r="AH312" s="73"/>
      <c r="AI312" s="73"/>
      <c r="AJ312" s="75"/>
      <c r="AK312" s="76" t="s">
        <v>962</v>
      </c>
      <c r="AL312" s="83" t="s">
        <v>3428</v>
      </c>
      <c r="AM312" s="71" t="s">
        <v>3429</v>
      </c>
      <c r="AN312" s="84" t="s">
        <v>3430</v>
      </c>
      <c r="AO312" s="71" t="s">
        <v>3431</v>
      </c>
      <c r="AP312" s="161" t="str">
        <f>IMAGE("https://bellingcat-archive.nyc3.cdn.digitaloceanspaces.com/Ukraine_Witness_Datasheet/Worksheet/tiktok_7065302927874788609/out2.jpg")</f>
        <v/>
      </c>
      <c r="AQ312" s="84" t="s">
        <v>3432</v>
      </c>
      <c r="AR312" s="71" t="s">
        <v>3433</v>
      </c>
      <c r="AS312" s="71" t="s">
        <v>3434</v>
      </c>
      <c r="AT312" s="71">
        <v>25.0</v>
      </c>
      <c r="AU312" s="89"/>
      <c r="AV312" s="162"/>
      <c r="AW312" s="81"/>
    </row>
    <row r="313" ht="15.75" customHeight="1">
      <c r="A313" s="95" t="s">
        <v>3259</v>
      </c>
      <c r="B313" s="73"/>
      <c r="C313" s="57" t="s">
        <v>3206</v>
      </c>
      <c r="D313" s="92">
        <v>50.673383</v>
      </c>
      <c r="E313" s="92">
        <v>36.23713</v>
      </c>
      <c r="F313" s="59">
        <v>1.0</v>
      </c>
      <c r="G313" s="60" t="s">
        <v>3435</v>
      </c>
      <c r="H313" s="61" t="s">
        <v>66</v>
      </c>
      <c r="I313" s="75"/>
      <c r="J313" s="178" t="s">
        <v>3414</v>
      </c>
      <c r="K313" s="69"/>
      <c r="L313" s="110" t="s">
        <v>873</v>
      </c>
      <c r="M313" s="92" t="s">
        <v>1325</v>
      </c>
      <c r="N313" s="111"/>
      <c r="O313" s="92" t="s">
        <v>3074</v>
      </c>
      <c r="P313" s="67" t="str">
        <f t="shared" si="1"/>
        <v>50.673383, 36.23713</v>
      </c>
      <c r="Q313" s="67" t="str">
        <f t="shared" si="2"/>
        <v>50.672938, 36.237137</v>
      </c>
      <c r="R313" s="67">
        <f t="shared" si="3"/>
        <v>50.672938</v>
      </c>
      <c r="S313" s="67">
        <f t="shared" si="4"/>
        <v>36.237137</v>
      </c>
      <c r="T313" s="71" t="s">
        <v>3415</v>
      </c>
      <c r="U313" s="115" t="s">
        <v>3416</v>
      </c>
      <c r="V313" s="65" t="s">
        <v>3436</v>
      </c>
      <c r="W313" s="71" t="s">
        <v>74</v>
      </c>
      <c r="X313" s="72" t="s">
        <v>75</v>
      </c>
      <c r="Y313" s="61" t="s">
        <v>76</v>
      </c>
      <c r="Z313" s="73"/>
      <c r="AA313" s="61" t="s">
        <v>77</v>
      </c>
      <c r="AB313" s="73"/>
      <c r="AC313" s="73"/>
      <c r="AD313" s="73"/>
      <c r="AE313" s="73"/>
      <c r="AF313" s="73"/>
      <c r="AG313" s="73"/>
      <c r="AH313" s="73"/>
      <c r="AI313" s="73"/>
      <c r="AJ313" s="75"/>
      <c r="AK313" s="76" t="s">
        <v>962</v>
      </c>
      <c r="AL313" s="83" t="s">
        <v>3437</v>
      </c>
      <c r="AM313" s="71" t="s">
        <v>3438</v>
      </c>
      <c r="AN313" s="84" t="s">
        <v>3439</v>
      </c>
      <c r="AO313" s="71" t="s">
        <v>3440</v>
      </c>
      <c r="AP313" s="161" t="str">
        <f>IMAGE("https://bellingcat-archive.nyc3.cdn.digitaloceanspaces.com/Ukraine_Witness_Datasheet/Worksheet/tiktok_7065304080389852418/out5.jpg")</f>
        <v/>
      </c>
      <c r="AQ313" s="84" t="s">
        <v>3441</v>
      </c>
      <c r="AR313" s="71" t="s">
        <v>3442</v>
      </c>
      <c r="AS313" s="71" t="s">
        <v>3443</v>
      </c>
      <c r="AT313" s="71">
        <v>124.0</v>
      </c>
      <c r="AU313" s="89"/>
      <c r="AV313" s="162"/>
      <c r="AW313" s="81"/>
    </row>
    <row r="314" ht="15.75" customHeight="1">
      <c r="A314" s="95" t="s">
        <v>3259</v>
      </c>
      <c r="B314" s="73"/>
      <c r="C314" s="57" t="s">
        <v>3206</v>
      </c>
      <c r="D314" s="92">
        <v>50.673349</v>
      </c>
      <c r="E314" s="92">
        <v>36.237253</v>
      </c>
      <c r="F314" s="59">
        <v>1.0</v>
      </c>
      <c r="G314" s="60" t="s">
        <v>3444</v>
      </c>
      <c r="H314" s="61" t="s">
        <v>66</v>
      </c>
      <c r="I314" s="75"/>
      <c r="J314" s="63" t="s">
        <v>3425</v>
      </c>
      <c r="K314" s="69"/>
      <c r="L314" s="110" t="s">
        <v>873</v>
      </c>
      <c r="M314" s="92" t="s">
        <v>1325</v>
      </c>
      <c r="N314" s="111"/>
      <c r="O314" s="92" t="s">
        <v>3074</v>
      </c>
      <c r="P314" s="67" t="str">
        <f t="shared" si="1"/>
        <v>50.673349, 36.237253</v>
      </c>
      <c r="Q314" s="67" t="str">
        <f t="shared" si="2"/>
        <v>50.67279, 36.237945</v>
      </c>
      <c r="R314" s="67">
        <f t="shared" si="3"/>
        <v>50.67279</v>
      </c>
      <c r="S314" s="67">
        <f t="shared" si="4"/>
        <v>36.237945</v>
      </c>
      <c r="T314" s="71" t="s">
        <v>3415</v>
      </c>
      <c r="U314" s="115" t="s">
        <v>3426</v>
      </c>
      <c r="V314" s="65" t="s">
        <v>3445</v>
      </c>
      <c r="W314" s="71" t="s">
        <v>74</v>
      </c>
      <c r="X314" s="72" t="s">
        <v>75</v>
      </c>
      <c r="Y314" s="61" t="s">
        <v>76</v>
      </c>
      <c r="Z314" s="73"/>
      <c r="AA314" s="61" t="s">
        <v>77</v>
      </c>
      <c r="AB314" s="73"/>
      <c r="AC314" s="73"/>
      <c r="AD314" s="73"/>
      <c r="AE314" s="73"/>
      <c r="AF314" s="73"/>
      <c r="AG314" s="73"/>
      <c r="AH314" s="73"/>
      <c r="AI314" s="73"/>
      <c r="AJ314" s="75"/>
      <c r="AK314" s="76" t="s">
        <v>962</v>
      </c>
      <c r="AL314" s="83" t="s">
        <v>3446</v>
      </c>
      <c r="AM314" s="71" t="s">
        <v>3447</v>
      </c>
      <c r="AN314" s="84" t="s">
        <v>3448</v>
      </c>
      <c r="AO314" s="71" t="s">
        <v>3449</v>
      </c>
      <c r="AP314" s="161" t="str">
        <f>IMAGE("https://bellingcat-archive.nyc3.cdn.digitaloceanspaces.com/Ukraine_Witness_Datasheet/Worksheet/tiktok_7065306324585712898/out2.jpg")</f>
        <v/>
      </c>
      <c r="AQ314" s="84" t="s">
        <v>3450</v>
      </c>
      <c r="AR314" s="71" t="s">
        <v>3451</v>
      </c>
      <c r="AS314" s="71" t="s">
        <v>3452</v>
      </c>
      <c r="AT314" s="71">
        <v>29.0</v>
      </c>
      <c r="AU314" s="89"/>
      <c r="AV314" s="162"/>
      <c r="AW314" s="81"/>
    </row>
    <row r="315" ht="15.75" customHeight="1">
      <c r="A315" s="95" t="s">
        <v>3259</v>
      </c>
      <c r="B315" s="73"/>
      <c r="C315" s="57" t="s">
        <v>3206</v>
      </c>
      <c r="D315" s="92">
        <v>50.672421</v>
      </c>
      <c r="E315" s="92">
        <v>36.237886</v>
      </c>
      <c r="F315" s="59">
        <v>1.0</v>
      </c>
      <c r="G315" s="60" t="s">
        <v>3453</v>
      </c>
      <c r="H315" s="61" t="s">
        <v>66</v>
      </c>
      <c r="I315" s="75"/>
      <c r="J315" s="63" t="s">
        <v>3425</v>
      </c>
      <c r="K315" s="69"/>
      <c r="L315" s="110" t="s">
        <v>873</v>
      </c>
      <c r="M315" s="92" t="s">
        <v>1325</v>
      </c>
      <c r="N315" s="111"/>
      <c r="O315" s="92" t="s">
        <v>3074</v>
      </c>
      <c r="P315" s="67" t="str">
        <f t="shared" si="1"/>
        <v>50.672421, 36.237886</v>
      </c>
      <c r="Q315" s="67" t="str">
        <f t="shared" si="2"/>
        <v>50.672184, 36.238308</v>
      </c>
      <c r="R315" s="67">
        <f t="shared" si="3"/>
        <v>50.672184</v>
      </c>
      <c r="S315" s="67">
        <f t="shared" si="4"/>
        <v>36.238308</v>
      </c>
      <c r="T315" s="71" t="s">
        <v>3415</v>
      </c>
      <c r="U315" s="115" t="s">
        <v>3426</v>
      </c>
      <c r="V315" s="65" t="s">
        <v>3454</v>
      </c>
      <c r="W315" s="71" t="s">
        <v>74</v>
      </c>
      <c r="X315" s="72" t="s">
        <v>75</v>
      </c>
      <c r="Y315" s="61" t="s">
        <v>76</v>
      </c>
      <c r="Z315" s="73"/>
      <c r="AA315" s="61" t="s">
        <v>77</v>
      </c>
      <c r="AB315" s="73"/>
      <c r="AC315" s="73"/>
      <c r="AD315" s="73"/>
      <c r="AE315" s="73"/>
      <c r="AF315" s="73"/>
      <c r="AG315" s="73"/>
      <c r="AH315" s="73"/>
      <c r="AI315" s="73"/>
      <c r="AJ315" s="75"/>
      <c r="AK315" s="76" t="s">
        <v>962</v>
      </c>
      <c r="AL315" s="83" t="s">
        <v>3455</v>
      </c>
      <c r="AM315" s="71" t="s">
        <v>3456</v>
      </c>
      <c r="AN315" s="84" t="s">
        <v>3457</v>
      </c>
      <c r="AO315" s="71" t="s">
        <v>3458</v>
      </c>
      <c r="AP315" s="161" t="str">
        <f>IMAGE("https://bellingcat-archive.nyc3.cdn.digitaloceanspaces.com/Ukraine_Witness_Datasheet/Worksheet/tiktok_7065308855407774978/out2.jpg")</f>
        <v/>
      </c>
      <c r="AQ315" s="84" t="s">
        <v>3459</v>
      </c>
      <c r="AR315" s="71" t="s">
        <v>3460</v>
      </c>
      <c r="AS315" s="71" t="s">
        <v>3461</v>
      </c>
      <c r="AT315" s="71">
        <v>33.0</v>
      </c>
      <c r="AU315" s="89"/>
      <c r="AV315" s="162"/>
      <c r="AW315" s="81"/>
    </row>
    <row r="316" ht="15.75" customHeight="1">
      <c r="A316" s="95" t="s">
        <v>3259</v>
      </c>
      <c r="B316" s="73"/>
      <c r="C316" s="57" t="s">
        <v>3206</v>
      </c>
      <c r="D316" s="92">
        <v>50.673424</v>
      </c>
      <c r="E316" s="92">
        <v>36.237194</v>
      </c>
      <c r="F316" s="59">
        <v>1.0</v>
      </c>
      <c r="G316" s="60" t="s">
        <v>3462</v>
      </c>
      <c r="H316" s="61" t="s">
        <v>66</v>
      </c>
      <c r="I316" s="75"/>
      <c r="J316" s="63" t="s">
        <v>3425</v>
      </c>
      <c r="K316" s="69"/>
      <c r="L316" s="110" t="s">
        <v>873</v>
      </c>
      <c r="M316" s="92" t="s">
        <v>1325</v>
      </c>
      <c r="N316" s="111"/>
      <c r="O316" s="92" t="s">
        <v>3074</v>
      </c>
      <c r="P316" s="67" t="str">
        <f t="shared" si="1"/>
        <v>50.673424, 36.237194</v>
      </c>
      <c r="Q316" s="67" t="str">
        <f t="shared" si="2"/>
        <v>50.673357, 36.238052</v>
      </c>
      <c r="R316" s="67">
        <f t="shared" si="3"/>
        <v>50.673357</v>
      </c>
      <c r="S316" s="67">
        <f t="shared" si="4"/>
        <v>36.238052</v>
      </c>
      <c r="T316" s="71" t="s">
        <v>3415</v>
      </c>
      <c r="U316" s="115" t="s">
        <v>3426</v>
      </c>
      <c r="V316" s="65" t="s">
        <v>3463</v>
      </c>
      <c r="W316" s="71" t="s">
        <v>74</v>
      </c>
      <c r="X316" s="72" t="s">
        <v>75</v>
      </c>
      <c r="Y316" s="61" t="s">
        <v>76</v>
      </c>
      <c r="Z316" s="73"/>
      <c r="AA316" s="61" t="s">
        <v>77</v>
      </c>
      <c r="AB316" s="73"/>
      <c r="AC316" s="73"/>
      <c r="AD316" s="73"/>
      <c r="AE316" s="73"/>
      <c r="AF316" s="73"/>
      <c r="AG316" s="73"/>
      <c r="AH316" s="73"/>
      <c r="AI316" s="73"/>
      <c r="AJ316" s="75"/>
      <c r="AK316" s="76" t="s">
        <v>962</v>
      </c>
      <c r="AL316" s="83" t="s">
        <v>3464</v>
      </c>
      <c r="AM316" s="71" t="s">
        <v>3465</v>
      </c>
      <c r="AN316" s="84" t="s">
        <v>3466</v>
      </c>
      <c r="AO316" s="71" t="s">
        <v>3467</v>
      </c>
      <c r="AP316" s="161" t="str">
        <f>IMAGE("https://bellingcat-archive.nyc3.cdn.digitaloceanspaces.com/Ukraine_Witness_Datasheet/Worksheet/tiktok_7065309604246228225/out3.jpg")</f>
        <v/>
      </c>
      <c r="AQ316" s="84" t="s">
        <v>3468</v>
      </c>
      <c r="AR316" s="71" t="s">
        <v>3469</v>
      </c>
      <c r="AS316" s="71" t="s">
        <v>3470</v>
      </c>
      <c r="AT316" s="71">
        <v>66.0</v>
      </c>
      <c r="AU316" s="89"/>
      <c r="AV316" s="162"/>
      <c r="AW316" s="81"/>
    </row>
    <row r="317" ht="15.75" customHeight="1">
      <c r="A317" s="95" t="s">
        <v>3259</v>
      </c>
      <c r="B317" s="73"/>
      <c r="C317" s="57" t="s">
        <v>3206</v>
      </c>
      <c r="D317" s="92">
        <v>50.672754</v>
      </c>
      <c r="E317" s="92">
        <v>36.237704</v>
      </c>
      <c r="F317" s="59">
        <v>1.0</v>
      </c>
      <c r="G317" s="60" t="s">
        <v>3471</v>
      </c>
      <c r="H317" s="61" t="s">
        <v>66</v>
      </c>
      <c r="I317" s="75"/>
      <c r="J317" s="63" t="s">
        <v>3425</v>
      </c>
      <c r="K317" s="69"/>
      <c r="L317" s="110" t="s">
        <v>873</v>
      </c>
      <c r="M317" s="92" t="s">
        <v>1325</v>
      </c>
      <c r="N317" s="111"/>
      <c r="O317" s="92" t="s">
        <v>3074</v>
      </c>
      <c r="P317" s="67" t="str">
        <f t="shared" si="1"/>
        <v>50.672754, 36.237704</v>
      </c>
      <c r="Q317" s="67" t="str">
        <f t="shared" si="2"/>
        <v>50.67219, 36.237834</v>
      </c>
      <c r="R317" s="67">
        <f t="shared" si="3"/>
        <v>50.67219</v>
      </c>
      <c r="S317" s="67">
        <f t="shared" si="4"/>
        <v>36.237834</v>
      </c>
      <c r="T317" s="71" t="s">
        <v>3415</v>
      </c>
      <c r="U317" s="115" t="s">
        <v>3426</v>
      </c>
      <c r="V317" s="65" t="s">
        <v>3472</v>
      </c>
      <c r="W317" s="71" t="s">
        <v>74</v>
      </c>
      <c r="X317" s="72" t="s">
        <v>75</v>
      </c>
      <c r="Y317" s="61" t="s">
        <v>76</v>
      </c>
      <c r="Z317" s="73"/>
      <c r="AA317" s="61" t="s">
        <v>77</v>
      </c>
      <c r="AB317" s="73"/>
      <c r="AC317" s="73"/>
      <c r="AD317" s="73"/>
      <c r="AE317" s="73"/>
      <c r="AF317" s="73"/>
      <c r="AG317" s="73"/>
      <c r="AH317" s="73"/>
      <c r="AI317" s="73"/>
      <c r="AJ317" s="75"/>
      <c r="AK317" s="76" t="s">
        <v>962</v>
      </c>
      <c r="AL317" s="83" t="s">
        <v>3473</v>
      </c>
      <c r="AM317" s="71" t="s">
        <v>3474</v>
      </c>
      <c r="AN317" s="84" t="s">
        <v>3475</v>
      </c>
      <c r="AO317" s="71" t="s">
        <v>3476</v>
      </c>
      <c r="AP317" s="161" t="str">
        <f>IMAGE("https://bellingcat-archive.nyc3.cdn.digitaloceanspaces.com/Ukraine_Witness_Datasheet/Worksheet/tiktok_7065314204504345857/out2.jpg")</f>
        <v/>
      </c>
      <c r="AQ317" s="84" t="s">
        <v>3477</v>
      </c>
      <c r="AR317" s="71" t="s">
        <v>3478</v>
      </c>
      <c r="AS317" s="71" t="s">
        <v>3479</v>
      </c>
      <c r="AT317" s="71">
        <v>30.0</v>
      </c>
      <c r="AU317" s="89"/>
      <c r="AV317" s="162"/>
      <c r="AW317" s="81"/>
    </row>
    <row r="318" ht="15.75" customHeight="1">
      <c r="A318" s="95" t="s">
        <v>3259</v>
      </c>
      <c r="B318" s="73"/>
      <c r="C318" s="57" t="s">
        <v>3206</v>
      </c>
      <c r="D318" s="92">
        <v>50.672982</v>
      </c>
      <c r="E318" s="92">
        <v>36.237538</v>
      </c>
      <c r="F318" s="59">
        <v>1.0</v>
      </c>
      <c r="G318" s="60" t="s">
        <v>3480</v>
      </c>
      <c r="H318" s="61" t="s">
        <v>66</v>
      </c>
      <c r="I318" s="75"/>
      <c r="J318" s="63" t="s">
        <v>3425</v>
      </c>
      <c r="K318" s="69"/>
      <c r="L318" s="110" t="s">
        <v>873</v>
      </c>
      <c r="M318" s="92" t="s">
        <v>1325</v>
      </c>
      <c r="N318" s="111"/>
      <c r="O318" s="92" t="s">
        <v>3074</v>
      </c>
      <c r="P318" s="67" t="str">
        <f t="shared" si="1"/>
        <v>50.672982, 36.237538</v>
      </c>
      <c r="Q318" s="67" t="str">
        <f t="shared" si="2"/>
        <v>50.672621, 36.238233</v>
      </c>
      <c r="R318" s="67">
        <f t="shared" si="3"/>
        <v>50.672621</v>
      </c>
      <c r="S318" s="67">
        <f t="shared" si="4"/>
        <v>36.238233</v>
      </c>
      <c r="T318" s="71" t="s">
        <v>3415</v>
      </c>
      <c r="U318" s="115" t="s">
        <v>3426</v>
      </c>
      <c r="V318" s="65" t="s">
        <v>3481</v>
      </c>
      <c r="W318" s="71" t="s">
        <v>74</v>
      </c>
      <c r="X318" s="72" t="s">
        <v>75</v>
      </c>
      <c r="Y318" s="61" t="s">
        <v>76</v>
      </c>
      <c r="Z318" s="73"/>
      <c r="AA318" s="61" t="s">
        <v>77</v>
      </c>
      <c r="AB318" s="73"/>
      <c r="AC318" s="73"/>
      <c r="AD318" s="73"/>
      <c r="AE318" s="73"/>
      <c r="AF318" s="73"/>
      <c r="AG318" s="73"/>
      <c r="AH318" s="73"/>
      <c r="AI318" s="73"/>
      <c r="AJ318" s="75"/>
      <c r="AK318" s="76" t="s">
        <v>962</v>
      </c>
      <c r="AL318" s="83" t="s">
        <v>3482</v>
      </c>
      <c r="AM318" s="71" t="s">
        <v>3483</v>
      </c>
      <c r="AN318" s="84" t="s">
        <v>3484</v>
      </c>
      <c r="AO318" s="71" t="s">
        <v>3485</v>
      </c>
      <c r="AP318" s="161" t="str">
        <f>IMAGE("https://bellingcat-archive.nyc3.cdn.digitaloceanspaces.com/Ukraine_Witness_Datasheet/Worksheet/tiktok_7065315245425757441/out2.jpg")</f>
        <v/>
      </c>
      <c r="AQ318" s="84" t="s">
        <v>3486</v>
      </c>
      <c r="AR318" s="71" t="s">
        <v>3487</v>
      </c>
      <c r="AS318" s="71" t="s">
        <v>3488</v>
      </c>
      <c r="AT318" s="71">
        <v>45.0</v>
      </c>
      <c r="AU318" s="89"/>
      <c r="AV318" s="162"/>
      <c r="AW318" s="81"/>
    </row>
    <row r="319" ht="15.75" customHeight="1">
      <c r="A319" s="95" t="s">
        <v>3259</v>
      </c>
      <c r="B319" s="73"/>
      <c r="C319" s="57" t="s">
        <v>3206</v>
      </c>
      <c r="D319" s="92">
        <v>50.673268</v>
      </c>
      <c r="E319" s="92">
        <v>36.237313</v>
      </c>
      <c r="F319" s="59">
        <v>1.0</v>
      </c>
      <c r="G319" s="60" t="s">
        <v>3489</v>
      </c>
      <c r="H319" s="61" t="s">
        <v>66</v>
      </c>
      <c r="I319" s="75"/>
      <c r="J319" s="63" t="s">
        <v>3425</v>
      </c>
      <c r="K319" s="69"/>
      <c r="L319" s="110" t="s">
        <v>873</v>
      </c>
      <c r="M319" s="92" t="s">
        <v>1325</v>
      </c>
      <c r="N319" s="111"/>
      <c r="O319" s="92" t="s">
        <v>3074</v>
      </c>
      <c r="P319" s="67" t="str">
        <f t="shared" si="1"/>
        <v>50.673268, 36.237313</v>
      </c>
      <c r="Q319" s="67" t="str">
        <f t="shared" si="2"/>
        <v>50.673179, 36.237873</v>
      </c>
      <c r="R319" s="67">
        <f t="shared" si="3"/>
        <v>50.673179</v>
      </c>
      <c r="S319" s="67">
        <f t="shared" si="4"/>
        <v>36.237873</v>
      </c>
      <c r="T319" s="71" t="s">
        <v>3415</v>
      </c>
      <c r="U319" s="115" t="s">
        <v>3426</v>
      </c>
      <c r="V319" s="65" t="s">
        <v>3490</v>
      </c>
      <c r="W319" s="71" t="s">
        <v>74</v>
      </c>
      <c r="X319" s="72" t="s">
        <v>75</v>
      </c>
      <c r="Y319" s="61" t="s">
        <v>76</v>
      </c>
      <c r="Z319" s="73"/>
      <c r="AA319" s="61" t="s">
        <v>77</v>
      </c>
      <c r="AB319" s="73"/>
      <c r="AC319" s="73"/>
      <c r="AD319" s="73"/>
      <c r="AE319" s="73"/>
      <c r="AF319" s="73"/>
      <c r="AG319" s="73"/>
      <c r="AH319" s="73"/>
      <c r="AI319" s="73"/>
      <c r="AJ319" s="75"/>
      <c r="AK319" s="76" t="s">
        <v>962</v>
      </c>
      <c r="AL319" s="83" t="s">
        <v>3491</v>
      </c>
      <c r="AM319" s="71" t="s">
        <v>3492</v>
      </c>
      <c r="AN319" s="84" t="s">
        <v>3493</v>
      </c>
      <c r="AO319" s="71" t="s">
        <v>3494</v>
      </c>
      <c r="AP319" s="161" t="str">
        <f>IMAGE("https://bellingcat-archive.nyc3.cdn.digitaloceanspaces.com/Ukraine_Witness_Datasheet/Worksheet/tiktok_7065358572779031810/out2.jpg")</f>
        <v/>
      </c>
      <c r="AQ319" s="84" t="s">
        <v>3495</v>
      </c>
      <c r="AR319" s="71" t="s">
        <v>3496</v>
      </c>
      <c r="AS319" s="71" t="s">
        <v>3497</v>
      </c>
      <c r="AT319" s="71">
        <v>29.0</v>
      </c>
      <c r="AU319" s="89"/>
      <c r="AV319" s="162"/>
      <c r="AW319" s="81"/>
    </row>
    <row r="320" ht="15.75" customHeight="1">
      <c r="A320" s="87" t="s">
        <v>63</v>
      </c>
      <c r="B320" s="73"/>
      <c r="C320" s="57" t="s">
        <v>3206</v>
      </c>
      <c r="D320" s="92">
        <v>51.655419</v>
      </c>
      <c r="E320" s="92">
        <v>36.13857</v>
      </c>
      <c r="F320" s="59">
        <v>1.0</v>
      </c>
      <c r="G320" s="84" t="s">
        <v>3498</v>
      </c>
      <c r="H320" s="61" t="s">
        <v>66</v>
      </c>
      <c r="I320" s="75"/>
      <c r="J320" s="63" t="s">
        <v>3499</v>
      </c>
      <c r="K320" s="88" t="s">
        <v>3500</v>
      </c>
      <c r="L320" s="110" t="s">
        <v>79</v>
      </c>
      <c r="M320" s="92" t="s">
        <v>946</v>
      </c>
      <c r="N320" s="111"/>
      <c r="O320" s="92" t="s">
        <v>1028</v>
      </c>
      <c r="P320" s="67" t="str">
        <f t="shared" si="1"/>
        <v>51.655419, 36.13857</v>
      </c>
      <c r="Q320" s="67" t="str">
        <f t="shared" si="2"/>
        <v>51.655019, 36.13765</v>
      </c>
      <c r="R320" s="67">
        <f t="shared" si="3"/>
        <v>51.655019</v>
      </c>
      <c r="S320" s="67">
        <f t="shared" si="4"/>
        <v>36.13765</v>
      </c>
      <c r="T320" s="161"/>
      <c r="U320" s="64" t="s">
        <v>3501</v>
      </c>
      <c r="V320" s="65" t="s">
        <v>3502</v>
      </c>
      <c r="W320" s="71" t="s">
        <v>74</v>
      </c>
      <c r="X320" s="72" t="s">
        <v>75</v>
      </c>
      <c r="Y320" s="61" t="s">
        <v>76</v>
      </c>
      <c r="Z320" s="73"/>
      <c r="AA320" s="61" t="s">
        <v>77</v>
      </c>
      <c r="AB320" s="73"/>
      <c r="AC320" s="73"/>
      <c r="AD320" s="73"/>
      <c r="AE320" s="73"/>
      <c r="AF320" s="73"/>
      <c r="AG320" s="73"/>
      <c r="AH320" s="73"/>
      <c r="AI320" s="73"/>
      <c r="AJ320" s="75"/>
      <c r="AK320" s="76" t="s">
        <v>798</v>
      </c>
      <c r="AL320" s="83" t="s">
        <v>3503</v>
      </c>
      <c r="AM320" s="71" t="s">
        <v>3504</v>
      </c>
      <c r="AN320" s="84" t="s">
        <v>3505</v>
      </c>
      <c r="AO320" s="71" t="s">
        <v>3506</v>
      </c>
      <c r="AP320" s="161" t="str">
        <f>IMAGE("https://bellingcat-archive.nyc3.cdn.digitaloceanspaces.com/Ukraine_Witness_Datasheet/Worksheet/youtube_dl_1493981749533196289/out2.jpg")</f>
        <v/>
      </c>
      <c r="AQ320" s="84" t="s">
        <v>3507</v>
      </c>
      <c r="AR320" s="71" t="s">
        <v>1038</v>
      </c>
      <c r="AS320" s="71" t="s">
        <v>3508</v>
      </c>
      <c r="AT320" s="71">
        <v>20.037</v>
      </c>
      <c r="AU320" s="89"/>
      <c r="AV320" s="162"/>
      <c r="AW320" s="81"/>
    </row>
    <row r="321" ht="15.75" customHeight="1">
      <c r="A321" s="87" t="s">
        <v>2580</v>
      </c>
      <c r="B321" s="73"/>
      <c r="C321" s="57" t="s">
        <v>3206</v>
      </c>
      <c r="D321" s="92">
        <v>51.746395</v>
      </c>
      <c r="E321" s="92">
        <v>36.235049</v>
      </c>
      <c r="F321" s="59">
        <v>1.0</v>
      </c>
      <c r="G321" s="84" t="s">
        <v>3509</v>
      </c>
      <c r="H321" s="61" t="s">
        <v>66</v>
      </c>
      <c r="I321" s="75"/>
      <c r="J321" s="63" t="s">
        <v>3510</v>
      </c>
      <c r="K321" s="88" t="s">
        <v>3511</v>
      </c>
      <c r="L321" s="110" t="s">
        <v>79</v>
      </c>
      <c r="M321" s="92" t="s">
        <v>946</v>
      </c>
      <c r="N321" s="111"/>
      <c r="O321" s="92" t="s">
        <v>1028</v>
      </c>
      <c r="P321" s="67" t="str">
        <f t="shared" si="1"/>
        <v>51.746395, 36.235049</v>
      </c>
      <c r="Q321" s="67" t="str">
        <f t="shared" si="2"/>
        <v>51.746118, 36.235531</v>
      </c>
      <c r="R321" s="67">
        <f t="shared" si="3"/>
        <v>51.746118</v>
      </c>
      <c r="S321" s="67">
        <f t="shared" si="4"/>
        <v>36.235531</v>
      </c>
      <c r="T321" s="161"/>
      <c r="U321" s="69"/>
      <c r="V321" s="65" t="s">
        <v>3512</v>
      </c>
      <c r="W321" s="71" t="s">
        <v>74</v>
      </c>
      <c r="X321" s="72" t="s">
        <v>75</v>
      </c>
      <c r="Y321" s="61" t="s">
        <v>76</v>
      </c>
      <c r="Z321" s="73"/>
      <c r="AA321" s="61" t="s">
        <v>77</v>
      </c>
      <c r="AB321" s="73"/>
      <c r="AC321" s="73"/>
      <c r="AD321" s="73"/>
      <c r="AE321" s="73"/>
      <c r="AF321" s="73"/>
      <c r="AG321" s="73"/>
      <c r="AH321" s="73"/>
      <c r="AI321" s="73"/>
      <c r="AJ321" s="75"/>
      <c r="AK321" s="76" t="s">
        <v>930</v>
      </c>
      <c r="AL321" s="83" t="s">
        <v>3513</v>
      </c>
      <c r="AM321" s="71" t="s">
        <v>3514</v>
      </c>
      <c r="AN321" s="84" t="s">
        <v>3515</v>
      </c>
      <c r="AO321" s="71" t="s">
        <v>3516</v>
      </c>
      <c r="AP321" s="161" t="str">
        <f>IMAGE("https://bellingcat-archive.nyc3.cdn.digitaloceanspaces.com/Ukraine_Witness_Datasheet/Worksheet/youtube_dl_1494003211992186892/out3.jpg")</f>
        <v/>
      </c>
      <c r="AQ321" s="84" t="s">
        <v>3517</v>
      </c>
      <c r="AR321" s="71" t="s">
        <v>1038</v>
      </c>
      <c r="AS321" s="71" t="s">
        <v>3518</v>
      </c>
      <c r="AT321" s="71">
        <v>61.133</v>
      </c>
      <c r="AU321" s="89"/>
      <c r="AV321" s="162"/>
      <c r="AW321" s="81"/>
    </row>
    <row r="322" ht="15.75" customHeight="1">
      <c r="A322" s="87" t="s">
        <v>2580</v>
      </c>
      <c r="B322" s="73"/>
      <c r="C322" s="57" t="s">
        <v>3206</v>
      </c>
      <c r="D322" s="92">
        <v>50.492895</v>
      </c>
      <c r="E322" s="92">
        <v>36.388277</v>
      </c>
      <c r="F322" s="59">
        <v>1.0</v>
      </c>
      <c r="G322" s="84" t="s">
        <v>3519</v>
      </c>
      <c r="H322" s="61" t="s">
        <v>66</v>
      </c>
      <c r="I322" s="75"/>
      <c r="J322" s="63" t="s">
        <v>1924</v>
      </c>
      <c r="K322" s="88" t="s">
        <v>3520</v>
      </c>
      <c r="L322" s="110" t="s">
        <v>79</v>
      </c>
      <c r="M322" s="92" t="s">
        <v>946</v>
      </c>
      <c r="N322" s="111"/>
      <c r="O322" s="92" t="s">
        <v>1028</v>
      </c>
      <c r="P322" s="67" t="str">
        <f t="shared" si="1"/>
        <v>50.492895, 36.388277</v>
      </c>
      <c r="Q322" s="67" t="str">
        <f t="shared" si="2"/>
        <v>50.492633, 36.389359</v>
      </c>
      <c r="R322" s="67">
        <f t="shared" si="3"/>
        <v>50.492633</v>
      </c>
      <c r="S322" s="67">
        <f t="shared" si="4"/>
        <v>36.389359</v>
      </c>
      <c r="T322" s="161"/>
      <c r="U322" s="69"/>
      <c r="V322" s="65" t="s">
        <v>3521</v>
      </c>
      <c r="W322" s="71" t="s">
        <v>74</v>
      </c>
      <c r="X322" s="72" t="s">
        <v>75</v>
      </c>
      <c r="Y322" s="61" t="s">
        <v>76</v>
      </c>
      <c r="Z322" s="73"/>
      <c r="AA322" s="61" t="s">
        <v>77</v>
      </c>
      <c r="AB322" s="73"/>
      <c r="AC322" s="73"/>
      <c r="AD322" s="73"/>
      <c r="AE322" s="73"/>
      <c r="AF322" s="73"/>
      <c r="AG322" s="73"/>
      <c r="AH322" s="73"/>
      <c r="AI322" s="73"/>
      <c r="AJ322" s="75"/>
      <c r="AK322" s="76" t="s">
        <v>798</v>
      </c>
      <c r="AL322" s="83" t="s">
        <v>3522</v>
      </c>
      <c r="AM322" s="71" t="s">
        <v>3523</v>
      </c>
      <c r="AN322" s="84" t="s">
        <v>3524</v>
      </c>
      <c r="AO322" s="71" t="s">
        <v>3525</v>
      </c>
      <c r="AP322" s="161" t="str">
        <f>IMAGE("https://bellingcat-archive.nyc3.cdn.digitaloceanspaces.com/Ukraine_Witness_Datasheet/Worksheet/youtube_dl_1494016275588296706/out2.jpg")</f>
        <v/>
      </c>
      <c r="AQ322" s="84" t="s">
        <v>3526</v>
      </c>
      <c r="AR322" s="71" t="s">
        <v>687</v>
      </c>
      <c r="AS322" s="71" t="s">
        <v>3527</v>
      </c>
      <c r="AT322" s="71">
        <v>39.067</v>
      </c>
      <c r="AU322" s="89"/>
      <c r="AV322" s="162"/>
      <c r="AW322" s="81"/>
    </row>
    <row r="323" ht="15.75" customHeight="1">
      <c r="A323" s="87" t="s">
        <v>2580</v>
      </c>
      <c r="B323" s="73"/>
      <c r="C323" s="57" t="s">
        <v>3145</v>
      </c>
      <c r="D323" s="92">
        <v>52.32415</v>
      </c>
      <c r="E323" s="92">
        <v>36.30911</v>
      </c>
      <c r="F323" s="59">
        <v>1.0</v>
      </c>
      <c r="G323" s="84" t="s">
        <v>3528</v>
      </c>
      <c r="H323" s="61" t="s">
        <v>66</v>
      </c>
      <c r="I323" s="75"/>
      <c r="J323" s="63" t="s">
        <v>1924</v>
      </c>
      <c r="K323" s="88" t="s">
        <v>3529</v>
      </c>
      <c r="L323" s="110" t="s">
        <v>79</v>
      </c>
      <c r="M323" s="92" t="s">
        <v>946</v>
      </c>
      <c r="N323" s="111"/>
      <c r="O323" s="92" t="s">
        <v>1028</v>
      </c>
      <c r="P323" s="67" t="str">
        <f t="shared" si="1"/>
        <v>52.32415, 36.30911</v>
      </c>
      <c r="Q323" s="67" t="str">
        <f t="shared" si="2"/>
        <v>52.323689, 36.309653</v>
      </c>
      <c r="R323" s="67">
        <f t="shared" si="3"/>
        <v>52.323689</v>
      </c>
      <c r="S323" s="67">
        <f t="shared" si="4"/>
        <v>36.309653</v>
      </c>
      <c r="T323" s="161"/>
      <c r="U323" s="69"/>
      <c r="V323" s="65" t="s">
        <v>3530</v>
      </c>
      <c r="W323" s="71" t="s">
        <v>74</v>
      </c>
      <c r="X323" s="72" t="s">
        <v>75</v>
      </c>
      <c r="Y323" s="61" t="s">
        <v>76</v>
      </c>
      <c r="Z323" s="73"/>
      <c r="AA323" s="61" t="s">
        <v>77</v>
      </c>
      <c r="AB323" s="73"/>
      <c r="AC323" s="73"/>
      <c r="AD323" s="73"/>
      <c r="AE323" s="73"/>
      <c r="AF323" s="73"/>
      <c r="AG323" s="73"/>
      <c r="AH323" s="73"/>
      <c r="AI323" s="73"/>
      <c r="AJ323" s="75"/>
      <c r="AK323" s="76" t="s">
        <v>798</v>
      </c>
      <c r="AL323" s="83" t="s">
        <v>3531</v>
      </c>
      <c r="AM323" s="71" t="s">
        <v>3532</v>
      </c>
      <c r="AN323" s="84" t="s">
        <v>3533</v>
      </c>
      <c r="AO323" s="71" t="s">
        <v>3534</v>
      </c>
      <c r="AP323" s="161" t="str">
        <f>IMAGE("https://bellingcat-archive.nyc3.cdn.digitaloceanspaces.com/Ukraine_Witness_Datasheet/Worksheet/youtube_dl_1493972685931622402/out2.jpg")</f>
        <v/>
      </c>
      <c r="AQ323" s="84" t="s">
        <v>3535</v>
      </c>
      <c r="AR323" s="71" t="s">
        <v>3536</v>
      </c>
      <c r="AS323" s="71" t="s">
        <v>3537</v>
      </c>
      <c r="AT323" s="71">
        <v>38.266</v>
      </c>
      <c r="AU323" s="89"/>
      <c r="AV323" s="162"/>
      <c r="AW323" s="81"/>
    </row>
    <row r="324" ht="15.75" customHeight="1">
      <c r="A324" s="144" t="s">
        <v>3538</v>
      </c>
      <c r="B324" s="73"/>
      <c r="C324" s="57" t="s">
        <v>3539</v>
      </c>
      <c r="D324" s="111"/>
      <c r="E324" s="111"/>
      <c r="F324" s="59">
        <v>1.0</v>
      </c>
      <c r="G324" s="84" t="s">
        <v>3540</v>
      </c>
      <c r="H324" s="61" t="s">
        <v>66</v>
      </c>
      <c r="I324" s="75"/>
      <c r="J324" s="63" t="s">
        <v>3541</v>
      </c>
      <c r="K324" s="69"/>
      <c r="L324" s="110" t="s">
        <v>3542</v>
      </c>
      <c r="M324" s="111"/>
      <c r="N324" s="92" t="s">
        <v>3543</v>
      </c>
      <c r="O324" s="92" t="s">
        <v>3544</v>
      </c>
      <c r="P324" s="67" t="str">
        <f t="shared" si="1"/>
        <v/>
      </c>
      <c r="Q324" s="67" t="str">
        <f t="shared" si="2"/>
        <v/>
      </c>
      <c r="R324" s="67" t="str">
        <f t="shared" si="3"/>
        <v/>
      </c>
      <c r="S324" s="67" t="str">
        <f t="shared" si="4"/>
        <v/>
      </c>
      <c r="T324" s="161"/>
      <c r="U324" s="69"/>
      <c r="V324" s="65" t="s">
        <v>3545</v>
      </c>
      <c r="W324" s="71" t="s">
        <v>3546</v>
      </c>
      <c r="X324" s="171"/>
      <c r="Y324" s="61" t="s">
        <v>76</v>
      </c>
      <c r="Z324" s="73"/>
      <c r="AA324" s="61" t="s">
        <v>77</v>
      </c>
      <c r="AB324" s="73"/>
      <c r="AC324" s="73"/>
      <c r="AD324" s="73"/>
      <c r="AE324" s="73"/>
      <c r="AF324" s="73"/>
      <c r="AG324" s="73"/>
      <c r="AH324" s="73"/>
      <c r="AI324" s="73"/>
      <c r="AJ324" s="75"/>
      <c r="AK324" s="76" t="s">
        <v>798</v>
      </c>
      <c r="AL324" s="83" t="s">
        <v>3547</v>
      </c>
      <c r="AM324" s="71" t="s">
        <v>3548</v>
      </c>
      <c r="AN324" s="84" t="s">
        <v>3549</v>
      </c>
      <c r="AO324" s="71" t="s">
        <v>3550</v>
      </c>
      <c r="AP324" s="161" t="str">
        <f>IMAGE("https://bellingcat-archive.nyc3.cdn.digitaloceanspaces.com/Ukraine_Witness_Datasheet/Worksheet/youtube_dl_1494221249698009088/out2.jpg")</f>
        <v/>
      </c>
      <c r="AQ324" s="84" t="s">
        <v>3551</v>
      </c>
      <c r="AR324" s="71" t="s">
        <v>3552</v>
      </c>
      <c r="AS324" s="71" t="s">
        <v>3553</v>
      </c>
      <c r="AT324" s="71">
        <v>45.0</v>
      </c>
      <c r="AU324" s="89"/>
      <c r="AV324" s="162"/>
      <c r="AW324" s="81"/>
    </row>
    <row r="325" ht="15.75" customHeight="1">
      <c r="A325" s="87" t="s">
        <v>63</v>
      </c>
      <c r="B325" s="73"/>
      <c r="C325" s="57" t="s">
        <v>3206</v>
      </c>
      <c r="D325" s="92">
        <v>51.746466</v>
      </c>
      <c r="E325" s="92">
        <v>36.234542</v>
      </c>
      <c r="F325" s="59">
        <v>1.0</v>
      </c>
      <c r="G325" s="84" t="s">
        <v>3509</v>
      </c>
      <c r="H325" s="61" t="s">
        <v>66</v>
      </c>
      <c r="I325" s="75"/>
      <c r="J325" s="63" t="s">
        <v>3168</v>
      </c>
      <c r="K325" s="88" t="s">
        <v>3554</v>
      </c>
      <c r="L325" s="110" t="s">
        <v>79</v>
      </c>
      <c r="M325" s="92" t="s">
        <v>946</v>
      </c>
      <c r="N325" s="111"/>
      <c r="O325" s="92" t="s">
        <v>1028</v>
      </c>
      <c r="P325" s="67" t="str">
        <f t="shared" si="1"/>
        <v>51.746466, 36.234542</v>
      </c>
      <c r="Q325" s="67" t="str">
        <f t="shared" si="2"/>
        <v>51.74626, 36.233792</v>
      </c>
      <c r="R325" s="67">
        <f t="shared" si="3"/>
        <v>51.74626</v>
      </c>
      <c r="S325" s="67">
        <f t="shared" si="4"/>
        <v>36.233792</v>
      </c>
      <c r="T325" s="161"/>
      <c r="U325" s="64" t="s">
        <v>3555</v>
      </c>
      <c r="V325" s="65" t="s">
        <v>3556</v>
      </c>
      <c r="W325" s="71" t="s">
        <v>74</v>
      </c>
      <c r="X325" s="72" t="s">
        <v>75</v>
      </c>
      <c r="Y325" s="61" t="s">
        <v>76</v>
      </c>
      <c r="Z325" s="73"/>
      <c r="AA325" s="61" t="s">
        <v>77</v>
      </c>
      <c r="AB325" s="73"/>
      <c r="AC325" s="73"/>
      <c r="AD325" s="73"/>
      <c r="AE325" s="73"/>
      <c r="AF325" s="73"/>
      <c r="AG325" s="73"/>
      <c r="AH325" s="73"/>
      <c r="AI325" s="73"/>
      <c r="AJ325" s="75"/>
      <c r="AK325" s="76" t="s">
        <v>798</v>
      </c>
      <c r="AL325" s="83" t="s">
        <v>3513</v>
      </c>
      <c r="AM325" s="71" t="s">
        <v>3557</v>
      </c>
      <c r="AN325" s="84" t="s">
        <v>3558</v>
      </c>
      <c r="AO325" s="71" t="s">
        <v>3516</v>
      </c>
      <c r="AP325" s="161" t="str">
        <f>IMAGE("https://bellingcat-archive.nyc3.cdn.digitaloceanspaces.com/Ukraine_Witness_Datasheet/Worksheet/youtube_dl_1494003211992186892/out3.jpg")</f>
        <v/>
      </c>
      <c r="AQ325" s="84" t="s">
        <v>3517</v>
      </c>
      <c r="AR325" s="71" t="s">
        <v>1038</v>
      </c>
      <c r="AS325" s="71" t="s">
        <v>3518</v>
      </c>
      <c r="AT325" s="71">
        <v>61.133</v>
      </c>
      <c r="AU325" s="89"/>
      <c r="AV325" s="162"/>
      <c r="AW325" s="81"/>
    </row>
    <row r="326" ht="15.75" customHeight="1">
      <c r="A326" s="87" t="s">
        <v>63</v>
      </c>
      <c r="B326" s="73"/>
      <c r="C326" s="57" t="s">
        <v>3559</v>
      </c>
      <c r="D326" s="92">
        <v>53.974407</v>
      </c>
      <c r="E326" s="92">
        <v>38.174529</v>
      </c>
      <c r="F326" s="59">
        <v>1.0</v>
      </c>
      <c r="G326" s="84" t="s">
        <v>3560</v>
      </c>
      <c r="H326" s="61" t="s">
        <v>66</v>
      </c>
      <c r="I326" s="75"/>
      <c r="J326" s="63" t="s">
        <v>3561</v>
      </c>
      <c r="K326" s="88" t="s">
        <v>3562</v>
      </c>
      <c r="L326" s="110" t="s">
        <v>79</v>
      </c>
      <c r="M326" s="92" t="s">
        <v>3563</v>
      </c>
      <c r="N326" s="111"/>
      <c r="O326" s="92" t="s">
        <v>3564</v>
      </c>
      <c r="P326" s="67" t="str">
        <f t="shared" si="1"/>
        <v>53.974407, 38.174529</v>
      </c>
      <c r="Q326" s="67" t="str">
        <f t="shared" si="2"/>
        <v>53.974405, 38.173911</v>
      </c>
      <c r="R326" s="67">
        <f t="shared" si="3"/>
        <v>53.974405</v>
      </c>
      <c r="S326" s="67">
        <f t="shared" si="4"/>
        <v>38.173911</v>
      </c>
      <c r="T326" s="161"/>
      <c r="U326" s="69"/>
      <c r="V326" s="65" t="s">
        <v>3565</v>
      </c>
      <c r="W326" s="71" t="s">
        <v>74</v>
      </c>
      <c r="X326" s="72" t="s">
        <v>75</v>
      </c>
      <c r="Y326" s="61" t="s">
        <v>76</v>
      </c>
      <c r="Z326" s="73"/>
      <c r="AA326" s="61" t="s">
        <v>77</v>
      </c>
      <c r="AB326" s="73"/>
      <c r="AC326" s="73"/>
      <c r="AD326" s="73"/>
      <c r="AE326" s="73"/>
      <c r="AF326" s="73"/>
      <c r="AG326" s="73"/>
      <c r="AH326" s="73"/>
      <c r="AI326" s="73"/>
      <c r="AJ326" s="75"/>
      <c r="AK326" s="76" t="s">
        <v>798</v>
      </c>
      <c r="AL326" s="83" t="s">
        <v>3566</v>
      </c>
      <c r="AM326" s="71" t="s">
        <v>3567</v>
      </c>
      <c r="AN326" s="84" t="s">
        <v>3568</v>
      </c>
      <c r="AO326" s="71" t="s">
        <v>3569</v>
      </c>
      <c r="AP326" s="161" t="str">
        <f>IMAGE("https://bellingcat-archive.nyc3.cdn.digitaloceanspaces.com/Ukraine_Witness_Datasheet/Worksheet/youtube_dl_1494068013741613060/out2.jpg")</f>
        <v/>
      </c>
      <c r="AQ326" s="84" t="s">
        <v>3570</v>
      </c>
      <c r="AR326" s="71" t="s">
        <v>3571</v>
      </c>
      <c r="AS326" s="71" t="s">
        <v>3572</v>
      </c>
      <c r="AT326" s="71">
        <v>18.32</v>
      </c>
      <c r="AU326" s="89"/>
      <c r="AV326" s="162"/>
      <c r="AW326" s="81"/>
    </row>
    <row r="327" ht="15.75" customHeight="1">
      <c r="A327" s="87" t="s">
        <v>63</v>
      </c>
      <c r="B327" s="73"/>
      <c r="C327" s="57" t="s">
        <v>3206</v>
      </c>
      <c r="D327" s="92">
        <v>57.585712</v>
      </c>
      <c r="E327" s="92">
        <v>40.757652</v>
      </c>
      <c r="F327" s="59">
        <v>1.0</v>
      </c>
      <c r="G327" s="84" t="s">
        <v>3573</v>
      </c>
      <c r="H327" s="61" t="s">
        <v>66</v>
      </c>
      <c r="I327" s="75"/>
      <c r="J327" s="63" t="s">
        <v>3561</v>
      </c>
      <c r="K327" s="88" t="s">
        <v>3574</v>
      </c>
      <c r="L327" s="110" t="s">
        <v>79</v>
      </c>
      <c r="M327" s="92" t="s">
        <v>3575</v>
      </c>
      <c r="N327" s="111"/>
      <c r="O327" s="92" t="s">
        <v>3576</v>
      </c>
      <c r="P327" s="67" t="str">
        <f t="shared" si="1"/>
        <v>57.585712, 40.757652</v>
      </c>
      <c r="Q327" s="67" t="str">
        <f t="shared" si="2"/>
        <v>57.585361, 40.756692</v>
      </c>
      <c r="R327" s="67">
        <f t="shared" si="3"/>
        <v>57.585361</v>
      </c>
      <c r="S327" s="67">
        <f t="shared" si="4"/>
        <v>40.756692</v>
      </c>
      <c r="T327" s="161"/>
      <c r="U327" s="69"/>
      <c r="V327" s="65" t="s">
        <v>3577</v>
      </c>
      <c r="W327" s="71" t="s">
        <v>74</v>
      </c>
      <c r="X327" s="72" t="s">
        <v>75</v>
      </c>
      <c r="Y327" s="61" t="s">
        <v>76</v>
      </c>
      <c r="Z327" s="73"/>
      <c r="AA327" s="61" t="s">
        <v>77</v>
      </c>
      <c r="AB327" s="73"/>
      <c r="AC327" s="73"/>
      <c r="AD327" s="73"/>
      <c r="AE327" s="73"/>
      <c r="AF327" s="73"/>
      <c r="AG327" s="73"/>
      <c r="AH327" s="73"/>
      <c r="AI327" s="73"/>
      <c r="AJ327" s="75"/>
      <c r="AK327" s="76" t="s">
        <v>798</v>
      </c>
      <c r="AL327" s="83" t="s">
        <v>3578</v>
      </c>
      <c r="AM327" s="71" t="s">
        <v>3024</v>
      </c>
      <c r="AN327" s="84" t="s">
        <v>3579</v>
      </c>
      <c r="AO327" s="71" t="s">
        <v>3580</v>
      </c>
      <c r="AP327" s="161" t="str">
        <f>IMAGE("https://bellingcat-archive.nyc3.cdn.digitaloceanspaces.com/Ukraine_Witness_Datasheet/Worksheet/youtube_dl_1494073105249181702/out2.jpg")</f>
        <v/>
      </c>
      <c r="AQ327" s="84" t="s">
        <v>3581</v>
      </c>
      <c r="AR327" s="71" t="s">
        <v>3582</v>
      </c>
      <c r="AS327" s="71" t="s">
        <v>3583</v>
      </c>
      <c r="AT327" s="71">
        <v>44.12</v>
      </c>
      <c r="AU327" s="89"/>
      <c r="AV327" s="162"/>
      <c r="AW327" s="81"/>
    </row>
    <row r="328" ht="15.75" customHeight="1">
      <c r="A328" s="87" t="s">
        <v>63</v>
      </c>
      <c r="B328" s="73"/>
      <c r="C328" s="57" t="s">
        <v>3145</v>
      </c>
      <c r="D328" s="92">
        <v>51.234155</v>
      </c>
      <c r="E328" s="92">
        <v>36.698004</v>
      </c>
      <c r="F328" s="59">
        <v>1.0</v>
      </c>
      <c r="G328" s="84" t="s">
        <v>3584</v>
      </c>
      <c r="H328" s="61" t="s">
        <v>66</v>
      </c>
      <c r="I328" s="75"/>
      <c r="J328" s="63" t="s">
        <v>3585</v>
      </c>
      <c r="K328" s="88" t="s">
        <v>3586</v>
      </c>
      <c r="L328" s="110" t="s">
        <v>79</v>
      </c>
      <c r="M328" s="92" t="s">
        <v>946</v>
      </c>
      <c r="N328" s="111"/>
      <c r="O328" s="92" t="s">
        <v>947</v>
      </c>
      <c r="P328" s="67" t="str">
        <f t="shared" si="1"/>
        <v>51.234155, 36.698004</v>
      </c>
      <c r="Q328" s="67" t="str">
        <f t="shared" si="2"/>
        <v>51.233832, 36.698371</v>
      </c>
      <c r="R328" s="67">
        <f t="shared" si="3"/>
        <v>51.233832</v>
      </c>
      <c r="S328" s="67">
        <f t="shared" si="4"/>
        <v>36.698371</v>
      </c>
      <c r="T328" s="161"/>
      <c r="U328" s="69"/>
      <c r="V328" s="65" t="s">
        <v>3587</v>
      </c>
      <c r="W328" s="71" t="s">
        <v>74</v>
      </c>
      <c r="X328" s="72" t="s">
        <v>75</v>
      </c>
      <c r="Y328" s="61" t="s">
        <v>76</v>
      </c>
      <c r="Z328" s="73"/>
      <c r="AA328" s="61" t="s">
        <v>77</v>
      </c>
      <c r="AB328" s="73"/>
      <c r="AC328" s="73"/>
      <c r="AD328" s="73"/>
      <c r="AE328" s="73"/>
      <c r="AF328" s="73"/>
      <c r="AG328" s="73"/>
      <c r="AH328" s="73"/>
      <c r="AI328" s="73"/>
      <c r="AJ328" s="75"/>
      <c r="AK328" s="76" t="s">
        <v>798</v>
      </c>
      <c r="AL328" s="83" t="s">
        <v>3588</v>
      </c>
      <c r="AM328" s="71" t="s">
        <v>3589</v>
      </c>
      <c r="AN328" s="84" t="s">
        <v>3590</v>
      </c>
      <c r="AO328" s="71" t="s">
        <v>3591</v>
      </c>
      <c r="AP328" s="161" t="str">
        <f>IMAGE("https://bellingcat-archive.nyc3.cdn.digitaloceanspaces.com/Ukraine_Witness_Datasheet/Worksheet/youtube_dl_1494098700599271429/out2.jpg")</f>
        <v/>
      </c>
      <c r="AQ328" s="84" t="s">
        <v>3592</v>
      </c>
      <c r="AR328" s="71" t="s">
        <v>3593</v>
      </c>
      <c r="AS328" s="71" t="s">
        <v>3594</v>
      </c>
      <c r="AT328" s="71">
        <v>38.103</v>
      </c>
      <c r="AU328" s="89"/>
      <c r="AV328" s="162"/>
      <c r="AW328" s="81"/>
    </row>
    <row r="329" ht="15.75" customHeight="1">
      <c r="A329" s="87" t="s">
        <v>63</v>
      </c>
      <c r="B329" s="73"/>
      <c r="C329" s="57" t="s">
        <v>3539</v>
      </c>
      <c r="D329" s="92">
        <v>48.673881</v>
      </c>
      <c r="E329" s="92">
        <v>39.451362</v>
      </c>
      <c r="F329" s="59">
        <v>1.0</v>
      </c>
      <c r="G329" s="84" t="s">
        <v>3595</v>
      </c>
      <c r="H329" s="61" t="s">
        <v>66</v>
      </c>
      <c r="I329" s="75"/>
      <c r="J329" s="179" t="s">
        <v>3596</v>
      </c>
      <c r="K329" s="88" t="s">
        <v>3597</v>
      </c>
      <c r="L329" s="110" t="s">
        <v>3542</v>
      </c>
      <c r="M329" s="92" t="s">
        <v>3598</v>
      </c>
      <c r="N329" s="111"/>
      <c r="O329" s="92" t="s">
        <v>3599</v>
      </c>
      <c r="P329" s="67" t="str">
        <f t="shared" si="1"/>
        <v>48.673881, 39.451362</v>
      </c>
      <c r="Q329" s="67" t="str">
        <f t="shared" si="2"/>
        <v>48.673613, 39.451727</v>
      </c>
      <c r="R329" s="67">
        <f t="shared" si="3"/>
        <v>48.673613</v>
      </c>
      <c r="S329" s="67">
        <f t="shared" si="4"/>
        <v>39.451727</v>
      </c>
      <c r="T329" s="161"/>
      <c r="U329" s="69"/>
      <c r="V329" s="65" t="s">
        <v>3600</v>
      </c>
      <c r="W329" s="180" t="s">
        <v>3601</v>
      </c>
      <c r="X329" s="72" t="s">
        <v>75</v>
      </c>
      <c r="Y329" s="61" t="s">
        <v>76</v>
      </c>
      <c r="Z329" s="73"/>
      <c r="AA329" s="61" t="s">
        <v>3602</v>
      </c>
      <c r="AB329" s="73"/>
      <c r="AC329" s="73"/>
      <c r="AD329" s="73"/>
      <c r="AE329" s="73"/>
      <c r="AF329" s="73"/>
      <c r="AG329" s="73"/>
      <c r="AH329" s="73"/>
      <c r="AI329" s="73"/>
      <c r="AJ329" s="75"/>
      <c r="AK329" s="76" t="s">
        <v>2108</v>
      </c>
      <c r="AL329" s="83" t="s">
        <v>3603</v>
      </c>
      <c r="AM329" s="71" t="s">
        <v>3604</v>
      </c>
      <c r="AN329" s="84" t="s">
        <v>3605</v>
      </c>
      <c r="AO329" s="71" t="s">
        <v>3606</v>
      </c>
      <c r="AP329" s="161" t="str">
        <f>IMAGE("https://bellingcat-archive.nyc3.cdn.digitaloceanspaces.com/Ukraine_Witness_Datasheet/Worksheet/twitter__media_FLyPQxFXEAMjneT.jpg")</f>
        <v/>
      </c>
      <c r="AQ329" s="161"/>
      <c r="AR329" s="161"/>
      <c r="AS329" s="161"/>
      <c r="AT329" s="161"/>
      <c r="AU329" s="89"/>
      <c r="AV329" s="162"/>
      <c r="AW329" s="81"/>
    </row>
    <row r="330" ht="15.75" customHeight="1">
      <c r="A330" s="87" t="s">
        <v>63</v>
      </c>
      <c r="B330" s="73"/>
      <c r="C330" s="57" t="s">
        <v>3539</v>
      </c>
      <c r="D330" s="92">
        <v>50.680601</v>
      </c>
      <c r="E330" s="92">
        <v>36.135381</v>
      </c>
      <c r="F330" s="59">
        <v>1.0</v>
      </c>
      <c r="G330" s="130" t="s">
        <v>3607</v>
      </c>
      <c r="H330" s="61" t="s">
        <v>66</v>
      </c>
      <c r="I330" s="75"/>
      <c r="J330" s="63" t="s">
        <v>3608</v>
      </c>
      <c r="K330" s="69"/>
      <c r="L330" s="110" t="s">
        <v>79</v>
      </c>
      <c r="M330" s="92" t="s">
        <v>547</v>
      </c>
      <c r="N330" s="92" t="s">
        <v>3159</v>
      </c>
      <c r="O330" s="92" t="s">
        <v>3609</v>
      </c>
      <c r="P330" s="67" t="str">
        <f t="shared" si="1"/>
        <v>50.680601, 36.135381</v>
      </c>
      <c r="Q330" s="67" t="str">
        <f t="shared" si="2"/>
        <v>50.680138, 36.134952</v>
      </c>
      <c r="R330" s="67">
        <f t="shared" si="3"/>
        <v>50.680138</v>
      </c>
      <c r="S330" s="67">
        <f t="shared" si="4"/>
        <v>36.134952</v>
      </c>
      <c r="T330" s="161"/>
      <c r="U330" s="64" t="s">
        <v>3610</v>
      </c>
      <c r="V330" s="65" t="s">
        <v>3611</v>
      </c>
      <c r="W330" s="71" t="s">
        <v>74</v>
      </c>
      <c r="X330" s="72" t="s">
        <v>75</v>
      </c>
      <c r="Y330" s="61" t="s">
        <v>76</v>
      </c>
      <c r="Z330" s="73"/>
      <c r="AA330" s="61" t="s">
        <v>77</v>
      </c>
      <c r="AB330" s="73"/>
      <c r="AC330" s="73"/>
      <c r="AD330" s="73"/>
      <c r="AE330" s="73"/>
      <c r="AF330" s="73"/>
      <c r="AG330" s="73"/>
      <c r="AH330" s="73"/>
      <c r="AI330" s="73"/>
      <c r="AJ330" s="75"/>
      <c r="AK330" s="76" t="s">
        <v>2108</v>
      </c>
      <c r="AL330" s="83" t="s">
        <v>3612</v>
      </c>
      <c r="AM330" s="71" t="s">
        <v>3613</v>
      </c>
      <c r="AN330" s="84" t="s">
        <v>3614</v>
      </c>
      <c r="AO330" s="71" t="s">
        <v>3615</v>
      </c>
      <c r="AP330" s="161" t="str">
        <f>IMAGE("https://bellingcat-archive.nyc3.cdn.digitaloceanspaces.com/Ukraine_Witness_Datasheet/Worksheet/twitter__media_FLxf2ISXoAAJEOe.jpg")</f>
        <v/>
      </c>
      <c r="AQ330" s="161"/>
      <c r="AR330" s="71"/>
      <c r="AS330" s="161"/>
      <c r="AT330" s="161"/>
      <c r="AU330" s="89"/>
      <c r="AV330" s="162"/>
      <c r="AW330" s="81"/>
    </row>
    <row r="331" ht="15.75" customHeight="1">
      <c r="A331" s="87" t="s">
        <v>63</v>
      </c>
      <c r="B331" s="73"/>
      <c r="C331" s="57" t="s">
        <v>3206</v>
      </c>
      <c r="D331" s="92">
        <v>48.930566</v>
      </c>
      <c r="E331" s="92">
        <v>40.418238</v>
      </c>
      <c r="F331" s="59">
        <v>1.0</v>
      </c>
      <c r="G331" s="84" t="s">
        <v>3616</v>
      </c>
      <c r="H331" s="61" t="s">
        <v>66</v>
      </c>
      <c r="I331" s="75"/>
      <c r="J331" s="63" t="s">
        <v>3168</v>
      </c>
      <c r="K331" s="88" t="s">
        <v>3617</v>
      </c>
      <c r="L331" s="110" t="s">
        <v>79</v>
      </c>
      <c r="M331" s="92" t="s">
        <v>349</v>
      </c>
      <c r="N331" s="92" t="s">
        <v>1944</v>
      </c>
      <c r="O331" s="92" t="s">
        <v>1137</v>
      </c>
      <c r="P331" s="67" t="str">
        <f t="shared" si="1"/>
        <v>48.930566, 40.418238</v>
      </c>
      <c r="Q331" s="67" t="str">
        <f t="shared" si="2"/>
        <v>48.93016, 40.418312</v>
      </c>
      <c r="R331" s="67">
        <f t="shared" si="3"/>
        <v>48.93016</v>
      </c>
      <c r="S331" s="67">
        <f t="shared" si="4"/>
        <v>40.418312</v>
      </c>
      <c r="T331" s="161"/>
      <c r="U331" s="69"/>
      <c r="V331" s="65" t="s">
        <v>3618</v>
      </c>
      <c r="W331" s="71" t="s">
        <v>74</v>
      </c>
      <c r="X331" s="72" t="s">
        <v>75</v>
      </c>
      <c r="Y331" s="61" t="s">
        <v>76</v>
      </c>
      <c r="Z331" s="73"/>
      <c r="AA331" s="61" t="s">
        <v>77</v>
      </c>
      <c r="AB331" s="73"/>
      <c r="AC331" s="73"/>
      <c r="AD331" s="73"/>
      <c r="AE331" s="73"/>
      <c r="AF331" s="73"/>
      <c r="AG331" s="73"/>
      <c r="AH331" s="73"/>
      <c r="AI331" s="73"/>
      <c r="AJ331" s="75"/>
      <c r="AK331" s="76" t="s">
        <v>798</v>
      </c>
      <c r="AL331" s="83" t="s">
        <v>3619</v>
      </c>
      <c r="AM331" s="71" t="s">
        <v>3620</v>
      </c>
      <c r="AN331" s="84" t="s">
        <v>3621</v>
      </c>
      <c r="AO331" s="71" t="s">
        <v>3622</v>
      </c>
      <c r="AP331" s="161" t="str">
        <f>IMAGE("https://bellingcat-archive.nyc3.cdn.digitaloceanspaces.com/Ukraine_Witness_Datasheet/Worksheet/youtube_dl_1494044493246607364/out2.jpg")</f>
        <v/>
      </c>
      <c r="AQ331" s="84" t="s">
        <v>3623</v>
      </c>
      <c r="AR331" s="71" t="s">
        <v>3624</v>
      </c>
      <c r="AS331" s="71" t="s">
        <v>3625</v>
      </c>
      <c r="AT331" s="71">
        <v>25.495</v>
      </c>
      <c r="AU331" s="89"/>
      <c r="AV331" s="162"/>
      <c r="AW331" s="81"/>
    </row>
    <row r="332" ht="15.75" customHeight="1">
      <c r="A332" s="87" t="s">
        <v>63</v>
      </c>
      <c r="B332" s="73"/>
      <c r="C332" s="57" t="s">
        <v>3145</v>
      </c>
      <c r="D332" s="92">
        <v>52.080246</v>
      </c>
      <c r="E332" s="92">
        <v>36.374321</v>
      </c>
      <c r="F332" s="59">
        <v>1.0</v>
      </c>
      <c r="G332" s="84" t="s">
        <v>3626</v>
      </c>
      <c r="H332" s="61" t="s">
        <v>66</v>
      </c>
      <c r="I332" s="75"/>
      <c r="J332" s="63" t="s">
        <v>3561</v>
      </c>
      <c r="K332" s="88" t="s">
        <v>3627</v>
      </c>
      <c r="L332" s="110" t="s">
        <v>79</v>
      </c>
      <c r="M332" s="92" t="s">
        <v>946</v>
      </c>
      <c r="N332" s="92" t="s">
        <v>3628</v>
      </c>
      <c r="O332" s="92" t="s">
        <v>3629</v>
      </c>
      <c r="P332" s="67" t="str">
        <f t="shared" si="1"/>
        <v>52.080246, 36.374321</v>
      </c>
      <c r="Q332" s="67" t="str">
        <f t="shared" si="2"/>
        <v>52.079825, 36.374182</v>
      </c>
      <c r="R332" s="67">
        <f t="shared" si="3"/>
        <v>52.079825</v>
      </c>
      <c r="S332" s="67">
        <f t="shared" si="4"/>
        <v>36.374182</v>
      </c>
      <c r="T332" s="161"/>
      <c r="U332" s="64" t="s">
        <v>3630</v>
      </c>
      <c r="V332" s="65" t="s">
        <v>3631</v>
      </c>
      <c r="W332" s="71" t="s">
        <v>74</v>
      </c>
      <c r="X332" s="72" t="s">
        <v>75</v>
      </c>
      <c r="Y332" s="61" t="s">
        <v>76</v>
      </c>
      <c r="Z332" s="73"/>
      <c r="AA332" s="61" t="s">
        <v>77</v>
      </c>
      <c r="AB332" s="73"/>
      <c r="AC332" s="73"/>
      <c r="AD332" s="73"/>
      <c r="AE332" s="73"/>
      <c r="AF332" s="73"/>
      <c r="AG332" s="73"/>
      <c r="AH332" s="73"/>
      <c r="AI332" s="73"/>
      <c r="AJ332" s="75"/>
      <c r="AK332" s="76" t="s">
        <v>798</v>
      </c>
      <c r="AL332" s="83" t="s">
        <v>3632</v>
      </c>
      <c r="AM332" s="71" t="s">
        <v>3633</v>
      </c>
      <c r="AN332" s="84" t="s">
        <v>3634</v>
      </c>
      <c r="AO332" s="71" t="s">
        <v>3635</v>
      </c>
      <c r="AP332" s="161" t="str">
        <f>IMAGE("https://bellingcat-archive.nyc3.cdn.digitaloceanspaces.com/Ukraine_Witness_Datasheet/Worksheet/youtube_dl_1493985911834660867/out2.jpg")</f>
        <v/>
      </c>
      <c r="AQ332" s="84" t="s">
        <v>3636</v>
      </c>
      <c r="AR332" s="71" t="s">
        <v>3637</v>
      </c>
      <c r="AS332" s="71" t="s">
        <v>3638</v>
      </c>
      <c r="AT332" s="71">
        <v>16.535</v>
      </c>
      <c r="AU332" s="89"/>
      <c r="AV332" s="162"/>
      <c r="AW332" s="81"/>
    </row>
    <row r="333" ht="15.75" customHeight="1">
      <c r="A333" s="87" t="s">
        <v>63</v>
      </c>
      <c r="B333" s="73"/>
      <c r="C333" s="57" t="s">
        <v>2145</v>
      </c>
      <c r="D333" s="92">
        <v>51.420153</v>
      </c>
      <c r="E333" s="92">
        <v>34.901737</v>
      </c>
      <c r="F333" s="59">
        <v>1.0</v>
      </c>
      <c r="G333" s="84" t="s">
        <v>3639</v>
      </c>
      <c r="H333" s="61" t="s">
        <v>66</v>
      </c>
      <c r="I333" s="75"/>
      <c r="J333" s="63" t="s">
        <v>3561</v>
      </c>
      <c r="K333" s="88" t="s">
        <v>3640</v>
      </c>
      <c r="L333" s="110" t="s">
        <v>79</v>
      </c>
      <c r="M333" s="92" t="s">
        <v>1028</v>
      </c>
      <c r="N333" s="92" t="s">
        <v>1105</v>
      </c>
      <c r="O333" s="92" t="s">
        <v>1219</v>
      </c>
      <c r="P333" s="67" t="str">
        <f t="shared" si="1"/>
        <v>51.420153, 34.901737</v>
      </c>
      <c r="Q333" s="67" t="str">
        <f t="shared" si="2"/>
        <v>51.420082, 34.900842</v>
      </c>
      <c r="R333" s="67">
        <f t="shared" si="3"/>
        <v>51.420082</v>
      </c>
      <c r="S333" s="67">
        <f t="shared" si="4"/>
        <v>34.900842</v>
      </c>
      <c r="T333" s="161"/>
      <c r="U333" s="69"/>
      <c r="V333" s="65" t="s">
        <v>3641</v>
      </c>
      <c r="W333" s="71" t="s">
        <v>74</v>
      </c>
      <c r="X333" s="72" t="s">
        <v>75</v>
      </c>
      <c r="Y333" s="61" t="s">
        <v>76</v>
      </c>
      <c r="Z333" s="73"/>
      <c r="AA333" s="61" t="s">
        <v>77</v>
      </c>
      <c r="AB333" s="73"/>
      <c r="AC333" s="73"/>
      <c r="AD333" s="73"/>
      <c r="AE333" s="73"/>
      <c r="AF333" s="73"/>
      <c r="AG333" s="73"/>
      <c r="AH333" s="73"/>
      <c r="AI333" s="73"/>
      <c r="AJ333" s="75"/>
      <c r="AK333" s="76" t="s">
        <v>798</v>
      </c>
      <c r="AL333" s="83" t="s">
        <v>3642</v>
      </c>
      <c r="AM333" s="71" t="s">
        <v>3643</v>
      </c>
      <c r="AN333" s="84" t="s">
        <v>3644</v>
      </c>
      <c r="AO333" s="71" t="s">
        <v>3645</v>
      </c>
      <c r="AP333" s="161" t="str">
        <f>IMAGE("https://bellingcat-archive.nyc3.cdn.digitaloceanspaces.com/Ukraine_Witness_Datasheet/Worksheet/youtube_dl_1492201534507175939/out3.jpg")</f>
        <v/>
      </c>
      <c r="AQ333" s="84" t="s">
        <v>3646</v>
      </c>
      <c r="AR333" s="71" t="s">
        <v>1155</v>
      </c>
      <c r="AS333" s="71" t="s">
        <v>3647</v>
      </c>
      <c r="AT333" s="71">
        <v>60.101</v>
      </c>
      <c r="AU333" s="89"/>
      <c r="AV333" s="162"/>
      <c r="AW333" s="81"/>
    </row>
    <row r="334" ht="15.75" customHeight="1">
      <c r="A334" s="95" t="s">
        <v>63</v>
      </c>
      <c r="B334" s="73"/>
      <c r="C334" s="57" t="s">
        <v>3539</v>
      </c>
      <c r="D334" s="92">
        <v>47.941013</v>
      </c>
      <c r="E334" s="92">
        <v>37.504014</v>
      </c>
      <c r="F334" s="59">
        <v>1.0</v>
      </c>
      <c r="G334" s="84" t="s">
        <v>3648</v>
      </c>
      <c r="H334" s="61" t="s">
        <v>66</v>
      </c>
      <c r="I334" s="75"/>
      <c r="J334" s="179" t="s">
        <v>3649</v>
      </c>
      <c r="K334" s="69"/>
      <c r="L334" s="110" t="s">
        <v>3542</v>
      </c>
      <c r="M334" s="92" t="s">
        <v>3650</v>
      </c>
      <c r="N334" s="111"/>
      <c r="O334" s="92" t="s">
        <v>3651</v>
      </c>
      <c r="P334" s="67" t="str">
        <f t="shared" si="1"/>
        <v>47.941013, 37.504014</v>
      </c>
      <c r="Q334" s="67" t="str">
        <f t="shared" si="2"/>
        <v>47.940617, 37.503785</v>
      </c>
      <c r="R334" s="67">
        <f t="shared" si="3"/>
        <v>47.940617</v>
      </c>
      <c r="S334" s="67">
        <f t="shared" si="4"/>
        <v>37.503785</v>
      </c>
      <c r="T334" s="161"/>
      <c r="U334" s="69"/>
      <c r="V334" s="65" t="s">
        <v>3652</v>
      </c>
      <c r="W334" s="180" t="s">
        <v>3546</v>
      </c>
      <c r="X334" s="72" t="s">
        <v>75</v>
      </c>
      <c r="Y334" s="61" t="s">
        <v>76</v>
      </c>
      <c r="Z334" s="73"/>
      <c r="AA334" s="61" t="s">
        <v>3602</v>
      </c>
      <c r="AB334" s="73"/>
      <c r="AC334" s="73"/>
      <c r="AD334" s="73"/>
      <c r="AE334" s="73"/>
      <c r="AF334" s="73"/>
      <c r="AG334" s="73"/>
      <c r="AH334" s="73"/>
      <c r="AI334" s="73"/>
      <c r="AJ334" s="75"/>
      <c r="AK334" s="76" t="s">
        <v>798</v>
      </c>
      <c r="AL334" s="83" t="s">
        <v>3653</v>
      </c>
      <c r="AM334" s="71" t="s">
        <v>3654</v>
      </c>
      <c r="AN334" s="84" t="s">
        <v>3655</v>
      </c>
      <c r="AO334" s="71" t="s">
        <v>3656</v>
      </c>
      <c r="AP334" s="161" t="str">
        <f>IMAGE("https://bellingcat-archive.nyc3.cdn.digitaloceanspaces.com/Ukraine_Witness_Datasheet/Worksheet/youtube_dl_1494239711996559362/out3.jpg")</f>
        <v/>
      </c>
      <c r="AQ334" s="84" t="s">
        <v>3657</v>
      </c>
      <c r="AR334" s="71" t="s">
        <v>3658</v>
      </c>
      <c r="AS334" s="71" t="s">
        <v>3659</v>
      </c>
      <c r="AT334" s="71">
        <v>79.551</v>
      </c>
      <c r="AU334" s="89"/>
      <c r="AV334" s="162"/>
      <c r="AW334" s="81"/>
    </row>
    <row r="335" ht="15.75" customHeight="1">
      <c r="A335" s="87" t="s">
        <v>63</v>
      </c>
      <c r="B335" s="73"/>
      <c r="C335" s="57" t="s">
        <v>3539</v>
      </c>
      <c r="D335" s="92">
        <v>51.747214</v>
      </c>
      <c r="E335" s="92">
        <v>36.233418</v>
      </c>
      <c r="F335" s="59">
        <v>1.0</v>
      </c>
      <c r="G335" s="60" t="s">
        <v>3660</v>
      </c>
      <c r="H335" s="61" t="s">
        <v>66</v>
      </c>
      <c r="I335" s="75"/>
      <c r="J335" s="63" t="s">
        <v>3168</v>
      </c>
      <c r="K335" s="88" t="s">
        <v>3661</v>
      </c>
      <c r="L335" s="110" t="s">
        <v>79</v>
      </c>
      <c r="M335" s="92" t="s">
        <v>1028</v>
      </c>
      <c r="N335" s="111"/>
      <c r="O335" s="92" t="s">
        <v>1028</v>
      </c>
      <c r="P335" s="67" t="str">
        <f t="shared" si="1"/>
        <v>51.747214, 36.233418</v>
      </c>
      <c r="Q335" s="67" t="str">
        <f t="shared" si="2"/>
        <v>51.746792, 36.233371</v>
      </c>
      <c r="R335" s="67">
        <f t="shared" si="3"/>
        <v>51.746792</v>
      </c>
      <c r="S335" s="67">
        <f t="shared" si="4"/>
        <v>36.233371</v>
      </c>
      <c r="T335" s="161"/>
      <c r="U335" s="177" t="s">
        <v>3662</v>
      </c>
      <c r="V335" s="65" t="s">
        <v>3663</v>
      </c>
      <c r="W335" s="71" t="s">
        <v>74</v>
      </c>
      <c r="X335" s="72" t="s">
        <v>75</v>
      </c>
      <c r="Y335" s="61" t="s">
        <v>76</v>
      </c>
      <c r="Z335" s="73"/>
      <c r="AA335" s="61" t="s">
        <v>77</v>
      </c>
      <c r="AB335" s="73"/>
      <c r="AC335" s="73"/>
      <c r="AD335" s="73"/>
      <c r="AE335" s="73"/>
      <c r="AF335" s="73"/>
      <c r="AG335" s="73"/>
      <c r="AH335" s="73"/>
      <c r="AI335" s="73"/>
      <c r="AJ335" s="75"/>
      <c r="AK335" s="76" t="s">
        <v>798</v>
      </c>
      <c r="AL335" s="83" t="s">
        <v>3664</v>
      </c>
      <c r="AM335" s="71" t="s">
        <v>3665</v>
      </c>
      <c r="AN335" s="84" t="s">
        <v>3666</v>
      </c>
      <c r="AO335" s="71" t="s">
        <v>3667</v>
      </c>
      <c r="AP335" s="161" t="str">
        <f>IMAGE("https://bellingcat-archive.nyc3.cdn.digitaloceanspaces.com/Ukraine_Witness_Datasheet/Worksheet/youtube_dl_1494258304788443136/out2.jpg")</f>
        <v/>
      </c>
      <c r="AQ335" s="84" t="s">
        <v>3668</v>
      </c>
      <c r="AR335" s="71" t="s">
        <v>3669</v>
      </c>
      <c r="AS335" s="71" t="s">
        <v>3670</v>
      </c>
      <c r="AT335" s="71">
        <v>26.727</v>
      </c>
      <c r="AU335" s="89"/>
      <c r="AV335" s="162"/>
      <c r="AW335" s="81"/>
    </row>
    <row r="336" ht="15.75" customHeight="1">
      <c r="A336" s="87" t="s">
        <v>63</v>
      </c>
      <c r="B336" s="73"/>
      <c r="C336" s="57" t="s">
        <v>3539</v>
      </c>
      <c r="D336" s="74">
        <v>52.257613</v>
      </c>
      <c r="E336" s="74">
        <v>27.855881</v>
      </c>
      <c r="F336" s="59">
        <v>1.0</v>
      </c>
      <c r="G336" s="60" t="s">
        <v>3671</v>
      </c>
      <c r="H336" s="61" t="s">
        <v>66</v>
      </c>
      <c r="I336" s="75"/>
      <c r="J336" s="63" t="s">
        <v>3168</v>
      </c>
      <c r="K336" s="64"/>
      <c r="L336" s="110" t="s">
        <v>69</v>
      </c>
      <c r="M336" s="92" t="s">
        <v>70</v>
      </c>
      <c r="N336" s="111"/>
      <c r="O336" s="92" t="s">
        <v>3672</v>
      </c>
      <c r="P336" s="67" t="str">
        <f t="shared" si="1"/>
        <v>52.257613, 27.855881</v>
      </c>
      <c r="Q336" s="67" t="str">
        <f t="shared" si="2"/>
        <v>52.257081, 27.855357</v>
      </c>
      <c r="R336" s="67">
        <f t="shared" si="3"/>
        <v>52.257081</v>
      </c>
      <c r="S336" s="67">
        <f t="shared" si="4"/>
        <v>27.855357</v>
      </c>
      <c r="T336" s="161"/>
      <c r="U336" s="69"/>
      <c r="V336" s="65" t="s">
        <v>3673</v>
      </c>
      <c r="W336" s="71" t="s">
        <v>74</v>
      </c>
      <c r="X336" s="72" t="s">
        <v>75</v>
      </c>
      <c r="Y336" s="61" t="s">
        <v>76</v>
      </c>
      <c r="Z336" s="73"/>
      <c r="AA336" s="61" t="s">
        <v>77</v>
      </c>
      <c r="AB336" s="73"/>
      <c r="AC336" s="73"/>
      <c r="AD336" s="73"/>
      <c r="AE336" s="73"/>
      <c r="AF336" s="73"/>
      <c r="AG336" s="73"/>
      <c r="AH336" s="73"/>
      <c r="AI336" s="73"/>
      <c r="AJ336" s="75"/>
      <c r="AK336" s="76" t="s">
        <v>2108</v>
      </c>
      <c r="AL336" s="83" t="s">
        <v>3674</v>
      </c>
      <c r="AM336" s="71" t="s">
        <v>3675</v>
      </c>
      <c r="AN336" s="84" t="s">
        <v>3676</v>
      </c>
      <c r="AO336" s="71" t="s">
        <v>3677</v>
      </c>
      <c r="AP336" s="161" t="str">
        <f>IMAGE("https://bellingcat-archive.nyc3.cdn.digitaloceanspaces.com/Ukraine_Witness_Datasheet/Worksheet/twitter__media_FLy9QDzXMAY0gF7.jpg")</f>
        <v/>
      </c>
      <c r="AQ336" s="161"/>
      <c r="AR336" s="161"/>
      <c r="AS336" s="161"/>
      <c r="AT336" s="161"/>
      <c r="AU336" s="89"/>
      <c r="AV336" s="162"/>
      <c r="AW336" s="81"/>
    </row>
    <row r="337" ht="15.75" customHeight="1">
      <c r="A337" s="95" t="s">
        <v>63</v>
      </c>
      <c r="B337" s="73"/>
      <c r="C337" s="57" t="s">
        <v>3539</v>
      </c>
      <c r="D337" s="74">
        <v>52.257116</v>
      </c>
      <c r="E337" s="74">
        <v>26.812163</v>
      </c>
      <c r="F337" s="59">
        <v>1.0</v>
      </c>
      <c r="G337" s="84" t="s">
        <v>3678</v>
      </c>
      <c r="H337" s="61" t="s">
        <v>66</v>
      </c>
      <c r="I337" s="75"/>
      <c r="J337" s="63" t="s">
        <v>3679</v>
      </c>
      <c r="K337" s="69"/>
      <c r="L337" s="110" t="s">
        <v>69</v>
      </c>
      <c r="M337" s="92" t="s">
        <v>3680</v>
      </c>
      <c r="N337" s="92" t="s">
        <v>3681</v>
      </c>
      <c r="O337" s="92" t="s">
        <v>3681</v>
      </c>
      <c r="P337" s="67" t="str">
        <f t="shared" si="1"/>
        <v>52.257116, 26.812163</v>
      </c>
      <c r="Q337" s="67" t="str">
        <f t="shared" si="2"/>
        <v>52.256894, 26.813022</v>
      </c>
      <c r="R337" s="67">
        <f t="shared" si="3"/>
        <v>52.256894</v>
      </c>
      <c r="S337" s="67">
        <f t="shared" si="4"/>
        <v>26.813022</v>
      </c>
      <c r="T337" s="161"/>
      <c r="U337" s="69"/>
      <c r="V337" s="65" t="s">
        <v>3682</v>
      </c>
      <c r="W337" s="71" t="s">
        <v>74</v>
      </c>
      <c r="X337" s="72" t="s">
        <v>75</v>
      </c>
      <c r="Y337" s="61" t="s">
        <v>76</v>
      </c>
      <c r="Z337" s="73"/>
      <c r="AA337" s="61" t="s">
        <v>77</v>
      </c>
      <c r="AB337" s="73"/>
      <c r="AC337" s="73"/>
      <c r="AD337" s="73"/>
      <c r="AE337" s="73"/>
      <c r="AF337" s="73"/>
      <c r="AG337" s="73"/>
      <c r="AH337" s="73"/>
      <c r="AI337" s="73"/>
      <c r="AJ337" s="75"/>
      <c r="AK337" s="76" t="s">
        <v>798</v>
      </c>
      <c r="AL337" s="83" t="s">
        <v>3683</v>
      </c>
      <c r="AM337" s="71" t="s">
        <v>3684</v>
      </c>
      <c r="AN337" s="84" t="s">
        <v>3685</v>
      </c>
      <c r="AO337" s="71" t="s">
        <v>3686</v>
      </c>
      <c r="AP337" s="161" t="str">
        <f>IMAGE("https://bellingcat-archive.nyc3.cdn.digitaloceanspaces.com/Ukraine_Witness_Datasheet/Worksheet/youtube_dl_1494364071189225479/out2.jpg")</f>
        <v/>
      </c>
      <c r="AQ337" s="84" t="s">
        <v>3687</v>
      </c>
      <c r="AR337" s="71" t="s">
        <v>3688</v>
      </c>
      <c r="AS337" s="71" t="s">
        <v>3689</v>
      </c>
      <c r="AT337" s="71">
        <v>11.702</v>
      </c>
      <c r="AU337" s="89"/>
      <c r="AV337" s="162"/>
      <c r="AW337" s="81"/>
    </row>
    <row r="338" ht="15.75" customHeight="1">
      <c r="A338" s="95" t="s">
        <v>63</v>
      </c>
      <c r="B338" s="73"/>
      <c r="C338" s="57" t="s">
        <v>3539</v>
      </c>
      <c r="D338" s="58">
        <v>50.235219</v>
      </c>
      <c r="E338" s="58">
        <v>37.871661</v>
      </c>
      <c r="F338" s="59">
        <v>1.0</v>
      </c>
      <c r="G338" s="84" t="s">
        <v>3690</v>
      </c>
      <c r="H338" s="61" t="s">
        <v>66</v>
      </c>
      <c r="I338" s="75"/>
      <c r="J338" s="63" t="s">
        <v>3691</v>
      </c>
      <c r="K338" s="69"/>
      <c r="L338" s="110" t="s">
        <v>79</v>
      </c>
      <c r="M338" s="92" t="s">
        <v>547</v>
      </c>
      <c r="N338" s="92" t="s">
        <v>3692</v>
      </c>
      <c r="O338" s="92" t="s">
        <v>3693</v>
      </c>
      <c r="P338" s="67" t="str">
        <f t="shared" si="1"/>
        <v>50.235219, 37.871661</v>
      </c>
      <c r="Q338" s="67" t="str">
        <f t="shared" si="2"/>
        <v>50.235028, 37.871088</v>
      </c>
      <c r="R338" s="67">
        <f t="shared" si="3"/>
        <v>50.235028</v>
      </c>
      <c r="S338" s="67">
        <f t="shared" si="4"/>
        <v>37.871088</v>
      </c>
      <c r="T338" s="161"/>
      <c r="U338" s="181" t="s">
        <v>3694</v>
      </c>
      <c r="V338" s="65" t="s">
        <v>3695</v>
      </c>
      <c r="W338" s="71" t="s">
        <v>74</v>
      </c>
      <c r="X338" s="72" t="s">
        <v>75</v>
      </c>
      <c r="Y338" s="61" t="s">
        <v>76</v>
      </c>
      <c r="Z338" s="73"/>
      <c r="AA338" s="61" t="s">
        <v>77</v>
      </c>
      <c r="AB338" s="73"/>
      <c r="AC338" s="73"/>
      <c r="AD338" s="73"/>
      <c r="AE338" s="73"/>
      <c r="AF338" s="73"/>
      <c r="AG338" s="73"/>
      <c r="AH338" s="73"/>
      <c r="AI338" s="73"/>
      <c r="AJ338" s="75"/>
      <c r="AK338" s="76" t="s">
        <v>798</v>
      </c>
      <c r="AL338" s="83" t="s">
        <v>3696</v>
      </c>
      <c r="AM338" s="71" t="s">
        <v>3697</v>
      </c>
      <c r="AN338" s="84" t="s">
        <v>3698</v>
      </c>
      <c r="AO338" s="71" t="s">
        <v>3699</v>
      </c>
      <c r="AP338" s="161" t="str">
        <f>IMAGE("https://bellingcat-archive.nyc3.cdn.digitaloceanspaces.com/Ukraine_Witness_Datasheet/Worksheet/youtube_dl_1494362768241315840/out2.jpg")</f>
        <v/>
      </c>
      <c r="AQ338" s="84" t="s">
        <v>3700</v>
      </c>
      <c r="AR338" s="71" t="s">
        <v>3701</v>
      </c>
      <c r="AS338" s="71" t="s">
        <v>3702</v>
      </c>
      <c r="AT338" s="71">
        <v>15.882</v>
      </c>
      <c r="AU338" s="89"/>
      <c r="AV338" s="162"/>
      <c r="AW338" s="81"/>
    </row>
    <row r="339" ht="15.75" customHeight="1">
      <c r="A339" s="87" t="s">
        <v>2580</v>
      </c>
      <c r="B339" s="73"/>
      <c r="C339" s="57" t="s">
        <v>3703</v>
      </c>
      <c r="D339" s="74">
        <v>50.673253</v>
      </c>
      <c r="E339" s="74">
        <v>36.237261</v>
      </c>
      <c r="F339" s="59">
        <v>1.0</v>
      </c>
      <c r="G339" s="84" t="s">
        <v>3704</v>
      </c>
      <c r="H339" s="61" t="s">
        <v>66</v>
      </c>
      <c r="I339" s="75"/>
      <c r="J339" s="63" t="s">
        <v>3705</v>
      </c>
      <c r="K339" s="88" t="s">
        <v>3706</v>
      </c>
      <c r="L339" s="110" t="s">
        <v>79</v>
      </c>
      <c r="M339" s="92" t="s">
        <v>547</v>
      </c>
      <c r="N339" s="111"/>
      <c r="O339" s="92" t="s">
        <v>3074</v>
      </c>
      <c r="P339" s="67" t="str">
        <f t="shared" si="1"/>
        <v>50.673253, 36.237261</v>
      </c>
      <c r="Q339" s="67" t="str">
        <f t="shared" si="2"/>
        <v>50.673113, 36.236297</v>
      </c>
      <c r="R339" s="67">
        <f t="shared" si="3"/>
        <v>50.673113</v>
      </c>
      <c r="S339" s="67">
        <f t="shared" si="4"/>
        <v>36.236297</v>
      </c>
      <c r="T339" s="161"/>
      <c r="U339" s="69"/>
      <c r="V339" s="65" t="s">
        <v>3707</v>
      </c>
      <c r="W339" s="71" t="s">
        <v>74</v>
      </c>
      <c r="X339" s="72" t="s">
        <v>75</v>
      </c>
      <c r="Y339" s="61" t="s">
        <v>76</v>
      </c>
      <c r="Z339" s="73"/>
      <c r="AA339" s="61" t="s">
        <v>77</v>
      </c>
      <c r="AB339" s="73"/>
      <c r="AC339" s="73"/>
      <c r="AD339" s="73"/>
      <c r="AE339" s="73"/>
      <c r="AF339" s="73"/>
      <c r="AG339" s="73"/>
      <c r="AH339" s="73"/>
      <c r="AI339" s="73"/>
      <c r="AJ339" s="75"/>
      <c r="AK339" s="76" t="s">
        <v>798</v>
      </c>
      <c r="AL339" s="83" t="s">
        <v>3708</v>
      </c>
      <c r="AM339" s="71" t="s">
        <v>3709</v>
      </c>
      <c r="AN339" s="84" t="s">
        <v>3710</v>
      </c>
      <c r="AO339" s="71" t="s">
        <v>3711</v>
      </c>
      <c r="AP339" s="161" t="str">
        <f>IMAGE("https://bellingcat-archive.nyc3.cdn.digitaloceanspaces.com/Ukraine_Witness_Datasheet/Worksheet/youtube_dl_1494548071006588942/out5.jpg")</f>
        <v/>
      </c>
      <c r="AQ339" s="84" t="s">
        <v>3712</v>
      </c>
      <c r="AR339" s="71" t="s">
        <v>1838</v>
      </c>
      <c r="AS339" s="71" t="s">
        <v>3713</v>
      </c>
      <c r="AT339" s="71">
        <v>140.01</v>
      </c>
      <c r="AU339" s="89"/>
      <c r="AV339" s="162"/>
      <c r="AW339" s="81"/>
    </row>
    <row r="340" ht="15.75" customHeight="1">
      <c r="A340" s="87" t="s">
        <v>2580</v>
      </c>
      <c r="B340" s="73"/>
      <c r="C340" s="57" t="s">
        <v>3703</v>
      </c>
      <c r="D340" s="74">
        <v>54.227523</v>
      </c>
      <c r="E340" s="74">
        <v>37.628679</v>
      </c>
      <c r="F340" s="59">
        <v>1.0</v>
      </c>
      <c r="G340" s="84" t="s">
        <v>3714</v>
      </c>
      <c r="H340" s="61" t="s">
        <v>66</v>
      </c>
      <c r="I340" s="75"/>
      <c r="J340" s="63" t="s">
        <v>3705</v>
      </c>
      <c r="K340" s="88" t="s">
        <v>3715</v>
      </c>
      <c r="L340" s="110" t="s">
        <v>79</v>
      </c>
      <c r="M340" s="111"/>
      <c r="N340" s="92"/>
      <c r="O340" s="92" t="s">
        <v>3563</v>
      </c>
      <c r="P340" s="67" t="str">
        <f t="shared" si="1"/>
        <v>54.227523, 37.628679</v>
      </c>
      <c r="Q340" s="67" t="str">
        <f t="shared" si="2"/>
        <v>54.227133, 37.628844</v>
      </c>
      <c r="R340" s="67">
        <f t="shared" si="3"/>
        <v>54.227133</v>
      </c>
      <c r="S340" s="67">
        <f t="shared" si="4"/>
        <v>37.628844</v>
      </c>
      <c r="T340" s="161"/>
      <c r="U340" s="69"/>
      <c r="V340" s="65" t="s">
        <v>3716</v>
      </c>
      <c r="W340" s="71" t="s">
        <v>74</v>
      </c>
      <c r="X340" s="72" t="s">
        <v>75</v>
      </c>
      <c r="Y340" s="61" t="s">
        <v>76</v>
      </c>
      <c r="Z340" s="73"/>
      <c r="AA340" s="61" t="s">
        <v>77</v>
      </c>
      <c r="AB340" s="73"/>
      <c r="AC340" s="73"/>
      <c r="AD340" s="73"/>
      <c r="AE340" s="73"/>
      <c r="AF340" s="73"/>
      <c r="AG340" s="73"/>
      <c r="AH340" s="73"/>
      <c r="AI340" s="73"/>
      <c r="AJ340" s="75"/>
      <c r="AK340" s="76" t="s">
        <v>798</v>
      </c>
      <c r="AL340" s="83" t="s">
        <v>3717</v>
      </c>
      <c r="AM340" s="71" t="s">
        <v>3718</v>
      </c>
      <c r="AN340" s="84" t="s">
        <v>3719</v>
      </c>
      <c r="AO340" s="71" t="s">
        <v>3720</v>
      </c>
      <c r="AP340" s="161" t="str">
        <f>IMAGE("https://bellingcat-archive.nyc3.cdn.digitaloceanspaces.com/Ukraine_Witness_Datasheet/Worksheet/youtube_dl_1494545200999550978/out2.jpg")</f>
        <v/>
      </c>
      <c r="AQ340" s="84" t="s">
        <v>3721</v>
      </c>
      <c r="AR340" s="71" t="s">
        <v>3722</v>
      </c>
      <c r="AS340" s="71" t="s">
        <v>3723</v>
      </c>
      <c r="AT340" s="71">
        <v>16.033</v>
      </c>
      <c r="AU340" s="89"/>
      <c r="AV340" s="162"/>
      <c r="AW340" s="81"/>
    </row>
    <row r="341" ht="15.75" customHeight="1">
      <c r="A341" s="87" t="s">
        <v>2580</v>
      </c>
      <c r="B341" s="73"/>
      <c r="C341" s="57" t="s">
        <v>3703</v>
      </c>
      <c r="D341" s="74">
        <v>51.575</v>
      </c>
      <c r="E341" s="74">
        <v>34.675278</v>
      </c>
      <c r="F341" s="59">
        <v>1.0</v>
      </c>
      <c r="G341" s="84" t="s">
        <v>3724</v>
      </c>
      <c r="H341" s="61" t="s">
        <v>66</v>
      </c>
      <c r="I341" s="75"/>
      <c r="J341" s="63" t="s">
        <v>3705</v>
      </c>
      <c r="K341" s="88" t="s">
        <v>3725</v>
      </c>
      <c r="L341" s="110" t="s">
        <v>79</v>
      </c>
      <c r="M341" s="92" t="s">
        <v>1028</v>
      </c>
      <c r="N341" s="111"/>
      <c r="O341" s="92" t="s">
        <v>1208</v>
      </c>
      <c r="P341" s="67" t="str">
        <f t="shared" si="1"/>
        <v>51.575, 34.675278</v>
      </c>
      <c r="Q341" s="67" t="str">
        <f t="shared" si="2"/>
        <v>51.574288, 34.675765</v>
      </c>
      <c r="R341" s="67">
        <f t="shared" si="3"/>
        <v>51.574288</v>
      </c>
      <c r="S341" s="67">
        <f t="shared" si="4"/>
        <v>34.675765</v>
      </c>
      <c r="T341" s="161"/>
      <c r="U341" s="115"/>
      <c r="V341" s="65" t="s">
        <v>3726</v>
      </c>
      <c r="W341" s="71" t="s">
        <v>74</v>
      </c>
      <c r="X341" s="72" t="s">
        <v>75</v>
      </c>
      <c r="Y341" s="61" t="s">
        <v>76</v>
      </c>
      <c r="Z341" s="73"/>
      <c r="AA341" s="61" t="s">
        <v>77</v>
      </c>
      <c r="AB341" s="73"/>
      <c r="AC341" s="73"/>
      <c r="AD341" s="73"/>
      <c r="AE341" s="73"/>
      <c r="AF341" s="73"/>
      <c r="AG341" s="73"/>
      <c r="AH341" s="73"/>
      <c r="AI341" s="73"/>
      <c r="AJ341" s="75"/>
      <c r="AK341" s="76" t="s">
        <v>798</v>
      </c>
      <c r="AL341" s="83" t="s">
        <v>3727</v>
      </c>
      <c r="AM341" s="71" t="s">
        <v>3728</v>
      </c>
      <c r="AN341" s="84" t="s">
        <v>3729</v>
      </c>
      <c r="AO341" s="71" t="s">
        <v>3730</v>
      </c>
      <c r="AP341" s="161" t="str">
        <f>IMAGE("https://bellingcat-archive.nyc3.cdn.digitaloceanspaces.com/Ukraine_Witness_Datasheet/Worksheet/youtube_dl_1494527340772220962/out2.jpg")</f>
        <v/>
      </c>
      <c r="AQ341" s="84" t="s">
        <v>3731</v>
      </c>
      <c r="AR341" s="71" t="s">
        <v>3732</v>
      </c>
      <c r="AS341" s="71" t="s">
        <v>3733</v>
      </c>
      <c r="AT341" s="71">
        <v>16.046</v>
      </c>
      <c r="AU341" s="89"/>
      <c r="AV341" s="162"/>
      <c r="AW341" s="81"/>
    </row>
    <row r="342" ht="15.75" customHeight="1">
      <c r="A342" s="87" t="s">
        <v>2580</v>
      </c>
      <c r="B342" s="73"/>
      <c r="C342" s="57" t="s">
        <v>3703</v>
      </c>
      <c r="D342" s="74">
        <v>52.523611</v>
      </c>
      <c r="E342" s="74">
        <v>31.948333</v>
      </c>
      <c r="F342" s="59">
        <v>1.0</v>
      </c>
      <c r="G342" s="84" t="s">
        <v>3734</v>
      </c>
      <c r="H342" s="61" t="s">
        <v>66</v>
      </c>
      <c r="I342" s="75"/>
      <c r="J342" s="63" t="s">
        <v>3735</v>
      </c>
      <c r="K342" s="88" t="s">
        <v>3736</v>
      </c>
      <c r="L342" s="110" t="s">
        <v>79</v>
      </c>
      <c r="M342" s="92" t="s">
        <v>240</v>
      </c>
      <c r="N342" s="92"/>
      <c r="O342" s="92" t="s">
        <v>2371</v>
      </c>
      <c r="P342" s="67" t="str">
        <f t="shared" si="1"/>
        <v>52.523611, 31.948333</v>
      </c>
      <c r="Q342" s="67" t="str">
        <f t="shared" si="2"/>
        <v>52.523442, 31.947759</v>
      </c>
      <c r="R342" s="67">
        <f t="shared" si="3"/>
        <v>52.523442</v>
      </c>
      <c r="S342" s="67">
        <f t="shared" si="4"/>
        <v>31.947759</v>
      </c>
      <c r="T342" s="161"/>
      <c r="U342" s="69"/>
      <c r="V342" s="65" t="s">
        <v>3737</v>
      </c>
      <c r="W342" s="71" t="s">
        <v>74</v>
      </c>
      <c r="X342" s="72" t="s">
        <v>75</v>
      </c>
      <c r="Y342" s="61" t="s">
        <v>76</v>
      </c>
      <c r="Z342" s="73"/>
      <c r="AA342" s="61" t="s">
        <v>77</v>
      </c>
      <c r="AB342" s="73"/>
      <c r="AC342" s="73"/>
      <c r="AD342" s="73"/>
      <c r="AE342" s="73"/>
      <c r="AF342" s="73"/>
      <c r="AG342" s="73"/>
      <c r="AH342" s="73"/>
      <c r="AI342" s="73"/>
      <c r="AJ342" s="75"/>
      <c r="AK342" s="76" t="s">
        <v>798</v>
      </c>
      <c r="AL342" s="83" t="s">
        <v>3738</v>
      </c>
      <c r="AM342" s="71" t="s">
        <v>3739</v>
      </c>
      <c r="AN342" s="84" t="s">
        <v>3740</v>
      </c>
      <c r="AO342" s="71" t="s">
        <v>3741</v>
      </c>
      <c r="AP342" s="161" t="str">
        <f>IMAGE("https://bellingcat-archive.nyc3.cdn.digitaloceanspaces.com/Ukraine_Witness_Datasheet/Worksheet/youtube_dl_1494524170406928386/out3.jpg")</f>
        <v/>
      </c>
      <c r="AQ342" s="84" t="s">
        <v>3742</v>
      </c>
      <c r="AR342" s="71" t="s">
        <v>2378</v>
      </c>
      <c r="AS342" s="71" t="s">
        <v>3743</v>
      </c>
      <c r="AT342" s="71">
        <v>78.0</v>
      </c>
      <c r="AU342" s="89"/>
      <c r="AV342" s="162"/>
      <c r="AW342" s="81"/>
    </row>
    <row r="343" ht="15.75" customHeight="1">
      <c r="A343" s="87" t="s">
        <v>2580</v>
      </c>
      <c r="B343" s="73"/>
      <c r="C343" s="57" t="s">
        <v>3703</v>
      </c>
      <c r="D343" s="74">
        <v>55.474972</v>
      </c>
      <c r="E343" s="74">
        <v>28.750167</v>
      </c>
      <c r="F343" s="59">
        <v>1.0</v>
      </c>
      <c r="G343" s="84" t="s">
        <v>3744</v>
      </c>
      <c r="H343" s="61" t="s">
        <v>66</v>
      </c>
      <c r="I343" s="75"/>
      <c r="J343" s="63" t="s">
        <v>1629</v>
      </c>
      <c r="K343" s="88" t="s">
        <v>3745</v>
      </c>
      <c r="L343" s="110" t="s">
        <v>69</v>
      </c>
      <c r="M343" s="111"/>
      <c r="N343" s="92"/>
      <c r="O343" s="92" t="s">
        <v>3746</v>
      </c>
      <c r="P343" s="67" t="str">
        <f t="shared" si="1"/>
        <v>55.474972, 28.750167</v>
      </c>
      <c r="Q343" s="67" t="str">
        <f t="shared" si="2"/>
        <v>55.474944, 28.750849</v>
      </c>
      <c r="R343" s="67">
        <f t="shared" si="3"/>
        <v>55.474944</v>
      </c>
      <c r="S343" s="67">
        <f t="shared" si="4"/>
        <v>28.750849</v>
      </c>
      <c r="T343" s="161"/>
      <c r="U343" s="69"/>
      <c r="V343" s="65" t="s">
        <v>3747</v>
      </c>
      <c r="W343" s="71" t="s">
        <v>74</v>
      </c>
      <c r="X343" s="72" t="s">
        <v>75</v>
      </c>
      <c r="Y343" s="61" t="s">
        <v>76</v>
      </c>
      <c r="Z343" s="73"/>
      <c r="AA343" s="61" t="s">
        <v>77</v>
      </c>
      <c r="AB343" s="73"/>
      <c r="AC343" s="73"/>
      <c r="AD343" s="73"/>
      <c r="AE343" s="73"/>
      <c r="AF343" s="73"/>
      <c r="AG343" s="73"/>
      <c r="AH343" s="73"/>
      <c r="AI343" s="73"/>
      <c r="AJ343" s="75"/>
      <c r="AK343" s="76" t="s">
        <v>798</v>
      </c>
      <c r="AL343" s="83" t="s">
        <v>3748</v>
      </c>
      <c r="AM343" s="71" t="s">
        <v>3749</v>
      </c>
      <c r="AN343" s="84" t="s">
        <v>3750</v>
      </c>
      <c r="AO343" s="71" t="s">
        <v>3751</v>
      </c>
      <c r="AP343" s="161" t="str">
        <f>IMAGE("https://bellingcat-archive.nyc3.cdn.digitaloceanspaces.com/Ukraine_Witness_Datasheet/Worksheet/youtube_dl_1494523071620911111/out2.jpg")</f>
        <v/>
      </c>
      <c r="AQ343" s="84" t="s">
        <v>3752</v>
      </c>
      <c r="AR343" s="71" t="s">
        <v>3753</v>
      </c>
      <c r="AS343" s="71" t="s">
        <v>3754</v>
      </c>
      <c r="AT343" s="71">
        <v>38.939</v>
      </c>
      <c r="AU343" s="89"/>
      <c r="AV343" s="162"/>
      <c r="AW343" s="81"/>
    </row>
    <row r="344" ht="15.75" customHeight="1">
      <c r="A344" s="87" t="s">
        <v>2580</v>
      </c>
      <c r="B344" s="73"/>
      <c r="C344" s="57" t="s">
        <v>3703</v>
      </c>
      <c r="D344" s="92">
        <v>51.551389</v>
      </c>
      <c r="E344" s="104">
        <v>38.971944</v>
      </c>
      <c r="F344" s="59">
        <v>1.0</v>
      </c>
      <c r="G344" s="84" t="s">
        <v>3755</v>
      </c>
      <c r="H344" s="61" t="s">
        <v>66</v>
      </c>
      <c r="I344" s="75"/>
      <c r="J344" s="63" t="s">
        <v>1629</v>
      </c>
      <c r="K344" s="88" t="s">
        <v>3756</v>
      </c>
      <c r="L344" s="110" t="s">
        <v>79</v>
      </c>
      <c r="M344" s="92" t="s">
        <v>3090</v>
      </c>
      <c r="N344" s="92" t="s">
        <v>3757</v>
      </c>
      <c r="O344" s="111"/>
      <c r="P344" s="67" t="str">
        <f t="shared" si="1"/>
        <v>51.551389, 38.971944</v>
      </c>
      <c r="Q344" s="67" t="str">
        <f t="shared" si="2"/>
        <v>51.551262, 38.971136</v>
      </c>
      <c r="R344" s="67">
        <f t="shared" si="3"/>
        <v>51.551262</v>
      </c>
      <c r="S344" s="67">
        <f t="shared" si="4"/>
        <v>38.971136</v>
      </c>
      <c r="T344" s="161"/>
      <c r="U344" s="69"/>
      <c r="V344" s="65" t="s">
        <v>3758</v>
      </c>
      <c r="W344" s="71" t="s">
        <v>74</v>
      </c>
      <c r="X344" s="72" t="s">
        <v>75</v>
      </c>
      <c r="Y344" s="61" t="s">
        <v>76</v>
      </c>
      <c r="Z344" s="73"/>
      <c r="AA344" s="61" t="s">
        <v>77</v>
      </c>
      <c r="AB344" s="73"/>
      <c r="AC344" s="73"/>
      <c r="AD344" s="73"/>
      <c r="AE344" s="73"/>
      <c r="AF344" s="73"/>
      <c r="AG344" s="73"/>
      <c r="AH344" s="73"/>
      <c r="AI344" s="73"/>
      <c r="AJ344" s="75"/>
      <c r="AK344" s="76" t="s">
        <v>798</v>
      </c>
      <c r="AL344" s="83" t="s">
        <v>3759</v>
      </c>
      <c r="AM344" s="71" t="s">
        <v>2869</v>
      </c>
      <c r="AN344" s="84" t="s">
        <v>3760</v>
      </c>
      <c r="AO344" s="71" t="s">
        <v>3761</v>
      </c>
      <c r="AP344" s="161" t="str">
        <f>IMAGE("https://bellingcat-archive.nyc3.cdn.digitaloceanspaces.com/Ukraine_Witness_Datasheet/Worksheet/youtube_dl_1494521174050627601/out2.jpg")</f>
        <v/>
      </c>
      <c r="AQ344" s="84" t="s">
        <v>3762</v>
      </c>
      <c r="AR344" s="71" t="s">
        <v>599</v>
      </c>
      <c r="AS344" s="71" t="s">
        <v>3763</v>
      </c>
      <c r="AT344" s="71">
        <v>17.433</v>
      </c>
      <c r="AU344" s="89"/>
      <c r="AV344" s="162"/>
      <c r="AW344" s="81"/>
    </row>
    <row r="345" ht="15.75" customHeight="1">
      <c r="A345" s="87" t="s">
        <v>2580</v>
      </c>
      <c r="B345" s="73"/>
      <c r="C345" s="57" t="s">
        <v>3703</v>
      </c>
      <c r="D345" s="74">
        <v>50.620278</v>
      </c>
      <c r="E345" s="74">
        <v>36.514167</v>
      </c>
      <c r="F345" s="59">
        <v>1.0</v>
      </c>
      <c r="G345" s="84" t="s">
        <v>3764</v>
      </c>
      <c r="H345" s="61" t="s">
        <v>66</v>
      </c>
      <c r="I345" s="75"/>
      <c r="J345" s="63" t="s">
        <v>1629</v>
      </c>
      <c r="K345" s="88" t="s">
        <v>3765</v>
      </c>
      <c r="L345" s="110" t="s">
        <v>79</v>
      </c>
      <c r="M345" s="92" t="s">
        <v>547</v>
      </c>
      <c r="N345" s="111"/>
      <c r="O345" s="92" t="s">
        <v>547</v>
      </c>
      <c r="P345" s="67" t="str">
        <f t="shared" si="1"/>
        <v>50.620278, 36.514167</v>
      </c>
      <c r="Q345" s="67" t="str">
        <f t="shared" si="2"/>
        <v>50.619974, 36.513815</v>
      </c>
      <c r="R345" s="67">
        <f t="shared" si="3"/>
        <v>50.619974</v>
      </c>
      <c r="S345" s="67">
        <f t="shared" si="4"/>
        <v>36.513815</v>
      </c>
      <c r="T345" s="161"/>
      <c r="U345" s="69"/>
      <c r="V345" s="65" t="s">
        <v>3766</v>
      </c>
      <c r="W345" s="71" t="s">
        <v>74</v>
      </c>
      <c r="X345" s="72" t="s">
        <v>75</v>
      </c>
      <c r="Y345" s="61" t="s">
        <v>76</v>
      </c>
      <c r="Z345" s="73"/>
      <c r="AA345" s="61" t="s">
        <v>77</v>
      </c>
      <c r="AB345" s="73"/>
      <c r="AC345" s="73"/>
      <c r="AD345" s="73"/>
      <c r="AE345" s="73"/>
      <c r="AF345" s="73"/>
      <c r="AG345" s="73"/>
      <c r="AH345" s="73"/>
      <c r="AI345" s="73"/>
      <c r="AJ345" s="75"/>
      <c r="AK345" s="76" t="s">
        <v>798</v>
      </c>
      <c r="AL345" s="83" t="s">
        <v>3767</v>
      </c>
      <c r="AM345" s="71" t="s">
        <v>3768</v>
      </c>
      <c r="AN345" s="84" t="s">
        <v>3769</v>
      </c>
      <c r="AO345" s="71" t="s">
        <v>3770</v>
      </c>
      <c r="AP345" s="161" t="str">
        <f>IMAGE("https://bellingcat-archive.nyc3.cdn.digitaloceanspaces.com/Ukraine_Witness_Datasheet/Worksheet/youtube_dl_1494513452592812039/out2.jpg")</f>
        <v/>
      </c>
      <c r="AQ345" s="84" t="s">
        <v>3771</v>
      </c>
      <c r="AR345" s="71" t="s">
        <v>1051</v>
      </c>
      <c r="AS345" s="71" t="s">
        <v>3772</v>
      </c>
      <c r="AT345" s="71">
        <v>48.133</v>
      </c>
      <c r="AU345" s="89"/>
      <c r="AV345" s="162"/>
      <c r="AW345" s="81"/>
    </row>
    <row r="346" ht="15.75" customHeight="1">
      <c r="A346" s="95" t="s">
        <v>2580</v>
      </c>
      <c r="B346" s="73"/>
      <c r="C346" s="57" t="s">
        <v>3539</v>
      </c>
      <c r="D346" s="74">
        <v>50.671311</v>
      </c>
      <c r="E346" s="74">
        <v>36.238304</v>
      </c>
      <c r="F346" s="59">
        <v>1.0</v>
      </c>
      <c r="G346" s="84" t="s">
        <v>3773</v>
      </c>
      <c r="H346" s="61" t="s">
        <v>66</v>
      </c>
      <c r="I346" s="75"/>
      <c r="J346" s="63" t="s">
        <v>3774</v>
      </c>
      <c r="K346" s="69"/>
      <c r="L346" s="110" t="s">
        <v>79</v>
      </c>
      <c r="M346" s="92" t="s">
        <v>547</v>
      </c>
      <c r="N346" s="111"/>
      <c r="O346" s="92" t="s">
        <v>3074</v>
      </c>
      <c r="P346" s="67" t="str">
        <f t="shared" si="1"/>
        <v>50.671311, 36.238304</v>
      </c>
      <c r="Q346" s="67" t="str">
        <f t="shared" si="2"/>
        <v>50.670676, 36.238302</v>
      </c>
      <c r="R346" s="67">
        <f t="shared" si="3"/>
        <v>50.670676</v>
      </c>
      <c r="S346" s="67">
        <f t="shared" si="4"/>
        <v>36.238302</v>
      </c>
      <c r="T346" s="161"/>
      <c r="U346" s="69"/>
      <c r="V346" s="65" t="s">
        <v>3775</v>
      </c>
      <c r="W346" s="71" t="s">
        <v>74</v>
      </c>
      <c r="X346" s="72" t="s">
        <v>75</v>
      </c>
      <c r="Y346" s="61" t="s">
        <v>76</v>
      </c>
      <c r="Z346" s="73"/>
      <c r="AA346" s="61" t="s">
        <v>77</v>
      </c>
      <c r="AB346" s="73"/>
      <c r="AC346" s="73"/>
      <c r="AD346" s="73"/>
      <c r="AE346" s="73"/>
      <c r="AF346" s="73"/>
      <c r="AG346" s="73"/>
      <c r="AH346" s="73"/>
      <c r="AI346" s="73"/>
      <c r="AJ346" s="75"/>
      <c r="AK346" s="76" t="s">
        <v>798</v>
      </c>
      <c r="AL346" s="83" t="s">
        <v>3776</v>
      </c>
      <c r="AM346" s="71" t="s">
        <v>3777</v>
      </c>
      <c r="AN346" s="84" t="s">
        <v>3778</v>
      </c>
      <c r="AO346" s="71" t="s">
        <v>3779</v>
      </c>
      <c r="AP346" s="161" t="str">
        <f>IMAGE("https://bellingcat-archive.nyc3.cdn.digitaloceanspaces.com/Ukraine_Witness_Datasheet/Worksheet/youtube_dl_1494394926821425159/out2.jpg")</f>
        <v/>
      </c>
      <c r="AQ346" s="84" t="s">
        <v>3780</v>
      </c>
      <c r="AR346" s="71" t="s">
        <v>3781</v>
      </c>
      <c r="AS346" s="71" t="s">
        <v>3782</v>
      </c>
      <c r="AT346" s="71">
        <v>12.8</v>
      </c>
      <c r="AU346" s="79" t="s">
        <v>183</v>
      </c>
      <c r="AV346" s="80" t="s">
        <v>63</v>
      </c>
      <c r="AW346" s="81"/>
    </row>
    <row r="347" ht="15.75" customHeight="1">
      <c r="A347" s="95" t="s">
        <v>2580</v>
      </c>
      <c r="B347" s="73"/>
      <c r="C347" s="57" t="s">
        <v>3539</v>
      </c>
      <c r="D347" s="74">
        <v>51.747946</v>
      </c>
      <c r="E347" s="74">
        <v>36.231305</v>
      </c>
      <c r="F347" s="59">
        <v>1.0</v>
      </c>
      <c r="G347" s="84" t="s">
        <v>3783</v>
      </c>
      <c r="H347" s="61" t="s">
        <v>66</v>
      </c>
      <c r="I347" s="75"/>
      <c r="J347" s="182" t="s">
        <v>3784</v>
      </c>
      <c r="K347" s="69"/>
      <c r="L347" s="110" t="s">
        <v>79</v>
      </c>
      <c r="M347" s="92" t="s">
        <v>1028</v>
      </c>
      <c r="N347" s="111"/>
      <c r="O347" s="92" t="s">
        <v>3785</v>
      </c>
      <c r="P347" s="67" t="str">
        <f t="shared" si="1"/>
        <v>51.747946, 36.231305</v>
      </c>
      <c r="Q347" s="67" t="str">
        <f t="shared" si="2"/>
        <v>51.747447, 36.231433</v>
      </c>
      <c r="R347" s="67">
        <f t="shared" si="3"/>
        <v>51.747447</v>
      </c>
      <c r="S347" s="67">
        <f t="shared" si="4"/>
        <v>36.231433</v>
      </c>
      <c r="T347" s="161"/>
      <c r="U347" s="69"/>
      <c r="V347" s="65" t="s">
        <v>3786</v>
      </c>
      <c r="W347" s="71" t="s">
        <v>74</v>
      </c>
      <c r="X347" s="72" t="s">
        <v>75</v>
      </c>
      <c r="Y347" s="61" t="s">
        <v>76</v>
      </c>
      <c r="Z347" s="73"/>
      <c r="AA347" s="61" t="s">
        <v>77</v>
      </c>
      <c r="AB347" s="73"/>
      <c r="AC347" s="73"/>
      <c r="AD347" s="73"/>
      <c r="AE347" s="73"/>
      <c r="AF347" s="73"/>
      <c r="AG347" s="73"/>
      <c r="AH347" s="73"/>
      <c r="AI347" s="73"/>
      <c r="AJ347" s="75"/>
      <c r="AK347" s="76" t="s">
        <v>798</v>
      </c>
      <c r="AL347" s="83" t="s">
        <v>3787</v>
      </c>
      <c r="AM347" s="71" t="s">
        <v>3788</v>
      </c>
      <c r="AN347" s="84" t="s">
        <v>3789</v>
      </c>
      <c r="AO347" s="71" t="s">
        <v>3790</v>
      </c>
      <c r="AP347" s="161" t="str">
        <f>IMAGE("https://bellingcat-archive.nyc3.cdn.digitaloceanspaces.com/Ukraine_Witness_Datasheet/Worksheet/youtube_dl_1494390380812554240/out2.jpg")</f>
        <v/>
      </c>
      <c r="AQ347" s="84" t="s">
        <v>3791</v>
      </c>
      <c r="AR347" s="71" t="s">
        <v>1038</v>
      </c>
      <c r="AS347" s="71" t="s">
        <v>3792</v>
      </c>
      <c r="AT347" s="71">
        <v>19.366</v>
      </c>
      <c r="AU347" s="79" t="s">
        <v>183</v>
      </c>
      <c r="AV347" s="80" t="s">
        <v>63</v>
      </c>
      <c r="AW347" s="81"/>
    </row>
    <row r="348" ht="15.75" customHeight="1">
      <c r="A348" s="87" t="s">
        <v>2580</v>
      </c>
      <c r="B348" s="73"/>
      <c r="C348" s="57" t="s">
        <v>3539</v>
      </c>
      <c r="D348" s="149">
        <v>50.658469</v>
      </c>
      <c r="E348" s="92">
        <v>36.609397</v>
      </c>
      <c r="F348" s="59">
        <v>1.0</v>
      </c>
      <c r="G348" s="84" t="s">
        <v>3793</v>
      </c>
      <c r="H348" s="61" t="s">
        <v>66</v>
      </c>
      <c r="I348" s="75"/>
      <c r="J348" s="63" t="s">
        <v>3794</v>
      </c>
      <c r="K348" s="88" t="s">
        <v>3795</v>
      </c>
      <c r="L348" s="110" t="s">
        <v>79</v>
      </c>
      <c r="M348" s="92" t="s">
        <v>547</v>
      </c>
      <c r="N348" s="92" t="s">
        <v>3796</v>
      </c>
      <c r="O348" s="111"/>
      <c r="P348" s="67" t="str">
        <f t="shared" si="1"/>
        <v>50.658469, 36.609397</v>
      </c>
      <c r="Q348" s="67" t="str">
        <f t="shared" si="2"/>
        <v>50.657895, 36.608758</v>
      </c>
      <c r="R348" s="67">
        <f t="shared" si="3"/>
        <v>50.657895</v>
      </c>
      <c r="S348" s="67">
        <f t="shared" si="4"/>
        <v>36.608758</v>
      </c>
      <c r="T348" s="161"/>
      <c r="U348" s="69"/>
      <c r="V348" s="65" t="s">
        <v>3797</v>
      </c>
      <c r="W348" s="71" t="s">
        <v>74</v>
      </c>
      <c r="X348" s="72" t="s">
        <v>75</v>
      </c>
      <c r="Y348" s="61" t="s">
        <v>76</v>
      </c>
      <c r="Z348" s="73"/>
      <c r="AA348" s="61" t="s">
        <v>77</v>
      </c>
      <c r="AB348" s="73"/>
      <c r="AC348" s="73"/>
      <c r="AD348" s="73"/>
      <c r="AE348" s="73"/>
      <c r="AF348" s="73"/>
      <c r="AG348" s="73"/>
      <c r="AH348" s="73"/>
      <c r="AI348" s="73"/>
      <c r="AJ348" s="75"/>
      <c r="AK348" s="76" t="s">
        <v>798</v>
      </c>
      <c r="AL348" s="83" t="s">
        <v>3798</v>
      </c>
      <c r="AM348" s="71" t="s">
        <v>3799</v>
      </c>
      <c r="AN348" s="84" t="s">
        <v>3800</v>
      </c>
      <c r="AO348" s="71" t="s">
        <v>3801</v>
      </c>
      <c r="AP348" s="161" t="str">
        <f>IMAGE("https://bellingcat-archive.nyc3.cdn.digitaloceanspaces.com/Ukraine_Witness_Datasheet/Worksheet/youtube_dl_1494294326251249665/out2.jpg")</f>
        <v/>
      </c>
      <c r="AQ348" s="84" t="s">
        <v>3802</v>
      </c>
      <c r="AR348" s="71" t="s">
        <v>1051</v>
      </c>
      <c r="AS348" s="71" t="s">
        <v>3803</v>
      </c>
      <c r="AT348" s="71">
        <v>39.7</v>
      </c>
      <c r="AU348" s="89"/>
      <c r="AV348" s="162"/>
      <c r="AW348" s="81"/>
    </row>
    <row r="349" ht="15.75" customHeight="1">
      <c r="A349" s="87" t="s">
        <v>2580</v>
      </c>
      <c r="B349" s="73"/>
      <c r="C349" s="57" t="s">
        <v>3539</v>
      </c>
      <c r="D349" s="74">
        <v>50.922438</v>
      </c>
      <c r="E349" s="74">
        <v>128.459969</v>
      </c>
      <c r="F349" s="59">
        <v>1.0</v>
      </c>
      <c r="G349" s="84" t="s">
        <v>3804</v>
      </c>
      <c r="H349" s="61" t="s">
        <v>66</v>
      </c>
      <c r="I349" s="75"/>
      <c r="J349" s="63" t="s">
        <v>3805</v>
      </c>
      <c r="K349" s="88" t="s">
        <v>3806</v>
      </c>
      <c r="L349" s="110" t="s">
        <v>79</v>
      </c>
      <c r="M349" s="92" t="s">
        <v>3807</v>
      </c>
      <c r="N349" s="111"/>
      <c r="O349" s="92" t="s">
        <v>3808</v>
      </c>
      <c r="P349" s="67" t="str">
        <f t="shared" si="1"/>
        <v>50.922438, 128.459969</v>
      </c>
      <c r="Q349" s="67" t="str">
        <f t="shared" si="2"/>
        <v>50.921955, 128.460103</v>
      </c>
      <c r="R349" s="67">
        <f t="shared" si="3"/>
        <v>50.921955</v>
      </c>
      <c r="S349" s="67">
        <f t="shared" si="4"/>
        <v>128.460103</v>
      </c>
      <c r="T349" s="161"/>
      <c r="U349" s="69"/>
      <c r="V349" s="65" t="s">
        <v>3809</v>
      </c>
      <c r="W349" s="71" t="s">
        <v>74</v>
      </c>
      <c r="X349" s="72" t="s">
        <v>75</v>
      </c>
      <c r="Y349" s="61" t="s">
        <v>76</v>
      </c>
      <c r="Z349" s="73"/>
      <c r="AA349" s="61" t="s">
        <v>77</v>
      </c>
      <c r="AB349" s="73"/>
      <c r="AC349" s="73"/>
      <c r="AD349" s="73"/>
      <c r="AE349" s="73"/>
      <c r="AF349" s="73"/>
      <c r="AG349" s="73"/>
      <c r="AH349" s="73"/>
      <c r="AI349" s="73"/>
      <c r="AJ349" s="75"/>
      <c r="AK349" s="76" t="s">
        <v>798</v>
      </c>
      <c r="AL349" s="83" t="s">
        <v>3810</v>
      </c>
      <c r="AM349" s="71" t="s">
        <v>3811</v>
      </c>
      <c r="AN349" s="84" t="s">
        <v>3812</v>
      </c>
      <c r="AO349" s="71" t="s">
        <v>3813</v>
      </c>
      <c r="AP349" s="161" t="str">
        <f>IMAGE("https://bellingcat-archive.nyc3.cdn.digitaloceanspaces.com/Ukraine_Witness_Datasheet/Worksheet/youtube_dl_1494253577107390469/out2.jpg")</f>
        <v/>
      </c>
      <c r="AQ349" s="84" t="s">
        <v>3814</v>
      </c>
      <c r="AR349" s="71" t="s">
        <v>3815</v>
      </c>
      <c r="AS349" s="71" t="s">
        <v>3816</v>
      </c>
      <c r="AT349" s="71">
        <v>48.9</v>
      </c>
      <c r="AU349" s="89"/>
      <c r="AV349" s="162"/>
      <c r="AW349" s="81"/>
    </row>
    <row r="350" ht="15.75" customHeight="1">
      <c r="A350" s="87" t="s">
        <v>2580</v>
      </c>
      <c r="B350" s="73"/>
      <c r="C350" s="57" t="s">
        <v>3539</v>
      </c>
      <c r="D350" s="92">
        <v>52.357418</v>
      </c>
      <c r="E350" s="74">
        <v>35.38804</v>
      </c>
      <c r="F350" s="59">
        <v>1.0</v>
      </c>
      <c r="G350" s="84" t="s">
        <v>3817</v>
      </c>
      <c r="H350" s="61" t="s">
        <v>66</v>
      </c>
      <c r="I350" s="75"/>
      <c r="J350" s="63" t="s">
        <v>3818</v>
      </c>
      <c r="K350" s="88" t="s">
        <v>3819</v>
      </c>
      <c r="L350" s="110" t="s">
        <v>79</v>
      </c>
      <c r="M350" s="92" t="s">
        <v>946</v>
      </c>
      <c r="N350" s="111"/>
      <c r="O350" s="92" t="s">
        <v>1028</v>
      </c>
      <c r="P350" s="67" t="str">
        <f t="shared" si="1"/>
        <v>52.357418, 35.38804</v>
      </c>
      <c r="Q350" s="67" t="str">
        <f t="shared" si="2"/>
        <v>52.357146, 35.387276</v>
      </c>
      <c r="R350" s="67">
        <f t="shared" si="3"/>
        <v>52.357146</v>
      </c>
      <c r="S350" s="67">
        <f t="shared" si="4"/>
        <v>35.387276</v>
      </c>
      <c r="T350" s="161"/>
      <c r="U350" s="69"/>
      <c r="V350" s="65" t="s">
        <v>3820</v>
      </c>
      <c r="W350" s="71" t="s">
        <v>74</v>
      </c>
      <c r="X350" s="72" t="s">
        <v>75</v>
      </c>
      <c r="Y350" s="61" t="s">
        <v>76</v>
      </c>
      <c r="Z350" s="73"/>
      <c r="AA350" s="61" t="s">
        <v>77</v>
      </c>
      <c r="AB350" s="73"/>
      <c r="AC350" s="73"/>
      <c r="AD350" s="73"/>
      <c r="AE350" s="73"/>
      <c r="AF350" s="73"/>
      <c r="AG350" s="73"/>
      <c r="AH350" s="73"/>
      <c r="AI350" s="73"/>
      <c r="AJ350" s="75"/>
      <c r="AK350" s="76" t="s">
        <v>798</v>
      </c>
      <c r="AL350" s="83" t="s">
        <v>3821</v>
      </c>
      <c r="AM350" s="71" t="s">
        <v>3822</v>
      </c>
      <c r="AN350" s="84" t="s">
        <v>3823</v>
      </c>
      <c r="AO350" s="71" t="s">
        <v>3824</v>
      </c>
      <c r="AP350" s="161" t="str">
        <f>IMAGE("https://bellingcat-archive.nyc3.cdn.digitaloceanspaces.com/Ukraine_Witness_Datasheet/Worksheet/youtube_dl_1494234727938723843/out2.jpg")</f>
        <v/>
      </c>
      <c r="AQ350" s="84" t="s">
        <v>3825</v>
      </c>
      <c r="AR350" s="71" t="s">
        <v>3826</v>
      </c>
      <c r="AS350" s="71" t="s">
        <v>3827</v>
      </c>
      <c r="AT350" s="71">
        <v>10.1</v>
      </c>
      <c r="AU350" s="89"/>
      <c r="AV350" s="162"/>
      <c r="AW350" s="81"/>
    </row>
    <row r="351" ht="15.75" customHeight="1">
      <c r="A351" s="87" t="s">
        <v>2580</v>
      </c>
      <c r="B351" s="73"/>
      <c r="C351" s="57" t="s">
        <v>3539</v>
      </c>
      <c r="D351" s="74">
        <v>50.6307</v>
      </c>
      <c r="E351" s="74">
        <v>36.1221</v>
      </c>
      <c r="F351" s="59">
        <v>1.0</v>
      </c>
      <c r="G351" s="84" t="s">
        <v>3828</v>
      </c>
      <c r="H351" s="61" t="s">
        <v>66</v>
      </c>
      <c r="I351" s="75"/>
      <c r="J351" s="63" t="s">
        <v>3705</v>
      </c>
      <c r="K351" s="88" t="s">
        <v>3829</v>
      </c>
      <c r="L351" s="110" t="s">
        <v>79</v>
      </c>
      <c r="M351" s="92" t="s">
        <v>547</v>
      </c>
      <c r="N351" s="92" t="s">
        <v>3297</v>
      </c>
      <c r="O351" s="111"/>
      <c r="P351" s="67" t="str">
        <f t="shared" si="1"/>
        <v>50.6307, 36.1221</v>
      </c>
      <c r="Q351" s="67" t="str">
        <f t="shared" si="2"/>
        <v>50.630464, 36.123141</v>
      </c>
      <c r="R351" s="67">
        <f t="shared" si="3"/>
        <v>50.630464</v>
      </c>
      <c r="S351" s="67">
        <f t="shared" si="4"/>
        <v>36.123141</v>
      </c>
      <c r="T351" s="161"/>
      <c r="U351" s="69"/>
      <c r="V351" s="65" t="s">
        <v>3830</v>
      </c>
      <c r="W351" s="71" t="s">
        <v>74</v>
      </c>
      <c r="X351" s="72" t="s">
        <v>75</v>
      </c>
      <c r="Y351" s="61" t="s">
        <v>76</v>
      </c>
      <c r="Z351" s="73"/>
      <c r="AA351" s="61" t="s">
        <v>77</v>
      </c>
      <c r="AB351" s="73"/>
      <c r="AC351" s="73"/>
      <c r="AD351" s="73"/>
      <c r="AE351" s="73"/>
      <c r="AF351" s="73"/>
      <c r="AG351" s="73"/>
      <c r="AH351" s="73"/>
      <c r="AI351" s="73"/>
      <c r="AJ351" s="75"/>
      <c r="AK351" s="76" t="s">
        <v>798</v>
      </c>
      <c r="AL351" s="83" t="s">
        <v>3831</v>
      </c>
      <c r="AM351" s="71" t="s">
        <v>3832</v>
      </c>
      <c r="AN351" s="84" t="s">
        <v>3833</v>
      </c>
      <c r="AO351" s="71" t="s">
        <v>3834</v>
      </c>
      <c r="AP351" s="161" t="str">
        <f>IMAGE("https://bellingcat-archive.nyc3.cdn.digitaloceanspaces.com/Ukraine_Witness_Datasheet/Worksheet/youtube_dl_1494116931854553093/out2.jpg")</f>
        <v/>
      </c>
      <c r="AQ351" s="84" t="s">
        <v>3835</v>
      </c>
      <c r="AR351" s="71" t="s">
        <v>1051</v>
      </c>
      <c r="AS351" s="71" t="s">
        <v>3836</v>
      </c>
      <c r="AT351" s="71">
        <v>38.133</v>
      </c>
      <c r="AU351" s="89"/>
      <c r="AV351" s="162"/>
      <c r="AW351" s="81"/>
    </row>
    <row r="352" ht="15.75" customHeight="1">
      <c r="A352" s="87" t="s">
        <v>2580</v>
      </c>
      <c r="B352" s="73"/>
      <c r="C352" s="57" t="s">
        <v>3206</v>
      </c>
      <c r="D352" s="149">
        <v>52.791694</v>
      </c>
      <c r="E352" s="92">
        <v>29.407625</v>
      </c>
      <c r="F352" s="59">
        <v>1.0</v>
      </c>
      <c r="G352" s="84" t="s">
        <v>3837</v>
      </c>
      <c r="H352" s="61" t="s">
        <v>66</v>
      </c>
      <c r="I352" s="75"/>
      <c r="J352" s="63" t="s">
        <v>3705</v>
      </c>
      <c r="K352" s="88" t="s">
        <v>3838</v>
      </c>
      <c r="L352" s="110" t="s">
        <v>69</v>
      </c>
      <c r="M352" s="92" t="s">
        <v>3839</v>
      </c>
      <c r="N352" s="111"/>
      <c r="O352" s="111"/>
      <c r="P352" s="67" t="str">
        <f t="shared" si="1"/>
        <v>52.791694, 29.407625</v>
      </c>
      <c r="Q352" s="67" t="str">
        <f t="shared" si="2"/>
        <v>52.790983, 29.407868</v>
      </c>
      <c r="R352" s="67">
        <f t="shared" si="3"/>
        <v>52.790983</v>
      </c>
      <c r="S352" s="67">
        <f t="shared" si="4"/>
        <v>29.407868</v>
      </c>
      <c r="T352" s="161"/>
      <c r="U352" s="69"/>
      <c r="V352" s="65" t="s">
        <v>3840</v>
      </c>
      <c r="W352" s="71" t="s">
        <v>74</v>
      </c>
      <c r="X352" s="72" t="s">
        <v>75</v>
      </c>
      <c r="Y352" s="61" t="s">
        <v>76</v>
      </c>
      <c r="Z352" s="73"/>
      <c r="AA352" s="61" t="s">
        <v>77</v>
      </c>
      <c r="AB352" s="73"/>
      <c r="AC352" s="73"/>
      <c r="AD352" s="73"/>
      <c r="AE352" s="73"/>
      <c r="AF352" s="73"/>
      <c r="AG352" s="73"/>
      <c r="AH352" s="73"/>
      <c r="AI352" s="73"/>
      <c r="AJ352" s="75"/>
      <c r="AK352" s="76" t="s">
        <v>798</v>
      </c>
      <c r="AL352" s="83" t="s">
        <v>3841</v>
      </c>
      <c r="AM352" s="71" t="s">
        <v>3842</v>
      </c>
      <c r="AN352" s="84" t="s">
        <v>3843</v>
      </c>
      <c r="AO352" s="71" t="s">
        <v>3844</v>
      </c>
      <c r="AP352" s="161" t="str">
        <f>IMAGE("https://bellingcat-archive.nyc3.cdn.digitaloceanspaces.com/Ukraine_Witness_Datasheet/Worksheet/youtube_dl_1494023598272614405/out5.jpg")</f>
        <v/>
      </c>
      <c r="AQ352" s="84" t="s">
        <v>3845</v>
      </c>
      <c r="AR352" s="71" t="s">
        <v>1838</v>
      </c>
      <c r="AS352" s="71" t="s">
        <v>3846</v>
      </c>
      <c r="AT352" s="71">
        <v>139.835</v>
      </c>
      <c r="AU352" s="89"/>
      <c r="AV352" s="162"/>
      <c r="AW352" s="81"/>
    </row>
    <row r="353" ht="15.75" customHeight="1">
      <c r="A353" s="87" t="s">
        <v>2580</v>
      </c>
      <c r="B353" s="73"/>
      <c r="C353" s="57" t="s">
        <v>3703</v>
      </c>
      <c r="D353" s="74">
        <v>51.046389</v>
      </c>
      <c r="E353" s="104">
        <v>38.981944</v>
      </c>
      <c r="F353" s="59">
        <v>1.0</v>
      </c>
      <c r="G353" s="84" t="s">
        <v>3847</v>
      </c>
      <c r="H353" s="61" t="s">
        <v>66</v>
      </c>
      <c r="I353" s="75"/>
      <c r="J353" s="63" t="s">
        <v>1629</v>
      </c>
      <c r="K353" s="88" t="s">
        <v>3848</v>
      </c>
      <c r="L353" s="110" t="s">
        <v>79</v>
      </c>
      <c r="M353" s="92" t="s">
        <v>3090</v>
      </c>
      <c r="N353" s="92" t="s">
        <v>3849</v>
      </c>
      <c r="O353" s="111"/>
      <c r="P353" s="67" t="str">
        <f t="shared" si="1"/>
        <v>51.046389, 38.981944</v>
      </c>
      <c r="Q353" s="67" t="str">
        <f t="shared" si="2"/>
        <v>51.04635, 38.982468</v>
      </c>
      <c r="R353" s="67">
        <f t="shared" si="3"/>
        <v>51.04635</v>
      </c>
      <c r="S353" s="67">
        <f t="shared" si="4"/>
        <v>38.982468</v>
      </c>
      <c r="T353" s="161"/>
      <c r="U353" s="69"/>
      <c r="V353" s="65" t="s">
        <v>3850</v>
      </c>
      <c r="W353" s="71" t="s">
        <v>74</v>
      </c>
      <c r="X353" s="72" t="s">
        <v>75</v>
      </c>
      <c r="Y353" s="61" t="s">
        <v>76</v>
      </c>
      <c r="Z353" s="73"/>
      <c r="AA353" s="61" t="s">
        <v>77</v>
      </c>
      <c r="AB353" s="73"/>
      <c r="AC353" s="73"/>
      <c r="AD353" s="73"/>
      <c r="AE353" s="73"/>
      <c r="AF353" s="73"/>
      <c r="AG353" s="73"/>
      <c r="AH353" s="73"/>
      <c r="AI353" s="73"/>
      <c r="AJ353" s="75"/>
      <c r="AK353" s="76" t="s">
        <v>798</v>
      </c>
      <c r="AL353" s="83" t="s">
        <v>3851</v>
      </c>
      <c r="AM353" s="71" t="s">
        <v>3852</v>
      </c>
      <c r="AN353" s="84" t="s">
        <v>3853</v>
      </c>
      <c r="AO353" s="71" t="s">
        <v>3854</v>
      </c>
      <c r="AP353" s="161" t="str">
        <f>IMAGE("https://bellingcat-archive.nyc3.cdn.digitaloceanspaces.com/Ukraine_Witness_Datasheet/Worksheet/youtube_dl_1494601682663219201/out2.jpg")</f>
        <v/>
      </c>
      <c r="AQ353" s="84" t="s">
        <v>3855</v>
      </c>
      <c r="AR353" s="71" t="s">
        <v>3856</v>
      </c>
      <c r="AS353" s="71" t="s">
        <v>3857</v>
      </c>
      <c r="AT353" s="71">
        <v>48.633</v>
      </c>
      <c r="AU353" s="89"/>
      <c r="AV353" s="162"/>
      <c r="AW353" s="81"/>
    </row>
    <row r="354" ht="15.75" customHeight="1">
      <c r="A354" s="95" t="s">
        <v>63</v>
      </c>
      <c r="B354" s="73"/>
      <c r="C354" s="57" t="s">
        <v>3539</v>
      </c>
      <c r="D354" s="74">
        <v>50.672137</v>
      </c>
      <c r="E354" s="74">
        <v>36.237488</v>
      </c>
      <c r="F354" s="59">
        <v>1.0</v>
      </c>
      <c r="G354" s="84" t="s">
        <v>3858</v>
      </c>
      <c r="H354" s="61" t="s">
        <v>66</v>
      </c>
      <c r="I354" s="75"/>
      <c r="J354" s="63" t="s">
        <v>3859</v>
      </c>
      <c r="K354" s="64"/>
      <c r="L354" s="110" t="s">
        <v>79</v>
      </c>
      <c r="M354" s="92" t="s">
        <v>547</v>
      </c>
      <c r="N354" s="111"/>
      <c r="O354" s="92" t="s">
        <v>3074</v>
      </c>
      <c r="P354" s="67" t="str">
        <f t="shared" si="1"/>
        <v>50.672137, 36.237488</v>
      </c>
      <c r="Q354" s="67" t="str">
        <f t="shared" si="2"/>
        <v>50.671952, 36.238019</v>
      </c>
      <c r="R354" s="67">
        <f t="shared" si="3"/>
        <v>50.671952</v>
      </c>
      <c r="S354" s="67">
        <f t="shared" si="4"/>
        <v>36.238019</v>
      </c>
      <c r="T354" s="161"/>
      <c r="U354" s="69"/>
      <c r="V354" s="65" t="s">
        <v>3860</v>
      </c>
      <c r="W354" s="71" t="s">
        <v>74</v>
      </c>
      <c r="X354" s="72" t="s">
        <v>75</v>
      </c>
      <c r="Y354" s="61" t="s">
        <v>76</v>
      </c>
      <c r="Z354" s="73"/>
      <c r="AA354" s="61" t="s">
        <v>77</v>
      </c>
      <c r="AB354" s="73"/>
      <c r="AC354" s="73"/>
      <c r="AD354" s="73"/>
      <c r="AE354" s="73"/>
      <c r="AF354" s="73"/>
      <c r="AG354" s="73"/>
      <c r="AH354" s="73"/>
      <c r="AI354" s="73"/>
      <c r="AJ354" s="75"/>
      <c r="AK354" s="136" t="s">
        <v>3861</v>
      </c>
      <c r="AL354" s="160"/>
      <c r="AM354" s="138" t="s">
        <v>3862</v>
      </c>
      <c r="AN354" s="164"/>
      <c r="AO354" s="164"/>
      <c r="AP354" s="164"/>
      <c r="AQ354" s="164"/>
      <c r="AR354" s="164"/>
      <c r="AS354" s="164"/>
      <c r="AT354" s="164"/>
      <c r="AU354" s="89"/>
      <c r="AV354" s="162"/>
      <c r="AW354" s="81"/>
    </row>
    <row r="355" ht="15.75" customHeight="1">
      <c r="A355" s="87" t="s">
        <v>63</v>
      </c>
      <c r="B355" s="73"/>
      <c r="C355" s="57" t="s">
        <v>3539</v>
      </c>
      <c r="D355" s="123">
        <v>52.12562</v>
      </c>
      <c r="E355" s="104">
        <v>29.33316</v>
      </c>
      <c r="F355" s="59">
        <v>1.0</v>
      </c>
      <c r="G355" s="84" t="s">
        <v>3863</v>
      </c>
      <c r="H355" s="61" t="s">
        <v>66</v>
      </c>
      <c r="I355" s="75"/>
      <c r="J355" s="63" t="s">
        <v>3864</v>
      </c>
      <c r="K355" s="88" t="s">
        <v>3865</v>
      </c>
      <c r="L355" s="110" t="s">
        <v>69</v>
      </c>
      <c r="M355" s="111"/>
      <c r="N355" s="111"/>
      <c r="O355" s="92" t="s">
        <v>271</v>
      </c>
      <c r="P355" s="67" t="str">
        <f t="shared" si="1"/>
        <v>52.12562, 29.33316</v>
      </c>
      <c r="Q355" s="67" t="str">
        <f t="shared" si="2"/>
        <v>52.125565, 29.334186</v>
      </c>
      <c r="R355" s="67">
        <f t="shared" si="3"/>
        <v>52.125565</v>
      </c>
      <c r="S355" s="67">
        <f t="shared" si="4"/>
        <v>29.334186</v>
      </c>
      <c r="T355" s="161"/>
      <c r="U355" s="69"/>
      <c r="V355" s="65" t="s">
        <v>3866</v>
      </c>
      <c r="W355" s="71" t="s">
        <v>74</v>
      </c>
      <c r="X355" s="72" t="s">
        <v>75</v>
      </c>
      <c r="Y355" s="61" t="s">
        <v>76</v>
      </c>
      <c r="Z355" s="73"/>
      <c r="AA355" s="61" t="s">
        <v>77</v>
      </c>
      <c r="AB355" s="73"/>
      <c r="AC355" s="73"/>
      <c r="AD355" s="73"/>
      <c r="AE355" s="73"/>
      <c r="AF355" s="73"/>
      <c r="AG355" s="73"/>
      <c r="AH355" s="73"/>
      <c r="AI355" s="73"/>
      <c r="AJ355" s="75"/>
      <c r="AK355" s="76" t="s">
        <v>798</v>
      </c>
      <c r="AL355" s="83" t="s">
        <v>3867</v>
      </c>
      <c r="AM355" s="71" t="s">
        <v>3868</v>
      </c>
      <c r="AN355" s="84" t="s">
        <v>3869</v>
      </c>
      <c r="AO355" s="71" t="s">
        <v>3870</v>
      </c>
      <c r="AP355" s="161" t="str">
        <f>IMAGE("https://bellingcat-archive.nyc3.cdn.digitaloceanspaces.com/Ukraine_Witness_Datasheet/Worksheet/youtube_dl_1494333849362321409/out2.jpg")</f>
        <v/>
      </c>
      <c r="AQ355" s="84" t="s">
        <v>3871</v>
      </c>
      <c r="AR355" s="71" t="s">
        <v>3872</v>
      </c>
      <c r="AS355" s="71" t="s">
        <v>3873</v>
      </c>
      <c r="AT355" s="71">
        <v>14.974</v>
      </c>
      <c r="AU355" s="89"/>
      <c r="AV355" s="162"/>
      <c r="AW355" s="81"/>
    </row>
    <row r="356" ht="15.75" customHeight="1">
      <c r="A356" s="87" t="s">
        <v>63</v>
      </c>
      <c r="B356" s="73"/>
      <c r="C356" s="57" t="s">
        <v>3539</v>
      </c>
      <c r="D356" s="104">
        <v>50.858338</v>
      </c>
      <c r="E356" s="104">
        <v>36.147395</v>
      </c>
      <c r="F356" s="59">
        <v>1.0</v>
      </c>
      <c r="G356" s="84" t="s">
        <v>3874</v>
      </c>
      <c r="H356" s="61" t="s">
        <v>66</v>
      </c>
      <c r="I356" s="75"/>
      <c r="J356" s="63" t="s">
        <v>3049</v>
      </c>
      <c r="K356" s="88" t="s">
        <v>3875</v>
      </c>
      <c r="L356" s="110" t="s">
        <v>79</v>
      </c>
      <c r="M356" s="92" t="s">
        <v>547</v>
      </c>
      <c r="N356" s="92" t="s">
        <v>3876</v>
      </c>
      <c r="O356" s="111"/>
      <c r="P356" s="67" t="str">
        <f t="shared" si="1"/>
        <v>50.858338, 36.147395</v>
      </c>
      <c r="Q356" s="67" t="str">
        <f t="shared" si="2"/>
        <v>50.85818, 36.146625</v>
      </c>
      <c r="R356" s="67">
        <f t="shared" si="3"/>
        <v>50.85818</v>
      </c>
      <c r="S356" s="67">
        <f t="shared" si="4"/>
        <v>36.146625</v>
      </c>
      <c r="T356" s="161"/>
      <c r="U356" s="69"/>
      <c r="V356" s="65" t="s">
        <v>3877</v>
      </c>
      <c r="W356" s="71" t="s">
        <v>74</v>
      </c>
      <c r="X356" s="72" t="s">
        <v>75</v>
      </c>
      <c r="Y356" s="61" t="s">
        <v>76</v>
      </c>
      <c r="Z356" s="73"/>
      <c r="AA356" s="61" t="s">
        <v>77</v>
      </c>
      <c r="AB356" s="73"/>
      <c r="AC356" s="73"/>
      <c r="AD356" s="73"/>
      <c r="AE356" s="73"/>
      <c r="AF356" s="73"/>
      <c r="AG356" s="73"/>
      <c r="AH356" s="73"/>
      <c r="AI356" s="73"/>
      <c r="AJ356" s="75"/>
      <c r="AK356" s="76" t="s">
        <v>798</v>
      </c>
      <c r="AL356" s="83" t="s">
        <v>3878</v>
      </c>
      <c r="AM356" s="71" t="s">
        <v>3879</v>
      </c>
      <c r="AN356" s="84" t="s">
        <v>3880</v>
      </c>
      <c r="AO356" s="71" t="s">
        <v>3881</v>
      </c>
      <c r="AP356" s="161" t="str">
        <f>IMAGE("https://bellingcat-archive.nyc3.cdn.digitaloceanspaces.com/Ukraine_Witness_Datasheet/Worksheet/youtube_dl_1494166438810112002/out2.jpg")</f>
        <v/>
      </c>
      <c r="AQ356" s="84" t="s">
        <v>3882</v>
      </c>
      <c r="AR356" s="71" t="s">
        <v>1051</v>
      </c>
      <c r="AS356" s="71" t="s">
        <v>3883</v>
      </c>
      <c r="AT356" s="71">
        <v>28.631</v>
      </c>
      <c r="AU356" s="89"/>
      <c r="AV356" s="162"/>
      <c r="AW356" s="81"/>
    </row>
    <row r="357" ht="15.75" customHeight="1">
      <c r="A357" s="87" t="s">
        <v>63</v>
      </c>
      <c r="B357" s="73"/>
      <c r="C357" s="57" t="s">
        <v>3539</v>
      </c>
      <c r="D357" s="74">
        <v>50.223421</v>
      </c>
      <c r="E357" s="74">
        <v>38.110431</v>
      </c>
      <c r="F357" s="59">
        <v>1.0</v>
      </c>
      <c r="G357" s="84" t="s">
        <v>3884</v>
      </c>
      <c r="H357" s="61" t="s">
        <v>66</v>
      </c>
      <c r="I357" s="75"/>
      <c r="J357" s="63" t="s">
        <v>3885</v>
      </c>
      <c r="K357" s="88" t="s">
        <v>3886</v>
      </c>
      <c r="L357" s="110" t="s">
        <v>79</v>
      </c>
      <c r="M357" s="92" t="s">
        <v>547</v>
      </c>
      <c r="N357" s="92" t="s">
        <v>548</v>
      </c>
      <c r="O357" s="111"/>
      <c r="P357" s="67" t="str">
        <f t="shared" si="1"/>
        <v>50.223421, 38.110431</v>
      </c>
      <c r="Q357" s="67" t="str">
        <f t="shared" si="2"/>
        <v>50.223282, 38.111601</v>
      </c>
      <c r="R357" s="67">
        <f t="shared" si="3"/>
        <v>50.223282</v>
      </c>
      <c r="S357" s="67">
        <f t="shared" si="4"/>
        <v>38.111601</v>
      </c>
      <c r="T357" s="161"/>
      <c r="U357" s="69"/>
      <c r="V357" s="65" t="s">
        <v>3887</v>
      </c>
      <c r="W357" s="71" t="s">
        <v>74</v>
      </c>
      <c r="X357" s="72" t="s">
        <v>75</v>
      </c>
      <c r="Y357" s="61" t="s">
        <v>76</v>
      </c>
      <c r="Z357" s="73"/>
      <c r="AA357" s="61" t="s">
        <v>77</v>
      </c>
      <c r="AB357" s="73"/>
      <c r="AC357" s="73"/>
      <c r="AD357" s="73"/>
      <c r="AE357" s="73"/>
      <c r="AF357" s="73"/>
      <c r="AG357" s="73"/>
      <c r="AH357" s="73"/>
      <c r="AI357" s="73"/>
      <c r="AJ357" s="75"/>
      <c r="AK357" s="76" t="s">
        <v>798</v>
      </c>
      <c r="AL357" s="83" t="s">
        <v>3888</v>
      </c>
      <c r="AM357" s="71" t="s">
        <v>3889</v>
      </c>
      <c r="AN357" s="84" t="s">
        <v>3890</v>
      </c>
      <c r="AO357" s="71" t="s">
        <v>3891</v>
      </c>
      <c r="AP357" s="161" t="str">
        <f>IMAGE("https://bellingcat-archive.nyc3.cdn.digitaloceanspaces.com/Ukraine_Witness_Datasheet/Worksheet/youtube_dl_1494396199411068932/out2.jpg")</f>
        <v/>
      </c>
      <c r="AQ357" s="84" t="s">
        <v>3892</v>
      </c>
      <c r="AR357" s="71" t="s">
        <v>3893</v>
      </c>
      <c r="AS357" s="71" t="s">
        <v>3894</v>
      </c>
      <c r="AT357" s="71">
        <v>9.637</v>
      </c>
      <c r="AU357" s="89"/>
      <c r="AV357" s="162"/>
      <c r="AW357" s="81"/>
    </row>
    <row r="358" ht="15.75" customHeight="1">
      <c r="A358" s="87" t="s">
        <v>63</v>
      </c>
      <c r="B358" s="73"/>
      <c r="C358" s="57" t="s">
        <v>3539</v>
      </c>
      <c r="D358" s="74">
        <v>50.7009</v>
      </c>
      <c r="E358" s="74">
        <v>36.2902</v>
      </c>
      <c r="F358" s="59">
        <v>1.0</v>
      </c>
      <c r="G358" s="84" t="s">
        <v>3895</v>
      </c>
      <c r="H358" s="61" t="s">
        <v>66</v>
      </c>
      <c r="I358" s="75"/>
      <c r="J358" s="63" t="s">
        <v>3885</v>
      </c>
      <c r="K358" s="88" t="s">
        <v>3896</v>
      </c>
      <c r="L358" s="110" t="s">
        <v>79</v>
      </c>
      <c r="M358" s="92" t="s">
        <v>547</v>
      </c>
      <c r="N358" s="92" t="s">
        <v>3897</v>
      </c>
      <c r="O358" s="111"/>
      <c r="P358" s="67" t="str">
        <f t="shared" si="1"/>
        <v>50.7009, 36.2902</v>
      </c>
      <c r="Q358" s="67" t="str">
        <f t="shared" si="2"/>
        <v>50.700341, 36.289332</v>
      </c>
      <c r="R358" s="67">
        <f t="shared" si="3"/>
        <v>50.700341</v>
      </c>
      <c r="S358" s="67">
        <f t="shared" si="4"/>
        <v>36.289332</v>
      </c>
      <c r="T358" s="161"/>
      <c r="U358" s="69"/>
      <c r="V358" s="65" t="s">
        <v>3898</v>
      </c>
      <c r="W358" s="71" t="s">
        <v>74</v>
      </c>
      <c r="X358" s="72" t="s">
        <v>75</v>
      </c>
      <c r="Y358" s="61" t="s">
        <v>76</v>
      </c>
      <c r="Z358" s="73"/>
      <c r="AA358" s="61" t="s">
        <v>77</v>
      </c>
      <c r="AB358" s="73"/>
      <c r="AC358" s="73"/>
      <c r="AD358" s="73"/>
      <c r="AE358" s="73"/>
      <c r="AF358" s="73"/>
      <c r="AG358" s="73"/>
      <c r="AH358" s="73"/>
      <c r="AI358" s="73"/>
      <c r="AJ358" s="75"/>
      <c r="AK358" s="76" t="s">
        <v>798</v>
      </c>
      <c r="AL358" s="83" t="s">
        <v>3899</v>
      </c>
      <c r="AM358" s="71" t="s">
        <v>3900</v>
      </c>
      <c r="AN358" s="84" t="s">
        <v>3901</v>
      </c>
      <c r="AO358" s="71" t="s">
        <v>3902</v>
      </c>
      <c r="AP358" s="161" t="str">
        <f>IMAGE("https://bellingcat-archive.nyc3.cdn.digitaloceanspaces.com/Ukraine_Witness_Datasheet/Worksheet/youtube_dl_1493256015445377033/out2.jpg")</f>
        <v/>
      </c>
      <c r="AQ358" s="84" t="s">
        <v>3903</v>
      </c>
      <c r="AR358" s="71" t="s">
        <v>1838</v>
      </c>
      <c r="AS358" s="71" t="s">
        <v>3904</v>
      </c>
      <c r="AT358" s="71">
        <v>17.379</v>
      </c>
      <c r="AU358" s="89"/>
      <c r="AV358" s="162"/>
      <c r="AW358" s="81"/>
    </row>
    <row r="359" ht="15.75" customHeight="1">
      <c r="A359" s="87" t="s">
        <v>63</v>
      </c>
      <c r="B359" s="73"/>
      <c r="C359" s="57" t="s">
        <v>3703</v>
      </c>
      <c r="D359" s="104">
        <v>50.500994</v>
      </c>
      <c r="E359" s="74">
        <v>36.370201</v>
      </c>
      <c r="F359" s="59">
        <v>1.0</v>
      </c>
      <c r="G359" s="84" t="s">
        <v>3905</v>
      </c>
      <c r="H359" s="61" t="s">
        <v>66</v>
      </c>
      <c r="I359" s="75"/>
      <c r="J359" s="63" t="s">
        <v>3906</v>
      </c>
      <c r="K359" s="88" t="s">
        <v>3907</v>
      </c>
      <c r="L359" s="110" t="s">
        <v>79</v>
      </c>
      <c r="M359" s="92" t="s">
        <v>547</v>
      </c>
      <c r="N359" s="111"/>
      <c r="O359" s="92" t="s">
        <v>3908</v>
      </c>
      <c r="P359" s="67" t="str">
        <f t="shared" si="1"/>
        <v>50.500994, 36.370201</v>
      </c>
      <c r="Q359" s="67" t="str">
        <f t="shared" si="2"/>
        <v>50.500644, 36.370604</v>
      </c>
      <c r="R359" s="67">
        <f t="shared" si="3"/>
        <v>50.500644</v>
      </c>
      <c r="S359" s="67">
        <f t="shared" si="4"/>
        <v>36.370604</v>
      </c>
      <c r="T359" s="161"/>
      <c r="U359" s="69"/>
      <c r="V359" s="65" t="s">
        <v>3909</v>
      </c>
      <c r="W359" s="71" t="s">
        <v>74</v>
      </c>
      <c r="X359" s="72" t="s">
        <v>75</v>
      </c>
      <c r="Y359" s="61" t="s">
        <v>76</v>
      </c>
      <c r="Z359" s="73"/>
      <c r="AA359" s="61" t="s">
        <v>77</v>
      </c>
      <c r="AB359" s="73"/>
      <c r="AC359" s="73"/>
      <c r="AD359" s="73"/>
      <c r="AE359" s="73"/>
      <c r="AF359" s="73"/>
      <c r="AG359" s="73"/>
      <c r="AH359" s="73"/>
      <c r="AI359" s="73"/>
      <c r="AJ359" s="75"/>
      <c r="AK359" s="76" t="s">
        <v>798</v>
      </c>
      <c r="AL359" s="83" t="s">
        <v>3910</v>
      </c>
      <c r="AM359" s="71" t="s">
        <v>3911</v>
      </c>
      <c r="AN359" s="84" t="s">
        <v>3912</v>
      </c>
      <c r="AO359" s="71" t="s">
        <v>3913</v>
      </c>
      <c r="AP359" s="161" t="str">
        <f>IMAGE("https://bellingcat-archive.nyc3.cdn.digitaloceanspaces.com/Ukraine_Witness_Datasheet/Worksheet/youtube_dl_1494532307193147392/out3.jpg")</f>
        <v/>
      </c>
      <c r="AQ359" s="84" t="s">
        <v>3914</v>
      </c>
      <c r="AR359" s="71" t="s">
        <v>1794</v>
      </c>
      <c r="AS359" s="71" t="s">
        <v>3915</v>
      </c>
      <c r="AT359" s="71">
        <v>84.4</v>
      </c>
      <c r="AU359" s="89"/>
      <c r="AV359" s="162"/>
      <c r="AW359" s="81"/>
    </row>
    <row r="360" ht="15.75" customHeight="1">
      <c r="A360" s="87" t="s">
        <v>63</v>
      </c>
      <c r="B360" s="73"/>
      <c r="C360" s="57" t="s">
        <v>3206</v>
      </c>
      <c r="D360" s="74">
        <v>50.665195</v>
      </c>
      <c r="E360" s="74">
        <v>36.140913</v>
      </c>
      <c r="F360" s="59">
        <v>1.0</v>
      </c>
      <c r="G360" s="84" t="s">
        <v>3916</v>
      </c>
      <c r="H360" s="61" t="s">
        <v>66</v>
      </c>
      <c r="I360" s="75"/>
      <c r="J360" s="63" t="s">
        <v>1924</v>
      </c>
      <c r="K360" s="88" t="s">
        <v>3917</v>
      </c>
      <c r="L360" s="110" t="s">
        <v>79</v>
      </c>
      <c r="M360" s="92" t="s">
        <v>547</v>
      </c>
      <c r="N360" s="92" t="s">
        <v>2816</v>
      </c>
      <c r="O360" s="111"/>
      <c r="P360" s="67" t="str">
        <f t="shared" si="1"/>
        <v>50.665195, 36.140913</v>
      </c>
      <c r="Q360" s="67" t="str">
        <f t="shared" si="2"/>
        <v>50.665127, 36.14005</v>
      </c>
      <c r="R360" s="67">
        <f t="shared" si="3"/>
        <v>50.665127</v>
      </c>
      <c r="S360" s="67">
        <f t="shared" si="4"/>
        <v>36.14005</v>
      </c>
      <c r="T360" s="161"/>
      <c r="U360" s="69"/>
      <c r="V360" s="65" t="s">
        <v>3918</v>
      </c>
      <c r="W360" s="71" t="s">
        <v>74</v>
      </c>
      <c r="X360" s="72" t="s">
        <v>75</v>
      </c>
      <c r="Y360" s="61" t="s">
        <v>76</v>
      </c>
      <c r="Z360" s="73"/>
      <c r="AA360" s="61" t="s">
        <v>77</v>
      </c>
      <c r="AB360" s="73"/>
      <c r="AC360" s="73"/>
      <c r="AD360" s="73"/>
      <c r="AE360" s="73"/>
      <c r="AF360" s="73"/>
      <c r="AG360" s="73"/>
      <c r="AH360" s="73"/>
      <c r="AI360" s="73"/>
      <c r="AJ360" s="75"/>
      <c r="AK360" s="76" t="s">
        <v>798</v>
      </c>
      <c r="AL360" s="83" t="s">
        <v>3919</v>
      </c>
      <c r="AM360" s="71" t="s">
        <v>3920</v>
      </c>
      <c r="AN360" s="84" t="s">
        <v>3921</v>
      </c>
      <c r="AO360" s="71" t="s">
        <v>3922</v>
      </c>
      <c r="AP360" s="161" t="str">
        <f>IMAGE("https://bellingcat-archive.nyc3.cdn.digitaloceanspaces.com/Ukraine_Witness_Datasheet/Worksheet/youtube_dl_1493969098690248707/out3.jpg")</f>
        <v/>
      </c>
      <c r="AQ360" s="84" t="s">
        <v>3923</v>
      </c>
      <c r="AR360" s="71" t="s">
        <v>1838</v>
      </c>
      <c r="AS360" s="71" t="s">
        <v>3924</v>
      </c>
      <c r="AT360" s="71">
        <v>75.375</v>
      </c>
      <c r="AU360" s="89"/>
      <c r="AV360" s="162"/>
      <c r="AW360" s="81"/>
    </row>
    <row r="361" ht="15.75" customHeight="1">
      <c r="A361" s="87" t="s">
        <v>63</v>
      </c>
      <c r="B361" s="73"/>
      <c r="C361" s="57" t="s">
        <v>3703</v>
      </c>
      <c r="D361" s="104">
        <v>51.564055</v>
      </c>
      <c r="E361" s="74">
        <v>39.246142</v>
      </c>
      <c r="F361" s="59">
        <v>1.0</v>
      </c>
      <c r="G361" s="84" t="s">
        <v>3925</v>
      </c>
      <c r="H361" s="61" t="s">
        <v>66</v>
      </c>
      <c r="I361" s="75"/>
      <c r="J361" s="63" t="s">
        <v>1924</v>
      </c>
      <c r="K361" s="88" t="s">
        <v>3926</v>
      </c>
      <c r="L361" s="110" t="s">
        <v>79</v>
      </c>
      <c r="M361" s="92" t="s">
        <v>563</v>
      </c>
      <c r="N361" s="111"/>
      <c r="O361" s="92" t="s">
        <v>563</v>
      </c>
      <c r="P361" s="67" t="str">
        <f t="shared" si="1"/>
        <v>51.564055, 39.246142</v>
      </c>
      <c r="Q361" s="67" t="str">
        <f t="shared" si="2"/>
        <v>51.563903, 39.247033</v>
      </c>
      <c r="R361" s="67">
        <f t="shared" si="3"/>
        <v>51.563903</v>
      </c>
      <c r="S361" s="67">
        <f t="shared" si="4"/>
        <v>39.247033</v>
      </c>
      <c r="T361" s="161"/>
      <c r="U361" s="69"/>
      <c r="V361" s="65" t="s">
        <v>3927</v>
      </c>
      <c r="W361" s="71" t="s">
        <v>74</v>
      </c>
      <c r="X361" s="72" t="s">
        <v>75</v>
      </c>
      <c r="Y361" s="61" t="s">
        <v>76</v>
      </c>
      <c r="Z361" s="73"/>
      <c r="AA361" s="61" t="s">
        <v>77</v>
      </c>
      <c r="AB361" s="73"/>
      <c r="AC361" s="73"/>
      <c r="AD361" s="73"/>
      <c r="AE361" s="73"/>
      <c r="AF361" s="73"/>
      <c r="AG361" s="73"/>
      <c r="AH361" s="73"/>
      <c r="AI361" s="73"/>
      <c r="AJ361" s="75"/>
      <c r="AK361" s="76" t="s">
        <v>798</v>
      </c>
      <c r="AL361" s="83" t="s">
        <v>3928</v>
      </c>
      <c r="AM361" s="71" t="s">
        <v>3929</v>
      </c>
      <c r="AN361" s="84" t="s">
        <v>3930</v>
      </c>
      <c r="AO361" s="71" t="s">
        <v>3931</v>
      </c>
      <c r="AP361" s="161" t="str">
        <f>IMAGE("https://bellingcat-archive.nyc3.cdn.digitaloceanspaces.com/Ukraine_Witness_Datasheet/Worksheet/youtube_dl_1494310992494399492/out2.jpg")</f>
        <v/>
      </c>
      <c r="AQ361" s="84" t="s">
        <v>3932</v>
      </c>
      <c r="AR361" s="71" t="s">
        <v>599</v>
      </c>
      <c r="AS361" s="71" t="s">
        <v>3933</v>
      </c>
      <c r="AT361" s="71">
        <v>25.8</v>
      </c>
      <c r="AU361" s="89"/>
      <c r="AV361" s="162"/>
      <c r="AW361" s="81"/>
    </row>
    <row r="362" ht="15.75" customHeight="1">
      <c r="A362" s="87" t="s">
        <v>63</v>
      </c>
      <c r="B362" s="73"/>
      <c r="C362" s="57" t="s">
        <v>3703</v>
      </c>
      <c r="D362" s="104">
        <v>45.747391</v>
      </c>
      <c r="E362" s="74">
        <v>34.411273</v>
      </c>
      <c r="F362" s="59">
        <v>1.0</v>
      </c>
      <c r="G362" s="84" t="s">
        <v>3934</v>
      </c>
      <c r="H362" s="61" t="s">
        <v>66</v>
      </c>
      <c r="I362" s="75"/>
      <c r="J362" s="63" t="s">
        <v>553</v>
      </c>
      <c r="K362" s="88" t="s">
        <v>3935</v>
      </c>
      <c r="L362" s="134"/>
      <c r="M362" s="92" t="s">
        <v>407</v>
      </c>
      <c r="N362" s="92" t="s">
        <v>3936</v>
      </c>
      <c r="O362" s="111"/>
      <c r="P362" s="67" t="str">
        <f t="shared" si="1"/>
        <v>45.747391, 34.411273</v>
      </c>
      <c r="Q362" s="67" t="str">
        <f t="shared" si="2"/>
        <v>45.747341, 34.410607</v>
      </c>
      <c r="R362" s="67">
        <f t="shared" si="3"/>
        <v>45.747341</v>
      </c>
      <c r="S362" s="67">
        <f t="shared" si="4"/>
        <v>34.410607</v>
      </c>
      <c r="T362" s="161"/>
      <c r="U362" s="69"/>
      <c r="V362" s="65" t="s">
        <v>3937</v>
      </c>
      <c r="W362" s="71" t="s">
        <v>74</v>
      </c>
      <c r="X362" s="72" t="s">
        <v>75</v>
      </c>
      <c r="Y362" s="61" t="s">
        <v>76</v>
      </c>
      <c r="Z362" s="73"/>
      <c r="AA362" s="61" t="s">
        <v>77</v>
      </c>
      <c r="AB362" s="73"/>
      <c r="AC362" s="73"/>
      <c r="AD362" s="73"/>
      <c r="AE362" s="73"/>
      <c r="AF362" s="73"/>
      <c r="AG362" s="73"/>
      <c r="AH362" s="73"/>
      <c r="AI362" s="73"/>
      <c r="AJ362" s="75"/>
      <c r="AK362" s="76" t="s">
        <v>798</v>
      </c>
      <c r="AL362" s="83" t="s">
        <v>3938</v>
      </c>
      <c r="AM362" s="71" t="s">
        <v>3939</v>
      </c>
      <c r="AN362" s="84" t="s">
        <v>3940</v>
      </c>
      <c r="AO362" s="71" t="s">
        <v>3941</v>
      </c>
      <c r="AP362" s="161" t="str">
        <f>IMAGE("https://bellingcat-archive.nyc3.cdn.digitaloceanspaces.com/Ukraine_Witness_Datasheet/Worksheet/youtube_dl_1494597653455380494/out2.jpg")</f>
        <v/>
      </c>
      <c r="AQ362" s="84" t="s">
        <v>3942</v>
      </c>
      <c r="AR362" s="71" t="s">
        <v>1203</v>
      </c>
      <c r="AS362" s="71" t="s">
        <v>3943</v>
      </c>
      <c r="AT362" s="71">
        <v>6.6</v>
      </c>
      <c r="AU362" s="89"/>
      <c r="AV362" s="162"/>
      <c r="AW362" s="81"/>
    </row>
    <row r="363" ht="15.75" customHeight="1">
      <c r="A363" s="95" t="s">
        <v>3944</v>
      </c>
      <c r="B363" s="73"/>
      <c r="C363" s="57" t="s">
        <v>3703</v>
      </c>
      <c r="D363" s="104">
        <v>51.51186</v>
      </c>
      <c r="E363" s="104">
        <v>29.424702</v>
      </c>
      <c r="F363" s="59">
        <v>1.0</v>
      </c>
      <c r="G363" s="84" t="s">
        <v>3945</v>
      </c>
      <c r="H363" s="61" t="s">
        <v>66</v>
      </c>
      <c r="I363" s="75"/>
      <c r="J363" s="63" t="s">
        <v>3946</v>
      </c>
      <c r="K363" s="69"/>
      <c r="L363" s="110" t="s">
        <v>69</v>
      </c>
      <c r="M363" s="92" t="s">
        <v>70</v>
      </c>
      <c r="N363" s="111"/>
      <c r="O363" s="92" t="s">
        <v>3947</v>
      </c>
      <c r="P363" s="67" t="str">
        <f t="shared" si="1"/>
        <v>51.51186, 29.424702</v>
      </c>
      <c r="Q363" s="67" t="str">
        <f t="shared" si="2"/>
        <v>51.511781, 29.423963</v>
      </c>
      <c r="R363" s="67">
        <f t="shared" si="3"/>
        <v>51.511781</v>
      </c>
      <c r="S363" s="67">
        <f t="shared" si="4"/>
        <v>29.423963</v>
      </c>
      <c r="T363" s="161"/>
      <c r="U363" s="69"/>
      <c r="V363" s="65" t="s">
        <v>3948</v>
      </c>
      <c r="W363" s="71" t="s">
        <v>74</v>
      </c>
      <c r="X363" s="72" t="s">
        <v>75</v>
      </c>
      <c r="Y363" s="73"/>
      <c r="Z363" s="73"/>
      <c r="AA363" s="73"/>
      <c r="AB363" s="73"/>
      <c r="AC363" s="73"/>
      <c r="AD363" s="73"/>
      <c r="AE363" s="73"/>
      <c r="AF363" s="73"/>
      <c r="AG363" s="73"/>
      <c r="AH363" s="73"/>
      <c r="AI363" s="73"/>
      <c r="AJ363" s="75"/>
      <c r="AK363" s="76" t="s">
        <v>798</v>
      </c>
      <c r="AL363" s="83" t="s">
        <v>3949</v>
      </c>
      <c r="AM363" s="71" t="s">
        <v>3950</v>
      </c>
      <c r="AN363" s="84" t="s">
        <v>3951</v>
      </c>
      <c r="AO363" s="71" t="s">
        <v>3952</v>
      </c>
      <c r="AP363" s="161" t="str">
        <f>IMAGE("https://bellingcat-archive.nyc3.cdn.digitaloceanspaces.com/Ukraine_Witness_Datasheet/Worksheet/youtube_dl_1494667171972141061/out2.jpg")</f>
        <v/>
      </c>
      <c r="AQ363" s="84" t="s">
        <v>3953</v>
      </c>
      <c r="AR363" s="71" t="s">
        <v>3954</v>
      </c>
      <c r="AS363" s="71" t="s">
        <v>3955</v>
      </c>
      <c r="AT363" s="71">
        <v>32.299</v>
      </c>
      <c r="AU363" s="89"/>
      <c r="AV363" s="162"/>
      <c r="AW363" s="81"/>
    </row>
    <row r="364" ht="15.75" customHeight="1">
      <c r="A364" s="95" t="s">
        <v>63</v>
      </c>
      <c r="B364" s="73"/>
      <c r="C364" s="57" t="s">
        <v>3703</v>
      </c>
      <c r="D364" s="74">
        <v>48.010155</v>
      </c>
      <c r="E364" s="74">
        <v>37.800712</v>
      </c>
      <c r="F364" s="59">
        <v>1.0</v>
      </c>
      <c r="G364" s="84" t="s">
        <v>3956</v>
      </c>
      <c r="H364" s="61" t="s">
        <v>66</v>
      </c>
      <c r="I364" s="75"/>
      <c r="J364" s="63" t="s">
        <v>3957</v>
      </c>
      <c r="K364" s="69"/>
      <c r="L364" s="134"/>
      <c r="M364" s="111"/>
      <c r="N364" s="111"/>
      <c r="O364" s="92" t="s">
        <v>3958</v>
      </c>
      <c r="P364" s="67" t="str">
        <f t="shared" si="1"/>
        <v>48.010155, 37.800712</v>
      </c>
      <c r="Q364" s="67" t="str">
        <f t="shared" si="2"/>
        <v>48.009506, 37.801105</v>
      </c>
      <c r="R364" s="67">
        <f t="shared" si="3"/>
        <v>48.009506</v>
      </c>
      <c r="S364" s="67">
        <f t="shared" si="4"/>
        <v>37.801105</v>
      </c>
      <c r="T364" s="161"/>
      <c r="U364" s="69"/>
      <c r="V364" s="65" t="s">
        <v>3959</v>
      </c>
      <c r="W364" s="180" t="s">
        <v>3546</v>
      </c>
      <c r="X364" s="72" t="s">
        <v>75</v>
      </c>
      <c r="Y364" s="73"/>
      <c r="Z364" s="73"/>
      <c r="AA364" s="73"/>
      <c r="AB364" s="73"/>
      <c r="AC364" s="73"/>
      <c r="AD364" s="73"/>
      <c r="AE364" s="73"/>
      <c r="AF364" s="73"/>
      <c r="AG364" s="73"/>
      <c r="AH364" s="73"/>
      <c r="AI364" s="73"/>
      <c r="AJ364" s="75"/>
      <c r="AK364" s="76" t="s">
        <v>2108</v>
      </c>
      <c r="AL364" s="83" t="s">
        <v>3960</v>
      </c>
      <c r="AM364" s="71" t="s">
        <v>3961</v>
      </c>
      <c r="AN364" s="84" t="s">
        <v>3962</v>
      </c>
      <c r="AO364" s="71" t="s">
        <v>3963</v>
      </c>
      <c r="AP364" s="161" t="str">
        <f>IMAGE("https://bellingcat-archive.nyc3.cdn.digitaloceanspaces.com/Ukraine_Witness_Datasheet/Worksheet/twitter__media_FL5LP-8XoAI1eRU.jpg")</f>
        <v/>
      </c>
      <c r="AQ364" s="161"/>
      <c r="AR364" s="161"/>
      <c r="AS364" s="161"/>
      <c r="AT364" s="161"/>
      <c r="AU364" s="89"/>
      <c r="AV364" s="162"/>
      <c r="AW364" s="81"/>
    </row>
    <row r="365" ht="15.75" customHeight="1">
      <c r="A365" s="95" t="s">
        <v>63</v>
      </c>
      <c r="B365" s="73"/>
      <c r="C365" s="57" t="s">
        <v>3703</v>
      </c>
      <c r="D365" s="58">
        <v>51.78385</v>
      </c>
      <c r="E365" s="58">
        <v>29.484522</v>
      </c>
      <c r="F365" s="59">
        <v>1.0</v>
      </c>
      <c r="G365" s="84" t="s">
        <v>3964</v>
      </c>
      <c r="H365" s="61" t="s">
        <v>66</v>
      </c>
      <c r="I365" s="75"/>
      <c r="J365" s="63" t="s">
        <v>1629</v>
      </c>
      <c r="K365" s="69"/>
      <c r="L365" s="110" t="s">
        <v>69</v>
      </c>
      <c r="M365" s="92" t="s">
        <v>70</v>
      </c>
      <c r="N365" s="111"/>
      <c r="O365" s="92" t="s">
        <v>1993</v>
      </c>
      <c r="P365" s="67" t="str">
        <f t="shared" si="1"/>
        <v>51.78385, 29.484522</v>
      </c>
      <c r="Q365" s="67" t="str">
        <f t="shared" si="2"/>
        <v>51.783383, 29.484282</v>
      </c>
      <c r="R365" s="67">
        <f t="shared" si="3"/>
        <v>51.783383</v>
      </c>
      <c r="S365" s="67">
        <f t="shared" si="4"/>
        <v>29.484282</v>
      </c>
      <c r="T365" s="161"/>
      <c r="U365" s="69"/>
      <c r="V365" s="65" t="s">
        <v>3965</v>
      </c>
      <c r="W365" s="71" t="s">
        <v>74</v>
      </c>
      <c r="X365" s="72" t="s">
        <v>75</v>
      </c>
      <c r="Y365" s="73"/>
      <c r="Z365" s="73"/>
      <c r="AA365" s="73"/>
      <c r="AB365" s="73"/>
      <c r="AC365" s="73"/>
      <c r="AD365" s="73"/>
      <c r="AE365" s="73"/>
      <c r="AF365" s="73"/>
      <c r="AG365" s="73"/>
      <c r="AH365" s="73"/>
      <c r="AI365" s="73"/>
      <c r="AJ365" s="75"/>
      <c r="AK365" s="76" t="s">
        <v>798</v>
      </c>
      <c r="AL365" s="83" t="s">
        <v>3966</v>
      </c>
      <c r="AM365" s="71" t="s">
        <v>3967</v>
      </c>
      <c r="AN365" s="84" t="s">
        <v>3968</v>
      </c>
      <c r="AO365" s="71" t="s">
        <v>3969</v>
      </c>
      <c r="AP365" s="161" t="str">
        <f>IMAGE("https://bellingcat-archive.nyc3.cdn.digitaloceanspaces.com/Ukraine_Witness_Datasheet/Worksheet/youtube_dl_1494733116417716225/out2.jpg")</f>
        <v/>
      </c>
      <c r="AQ365" s="84" t="s">
        <v>3970</v>
      </c>
      <c r="AR365" s="71" t="s">
        <v>3971</v>
      </c>
      <c r="AS365" s="71" t="s">
        <v>3972</v>
      </c>
      <c r="AT365" s="71">
        <v>29.166</v>
      </c>
      <c r="AU365" s="89"/>
      <c r="AV365" s="162"/>
      <c r="AW365" s="81"/>
    </row>
    <row r="366" ht="15.75" customHeight="1">
      <c r="A366" s="87" t="s">
        <v>63</v>
      </c>
      <c r="B366" s="73"/>
      <c r="C366" s="57" t="s">
        <v>3703</v>
      </c>
      <c r="D366" s="74">
        <v>53.121944</v>
      </c>
      <c r="E366" s="74">
        <v>34.979444</v>
      </c>
      <c r="F366" s="59">
        <v>1.0</v>
      </c>
      <c r="G366" s="84" t="s">
        <v>3973</v>
      </c>
      <c r="H366" s="61" t="s">
        <v>66</v>
      </c>
      <c r="I366" s="75"/>
      <c r="J366" s="63" t="s">
        <v>3974</v>
      </c>
      <c r="K366" s="88" t="s">
        <v>3975</v>
      </c>
      <c r="L366" s="110" t="s">
        <v>79</v>
      </c>
      <c r="M366" s="92" t="s">
        <v>240</v>
      </c>
      <c r="N366" s="111"/>
      <c r="O366" s="92" t="s">
        <v>3976</v>
      </c>
      <c r="P366" s="67" t="str">
        <f t="shared" si="1"/>
        <v>53.121944, 34.979444</v>
      </c>
      <c r="Q366" s="67" t="str">
        <f t="shared" si="2"/>
        <v>53.121936, 34.978191</v>
      </c>
      <c r="R366" s="67">
        <f t="shared" si="3"/>
        <v>53.121936</v>
      </c>
      <c r="S366" s="67">
        <f t="shared" si="4"/>
        <v>34.978191</v>
      </c>
      <c r="T366" s="161"/>
      <c r="U366" s="64" t="s">
        <v>3977</v>
      </c>
      <c r="V366" s="65" t="s">
        <v>3978</v>
      </c>
      <c r="W366" s="71" t="s">
        <v>74</v>
      </c>
      <c r="X366" s="72" t="s">
        <v>75</v>
      </c>
      <c r="Y366" s="73"/>
      <c r="Z366" s="73"/>
      <c r="AA366" s="73"/>
      <c r="AB366" s="73"/>
      <c r="AC366" s="73"/>
      <c r="AD366" s="73"/>
      <c r="AE366" s="73"/>
      <c r="AF366" s="73"/>
      <c r="AG366" s="73"/>
      <c r="AH366" s="73"/>
      <c r="AI366" s="73"/>
      <c r="AJ366" s="75"/>
      <c r="AK366" s="76" t="s">
        <v>798</v>
      </c>
      <c r="AL366" s="83" t="s">
        <v>3979</v>
      </c>
      <c r="AM366" s="71" t="s">
        <v>3980</v>
      </c>
      <c r="AN366" s="84" t="s">
        <v>3981</v>
      </c>
      <c r="AO366" s="71" t="s">
        <v>3982</v>
      </c>
      <c r="AP366" s="161" t="str">
        <f>IMAGE("https://bellingcat-archive.nyc3.cdn.digitaloceanspaces.com/Ukraine_Witness_Datasheet/Worksheet/youtube_dl_1494739311727714306/out2.jpg")</f>
        <v/>
      </c>
      <c r="AQ366" s="84" t="s">
        <v>3983</v>
      </c>
      <c r="AR366" s="71" t="s">
        <v>3984</v>
      </c>
      <c r="AS366" s="71" t="s">
        <v>3985</v>
      </c>
      <c r="AT366" s="71">
        <v>23.2</v>
      </c>
      <c r="AU366" s="89"/>
      <c r="AV366" s="162"/>
      <c r="AW366" s="81"/>
    </row>
    <row r="367" ht="15.75" customHeight="1">
      <c r="A367" s="95" t="s">
        <v>3944</v>
      </c>
      <c r="B367" s="73"/>
      <c r="C367" s="57" t="s">
        <v>3703</v>
      </c>
      <c r="D367" s="104">
        <v>53.012621</v>
      </c>
      <c r="E367" s="104">
        <v>29.208257</v>
      </c>
      <c r="F367" s="59">
        <v>1.0</v>
      </c>
      <c r="G367" s="84" t="s">
        <v>3986</v>
      </c>
      <c r="H367" s="61" t="s">
        <v>66</v>
      </c>
      <c r="I367" s="75"/>
      <c r="J367" s="63" t="s">
        <v>3987</v>
      </c>
      <c r="K367" s="69"/>
      <c r="L367" s="110" t="s">
        <v>69</v>
      </c>
      <c r="M367" s="92" t="s">
        <v>1302</v>
      </c>
      <c r="N367" s="92" t="s">
        <v>3988</v>
      </c>
      <c r="O367" s="92"/>
      <c r="P367" s="67" t="str">
        <f t="shared" si="1"/>
        <v>53.012621, 29.208257</v>
      </c>
      <c r="Q367" s="67" t="str">
        <f t="shared" si="2"/>
        <v>53.012468, 29.207242</v>
      </c>
      <c r="R367" s="67">
        <f t="shared" si="3"/>
        <v>53.012468</v>
      </c>
      <c r="S367" s="67">
        <f t="shared" si="4"/>
        <v>29.207242</v>
      </c>
      <c r="T367" s="161"/>
      <c r="U367" s="69"/>
      <c r="V367" s="65" t="s">
        <v>3989</v>
      </c>
      <c r="W367" s="71" t="s">
        <v>74</v>
      </c>
      <c r="X367" s="72" t="s">
        <v>75</v>
      </c>
      <c r="Y367" s="73"/>
      <c r="Z367" s="73"/>
      <c r="AA367" s="73"/>
      <c r="AB367" s="73"/>
      <c r="AC367" s="73"/>
      <c r="AD367" s="73"/>
      <c r="AE367" s="73"/>
      <c r="AF367" s="73"/>
      <c r="AG367" s="73"/>
      <c r="AH367" s="73"/>
      <c r="AI367" s="73"/>
      <c r="AJ367" s="75"/>
      <c r="AK367" s="76" t="s">
        <v>798</v>
      </c>
      <c r="AL367" s="83" t="s">
        <v>3990</v>
      </c>
      <c r="AM367" s="71" t="s">
        <v>3991</v>
      </c>
      <c r="AN367" s="84" t="s">
        <v>3992</v>
      </c>
      <c r="AO367" s="71" t="s">
        <v>3993</v>
      </c>
      <c r="AP367" s="161" t="str">
        <f>IMAGE("https://bellingcat-archive.nyc3.cdn.digitaloceanspaces.com/Ukraine_Witness_Datasheet/Worksheet/youtube_dl_1494668118320373762/out2.jpg")</f>
        <v/>
      </c>
      <c r="AQ367" s="84" t="s">
        <v>3994</v>
      </c>
      <c r="AR367" s="71" t="s">
        <v>3995</v>
      </c>
      <c r="AS367" s="71" t="s">
        <v>3996</v>
      </c>
      <c r="AT367" s="71">
        <v>29.333</v>
      </c>
      <c r="AU367" s="89"/>
      <c r="AV367" s="162"/>
      <c r="AW367" s="81"/>
    </row>
    <row r="368" ht="15.75" customHeight="1">
      <c r="A368" s="95" t="s">
        <v>3997</v>
      </c>
      <c r="B368" s="73"/>
      <c r="C368" s="57" t="s">
        <v>3703</v>
      </c>
      <c r="D368" s="104">
        <v>45.210692</v>
      </c>
      <c r="E368" s="104">
        <v>33.366481</v>
      </c>
      <c r="F368" s="59">
        <v>1.0</v>
      </c>
      <c r="G368" s="84" t="s">
        <v>3998</v>
      </c>
      <c r="H368" s="61" t="s">
        <v>66</v>
      </c>
      <c r="I368" s="75"/>
      <c r="J368" s="63" t="s">
        <v>3999</v>
      </c>
      <c r="K368" s="69"/>
      <c r="L368" s="134"/>
      <c r="M368" s="92" t="s">
        <v>407</v>
      </c>
      <c r="N368" s="111"/>
      <c r="O368" s="92" t="s">
        <v>4000</v>
      </c>
      <c r="P368" s="67" t="str">
        <f t="shared" si="1"/>
        <v>45.210692, 33.366481</v>
      </c>
      <c r="Q368" s="67" t="str">
        <f t="shared" si="2"/>
        <v>45.210354, 33.36583</v>
      </c>
      <c r="R368" s="67">
        <f t="shared" si="3"/>
        <v>45.210354</v>
      </c>
      <c r="S368" s="67">
        <f t="shared" si="4"/>
        <v>33.36583</v>
      </c>
      <c r="T368" s="161"/>
      <c r="U368" s="69"/>
      <c r="V368" s="65" t="s">
        <v>4001</v>
      </c>
      <c r="W368" s="71" t="s">
        <v>74</v>
      </c>
      <c r="X368" s="72" t="s">
        <v>75</v>
      </c>
      <c r="Y368" s="73"/>
      <c r="Z368" s="73"/>
      <c r="AA368" s="73"/>
      <c r="AB368" s="73"/>
      <c r="AC368" s="73"/>
      <c r="AD368" s="73"/>
      <c r="AE368" s="73"/>
      <c r="AF368" s="73"/>
      <c r="AG368" s="73"/>
      <c r="AH368" s="73"/>
      <c r="AI368" s="73"/>
      <c r="AJ368" s="75"/>
      <c r="AK368" s="76" t="s">
        <v>798</v>
      </c>
      <c r="AL368" s="83" t="s">
        <v>4002</v>
      </c>
      <c r="AM368" s="71" t="s">
        <v>4003</v>
      </c>
      <c r="AN368" s="84" t="s">
        <v>4004</v>
      </c>
      <c r="AO368" s="71" t="s">
        <v>4005</v>
      </c>
      <c r="AP368" s="161" t="str">
        <f>IMAGE("https://bellingcat-archive.nyc3.cdn.digitaloceanspaces.com/Ukraine_Witness_Datasheet/Worksheet/youtube_dl_1494733367597805569/out2.jpg")</f>
        <v/>
      </c>
      <c r="AQ368" s="84" t="s">
        <v>4006</v>
      </c>
      <c r="AR368" s="71" t="s">
        <v>4007</v>
      </c>
      <c r="AS368" s="71" t="s">
        <v>4008</v>
      </c>
      <c r="AT368" s="71">
        <v>16.699</v>
      </c>
      <c r="AU368" s="89"/>
      <c r="AV368" s="162"/>
      <c r="AW368" s="81"/>
    </row>
    <row r="369" ht="15.75" customHeight="1">
      <c r="A369" s="87" t="s">
        <v>63</v>
      </c>
      <c r="B369" s="73"/>
      <c r="C369" s="57" t="s">
        <v>3703</v>
      </c>
      <c r="D369" s="104">
        <v>51.654832</v>
      </c>
      <c r="E369" s="104">
        <v>36.134569</v>
      </c>
      <c r="F369" s="59">
        <v>1.0</v>
      </c>
      <c r="G369" s="84" t="s">
        <v>4009</v>
      </c>
      <c r="H369" s="61" t="s">
        <v>66</v>
      </c>
      <c r="I369" s="75"/>
      <c r="J369" s="63" t="s">
        <v>4010</v>
      </c>
      <c r="K369" s="88" t="s">
        <v>4011</v>
      </c>
      <c r="L369" s="110" t="s">
        <v>79</v>
      </c>
      <c r="M369" s="92" t="s">
        <v>1028</v>
      </c>
      <c r="N369" s="111"/>
      <c r="O369" s="92" t="s">
        <v>1028</v>
      </c>
      <c r="P369" s="67" t="str">
        <f t="shared" si="1"/>
        <v>51.654832, 36.134569</v>
      </c>
      <c r="Q369" s="67" t="str">
        <f t="shared" si="2"/>
        <v>51.654801, 36.133974</v>
      </c>
      <c r="R369" s="67">
        <f t="shared" si="3"/>
        <v>51.654801</v>
      </c>
      <c r="S369" s="67">
        <f t="shared" si="4"/>
        <v>36.133974</v>
      </c>
      <c r="T369" s="161"/>
      <c r="U369" s="69"/>
      <c r="V369" s="65" t="s">
        <v>4012</v>
      </c>
      <c r="W369" s="71" t="s">
        <v>74</v>
      </c>
      <c r="X369" s="72" t="s">
        <v>75</v>
      </c>
      <c r="Y369" s="73"/>
      <c r="Z369" s="73"/>
      <c r="AA369" s="73"/>
      <c r="AB369" s="73"/>
      <c r="AC369" s="73"/>
      <c r="AD369" s="73"/>
      <c r="AE369" s="73"/>
      <c r="AF369" s="73"/>
      <c r="AG369" s="73"/>
      <c r="AH369" s="73"/>
      <c r="AI369" s="73"/>
      <c r="AJ369" s="75"/>
      <c r="AK369" s="136" t="s">
        <v>1261</v>
      </c>
      <c r="AL369" s="147" t="s">
        <v>4013</v>
      </c>
      <c r="AM369" s="138" t="s">
        <v>2687</v>
      </c>
      <c r="AN369" s="163" t="s">
        <v>4014</v>
      </c>
      <c r="AO369" s="164"/>
      <c r="AP369" s="164"/>
      <c r="AQ369" s="164"/>
      <c r="AR369" s="138" t="s">
        <v>4015</v>
      </c>
      <c r="AS369" s="164"/>
      <c r="AT369" s="164"/>
      <c r="AU369" s="89"/>
      <c r="AV369" s="162"/>
      <c r="AW369" s="81"/>
    </row>
    <row r="370" ht="15.75" customHeight="1">
      <c r="A370" s="87" t="s">
        <v>63</v>
      </c>
      <c r="B370" s="73"/>
      <c r="C370" s="57" t="s">
        <v>3703</v>
      </c>
      <c r="D370" s="104">
        <v>50.733049</v>
      </c>
      <c r="E370" s="104">
        <v>37.816783</v>
      </c>
      <c r="F370" s="59">
        <v>1.0</v>
      </c>
      <c r="G370" s="84" t="s">
        <v>4016</v>
      </c>
      <c r="H370" s="61" t="s">
        <v>66</v>
      </c>
      <c r="I370" s="75"/>
      <c r="J370" s="63" t="s">
        <v>4017</v>
      </c>
      <c r="K370" s="88" t="s">
        <v>4018</v>
      </c>
      <c r="L370" s="110" t="s">
        <v>79</v>
      </c>
      <c r="M370" s="111"/>
      <c r="N370" s="111"/>
      <c r="O370" s="111"/>
      <c r="P370" s="67" t="str">
        <f t="shared" si="1"/>
        <v>50.733049, 37.816783</v>
      </c>
      <c r="Q370" s="67" t="str">
        <f t="shared" si="2"/>
        <v>50.732808, 37.815731</v>
      </c>
      <c r="R370" s="67">
        <f t="shared" si="3"/>
        <v>50.732808</v>
      </c>
      <c r="S370" s="67">
        <f t="shared" si="4"/>
        <v>37.815731</v>
      </c>
      <c r="T370" s="161"/>
      <c r="U370" s="64" t="s">
        <v>4019</v>
      </c>
      <c r="V370" s="65" t="s">
        <v>4020</v>
      </c>
      <c r="W370" s="71" t="s">
        <v>74</v>
      </c>
      <c r="X370" s="72" t="s">
        <v>75</v>
      </c>
      <c r="Y370" s="73"/>
      <c r="Z370" s="73"/>
      <c r="AA370" s="73"/>
      <c r="AB370" s="73"/>
      <c r="AC370" s="73"/>
      <c r="AD370" s="73"/>
      <c r="AE370" s="73"/>
      <c r="AF370" s="73"/>
      <c r="AG370" s="73"/>
      <c r="AH370" s="73"/>
      <c r="AI370" s="73"/>
      <c r="AJ370" s="75"/>
      <c r="AK370" s="76" t="s">
        <v>798</v>
      </c>
      <c r="AL370" s="83" t="s">
        <v>4021</v>
      </c>
      <c r="AM370" s="71" t="s">
        <v>4022</v>
      </c>
      <c r="AN370" s="84" t="s">
        <v>4023</v>
      </c>
      <c r="AO370" s="71" t="s">
        <v>4024</v>
      </c>
      <c r="AP370" s="161" t="str">
        <f>IMAGE("https://bellingcat-archive.nyc3.cdn.digitaloceanspaces.com/Ukraine_Witness_Datasheet/Worksheet/youtube_dl_1494675977322041351/out2.jpg")</f>
        <v/>
      </c>
      <c r="AQ370" s="84" t="s">
        <v>4025</v>
      </c>
      <c r="AR370" s="71" t="s">
        <v>1794</v>
      </c>
      <c r="AS370" s="71" t="s">
        <v>4026</v>
      </c>
      <c r="AT370" s="71">
        <v>44.033</v>
      </c>
      <c r="AU370" s="89"/>
      <c r="AV370" s="162"/>
      <c r="AW370" s="81"/>
    </row>
    <row r="371" ht="15.75" customHeight="1">
      <c r="A371" s="87" t="s">
        <v>63</v>
      </c>
      <c r="B371" s="73"/>
      <c r="C371" s="57" t="s">
        <v>3703</v>
      </c>
      <c r="D371" s="104">
        <v>51.008144</v>
      </c>
      <c r="E371" s="104">
        <v>36.074424</v>
      </c>
      <c r="F371" s="59">
        <v>1.0</v>
      </c>
      <c r="G371" s="84" t="s">
        <v>4027</v>
      </c>
      <c r="H371" s="61" t="s">
        <v>66</v>
      </c>
      <c r="I371" s="75"/>
      <c r="J371" s="63" t="s">
        <v>4028</v>
      </c>
      <c r="K371" s="88" t="s">
        <v>4029</v>
      </c>
      <c r="L371" s="110" t="s">
        <v>79</v>
      </c>
      <c r="M371" s="92" t="s">
        <v>547</v>
      </c>
      <c r="N371" s="111"/>
      <c r="O371" s="92" t="s">
        <v>4030</v>
      </c>
      <c r="P371" s="67" t="str">
        <f t="shared" si="1"/>
        <v>51.008144, 36.074424</v>
      </c>
      <c r="Q371" s="67" t="str">
        <f t="shared" si="2"/>
        <v>51.008082, 36.07353</v>
      </c>
      <c r="R371" s="67">
        <f t="shared" si="3"/>
        <v>51.008082</v>
      </c>
      <c r="S371" s="67">
        <f t="shared" si="4"/>
        <v>36.07353</v>
      </c>
      <c r="T371" s="161"/>
      <c r="U371" s="69"/>
      <c r="V371" s="65" t="s">
        <v>4031</v>
      </c>
      <c r="W371" s="71" t="s">
        <v>74</v>
      </c>
      <c r="X371" s="72" t="s">
        <v>75</v>
      </c>
      <c r="Y371" s="73"/>
      <c r="Z371" s="73"/>
      <c r="AA371" s="73"/>
      <c r="AB371" s="73"/>
      <c r="AC371" s="73"/>
      <c r="AD371" s="73"/>
      <c r="AE371" s="73"/>
      <c r="AF371" s="73"/>
      <c r="AG371" s="73"/>
      <c r="AH371" s="73"/>
      <c r="AI371" s="73"/>
      <c r="AJ371" s="75"/>
      <c r="AK371" s="76" t="s">
        <v>798</v>
      </c>
      <c r="AL371" s="83" t="s">
        <v>4032</v>
      </c>
      <c r="AM371" s="71" t="s">
        <v>4033</v>
      </c>
      <c r="AN371" s="84" t="s">
        <v>4034</v>
      </c>
      <c r="AO371" s="71" t="s">
        <v>4035</v>
      </c>
      <c r="AP371" s="161" t="str">
        <f>IMAGE("https://bellingcat-archive.nyc3.cdn.digitaloceanspaces.com/Ukraine_Witness_Datasheet/Worksheet/youtube_dl_1494747979361792008/out2.jpg")</f>
        <v/>
      </c>
      <c r="AQ371" s="84" t="s">
        <v>4036</v>
      </c>
      <c r="AR371" s="71" t="s">
        <v>1051</v>
      </c>
      <c r="AS371" s="71" t="s">
        <v>4037</v>
      </c>
      <c r="AT371" s="71">
        <v>44.86</v>
      </c>
      <c r="AU371" s="89"/>
      <c r="AV371" s="162"/>
      <c r="AW371" s="81"/>
    </row>
    <row r="372" ht="15.75" customHeight="1">
      <c r="A372" s="87" t="s">
        <v>63</v>
      </c>
      <c r="B372" s="73"/>
      <c r="C372" s="57" t="s">
        <v>3703</v>
      </c>
      <c r="D372" s="123">
        <v>50.7636616117051</v>
      </c>
      <c r="E372" s="104">
        <v>35.955101378863</v>
      </c>
      <c r="F372" s="59">
        <v>1.0</v>
      </c>
      <c r="G372" s="84" t="s">
        <v>4038</v>
      </c>
      <c r="H372" s="61" t="s">
        <v>66</v>
      </c>
      <c r="I372" s="75"/>
      <c r="J372" s="63" t="s">
        <v>4039</v>
      </c>
      <c r="K372" s="88" t="s">
        <v>4040</v>
      </c>
      <c r="L372" s="110" t="s">
        <v>79</v>
      </c>
      <c r="M372" s="92" t="s">
        <v>547</v>
      </c>
      <c r="N372" s="111"/>
      <c r="O372" s="92" t="s">
        <v>4041</v>
      </c>
      <c r="P372" s="67" t="str">
        <f t="shared" si="1"/>
        <v>50.7636616117051, 35.955101378863</v>
      </c>
      <c r="Q372" s="67" t="str">
        <f t="shared" si="2"/>
        <v>50.763197, 35.954822</v>
      </c>
      <c r="R372" s="67">
        <f t="shared" si="3"/>
        <v>50.763197</v>
      </c>
      <c r="S372" s="67">
        <f t="shared" si="4"/>
        <v>35.954822</v>
      </c>
      <c r="T372" s="161"/>
      <c r="U372" s="69"/>
      <c r="V372" s="65" t="s">
        <v>4042</v>
      </c>
      <c r="W372" s="71" t="s">
        <v>74</v>
      </c>
      <c r="X372" s="72" t="s">
        <v>75</v>
      </c>
      <c r="Y372" s="73"/>
      <c r="Z372" s="73"/>
      <c r="AA372" s="73"/>
      <c r="AB372" s="73"/>
      <c r="AC372" s="73"/>
      <c r="AD372" s="73"/>
      <c r="AE372" s="73"/>
      <c r="AF372" s="73"/>
      <c r="AG372" s="73"/>
      <c r="AH372" s="73"/>
      <c r="AI372" s="73"/>
      <c r="AJ372" s="75"/>
      <c r="AK372" s="76" t="s">
        <v>798</v>
      </c>
      <c r="AL372" s="83" t="s">
        <v>4043</v>
      </c>
      <c r="AM372" s="71" t="s">
        <v>4044</v>
      </c>
      <c r="AN372" s="84" t="s">
        <v>4045</v>
      </c>
      <c r="AO372" s="71" t="s">
        <v>4046</v>
      </c>
      <c r="AP372" s="161" t="str">
        <f>IMAGE("https://bellingcat-archive.nyc3.cdn.digitaloceanspaces.com/Ukraine_Witness_Datasheet/Worksheet/youtube_dl_1494799856346488840/out2.jpg")</f>
        <v/>
      </c>
      <c r="AQ372" s="84" t="s">
        <v>4047</v>
      </c>
      <c r="AR372" s="71" t="s">
        <v>4048</v>
      </c>
      <c r="AS372" s="71" t="s">
        <v>4049</v>
      </c>
      <c r="AT372" s="71">
        <v>15.7</v>
      </c>
      <c r="AU372" s="89"/>
      <c r="AV372" s="162"/>
      <c r="AW372" s="81"/>
    </row>
    <row r="373" ht="15.75" customHeight="1">
      <c r="A373" s="87" t="s">
        <v>63</v>
      </c>
      <c r="B373" s="73"/>
      <c r="C373" s="57" t="s">
        <v>3703</v>
      </c>
      <c r="D373" s="104">
        <v>51.56451155</v>
      </c>
      <c r="E373" s="104">
        <v>39.24592173</v>
      </c>
      <c r="F373" s="59">
        <v>1.0</v>
      </c>
      <c r="G373" s="84" t="s">
        <v>4050</v>
      </c>
      <c r="H373" s="61" t="s">
        <v>66</v>
      </c>
      <c r="I373" s="75"/>
      <c r="J373" s="63" t="s">
        <v>4051</v>
      </c>
      <c r="K373" s="88" t="s">
        <v>4052</v>
      </c>
      <c r="L373" s="110" t="s">
        <v>79</v>
      </c>
      <c r="M373" s="92" t="s">
        <v>563</v>
      </c>
      <c r="N373" s="111"/>
      <c r="O373" s="92" t="s">
        <v>563</v>
      </c>
      <c r="P373" s="67" t="str">
        <f t="shared" si="1"/>
        <v>51.56451155, 39.24592173</v>
      </c>
      <c r="Q373" s="67" t="str">
        <f t="shared" si="2"/>
        <v>51.56412, 39.246356</v>
      </c>
      <c r="R373" s="67">
        <f t="shared" si="3"/>
        <v>51.56412</v>
      </c>
      <c r="S373" s="67">
        <f t="shared" si="4"/>
        <v>39.246356</v>
      </c>
      <c r="T373" s="161"/>
      <c r="U373" s="69"/>
      <c r="V373" s="65" t="s">
        <v>4053</v>
      </c>
      <c r="W373" s="71" t="s">
        <v>74</v>
      </c>
      <c r="X373" s="72" t="s">
        <v>75</v>
      </c>
      <c r="Y373" s="73"/>
      <c r="Z373" s="73"/>
      <c r="AA373" s="73"/>
      <c r="AB373" s="73"/>
      <c r="AC373" s="73"/>
      <c r="AD373" s="73"/>
      <c r="AE373" s="73"/>
      <c r="AF373" s="73"/>
      <c r="AG373" s="73"/>
      <c r="AH373" s="73"/>
      <c r="AI373" s="73"/>
      <c r="AJ373" s="75"/>
      <c r="AK373" s="76" t="s">
        <v>798</v>
      </c>
      <c r="AL373" s="83" t="s">
        <v>4054</v>
      </c>
      <c r="AM373" s="71" t="s">
        <v>4055</v>
      </c>
      <c r="AN373" s="84" t="s">
        <v>4056</v>
      </c>
      <c r="AO373" s="71" t="s">
        <v>4057</v>
      </c>
      <c r="AP373" s="161" t="str">
        <f>IMAGE("https://bellingcat-archive.nyc3.cdn.digitaloceanspaces.com/Ukraine_Witness_Datasheet/Worksheet/youtube_dl_1494808918735867914/out2.jpg")</f>
        <v/>
      </c>
      <c r="AQ373" s="84" t="s">
        <v>4058</v>
      </c>
      <c r="AR373" s="71" t="s">
        <v>4059</v>
      </c>
      <c r="AS373" s="71" t="s">
        <v>4060</v>
      </c>
      <c r="AT373" s="71">
        <v>10.8</v>
      </c>
      <c r="AU373" s="89"/>
      <c r="AV373" s="162"/>
      <c r="AW373" s="81"/>
    </row>
    <row r="374" ht="15.75" customHeight="1">
      <c r="A374" s="87" t="s">
        <v>63</v>
      </c>
      <c r="B374" s="73"/>
      <c r="C374" s="57" t="s">
        <v>3703</v>
      </c>
      <c r="D374" s="104">
        <v>52.590992536462</v>
      </c>
      <c r="E374" s="74">
        <v>32.8431829685699</v>
      </c>
      <c r="F374" s="59">
        <v>1.0</v>
      </c>
      <c r="G374" s="84" t="s">
        <v>4061</v>
      </c>
      <c r="H374" s="61" t="s">
        <v>91</v>
      </c>
      <c r="I374" s="75"/>
      <c r="J374" s="63" t="s">
        <v>4062</v>
      </c>
      <c r="K374" s="69"/>
      <c r="L374" s="110" t="s">
        <v>79</v>
      </c>
      <c r="M374" s="92" t="s">
        <v>240</v>
      </c>
      <c r="N374" s="111"/>
      <c r="O374" s="92" t="s">
        <v>3328</v>
      </c>
      <c r="P374" s="67" t="str">
        <f t="shared" si="1"/>
        <v>52.590992536462, 32.8431829685699</v>
      </c>
      <c r="Q374" s="67" t="str">
        <f t="shared" si="2"/>
        <v>52.590389, 32.843339</v>
      </c>
      <c r="R374" s="67">
        <f t="shared" si="3"/>
        <v>52.590389</v>
      </c>
      <c r="S374" s="67">
        <f t="shared" si="4"/>
        <v>32.843339</v>
      </c>
      <c r="T374" s="161"/>
      <c r="U374" s="69"/>
      <c r="V374" s="65" t="s">
        <v>4063</v>
      </c>
      <c r="W374" s="71" t="s">
        <v>74</v>
      </c>
      <c r="X374" s="72" t="s">
        <v>75</v>
      </c>
      <c r="Y374" s="73"/>
      <c r="Z374" s="73"/>
      <c r="AA374" s="73"/>
      <c r="AB374" s="73"/>
      <c r="AC374" s="73"/>
      <c r="AD374" s="73"/>
      <c r="AE374" s="73"/>
      <c r="AF374" s="73"/>
      <c r="AG374" s="73"/>
      <c r="AH374" s="73"/>
      <c r="AI374" s="73"/>
      <c r="AJ374" s="75"/>
      <c r="AK374" s="76" t="s">
        <v>2108</v>
      </c>
      <c r="AL374" s="83" t="s">
        <v>4064</v>
      </c>
      <c r="AM374" s="71" t="s">
        <v>4065</v>
      </c>
      <c r="AN374" s="84" t="s">
        <v>4066</v>
      </c>
      <c r="AO374" s="71" t="s">
        <v>4067</v>
      </c>
      <c r="AP374" s="161" t="str">
        <f>IMAGE("https://bellingcat-archive.nyc3.cdn.digitaloceanspaces.com/Ukraine_Witness_Datasheet/Worksheet/twitter__media_FL6kTF1XoAIj4xu.jpg")</f>
        <v/>
      </c>
      <c r="AQ374" s="161"/>
      <c r="AR374" s="161"/>
      <c r="AS374" s="161"/>
      <c r="AT374" s="161"/>
      <c r="AU374" s="89"/>
      <c r="AV374" s="162"/>
      <c r="AW374" s="81"/>
    </row>
    <row r="375" ht="15.75" customHeight="1">
      <c r="A375" s="87" t="s">
        <v>63</v>
      </c>
      <c r="B375" s="73"/>
      <c r="C375" s="57" t="s">
        <v>3703</v>
      </c>
      <c r="D375" s="104">
        <v>50.67268971</v>
      </c>
      <c r="E375" s="104">
        <v>36.23781723</v>
      </c>
      <c r="F375" s="59">
        <v>1.0</v>
      </c>
      <c r="G375" s="84" t="s">
        <v>4068</v>
      </c>
      <c r="H375" s="61" t="s">
        <v>66</v>
      </c>
      <c r="I375" s="75"/>
      <c r="J375" s="63" t="s">
        <v>4069</v>
      </c>
      <c r="K375" s="88" t="s">
        <v>4070</v>
      </c>
      <c r="L375" s="110" t="s">
        <v>79</v>
      </c>
      <c r="M375" s="92" t="s">
        <v>547</v>
      </c>
      <c r="N375" s="111"/>
      <c r="O375" s="92" t="s">
        <v>3074</v>
      </c>
      <c r="P375" s="67" t="str">
        <f t="shared" si="1"/>
        <v>50.67268971, 36.23781723</v>
      </c>
      <c r="Q375" s="67" t="str">
        <f t="shared" si="2"/>
        <v>50.672249, 36.237764</v>
      </c>
      <c r="R375" s="67">
        <f t="shared" si="3"/>
        <v>50.672249</v>
      </c>
      <c r="S375" s="67">
        <f t="shared" si="4"/>
        <v>36.237764</v>
      </c>
      <c r="T375" s="161"/>
      <c r="U375" s="64" t="s">
        <v>4071</v>
      </c>
      <c r="V375" s="65" t="s">
        <v>4072</v>
      </c>
      <c r="W375" s="71" t="s">
        <v>74</v>
      </c>
      <c r="X375" s="72" t="s">
        <v>75</v>
      </c>
      <c r="Y375" s="73"/>
      <c r="Z375" s="73"/>
      <c r="AA375" s="73"/>
      <c r="AB375" s="73"/>
      <c r="AC375" s="73"/>
      <c r="AD375" s="73"/>
      <c r="AE375" s="73"/>
      <c r="AF375" s="73"/>
      <c r="AG375" s="73"/>
      <c r="AH375" s="73"/>
      <c r="AI375" s="73"/>
      <c r="AJ375" s="75"/>
      <c r="AK375" s="76" t="s">
        <v>798</v>
      </c>
      <c r="AL375" s="83" t="s">
        <v>4073</v>
      </c>
      <c r="AM375" s="71" t="s">
        <v>4074</v>
      </c>
      <c r="AN375" s="84" t="s">
        <v>4075</v>
      </c>
      <c r="AO375" s="71" t="s">
        <v>4076</v>
      </c>
      <c r="AP375" s="161" t="str">
        <f>IMAGE("https://bellingcat-archive.nyc3.cdn.digitaloceanspaces.com/Ukraine_Witness_Datasheet/Worksheet/youtube_dl_1494814832536793090/out2.jpg")</f>
        <v/>
      </c>
      <c r="AQ375" s="84" t="s">
        <v>4077</v>
      </c>
      <c r="AR375" s="71" t="s">
        <v>4078</v>
      </c>
      <c r="AS375" s="71" t="s">
        <v>4079</v>
      </c>
      <c r="AT375" s="71">
        <v>17.2</v>
      </c>
      <c r="AU375" s="89"/>
      <c r="AV375" s="162"/>
      <c r="AW375" s="81"/>
    </row>
    <row r="376" ht="15.75" customHeight="1">
      <c r="A376" s="87" t="s">
        <v>63</v>
      </c>
      <c r="B376" s="73"/>
      <c r="C376" s="57" t="s">
        <v>3703</v>
      </c>
      <c r="D376" s="104">
        <v>50.5127868659595</v>
      </c>
      <c r="E376" s="123">
        <v>37.5367584675581</v>
      </c>
      <c r="F376" s="59">
        <v>1.0</v>
      </c>
      <c r="G376" s="84" t="s">
        <v>4080</v>
      </c>
      <c r="H376" s="61" t="s">
        <v>66</v>
      </c>
      <c r="I376" s="75"/>
      <c r="J376" s="63" t="s">
        <v>4081</v>
      </c>
      <c r="K376" s="88" t="s">
        <v>4082</v>
      </c>
      <c r="L376" s="110" t="s">
        <v>79</v>
      </c>
      <c r="M376" s="92" t="s">
        <v>547</v>
      </c>
      <c r="N376" s="111"/>
      <c r="O376" s="92" t="s">
        <v>4083</v>
      </c>
      <c r="P376" s="67" t="str">
        <f t="shared" si="1"/>
        <v>50.5127868659595, 37.5367584675581</v>
      </c>
      <c r="Q376" s="67" t="str">
        <f t="shared" si="2"/>
        <v>50.512772, 37.537588</v>
      </c>
      <c r="R376" s="67">
        <f t="shared" si="3"/>
        <v>50.512772</v>
      </c>
      <c r="S376" s="67">
        <f t="shared" si="4"/>
        <v>37.537588</v>
      </c>
      <c r="T376" s="161"/>
      <c r="U376" s="69"/>
      <c r="V376" s="65" t="s">
        <v>4084</v>
      </c>
      <c r="W376" s="71" t="s">
        <v>74</v>
      </c>
      <c r="X376" s="72" t="s">
        <v>75</v>
      </c>
      <c r="Y376" s="73"/>
      <c r="Z376" s="73"/>
      <c r="AA376" s="73"/>
      <c r="AB376" s="73"/>
      <c r="AC376" s="73"/>
      <c r="AD376" s="73"/>
      <c r="AE376" s="73"/>
      <c r="AF376" s="73"/>
      <c r="AG376" s="73"/>
      <c r="AH376" s="73"/>
      <c r="AI376" s="73"/>
      <c r="AJ376" s="75"/>
      <c r="AK376" s="76" t="s">
        <v>798</v>
      </c>
      <c r="AL376" s="83" t="s">
        <v>4085</v>
      </c>
      <c r="AM376" s="71" t="s">
        <v>4086</v>
      </c>
      <c r="AN376" s="84" t="s">
        <v>4087</v>
      </c>
      <c r="AO376" s="71" t="s">
        <v>4088</v>
      </c>
      <c r="AP376" s="161" t="str">
        <f>IMAGE("https://bellingcat-archive.nyc3.cdn.digitaloceanspaces.com/Ukraine_Witness_Datasheet/Worksheet/youtube_dl_1494790890224762882/out2.jpg")</f>
        <v/>
      </c>
      <c r="AQ376" s="84" t="s">
        <v>4089</v>
      </c>
      <c r="AR376" s="71" t="s">
        <v>4090</v>
      </c>
      <c r="AS376" s="71" t="s">
        <v>4091</v>
      </c>
      <c r="AT376" s="71">
        <v>18.152</v>
      </c>
      <c r="AU376" s="89"/>
      <c r="AV376" s="162"/>
      <c r="AW376" s="81"/>
    </row>
    <row r="377" ht="15.75" customHeight="1">
      <c r="A377" s="87" t="s">
        <v>63</v>
      </c>
      <c r="B377" s="73"/>
      <c r="C377" s="57" t="s">
        <v>3703</v>
      </c>
      <c r="D377" s="104">
        <v>51.0094259</v>
      </c>
      <c r="E377" s="104">
        <v>36.0757921</v>
      </c>
      <c r="F377" s="59">
        <v>1.0</v>
      </c>
      <c r="G377" s="84" t="s">
        <v>4092</v>
      </c>
      <c r="H377" s="61" t="s">
        <v>66</v>
      </c>
      <c r="I377" s="75"/>
      <c r="J377" s="63" t="s">
        <v>4093</v>
      </c>
      <c r="K377" s="88" t="s">
        <v>4094</v>
      </c>
      <c r="L377" s="110" t="s">
        <v>79</v>
      </c>
      <c r="M377" s="92" t="s">
        <v>547</v>
      </c>
      <c r="N377" s="111"/>
      <c r="O377" s="92" t="s">
        <v>4030</v>
      </c>
      <c r="P377" s="67" t="str">
        <f t="shared" si="1"/>
        <v>51.0094259, 36.0757921</v>
      </c>
      <c r="Q377" s="67" t="str">
        <f t="shared" si="2"/>
        <v>51.008933, 36.076101</v>
      </c>
      <c r="R377" s="67">
        <f t="shared" si="3"/>
        <v>51.008933</v>
      </c>
      <c r="S377" s="67">
        <f t="shared" si="4"/>
        <v>36.076101</v>
      </c>
      <c r="T377" s="161"/>
      <c r="U377" s="69"/>
      <c r="V377" s="65" t="s">
        <v>4095</v>
      </c>
      <c r="W377" s="71" t="s">
        <v>74</v>
      </c>
      <c r="X377" s="72" t="s">
        <v>75</v>
      </c>
      <c r="Y377" s="73"/>
      <c r="Z377" s="73"/>
      <c r="AA377" s="73"/>
      <c r="AB377" s="73"/>
      <c r="AC377" s="73"/>
      <c r="AD377" s="73"/>
      <c r="AE377" s="73"/>
      <c r="AF377" s="73"/>
      <c r="AG377" s="73"/>
      <c r="AH377" s="73"/>
      <c r="AI377" s="73"/>
      <c r="AJ377" s="75"/>
      <c r="AK377" s="76" t="s">
        <v>798</v>
      </c>
      <c r="AL377" s="83" t="s">
        <v>4096</v>
      </c>
      <c r="AM377" s="71" t="s">
        <v>4097</v>
      </c>
      <c r="AN377" s="84" t="s">
        <v>4098</v>
      </c>
      <c r="AO377" s="71" t="s">
        <v>4099</v>
      </c>
      <c r="AP377" s="161" t="str">
        <f>IMAGE("https://bellingcat-archive.nyc3.cdn.digitaloceanspaces.com/Ukraine_Witness_Datasheet/Worksheet/youtube_dl_1494748190930788359/out2.jpg")</f>
        <v/>
      </c>
      <c r="AQ377" s="84" t="s">
        <v>4100</v>
      </c>
      <c r="AR377" s="71" t="s">
        <v>4101</v>
      </c>
      <c r="AS377" s="71" t="s">
        <v>4102</v>
      </c>
      <c r="AT377" s="71">
        <v>34.668</v>
      </c>
      <c r="AU377" s="89"/>
      <c r="AV377" s="162"/>
      <c r="AW377" s="81"/>
    </row>
    <row r="378" ht="15.75" customHeight="1">
      <c r="A378" s="87" t="s">
        <v>63</v>
      </c>
      <c r="B378" s="73"/>
      <c r="C378" s="57" t="s">
        <v>3703</v>
      </c>
      <c r="D378" s="104">
        <v>51.0094259</v>
      </c>
      <c r="E378" s="104">
        <v>36.0757921</v>
      </c>
      <c r="F378" s="59">
        <v>1.0</v>
      </c>
      <c r="G378" s="84" t="s">
        <v>4103</v>
      </c>
      <c r="H378" s="61" t="s">
        <v>66</v>
      </c>
      <c r="I378" s="75"/>
      <c r="J378" s="63" t="s">
        <v>4093</v>
      </c>
      <c r="K378" s="88" t="s">
        <v>4094</v>
      </c>
      <c r="L378" s="110" t="s">
        <v>79</v>
      </c>
      <c r="M378" s="92" t="s">
        <v>547</v>
      </c>
      <c r="N378" s="111"/>
      <c r="O378" s="92" t="s">
        <v>4030</v>
      </c>
      <c r="P378" s="67" t="str">
        <f t="shared" si="1"/>
        <v>51.0094259, 36.0757921</v>
      </c>
      <c r="Q378" s="67" t="str">
        <f t="shared" si="2"/>
        <v>51.009258, 36.076475</v>
      </c>
      <c r="R378" s="67">
        <f t="shared" si="3"/>
        <v>51.009258</v>
      </c>
      <c r="S378" s="67">
        <f t="shared" si="4"/>
        <v>36.076475</v>
      </c>
      <c r="T378" s="161"/>
      <c r="U378" s="69"/>
      <c r="V378" s="65" t="s">
        <v>4104</v>
      </c>
      <c r="W378" s="71" t="s">
        <v>74</v>
      </c>
      <c r="X378" s="72" t="s">
        <v>75</v>
      </c>
      <c r="Y378" s="73"/>
      <c r="Z378" s="73"/>
      <c r="AA378" s="73"/>
      <c r="AB378" s="73"/>
      <c r="AC378" s="73"/>
      <c r="AD378" s="73"/>
      <c r="AE378" s="73"/>
      <c r="AF378" s="73"/>
      <c r="AG378" s="73"/>
      <c r="AH378" s="73"/>
      <c r="AI378" s="73"/>
      <c r="AJ378" s="75"/>
      <c r="AK378" s="76" t="s">
        <v>798</v>
      </c>
      <c r="AL378" s="83" t="s">
        <v>4105</v>
      </c>
      <c r="AM378" s="71" t="s">
        <v>4106</v>
      </c>
      <c r="AN378" s="84" t="s">
        <v>4107</v>
      </c>
      <c r="AO378" s="71" t="s">
        <v>4108</v>
      </c>
      <c r="AP378" s="161" t="str">
        <f>IMAGE("https://bellingcat-archive.nyc3.cdn.digitaloceanspaces.com/Ukraine_Witness_Datasheet/Worksheet/youtube_dl_1494748327287660548/out2.jpg")</f>
        <v/>
      </c>
      <c r="AQ378" s="84" t="s">
        <v>4109</v>
      </c>
      <c r="AR378" s="71" t="s">
        <v>4110</v>
      </c>
      <c r="AS378" s="71" t="s">
        <v>4111</v>
      </c>
      <c r="AT378" s="71">
        <v>13.933</v>
      </c>
      <c r="AU378" s="89"/>
      <c r="AV378" s="162"/>
      <c r="AW378" s="81"/>
    </row>
    <row r="379" ht="15.75" customHeight="1">
      <c r="A379" s="87" t="s">
        <v>63</v>
      </c>
      <c r="B379" s="73"/>
      <c r="C379" s="57" t="s">
        <v>3703</v>
      </c>
      <c r="D379" s="104">
        <v>51.569587</v>
      </c>
      <c r="E379" s="104">
        <v>36.07548</v>
      </c>
      <c r="F379" s="59">
        <v>1.0</v>
      </c>
      <c r="G379" s="84" t="s">
        <v>4112</v>
      </c>
      <c r="H379" s="61" t="s">
        <v>66</v>
      </c>
      <c r="I379" s="75"/>
      <c r="J379" s="63" t="s">
        <v>4113</v>
      </c>
      <c r="K379" s="88" t="s">
        <v>4114</v>
      </c>
      <c r="L379" s="110" t="s">
        <v>873</v>
      </c>
      <c r="M379" s="92" t="s">
        <v>547</v>
      </c>
      <c r="N379" s="111"/>
      <c r="O379" s="92" t="s">
        <v>1028</v>
      </c>
      <c r="P379" s="67" t="str">
        <f t="shared" si="1"/>
        <v>51.569587, 36.07548</v>
      </c>
      <c r="Q379" s="67" t="str">
        <f t="shared" si="2"/>
        <v>51.569193, 36.074973</v>
      </c>
      <c r="R379" s="67">
        <f t="shared" si="3"/>
        <v>51.569193</v>
      </c>
      <c r="S379" s="67">
        <f t="shared" si="4"/>
        <v>36.074973</v>
      </c>
      <c r="T379" s="161"/>
      <c r="U379" s="64" t="s">
        <v>4115</v>
      </c>
      <c r="V379" s="65" t="s">
        <v>4116</v>
      </c>
      <c r="W379" s="71" t="s">
        <v>74</v>
      </c>
      <c r="X379" s="72" t="s">
        <v>75</v>
      </c>
      <c r="Y379" s="73"/>
      <c r="Z379" s="73"/>
      <c r="AA379" s="73"/>
      <c r="AB379" s="73"/>
      <c r="AC379" s="73"/>
      <c r="AD379" s="73"/>
      <c r="AE379" s="73"/>
      <c r="AF379" s="73"/>
      <c r="AG379" s="73"/>
      <c r="AH379" s="73"/>
      <c r="AI379" s="73"/>
      <c r="AJ379" s="75"/>
      <c r="AK379" s="76" t="s">
        <v>798</v>
      </c>
      <c r="AL379" s="83" t="s">
        <v>4117</v>
      </c>
      <c r="AM379" s="71" t="s">
        <v>4118</v>
      </c>
      <c r="AN379" s="84" t="s">
        <v>4119</v>
      </c>
      <c r="AO379" s="71" t="s">
        <v>4120</v>
      </c>
      <c r="AP379" s="161" t="str">
        <f>IMAGE("https://bellingcat-archive.nyc3.cdn.digitaloceanspaces.com/Ukraine_Witness_Datasheet/Worksheet/youtube_dl_1494731971917922311/out2.jpg")</f>
        <v/>
      </c>
      <c r="AQ379" s="84" t="s">
        <v>4121</v>
      </c>
      <c r="AR379" s="71" t="s">
        <v>1155</v>
      </c>
      <c r="AS379" s="71" t="s">
        <v>4122</v>
      </c>
      <c r="AT379" s="71">
        <v>6.99</v>
      </c>
      <c r="AU379" s="89"/>
      <c r="AV379" s="162"/>
      <c r="AW379" s="81"/>
    </row>
    <row r="380" ht="15.75" customHeight="1">
      <c r="A380" s="87" t="s">
        <v>63</v>
      </c>
      <c r="B380" s="73"/>
      <c r="C380" s="57" t="s">
        <v>3703</v>
      </c>
      <c r="D380" s="104">
        <v>51.011282</v>
      </c>
      <c r="E380" s="104">
        <v>36.077033</v>
      </c>
      <c r="F380" s="59">
        <v>1.0</v>
      </c>
      <c r="G380" s="84" t="s">
        <v>4123</v>
      </c>
      <c r="H380" s="61" t="s">
        <v>66</v>
      </c>
      <c r="I380" s="75"/>
      <c r="J380" s="63" t="s">
        <v>4124</v>
      </c>
      <c r="K380" s="88" t="s">
        <v>4125</v>
      </c>
      <c r="L380" s="110" t="s">
        <v>4126</v>
      </c>
      <c r="M380" s="92" t="s">
        <v>547</v>
      </c>
      <c r="N380" s="111"/>
      <c r="O380" s="92" t="s">
        <v>4030</v>
      </c>
      <c r="P380" s="67" t="str">
        <f t="shared" si="1"/>
        <v>51.011282, 36.077033</v>
      </c>
      <c r="Q380" s="67" t="str">
        <f t="shared" si="2"/>
        <v>51.010703, 36.0763</v>
      </c>
      <c r="R380" s="67">
        <f t="shared" si="3"/>
        <v>51.010703</v>
      </c>
      <c r="S380" s="67">
        <f t="shared" si="4"/>
        <v>36.0763</v>
      </c>
      <c r="T380" s="161"/>
      <c r="U380" s="69"/>
      <c r="V380" s="65" t="s">
        <v>4127</v>
      </c>
      <c r="W380" s="71" t="s">
        <v>74</v>
      </c>
      <c r="X380" s="72" t="s">
        <v>75</v>
      </c>
      <c r="Y380" s="73"/>
      <c r="Z380" s="73"/>
      <c r="AA380" s="73"/>
      <c r="AB380" s="73"/>
      <c r="AC380" s="73"/>
      <c r="AD380" s="73"/>
      <c r="AE380" s="73"/>
      <c r="AF380" s="73"/>
      <c r="AG380" s="73"/>
      <c r="AH380" s="73"/>
      <c r="AI380" s="73"/>
      <c r="AJ380" s="75"/>
      <c r="AK380" s="76" t="s">
        <v>798</v>
      </c>
      <c r="AL380" s="83" t="s">
        <v>4128</v>
      </c>
      <c r="AM380" s="71" t="s">
        <v>4129</v>
      </c>
      <c r="AN380" s="84" t="s">
        <v>4130</v>
      </c>
      <c r="AO380" s="71" t="s">
        <v>4131</v>
      </c>
      <c r="AP380" s="161" t="str">
        <f>IMAGE("https://bellingcat-archive.nyc3.cdn.digitaloceanspaces.com/Ukraine_Witness_Datasheet/Worksheet/youtube_dl_1494734878893645828/out3.jpg")</f>
        <v/>
      </c>
      <c r="AQ380" s="84" t="s">
        <v>4132</v>
      </c>
      <c r="AR380" s="71" t="s">
        <v>4133</v>
      </c>
      <c r="AS380" s="71" t="s">
        <v>4134</v>
      </c>
      <c r="AT380" s="71">
        <v>89.933</v>
      </c>
      <c r="AU380" s="89"/>
      <c r="AV380" s="162"/>
      <c r="AW380" s="81"/>
    </row>
    <row r="381" ht="15.75" customHeight="1">
      <c r="A381" s="87" t="s">
        <v>63</v>
      </c>
      <c r="B381" s="73"/>
      <c r="C381" s="57" t="s">
        <v>3703</v>
      </c>
      <c r="D381" s="104">
        <v>53.219955</v>
      </c>
      <c r="E381" s="104">
        <v>34.385277</v>
      </c>
      <c r="F381" s="59">
        <v>1.0</v>
      </c>
      <c r="G381" s="84" t="s">
        <v>4135</v>
      </c>
      <c r="H381" s="61" t="s">
        <v>66</v>
      </c>
      <c r="I381" s="75"/>
      <c r="J381" s="63" t="s">
        <v>4136</v>
      </c>
      <c r="K381" s="88" t="s">
        <v>4137</v>
      </c>
      <c r="L381" s="110" t="s">
        <v>79</v>
      </c>
      <c r="M381" s="92" t="s">
        <v>240</v>
      </c>
      <c r="N381" s="111"/>
      <c r="O381" s="92" t="s">
        <v>240</v>
      </c>
      <c r="P381" s="67" t="str">
        <f t="shared" si="1"/>
        <v>53.219955, 34.385277</v>
      </c>
      <c r="Q381" s="67" t="str">
        <f t="shared" si="2"/>
        <v>53.219181, 34.384797</v>
      </c>
      <c r="R381" s="67">
        <f t="shared" si="3"/>
        <v>53.219181</v>
      </c>
      <c r="S381" s="67">
        <f t="shared" si="4"/>
        <v>34.384797</v>
      </c>
      <c r="T381" s="161"/>
      <c r="U381" s="69"/>
      <c r="V381" s="65" t="s">
        <v>4138</v>
      </c>
      <c r="W381" s="71" t="s">
        <v>74</v>
      </c>
      <c r="X381" s="72" t="s">
        <v>75</v>
      </c>
      <c r="Y381" s="73"/>
      <c r="Z381" s="73"/>
      <c r="AA381" s="73"/>
      <c r="AB381" s="73"/>
      <c r="AC381" s="73"/>
      <c r="AD381" s="73"/>
      <c r="AE381" s="73"/>
      <c r="AF381" s="73"/>
      <c r="AG381" s="73"/>
      <c r="AH381" s="73"/>
      <c r="AI381" s="73"/>
      <c r="AJ381" s="75"/>
      <c r="AK381" s="76" t="s">
        <v>798</v>
      </c>
      <c r="AL381" s="83" t="s">
        <v>4139</v>
      </c>
      <c r="AM381" s="71" t="s">
        <v>4140</v>
      </c>
      <c r="AN381" s="84" t="s">
        <v>4141</v>
      </c>
      <c r="AO381" s="71" t="s">
        <v>4142</v>
      </c>
      <c r="AP381" s="161" t="str">
        <f>IMAGE("https://bellingcat-archive.nyc3.cdn.digitaloceanspaces.com/Ukraine_Witness_Datasheet/Worksheet/youtube_dl_1494620881687040000/out2.jpg")</f>
        <v/>
      </c>
      <c r="AQ381" s="84" t="s">
        <v>4143</v>
      </c>
      <c r="AR381" s="71" t="s">
        <v>4144</v>
      </c>
      <c r="AS381" s="71" t="s">
        <v>4145</v>
      </c>
      <c r="AT381" s="71">
        <v>22.919</v>
      </c>
      <c r="AU381" s="89"/>
      <c r="AV381" s="162"/>
      <c r="AW381" s="81"/>
    </row>
    <row r="382" ht="15.75" customHeight="1">
      <c r="A382" s="87" t="s">
        <v>63</v>
      </c>
      <c r="B382" s="73"/>
      <c r="C382" s="57" t="s">
        <v>3703</v>
      </c>
      <c r="D382" s="104">
        <v>52.5238386048</v>
      </c>
      <c r="E382" s="104">
        <v>31.94837608963</v>
      </c>
      <c r="F382" s="59">
        <v>1.0</v>
      </c>
      <c r="G382" s="84" t="s">
        <v>4146</v>
      </c>
      <c r="H382" s="61" t="s">
        <v>66</v>
      </c>
      <c r="I382" s="75"/>
      <c r="J382" s="63" t="s">
        <v>4147</v>
      </c>
      <c r="K382" s="69"/>
      <c r="L382" s="110" t="s">
        <v>79</v>
      </c>
      <c r="M382" s="92" t="s">
        <v>240</v>
      </c>
      <c r="N382" s="111"/>
      <c r="O382" s="92" t="s">
        <v>2371</v>
      </c>
      <c r="P382" s="67" t="str">
        <f t="shared" si="1"/>
        <v>52.5238386048, 31.94837608963</v>
      </c>
      <c r="Q382" s="67" t="str">
        <f t="shared" si="2"/>
        <v>52.52379, 31.947776</v>
      </c>
      <c r="R382" s="67">
        <f t="shared" si="3"/>
        <v>52.52379</v>
      </c>
      <c r="S382" s="67">
        <f t="shared" si="4"/>
        <v>31.947776</v>
      </c>
      <c r="T382" s="161"/>
      <c r="U382" s="183"/>
      <c r="V382" s="65" t="s">
        <v>4148</v>
      </c>
      <c r="W382" s="71" t="s">
        <v>74</v>
      </c>
      <c r="X382" s="72" t="s">
        <v>75</v>
      </c>
      <c r="Y382" s="73"/>
      <c r="Z382" s="73"/>
      <c r="AA382" s="73"/>
      <c r="AB382" s="73"/>
      <c r="AC382" s="73"/>
      <c r="AD382" s="73"/>
      <c r="AE382" s="73"/>
      <c r="AF382" s="73"/>
      <c r="AG382" s="73"/>
      <c r="AH382" s="73"/>
      <c r="AI382" s="73"/>
      <c r="AJ382" s="75"/>
      <c r="AK382" s="76" t="s">
        <v>798</v>
      </c>
      <c r="AL382" s="83" t="s">
        <v>4149</v>
      </c>
      <c r="AM382" s="71" t="s">
        <v>4150</v>
      </c>
      <c r="AN382" s="84" t="s">
        <v>4151</v>
      </c>
      <c r="AO382" s="71" t="s">
        <v>4152</v>
      </c>
      <c r="AP382" s="161" t="str">
        <f>IMAGE("https://bellingcat-archive.nyc3.cdn.digitaloceanspaces.com/Ukraine_Witness_Datasheet/Worksheet/youtube_dl_1494018428679639042/out2.jpg")</f>
        <v/>
      </c>
      <c r="AQ382" s="84" t="s">
        <v>4153</v>
      </c>
      <c r="AR382" s="71" t="s">
        <v>4154</v>
      </c>
      <c r="AS382" s="71" t="s">
        <v>4155</v>
      </c>
      <c r="AT382" s="71">
        <v>14.978</v>
      </c>
      <c r="AU382" s="89"/>
      <c r="AV382" s="162"/>
      <c r="AW382" s="81"/>
    </row>
    <row r="383" ht="15.75" customHeight="1">
      <c r="A383" s="87" t="s">
        <v>63</v>
      </c>
      <c r="B383" s="73"/>
      <c r="C383" s="57" t="s">
        <v>3703</v>
      </c>
      <c r="D383" s="104">
        <v>50.784039</v>
      </c>
      <c r="E383" s="104">
        <v>36.502464</v>
      </c>
      <c r="F383" s="59">
        <v>1.0</v>
      </c>
      <c r="G383" s="84" t="s">
        <v>4156</v>
      </c>
      <c r="H383" s="61" t="s">
        <v>66</v>
      </c>
      <c r="I383" s="75"/>
      <c r="J383" s="63" t="s">
        <v>4157</v>
      </c>
      <c r="K383" s="88" t="s">
        <v>4158</v>
      </c>
      <c r="L383" s="110" t="s">
        <v>79</v>
      </c>
      <c r="M383" s="92" t="s">
        <v>547</v>
      </c>
      <c r="N383" s="111"/>
      <c r="O383" s="92" t="s">
        <v>4159</v>
      </c>
      <c r="P383" s="67" t="str">
        <f t="shared" si="1"/>
        <v>50.784039, 36.502464</v>
      </c>
      <c r="Q383" s="67" t="str">
        <f t="shared" si="2"/>
        <v>50.783578, 36.503066</v>
      </c>
      <c r="R383" s="67">
        <f t="shared" si="3"/>
        <v>50.783578</v>
      </c>
      <c r="S383" s="67">
        <f t="shared" si="4"/>
        <v>36.503066</v>
      </c>
      <c r="T383" s="161"/>
      <c r="U383" s="69"/>
      <c r="V383" s="65" t="s">
        <v>4160</v>
      </c>
      <c r="W383" s="71" t="s">
        <v>74</v>
      </c>
      <c r="X383" s="72" t="s">
        <v>75</v>
      </c>
      <c r="Y383" s="73"/>
      <c r="Z383" s="73"/>
      <c r="AA383" s="73"/>
      <c r="AB383" s="73"/>
      <c r="AC383" s="73"/>
      <c r="AD383" s="73"/>
      <c r="AE383" s="73"/>
      <c r="AF383" s="73"/>
      <c r="AG383" s="73"/>
      <c r="AH383" s="73"/>
      <c r="AI383" s="73"/>
      <c r="AJ383" s="75"/>
      <c r="AK383" s="76" t="s">
        <v>798</v>
      </c>
      <c r="AL383" s="83" t="s">
        <v>4161</v>
      </c>
      <c r="AM383" s="71" t="s">
        <v>4162</v>
      </c>
      <c r="AN383" s="84" t="s">
        <v>4163</v>
      </c>
      <c r="AO383" s="71" t="s">
        <v>4164</v>
      </c>
      <c r="AP383" s="161" t="str">
        <f>IMAGE("https://bellingcat-archive.nyc3.cdn.digitaloceanspaces.com/Ukraine_Witness_Datasheet/Worksheet/youtube_dl_1494821968067145734/out2.jpg")</f>
        <v/>
      </c>
      <c r="AQ383" s="84" t="s">
        <v>4165</v>
      </c>
      <c r="AR383" s="71" t="s">
        <v>1051</v>
      </c>
      <c r="AS383" s="71" t="s">
        <v>4166</v>
      </c>
      <c r="AT383" s="71">
        <v>33.285</v>
      </c>
      <c r="AU383" s="89"/>
      <c r="AV383" s="162"/>
      <c r="AW383" s="81"/>
    </row>
    <row r="384" ht="15.75" customHeight="1">
      <c r="A384" s="87" t="s">
        <v>63</v>
      </c>
      <c r="B384" s="73"/>
      <c r="C384" s="57" t="s">
        <v>4167</v>
      </c>
      <c r="D384" s="74">
        <v>51.56613</v>
      </c>
      <c r="E384" s="74">
        <v>39.246578</v>
      </c>
      <c r="F384" s="59">
        <v>1.0</v>
      </c>
      <c r="G384" s="84" t="s">
        <v>4168</v>
      </c>
      <c r="H384" s="61" t="s">
        <v>66</v>
      </c>
      <c r="I384" s="75"/>
      <c r="J384" s="63" t="s">
        <v>4169</v>
      </c>
      <c r="K384" s="88" t="s">
        <v>4170</v>
      </c>
      <c r="L384" s="110" t="s">
        <v>79</v>
      </c>
      <c r="M384" s="92" t="s">
        <v>563</v>
      </c>
      <c r="N384" s="111"/>
      <c r="O384" s="92" t="s">
        <v>563</v>
      </c>
      <c r="P384" s="67" t="str">
        <f t="shared" si="1"/>
        <v>51.56613, 39.246578</v>
      </c>
      <c r="Q384" s="67" t="str">
        <f t="shared" si="2"/>
        <v>51.565923, 39.247474</v>
      </c>
      <c r="R384" s="67">
        <f t="shared" si="3"/>
        <v>51.565923</v>
      </c>
      <c r="S384" s="67">
        <f t="shared" si="4"/>
        <v>39.247474</v>
      </c>
      <c r="T384" s="161"/>
      <c r="U384" s="69"/>
      <c r="V384" s="65" t="s">
        <v>4171</v>
      </c>
      <c r="W384" s="71" t="s">
        <v>74</v>
      </c>
      <c r="X384" s="72" t="s">
        <v>75</v>
      </c>
      <c r="Y384" s="73"/>
      <c r="Z384" s="73"/>
      <c r="AA384" s="73"/>
      <c r="AB384" s="73"/>
      <c r="AC384" s="73"/>
      <c r="AD384" s="73"/>
      <c r="AE384" s="73"/>
      <c r="AF384" s="73"/>
      <c r="AG384" s="73"/>
      <c r="AH384" s="73"/>
      <c r="AI384" s="73"/>
      <c r="AJ384" s="75"/>
      <c r="AK384" s="76" t="s">
        <v>798</v>
      </c>
      <c r="AL384" s="83" t="s">
        <v>4172</v>
      </c>
      <c r="AM384" s="71" t="s">
        <v>4173</v>
      </c>
      <c r="AN384" s="84" t="s">
        <v>4174</v>
      </c>
      <c r="AO384" s="71" t="s">
        <v>4175</v>
      </c>
      <c r="AP384" s="161" t="str">
        <f>IMAGE("https://bellingcat-archive.nyc3.cdn.digitaloceanspaces.com/Ukraine_Witness_Datasheet/Worksheet/youtube_dl_1494885377890471941/out2.jpg")</f>
        <v/>
      </c>
      <c r="AQ384" s="84" t="s">
        <v>4176</v>
      </c>
      <c r="AR384" s="71" t="s">
        <v>599</v>
      </c>
      <c r="AS384" s="71" t="s">
        <v>4177</v>
      </c>
      <c r="AT384" s="71">
        <v>33.633</v>
      </c>
      <c r="AU384" s="89"/>
      <c r="AV384" s="162"/>
      <c r="AW384" s="81"/>
    </row>
    <row r="385" ht="15.75" customHeight="1">
      <c r="A385" s="87" t="s">
        <v>63</v>
      </c>
      <c r="B385" s="73"/>
      <c r="C385" s="57" t="s">
        <v>4167</v>
      </c>
      <c r="D385" s="104">
        <v>52.411313</v>
      </c>
      <c r="E385" s="104">
        <v>30.82866</v>
      </c>
      <c r="F385" s="59">
        <v>1.0</v>
      </c>
      <c r="G385" s="84" t="s">
        <v>4178</v>
      </c>
      <c r="H385" s="61" t="s">
        <v>66</v>
      </c>
      <c r="I385" s="75"/>
      <c r="J385" s="63" t="s">
        <v>4179</v>
      </c>
      <c r="K385" s="88" t="s">
        <v>4180</v>
      </c>
      <c r="L385" s="110" t="s">
        <v>69</v>
      </c>
      <c r="M385" s="92" t="s">
        <v>70</v>
      </c>
      <c r="N385" s="111"/>
      <c r="O385" s="111"/>
      <c r="P385" s="67" t="str">
        <f t="shared" si="1"/>
        <v>52.411313, 30.82866</v>
      </c>
      <c r="Q385" s="67" t="str">
        <f t="shared" si="2"/>
        <v>52.411266, 30.829624</v>
      </c>
      <c r="R385" s="67">
        <f t="shared" si="3"/>
        <v>52.411266</v>
      </c>
      <c r="S385" s="67">
        <f t="shared" si="4"/>
        <v>30.829624</v>
      </c>
      <c r="T385" s="161"/>
      <c r="U385" s="69"/>
      <c r="V385" s="65" t="s">
        <v>4181</v>
      </c>
      <c r="W385" s="71" t="s">
        <v>74</v>
      </c>
      <c r="X385" s="72" t="s">
        <v>75</v>
      </c>
      <c r="Y385" s="73"/>
      <c r="Z385" s="73"/>
      <c r="AA385" s="73"/>
      <c r="AB385" s="73"/>
      <c r="AC385" s="73"/>
      <c r="AD385" s="73"/>
      <c r="AE385" s="73"/>
      <c r="AF385" s="73"/>
      <c r="AG385" s="73"/>
      <c r="AH385" s="73"/>
      <c r="AI385" s="73"/>
      <c r="AJ385" s="75"/>
      <c r="AK385" s="76" t="s">
        <v>798</v>
      </c>
      <c r="AL385" s="83" t="s">
        <v>4182</v>
      </c>
      <c r="AM385" s="71" t="s">
        <v>4183</v>
      </c>
      <c r="AN385" s="84" t="s">
        <v>4184</v>
      </c>
      <c r="AO385" s="71" t="s">
        <v>4185</v>
      </c>
      <c r="AP385" s="161" t="str">
        <f>IMAGE("https://bellingcat-archive.nyc3.cdn.digitaloceanspaces.com/Ukraine_Witness_Datasheet/Worksheet/youtube_dl_1494830278136717313/out2.jpg")</f>
        <v/>
      </c>
      <c r="AQ385" s="84" t="s">
        <v>4186</v>
      </c>
      <c r="AR385" s="71" t="s">
        <v>905</v>
      </c>
      <c r="AS385" s="71" t="s">
        <v>4187</v>
      </c>
      <c r="AT385" s="71">
        <v>24.8</v>
      </c>
      <c r="AU385" s="89"/>
      <c r="AV385" s="162"/>
      <c r="AW385" s="81"/>
    </row>
    <row r="386" ht="15.75" customHeight="1">
      <c r="A386" s="184" t="s">
        <v>63</v>
      </c>
      <c r="B386" s="73"/>
      <c r="C386" s="57" t="s">
        <v>4167</v>
      </c>
      <c r="D386" s="104">
        <v>53.41</v>
      </c>
      <c r="E386" s="104">
        <v>26.32</v>
      </c>
      <c r="F386" s="59">
        <v>1.0</v>
      </c>
      <c r="G386" s="84" t="s">
        <v>4188</v>
      </c>
      <c r="H386" s="61" t="s">
        <v>66</v>
      </c>
      <c r="I386" s="75"/>
      <c r="J386" s="63" t="s">
        <v>4189</v>
      </c>
      <c r="K386" s="88" t="s">
        <v>4190</v>
      </c>
      <c r="L386" s="134"/>
      <c r="M386" s="111"/>
      <c r="N386" s="111"/>
      <c r="O386" s="111"/>
      <c r="P386" s="67" t="str">
        <f t="shared" si="1"/>
        <v>53.41, 26.32</v>
      </c>
      <c r="Q386" s="67" t="str">
        <f t="shared" si="2"/>
        <v>53.409196, 26.319645</v>
      </c>
      <c r="R386" s="67">
        <f t="shared" si="3"/>
        <v>53.409196</v>
      </c>
      <c r="S386" s="67">
        <f t="shared" si="4"/>
        <v>26.319645</v>
      </c>
      <c r="T386" s="161"/>
      <c r="U386" s="69"/>
      <c r="V386" s="65" t="s">
        <v>4191</v>
      </c>
      <c r="W386" s="71" t="s">
        <v>74</v>
      </c>
      <c r="X386" s="72" t="s">
        <v>75</v>
      </c>
      <c r="Y386" s="73"/>
      <c r="Z386" s="73"/>
      <c r="AA386" s="73"/>
      <c r="AB386" s="73"/>
      <c r="AC386" s="73"/>
      <c r="AD386" s="73"/>
      <c r="AE386" s="73"/>
      <c r="AF386" s="73"/>
      <c r="AG386" s="73"/>
      <c r="AH386" s="73"/>
      <c r="AI386" s="73"/>
      <c r="AJ386" s="75"/>
      <c r="AK386" s="76" t="s">
        <v>798</v>
      </c>
      <c r="AL386" s="83" t="s">
        <v>4192</v>
      </c>
      <c r="AM386" s="71" t="s">
        <v>4193</v>
      </c>
      <c r="AN386" s="84" t="s">
        <v>4194</v>
      </c>
      <c r="AO386" s="71" t="s">
        <v>4195</v>
      </c>
      <c r="AP386" s="161" t="str">
        <f>IMAGE("https://bellingcat-archive.nyc3.cdn.digitaloceanspaces.com/Ukraine_Witness_Datasheet/Worksheet/youtube_dl_1494915178139373568/out3.jpg")</f>
        <v/>
      </c>
      <c r="AQ386" s="84" t="s">
        <v>4196</v>
      </c>
      <c r="AR386" s="71" t="s">
        <v>4197</v>
      </c>
      <c r="AS386" s="71" t="s">
        <v>4198</v>
      </c>
      <c r="AT386" s="71">
        <v>68.6</v>
      </c>
      <c r="AU386" s="89"/>
      <c r="AV386" s="162"/>
      <c r="AW386" s="81"/>
    </row>
    <row r="387" ht="15.75" customHeight="1">
      <c r="A387" s="87" t="s">
        <v>63</v>
      </c>
      <c r="B387" s="73"/>
      <c r="C387" s="57" t="s">
        <v>4167</v>
      </c>
      <c r="D387" s="104">
        <v>50.496084</v>
      </c>
      <c r="E387" s="104">
        <v>36.389785</v>
      </c>
      <c r="F387" s="59">
        <v>1.0</v>
      </c>
      <c r="G387" s="84" t="s">
        <v>4199</v>
      </c>
      <c r="H387" s="61" t="s">
        <v>66</v>
      </c>
      <c r="I387" s="75"/>
      <c r="J387" s="63" t="s">
        <v>4200</v>
      </c>
      <c r="K387" s="88" t="s">
        <v>4201</v>
      </c>
      <c r="L387" s="110" t="s">
        <v>79</v>
      </c>
      <c r="M387" s="92" t="s">
        <v>547</v>
      </c>
      <c r="N387" s="111"/>
      <c r="O387" s="92" t="s">
        <v>3908</v>
      </c>
      <c r="P387" s="67" t="str">
        <f t="shared" si="1"/>
        <v>50.496084, 36.389785</v>
      </c>
      <c r="Q387" s="67" t="str">
        <f t="shared" si="2"/>
        <v>50.495696, 36.389999</v>
      </c>
      <c r="R387" s="67">
        <f t="shared" si="3"/>
        <v>50.495696</v>
      </c>
      <c r="S387" s="67">
        <f t="shared" si="4"/>
        <v>36.389999</v>
      </c>
      <c r="T387" s="161"/>
      <c r="U387" s="69"/>
      <c r="V387" s="65" t="s">
        <v>4202</v>
      </c>
      <c r="W387" s="71" t="s">
        <v>74</v>
      </c>
      <c r="X387" s="72" t="s">
        <v>75</v>
      </c>
      <c r="Y387" s="73"/>
      <c r="Z387" s="73"/>
      <c r="AA387" s="73"/>
      <c r="AB387" s="73"/>
      <c r="AC387" s="73"/>
      <c r="AD387" s="73"/>
      <c r="AE387" s="73"/>
      <c r="AF387" s="73"/>
      <c r="AG387" s="73"/>
      <c r="AH387" s="73"/>
      <c r="AI387" s="73"/>
      <c r="AJ387" s="75"/>
      <c r="AK387" s="76" t="s">
        <v>798</v>
      </c>
      <c r="AL387" s="83" t="s">
        <v>4203</v>
      </c>
      <c r="AM387" s="71" t="s">
        <v>4204</v>
      </c>
      <c r="AN387" s="84" t="s">
        <v>4205</v>
      </c>
      <c r="AO387" s="71" t="s">
        <v>4206</v>
      </c>
      <c r="AP387" s="161" t="str">
        <f>IMAGE("https://bellingcat-archive.nyc3.cdn.digitaloceanspaces.com/Ukraine_Witness_Datasheet/Worksheet/youtube_dl_1495019081631772673/out2.jpg")</f>
        <v/>
      </c>
      <c r="AQ387" s="84" t="s">
        <v>4207</v>
      </c>
      <c r="AR387" s="71" t="s">
        <v>1794</v>
      </c>
      <c r="AS387" s="71" t="s">
        <v>4208</v>
      </c>
      <c r="AT387" s="71">
        <v>32.166</v>
      </c>
      <c r="AU387" s="89"/>
      <c r="AV387" s="162"/>
      <c r="AW387" s="81"/>
    </row>
    <row r="388" ht="15.75" customHeight="1">
      <c r="A388" s="87" t="s">
        <v>63</v>
      </c>
      <c r="B388" s="73"/>
      <c r="C388" s="57" t="s">
        <v>4167</v>
      </c>
      <c r="D388" s="104">
        <v>50.465925</v>
      </c>
      <c r="E388" s="74">
        <v>37.195805</v>
      </c>
      <c r="F388" s="59">
        <v>1.0</v>
      </c>
      <c r="G388" s="84" t="s">
        <v>4209</v>
      </c>
      <c r="H388" s="61" t="s">
        <v>66</v>
      </c>
      <c r="I388" s="75"/>
      <c r="J388" s="63" t="s">
        <v>4210</v>
      </c>
      <c r="K388" s="88" t="s">
        <v>4211</v>
      </c>
      <c r="L388" s="110" t="s">
        <v>79</v>
      </c>
      <c r="M388" s="92" t="s">
        <v>547</v>
      </c>
      <c r="N388" s="111"/>
      <c r="O388" s="92" t="s">
        <v>4212</v>
      </c>
      <c r="P388" s="67" t="str">
        <f t="shared" si="1"/>
        <v>50.465925, 37.195805</v>
      </c>
      <c r="Q388" s="67" t="str">
        <f t="shared" si="2"/>
        <v>50.465924, 37.196683</v>
      </c>
      <c r="R388" s="67">
        <f t="shared" si="3"/>
        <v>50.465924</v>
      </c>
      <c r="S388" s="67">
        <f t="shared" si="4"/>
        <v>37.196683</v>
      </c>
      <c r="T388" s="161"/>
      <c r="U388" s="69"/>
      <c r="V388" s="65" t="s">
        <v>4213</v>
      </c>
      <c r="W388" s="71" t="s">
        <v>74</v>
      </c>
      <c r="X388" s="72" t="s">
        <v>75</v>
      </c>
      <c r="Y388" s="73"/>
      <c r="Z388" s="73"/>
      <c r="AA388" s="73"/>
      <c r="AB388" s="73"/>
      <c r="AC388" s="73"/>
      <c r="AD388" s="73"/>
      <c r="AE388" s="73"/>
      <c r="AF388" s="73"/>
      <c r="AG388" s="73"/>
      <c r="AH388" s="73"/>
      <c r="AI388" s="73"/>
      <c r="AJ388" s="75"/>
      <c r="AK388" s="76" t="s">
        <v>798</v>
      </c>
      <c r="AL388" s="83" t="s">
        <v>4214</v>
      </c>
      <c r="AM388" s="71" t="s">
        <v>4215</v>
      </c>
      <c r="AN388" s="84" t="s">
        <v>4216</v>
      </c>
      <c r="AO388" s="71" t="s">
        <v>4217</v>
      </c>
      <c r="AP388" s="161" t="str">
        <f>IMAGE("https://bellingcat-archive.nyc3.cdn.digitaloceanspaces.com/Ukraine_Witness_Datasheet/Worksheet/youtube_dl_1495058835731582979/out2.jpg")</f>
        <v/>
      </c>
      <c r="AQ388" s="84" t="s">
        <v>4218</v>
      </c>
      <c r="AR388" s="71" t="s">
        <v>4219</v>
      </c>
      <c r="AS388" s="71" t="s">
        <v>4220</v>
      </c>
      <c r="AT388" s="71">
        <v>9.762</v>
      </c>
      <c r="AU388" s="89"/>
      <c r="AV388" s="162"/>
      <c r="AW388" s="81"/>
    </row>
    <row r="389" ht="15.75" customHeight="1">
      <c r="A389" s="87" t="s">
        <v>63</v>
      </c>
      <c r="B389" s="73"/>
      <c r="C389" s="57" t="s">
        <v>4167</v>
      </c>
      <c r="D389" s="104">
        <v>50.4117351</v>
      </c>
      <c r="E389" s="104">
        <v>36.9103631</v>
      </c>
      <c r="F389" s="59">
        <v>1.0</v>
      </c>
      <c r="G389" s="84" t="s">
        <v>4221</v>
      </c>
      <c r="H389" s="61" t="s">
        <v>66</v>
      </c>
      <c r="I389" s="75"/>
      <c r="J389" s="63" t="s">
        <v>4222</v>
      </c>
      <c r="K389" s="88" t="s">
        <v>4223</v>
      </c>
      <c r="L389" s="110" t="s">
        <v>79</v>
      </c>
      <c r="M389" s="92" t="s">
        <v>547</v>
      </c>
      <c r="N389" s="111"/>
      <c r="O389" s="92" t="s">
        <v>4224</v>
      </c>
      <c r="P389" s="67" t="str">
        <f t="shared" si="1"/>
        <v>50.4117351, 36.9103631</v>
      </c>
      <c r="Q389" s="67" t="str">
        <f t="shared" si="2"/>
        <v>50.411687, 36.911222</v>
      </c>
      <c r="R389" s="67">
        <f t="shared" si="3"/>
        <v>50.411687</v>
      </c>
      <c r="S389" s="67">
        <f t="shared" si="4"/>
        <v>36.911222</v>
      </c>
      <c r="T389" s="161"/>
      <c r="U389" s="69"/>
      <c r="V389" s="65" t="s">
        <v>4225</v>
      </c>
      <c r="W389" s="71" t="s">
        <v>74</v>
      </c>
      <c r="X389" s="72" t="s">
        <v>75</v>
      </c>
      <c r="Y389" s="73"/>
      <c r="Z389" s="73"/>
      <c r="AA389" s="73"/>
      <c r="AB389" s="73"/>
      <c r="AC389" s="73"/>
      <c r="AD389" s="73"/>
      <c r="AE389" s="73"/>
      <c r="AF389" s="73"/>
      <c r="AG389" s="73"/>
      <c r="AH389" s="73"/>
      <c r="AI389" s="73"/>
      <c r="AJ389" s="75"/>
      <c r="AK389" s="76" t="s">
        <v>798</v>
      </c>
      <c r="AL389" s="83" t="s">
        <v>4226</v>
      </c>
      <c r="AM389" s="71" t="s">
        <v>4227</v>
      </c>
      <c r="AN389" s="84" t="s">
        <v>4228</v>
      </c>
      <c r="AO389" s="71" t="s">
        <v>4229</v>
      </c>
      <c r="AP389" s="161" t="str">
        <f>IMAGE("https://bellingcat-archive.nyc3.cdn.digitaloceanspaces.com/Ukraine_Witness_Datasheet/Worksheet/youtube_dl_1495061641578401795/out2.jpg")</f>
        <v/>
      </c>
      <c r="AQ389" s="84" t="s">
        <v>4230</v>
      </c>
      <c r="AR389" s="71" t="s">
        <v>4231</v>
      </c>
      <c r="AS389" s="71" t="s">
        <v>4232</v>
      </c>
      <c r="AT389" s="71">
        <v>11.2</v>
      </c>
      <c r="AU389" s="89"/>
      <c r="AV389" s="162"/>
      <c r="AW389" s="81"/>
    </row>
    <row r="390" ht="15.75" customHeight="1">
      <c r="A390" s="87" t="s">
        <v>63</v>
      </c>
      <c r="B390" s="73"/>
      <c r="C390" s="57" t="s">
        <v>4167</v>
      </c>
      <c r="D390" s="104">
        <v>50.4117351</v>
      </c>
      <c r="E390" s="104">
        <v>36.9103631</v>
      </c>
      <c r="F390" s="59">
        <v>1.0</v>
      </c>
      <c r="G390" s="84" t="s">
        <v>4233</v>
      </c>
      <c r="H390" s="61" t="s">
        <v>66</v>
      </c>
      <c r="I390" s="75"/>
      <c r="J390" s="168"/>
      <c r="K390" s="88" t="s">
        <v>4223</v>
      </c>
      <c r="L390" s="110" t="s">
        <v>79</v>
      </c>
      <c r="M390" s="92" t="s">
        <v>547</v>
      </c>
      <c r="N390" s="111"/>
      <c r="O390" s="92" t="s">
        <v>4224</v>
      </c>
      <c r="P390" s="67" t="str">
        <f t="shared" si="1"/>
        <v>50.4117351, 36.9103631</v>
      </c>
      <c r="Q390" s="67" t="str">
        <f t="shared" si="2"/>
        <v>50.411599, 36.911263</v>
      </c>
      <c r="R390" s="67">
        <f t="shared" si="3"/>
        <v>50.411599</v>
      </c>
      <c r="S390" s="67">
        <f t="shared" si="4"/>
        <v>36.911263</v>
      </c>
      <c r="T390" s="161"/>
      <c r="U390" s="69"/>
      <c r="V390" s="65" t="s">
        <v>4234</v>
      </c>
      <c r="W390" s="71" t="s">
        <v>74</v>
      </c>
      <c r="X390" s="72" t="s">
        <v>75</v>
      </c>
      <c r="Y390" s="73"/>
      <c r="Z390" s="73"/>
      <c r="AA390" s="73"/>
      <c r="AB390" s="73"/>
      <c r="AC390" s="73"/>
      <c r="AD390" s="73"/>
      <c r="AE390" s="73"/>
      <c r="AF390" s="73"/>
      <c r="AG390" s="73"/>
      <c r="AH390" s="73"/>
      <c r="AI390" s="73"/>
      <c r="AJ390" s="75"/>
      <c r="AK390" s="76" t="s">
        <v>798</v>
      </c>
      <c r="AL390" s="83" t="s">
        <v>4235</v>
      </c>
      <c r="AM390" s="71" t="s">
        <v>4236</v>
      </c>
      <c r="AN390" s="84" t="s">
        <v>4237</v>
      </c>
      <c r="AO390" s="71" t="s">
        <v>4238</v>
      </c>
      <c r="AP390" s="161" t="str">
        <f>IMAGE("https://bellingcat-archive.nyc3.cdn.digitaloceanspaces.com/Ukraine_Witness_Datasheet/Worksheet/youtube_dl_1495062942903156744/out2.jpg")</f>
        <v/>
      </c>
      <c r="AQ390" s="84" t="s">
        <v>4239</v>
      </c>
      <c r="AR390" s="71" t="s">
        <v>4240</v>
      </c>
      <c r="AS390" s="71" t="s">
        <v>4241</v>
      </c>
      <c r="AT390" s="71">
        <v>22.3</v>
      </c>
      <c r="AU390" s="89"/>
      <c r="AV390" s="162"/>
      <c r="AW390" s="81"/>
    </row>
    <row r="391" ht="15.75" customHeight="1">
      <c r="A391" s="87" t="s">
        <v>63</v>
      </c>
      <c r="B391" s="73"/>
      <c r="C391" s="57" t="s">
        <v>4167</v>
      </c>
      <c r="D391" s="104">
        <v>52.82655484</v>
      </c>
      <c r="E391" s="104">
        <v>35.87144975</v>
      </c>
      <c r="F391" s="59">
        <v>1.0</v>
      </c>
      <c r="G391" s="84" t="s">
        <v>4242</v>
      </c>
      <c r="H391" s="61" t="s">
        <v>66</v>
      </c>
      <c r="I391" s="75"/>
      <c r="J391" s="63" t="s">
        <v>4243</v>
      </c>
      <c r="K391" s="88" t="s">
        <v>4244</v>
      </c>
      <c r="L391" s="110" t="s">
        <v>79</v>
      </c>
      <c r="M391" s="92" t="s">
        <v>534</v>
      </c>
      <c r="N391" s="111"/>
      <c r="O391" s="92" t="s">
        <v>4245</v>
      </c>
      <c r="P391" s="67" t="str">
        <f t="shared" si="1"/>
        <v>52.82655484, 35.87144975</v>
      </c>
      <c r="Q391" s="67" t="str">
        <f t="shared" si="2"/>
        <v>52.826234, 35.870972</v>
      </c>
      <c r="R391" s="67">
        <f t="shared" si="3"/>
        <v>52.826234</v>
      </c>
      <c r="S391" s="67">
        <f t="shared" si="4"/>
        <v>35.870972</v>
      </c>
      <c r="T391" s="161"/>
      <c r="U391" s="69"/>
      <c r="V391" s="65" t="s">
        <v>4246</v>
      </c>
      <c r="W391" s="71" t="s">
        <v>74</v>
      </c>
      <c r="X391" s="72" t="s">
        <v>75</v>
      </c>
      <c r="Y391" s="73"/>
      <c r="Z391" s="73"/>
      <c r="AA391" s="73"/>
      <c r="AB391" s="73"/>
      <c r="AC391" s="73"/>
      <c r="AD391" s="73"/>
      <c r="AE391" s="73"/>
      <c r="AF391" s="73"/>
      <c r="AG391" s="73"/>
      <c r="AH391" s="73"/>
      <c r="AI391" s="73"/>
      <c r="AJ391" s="75"/>
      <c r="AK391" s="76" t="s">
        <v>798</v>
      </c>
      <c r="AL391" s="83" t="s">
        <v>4247</v>
      </c>
      <c r="AM391" s="71" t="s">
        <v>4248</v>
      </c>
      <c r="AN391" s="84" t="s">
        <v>4249</v>
      </c>
      <c r="AO391" s="71" t="s">
        <v>4250</v>
      </c>
      <c r="AP391" s="161" t="str">
        <f>IMAGE("https://bellingcat-archive.nyc3.cdn.digitaloceanspaces.com/Ukraine_Witness_Datasheet/Worksheet/youtube_dl_1495059793966514183/out2.jpg")</f>
        <v/>
      </c>
      <c r="AQ391" s="84" t="s">
        <v>4251</v>
      </c>
      <c r="AR391" s="71" t="s">
        <v>4252</v>
      </c>
      <c r="AS391" s="71" t="s">
        <v>4253</v>
      </c>
      <c r="AT391" s="71">
        <v>15.48</v>
      </c>
      <c r="AU391" s="89"/>
      <c r="AV391" s="162"/>
      <c r="AW391" s="81"/>
    </row>
    <row r="392" ht="15.75" customHeight="1">
      <c r="A392" s="87" t="s">
        <v>63</v>
      </c>
      <c r="B392" s="73"/>
      <c r="C392" s="57" t="s">
        <v>4167</v>
      </c>
      <c r="D392" s="74">
        <v>55.99479</v>
      </c>
      <c r="E392" s="74">
        <v>35.9222</v>
      </c>
      <c r="F392" s="59">
        <v>1.0</v>
      </c>
      <c r="G392" s="84" t="s">
        <v>4254</v>
      </c>
      <c r="H392" s="61" t="s">
        <v>66</v>
      </c>
      <c r="I392" s="75"/>
      <c r="J392" s="63" t="s">
        <v>2170</v>
      </c>
      <c r="K392" s="88" t="s">
        <v>4255</v>
      </c>
      <c r="L392" s="110" t="s">
        <v>79</v>
      </c>
      <c r="M392" s="92" t="s">
        <v>1439</v>
      </c>
      <c r="N392" s="111"/>
      <c r="O392" s="92" t="s">
        <v>4256</v>
      </c>
      <c r="P392" s="67" t="str">
        <f t="shared" si="1"/>
        <v>55.99479, 35.9222</v>
      </c>
      <c r="Q392" s="67" t="str">
        <f t="shared" si="2"/>
        <v>55.994089, 35.921508</v>
      </c>
      <c r="R392" s="67">
        <f t="shared" si="3"/>
        <v>55.994089</v>
      </c>
      <c r="S392" s="67">
        <f t="shared" si="4"/>
        <v>35.921508</v>
      </c>
      <c r="T392" s="161"/>
      <c r="U392" s="69"/>
      <c r="V392" s="65" t="s">
        <v>4257</v>
      </c>
      <c r="W392" s="71" t="s">
        <v>74</v>
      </c>
      <c r="X392" s="72" t="s">
        <v>75</v>
      </c>
      <c r="Y392" s="73"/>
      <c r="Z392" s="73"/>
      <c r="AA392" s="73"/>
      <c r="AB392" s="73"/>
      <c r="AC392" s="73"/>
      <c r="AD392" s="73"/>
      <c r="AE392" s="73"/>
      <c r="AF392" s="73"/>
      <c r="AG392" s="73"/>
      <c r="AH392" s="73"/>
      <c r="AI392" s="73"/>
      <c r="AJ392" s="75"/>
      <c r="AK392" s="76" t="s">
        <v>798</v>
      </c>
      <c r="AL392" s="83" t="s">
        <v>4258</v>
      </c>
      <c r="AM392" s="71" t="s">
        <v>4259</v>
      </c>
      <c r="AN392" s="84" t="s">
        <v>4260</v>
      </c>
      <c r="AO392" s="71" t="s">
        <v>4261</v>
      </c>
      <c r="AP392" s="161" t="str">
        <f>IMAGE("https://bellingcat-archive.nyc3.cdn.digitaloceanspaces.com/Ukraine_Witness_Datasheet/Worksheet/youtube_dl_1494825550342459392/out2.jpg")</f>
        <v/>
      </c>
      <c r="AQ392" s="84" t="s">
        <v>4262</v>
      </c>
      <c r="AR392" s="71" t="s">
        <v>687</v>
      </c>
      <c r="AS392" s="71" t="s">
        <v>4263</v>
      </c>
      <c r="AT392" s="71">
        <v>9.776</v>
      </c>
      <c r="AU392" s="89"/>
      <c r="AV392" s="162"/>
      <c r="AW392" s="81"/>
    </row>
    <row r="393" ht="15.75" customHeight="1">
      <c r="A393" s="87" t="s">
        <v>63</v>
      </c>
      <c r="B393" s="73"/>
      <c r="C393" s="57" t="s">
        <v>4167</v>
      </c>
      <c r="D393" s="74">
        <v>50.497778</v>
      </c>
      <c r="E393" s="74">
        <v>36.387193</v>
      </c>
      <c r="F393" s="59">
        <v>1.0</v>
      </c>
      <c r="G393" s="84" t="s">
        <v>4264</v>
      </c>
      <c r="H393" s="61" t="s">
        <v>66</v>
      </c>
      <c r="I393" s="75"/>
      <c r="J393" s="63" t="s">
        <v>4265</v>
      </c>
      <c r="K393" s="88" t="s">
        <v>4266</v>
      </c>
      <c r="L393" s="110" t="s">
        <v>79</v>
      </c>
      <c r="M393" s="92" t="s">
        <v>1325</v>
      </c>
      <c r="N393" s="111"/>
      <c r="O393" s="92" t="s">
        <v>3908</v>
      </c>
      <c r="P393" s="67" t="str">
        <f t="shared" si="1"/>
        <v>50.497778, 36.387193</v>
      </c>
      <c r="Q393" s="67" t="str">
        <f t="shared" si="2"/>
        <v>50.497235, 36.38716</v>
      </c>
      <c r="R393" s="67">
        <f t="shared" si="3"/>
        <v>50.497235</v>
      </c>
      <c r="S393" s="67">
        <f t="shared" si="4"/>
        <v>36.38716</v>
      </c>
      <c r="T393" s="161"/>
      <c r="U393" s="69"/>
      <c r="V393" s="65" t="s">
        <v>4267</v>
      </c>
      <c r="W393" s="71" t="s">
        <v>74</v>
      </c>
      <c r="X393" s="72" t="s">
        <v>75</v>
      </c>
      <c r="Y393" s="73"/>
      <c r="Z393" s="73"/>
      <c r="AA393" s="73"/>
      <c r="AB393" s="73"/>
      <c r="AC393" s="73"/>
      <c r="AD393" s="73"/>
      <c r="AE393" s="73"/>
      <c r="AF393" s="73"/>
      <c r="AG393" s="73"/>
      <c r="AH393" s="73"/>
      <c r="AI393" s="73"/>
      <c r="AJ393" s="75"/>
      <c r="AK393" s="76" t="s">
        <v>798</v>
      </c>
      <c r="AL393" s="83" t="s">
        <v>4268</v>
      </c>
      <c r="AM393" s="71" t="s">
        <v>4269</v>
      </c>
      <c r="AN393" s="84" t="s">
        <v>4270</v>
      </c>
      <c r="AO393" s="71" t="s">
        <v>4271</v>
      </c>
      <c r="AP393" s="161" t="str">
        <f>IMAGE("https://bellingcat-archive.nyc3.cdn.digitaloceanspaces.com/Ukraine_Witness_Datasheet/Worksheet/youtube_dl_1495018245631397892/out2.jpg")</f>
        <v/>
      </c>
      <c r="AQ393" s="84" t="s">
        <v>4272</v>
      </c>
      <c r="AR393" s="71" t="s">
        <v>1051</v>
      </c>
      <c r="AS393" s="71" t="s">
        <v>4273</v>
      </c>
      <c r="AT393" s="71">
        <v>33.633</v>
      </c>
      <c r="AU393" s="89"/>
      <c r="AV393" s="162"/>
      <c r="AW393" s="81"/>
    </row>
    <row r="394" ht="15.75" customHeight="1">
      <c r="A394" s="87" t="s">
        <v>63</v>
      </c>
      <c r="B394" s="73"/>
      <c r="C394" s="57" t="s">
        <v>4167</v>
      </c>
      <c r="D394" s="74">
        <v>55.99479</v>
      </c>
      <c r="E394" s="74">
        <v>35.9222</v>
      </c>
      <c r="F394" s="59">
        <v>1.0</v>
      </c>
      <c r="G394" s="84" t="s">
        <v>4274</v>
      </c>
      <c r="H394" s="61" t="s">
        <v>66</v>
      </c>
      <c r="I394" s="75"/>
      <c r="J394" s="63" t="s">
        <v>4275</v>
      </c>
      <c r="K394" s="88" t="s">
        <v>4276</v>
      </c>
      <c r="L394" s="110" t="s">
        <v>79</v>
      </c>
      <c r="M394" s="92" t="s">
        <v>1439</v>
      </c>
      <c r="N394" s="111"/>
      <c r="O394" s="92" t="s">
        <v>4256</v>
      </c>
      <c r="P394" s="67" t="str">
        <f t="shared" si="1"/>
        <v>55.99479, 35.9222</v>
      </c>
      <c r="Q394" s="67" t="str">
        <f t="shared" si="2"/>
        <v>55.994467, 35.921038</v>
      </c>
      <c r="R394" s="67">
        <f t="shared" si="3"/>
        <v>55.994467</v>
      </c>
      <c r="S394" s="67">
        <f t="shared" si="4"/>
        <v>35.921038</v>
      </c>
      <c r="T394" s="161"/>
      <c r="U394" s="69"/>
      <c r="V394" s="65" t="s">
        <v>4277</v>
      </c>
      <c r="W394" s="71" t="s">
        <v>74</v>
      </c>
      <c r="X394" s="72" t="s">
        <v>75</v>
      </c>
      <c r="Y394" s="73"/>
      <c r="Z394" s="73"/>
      <c r="AA394" s="73"/>
      <c r="AB394" s="73"/>
      <c r="AC394" s="73"/>
      <c r="AD394" s="73"/>
      <c r="AE394" s="73"/>
      <c r="AF394" s="73"/>
      <c r="AG394" s="73"/>
      <c r="AH394" s="73"/>
      <c r="AI394" s="73"/>
      <c r="AJ394" s="75"/>
      <c r="AK394" s="76" t="s">
        <v>798</v>
      </c>
      <c r="AL394" s="83" t="s">
        <v>4278</v>
      </c>
      <c r="AM394" s="71" t="s">
        <v>4279</v>
      </c>
      <c r="AN394" s="84" t="s">
        <v>4280</v>
      </c>
      <c r="AO394" s="71" t="s">
        <v>4281</v>
      </c>
      <c r="AP394" s="161" t="str">
        <f>IMAGE("https://bellingcat-archive.nyc3.cdn.digitaloceanspaces.com/Ukraine_Witness_Datasheet/Worksheet/youtube_dl_1495022443857162250/out2.jpg")</f>
        <v/>
      </c>
      <c r="AQ394" s="84" t="s">
        <v>4282</v>
      </c>
      <c r="AR394" s="71" t="s">
        <v>4283</v>
      </c>
      <c r="AS394" s="71" t="s">
        <v>4284</v>
      </c>
      <c r="AT394" s="71">
        <v>38.22</v>
      </c>
      <c r="AU394" s="89"/>
      <c r="AV394" s="162"/>
      <c r="AW394" s="81"/>
    </row>
    <row r="395" ht="15.75" customHeight="1">
      <c r="A395" s="87" t="s">
        <v>63</v>
      </c>
      <c r="B395" s="73"/>
      <c r="C395" s="57" t="s">
        <v>4167</v>
      </c>
      <c r="D395" s="74">
        <v>51.788277</v>
      </c>
      <c r="E395" s="74">
        <v>36.417822</v>
      </c>
      <c r="F395" s="59">
        <v>1.0</v>
      </c>
      <c r="G395" s="84" t="s">
        <v>4285</v>
      </c>
      <c r="H395" s="61" t="s">
        <v>66</v>
      </c>
      <c r="I395" s="75"/>
      <c r="J395" s="63" t="s">
        <v>4286</v>
      </c>
      <c r="K395" s="88" t="s">
        <v>4287</v>
      </c>
      <c r="L395" s="110" t="s">
        <v>79</v>
      </c>
      <c r="M395" s="92" t="s">
        <v>1028</v>
      </c>
      <c r="N395" s="92" t="s">
        <v>2039</v>
      </c>
      <c r="O395" s="111"/>
      <c r="P395" s="67" t="str">
        <f t="shared" si="1"/>
        <v>51.788277, 36.417822</v>
      </c>
      <c r="Q395" s="67" t="str">
        <f t="shared" si="2"/>
        <v>51.787779, 36.418012</v>
      </c>
      <c r="R395" s="67">
        <f t="shared" si="3"/>
        <v>51.787779</v>
      </c>
      <c r="S395" s="67">
        <f t="shared" si="4"/>
        <v>36.418012</v>
      </c>
      <c r="T395" s="161"/>
      <c r="U395" s="69"/>
      <c r="V395" s="65" t="s">
        <v>4288</v>
      </c>
      <c r="W395" s="71" t="s">
        <v>74</v>
      </c>
      <c r="X395" s="72" t="s">
        <v>75</v>
      </c>
      <c r="Y395" s="73"/>
      <c r="Z395" s="73"/>
      <c r="AA395" s="73"/>
      <c r="AB395" s="73"/>
      <c r="AC395" s="73"/>
      <c r="AD395" s="73"/>
      <c r="AE395" s="73"/>
      <c r="AF395" s="73"/>
      <c r="AG395" s="73"/>
      <c r="AH395" s="73"/>
      <c r="AI395" s="73"/>
      <c r="AJ395" s="75"/>
      <c r="AK395" s="76" t="s">
        <v>798</v>
      </c>
      <c r="AL395" s="83" t="s">
        <v>4289</v>
      </c>
      <c r="AM395" s="71" t="s">
        <v>4290</v>
      </c>
      <c r="AN395" s="84" t="s">
        <v>4291</v>
      </c>
      <c r="AO395" s="71" t="s">
        <v>4292</v>
      </c>
      <c r="AP395" s="161" t="str">
        <f>IMAGE("https://bellingcat-archive.nyc3.cdn.digitaloceanspaces.com/Ukraine_Witness_Datasheet/Worksheet/youtube_dl_1494984111471140871/out2.jpg")</f>
        <v/>
      </c>
      <c r="AQ395" s="84" t="s">
        <v>4293</v>
      </c>
      <c r="AR395" s="71" t="s">
        <v>1038</v>
      </c>
      <c r="AS395" s="71" t="s">
        <v>4294</v>
      </c>
      <c r="AT395" s="71">
        <v>4.805</v>
      </c>
      <c r="AU395" s="89"/>
      <c r="AV395" s="162"/>
      <c r="AW395" s="81"/>
    </row>
    <row r="396" ht="15.75" customHeight="1">
      <c r="A396" s="87" t="s">
        <v>63</v>
      </c>
      <c r="B396" s="73"/>
      <c r="C396" s="57" t="s">
        <v>4167</v>
      </c>
      <c r="D396" s="74">
        <v>50.45281</v>
      </c>
      <c r="E396" s="74">
        <v>37.143927</v>
      </c>
      <c r="F396" s="59">
        <v>1.0</v>
      </c>
      <c r="G396" s="84" t="s">
        <v>4295</v>
      </c>
      <c r="H396" s="61" t="s">
        <v>66</v>
      </c>
      <c r="I396" s="75"/>
      <c r="J396" s="63" t="s">
        <v>4265</v>
      </c>
      <c r="K396" s="88" t="s">
        <v>4296</v>
      </c>
      <c r="L396" s="110" t="s">
        <v>79</v>
      </c>
      <c r="M396" s="92" t="s">
        <v>1325</v>
      </c>
      <c r="N396" s="111"/>
      <c r="O396" s="92" t="s">
        <v>4297</v>
      </c>
      <c r="P396" s="67" t="str">
        <f t="shared" si="1"/>
        <v>50.45281, 37.143927</v>
      </c>
      <c r="Q396" s="67" t="str">
        <f t="shared" si="2"/>
        <v>50.452609, 37.143475</v>
      </c>
      <c r="R396" s="67">
        <f t="shared" si="3"/>
        <v>50.452609</v>
      </c>
      <c r="S396" s="67">
        <f t="shared" si="4"/>
        <v>37.143475</v>
      </c>
      <c r="T396" s="161"/>
      <c r="U396" s="69"/>
      <c r="V396" s="65" t="s">
        <v>4298</v>
      </c>
      <c r="W396" s="71" t="s">
        <v>74</v>
      </c>
      <c r="X396" s="72" t="s">
        <v>75</v>
      </c>
      <c r="Y396" s="73"/>
      <c r="Z396" s="73"/>
      <c r="AA396" s="73"/>
      <c r="AB396" s="73"/>
      <c r="AC396" s="73"/>
      <c r="AD396" s="73"/>
      <c r="AE396" s="73"/>
      <c r="AF396" s="73"/>
      <c r="AG396" s="73"/>
      <c r="AH396" s="73"/>
      <c r="AI396" s="73"/>
      <c r="AJ396" s="75"/>
      <c r="AK396" s="76" t="s">
        <v>798</v>
      </c>
      <c r="AL396" s="83" t="s">
        <v>4299</v>
      </c>
      <c r="AM396" s="71" t="s">
        <v>4300</v>
      </c>
      <c r="AN396" s="84" t="s">
        <v>4301</v>
      </c>
      <c r="AO396" s="71" t="s">
        <v>4302</v>
      </c>
      <c r="AP396" s="161" t="str">
        <f>IMAGE("https://bellingcat-archive.nyc3.cdn.digitaloceanspaces.com/Ukraine_Witness_Datasheet/Worksheet/youtube_dl_1495061583571079174/out5.jpg")</f>
        <v/>
      </c>
      <c r="AQ396" s="84" t="s">
        <v>4303</v>
      </c>
      <c r="AR396" s="71" t="s">
        <v>4304</v>
      </c>
      <c r="AS396" s="71" t="s">
        <v>4305</v>
      </c>
      <c r="AT396" s="71">
        <v>132.982</v>
      </c>
      <c r="AU396" s="89"/>
      <c r="AV396" s="162"/>
      <c r="AW396" s="81"/>
    </row>
    <row r="397" ht="15.75" customHeight="1">
      <c r="A397" s="87" t="s">
        <v>63</v>
      </c>
      <c r="B397" s="73"/>
      <c r="C397" s="57" t="s">
        <v>4167</v>
      </c>
      <c r="D397" s="92">
        <v>44.752162</v>
      </c>
      <c r="E397" s="92">
        <v>37.749437</v>
      </c>
      <c r="F397" s="59">
        <v>1.0</v>
      </c>
      <c r="G397" s="84" t="s">
        <v>4306</v>
      </c>
      <c r="H397" s="61" t="s">
        <v>66</v>
      </c>
      <c r="I397" s="75"/>
      <c r="J397" s="63" t="s">
        <v>4307</v>
      </c>
      <c r="K397" s="88" t="s">
        <v>4308</v>
      </c>
      <c r="L397" s="110" t="s">
        <v>79</v>
      </c>
      <c r="M397" s="92" t="s">
        <v>1819</v>
      </c>
      <c r="N397" s="111"/>
      <c r="O397" s="92" t="s">
        <v>4309</v>
      </c>
      <c r="P397" s="67" t="str">
        <f t="shared" si="1"/>
        <v>44.752162, 37.749437</v>
      </c>
      <c r="Q397" s="67" t="str">
        <f t="shared" si="2"/>
        <v>44.751627, 37.748775</v>
      </c>
      <c r="R397" s="67">
        <f t="shared" si="3"/>
        <v>44.751627</v>
      </c>
      <c r="S397" s="67">
        <f t="shared" si="4"/>
        <v>37.748775</v>
      </c>
      <c r="T397" s="161"/>
      <c r="U397" s="69"/>
      <c r="V397" s="65" t="s">
        <v>4310</v>
      </c>
      <c r="W397" s="71" t="s">
        <v>74</v>
      </c>
      <c r="X397" s="72" t="s">
        <v>75</v>
      </c>
      <c r="Y397" s="73"/>
      <c r="Z397" s="73"/>
      <c r="AA397" s="73"/>
      <c r="AB397" s="73"/>
      <c r="AC397" s="73"/>
      <c r="AD397" s="73"/>
      <c r="AE397" s="73"/>
      <c r="AF397" s="73"/>
      <c r="AG397" s="73"/>
      <c r="AH397" s="73"/>
      <c r="AI397" s="73"/>
      <c r="AJ397" s="75"/>
      <c r="AK397" s="76" t="s">
        <v>798</v>
      </c>
      <c r="AL397" s="83" t="s">
        <v>4311</v>
      </c>
      <c r="AM397" s="71" t="s">
        <v>4312</v>
      </c>
      <c r="AN397" s="84" t="s">
        <v>4313</v>
      </c>
      <c r="AO397" s="71" t="s">
        <v>4314</v>
      </c>
      <c r="AP397" s="161" t="str">
        <f>IMAGE("https://bellingcat-archive.nyc3.cdn.digitaloceanspaces.com/Ukraine_Witness_Datasheet/Worksheet/youtube_dl_1495053679266832390/out2.jpg")</f>
        <v/>
      </c>
      <c r="AQ397" s="84" t="s">
        <v>4315</v>
      </c>
      <c r="AR397" s="71" t="s">
        <v>4316</v>
      </c>
      <c r="AS397" s="71" t="s">
        <v>4317</v>
      </c>
      <c r="AT397" s="71">
        <v>23.105</v>
      </c>
      <c r="AU397" s="89"/>
      <c r="AV397" s="162"/>
      <c r="AW397" s="81"/>
    </row>
    <row r="398" ht="15.75" customHeight="1">
      <c r="A398" s="87" t="s">
        <v>63</v>
      </c>
      <c r="B398" s="73"/>
      <c r="C398" s="57" t="s">
        <v>4167</v>
      </c>
      <c r="D398" s="74">
        <v>50.795403</v>
      </c>
      <c r="E398" s="74">
        <v>35.716462</v>
      </c>
      <c r="F398" s="59">
        <v>1.0</v>
      </c>
      <c r="G398" s="84" t="s">
        <v>4318</v>
      </c>
      <c r="H398" s="61" t="s">
        <v>66</v>
      </c>
      <c r="I398" s="75"/>
      <c r="J398" s="63" t="s">
        <v>4265</v>
      </c>
      <c r="K398" s="88" t="s">
        <v>4319</v>
      </c>
      <c r="L398" s="110" t="s">
        <v>873</v>
      </c>
      <c r="M398" s="92" t="s">
        <v>1325</v>
      </c>
      <c r="N398" s="92" t="s">
        <v>4320</v>
      </c>
      <c r="O398" s="111"/>
      <c r="P398" s="67" t="str">
        <f t="shared" si="1"/>
        <v>50.795403, 35.716462</v>
      </c>
      <c r="Q398" s="67" t="str">
        <f t="shared" si="2"/>
        <v>50.79496, 35.715422</v>
      </c>
      <c r="R398" s="67">
        <f t="shared" si="3"/>
        <v>50.79496</v>
      </c>
      <c r="S398" s="67">
        <f t="shared" si="4"/>
        <v>35.715422</v>
      </c>
      <c r="T398" s="161"/>
      <c r="U398" s="69"/>
      <c r="V398" s="65" t="s">
        <v>4321</v>
      </c>
      <c r="W398" s="71" t="s">
        <v>74</v>
      </c>
      <c r="X398" s="72" t="s">
        <v>75</v>
      </c>
      <c r="Y398" s="73"/>
      <c r="Z398" s="73"/>
      <c r="AA398" s="73"/>
      <c r="AB398" s="73"/>
      <c r="AC398" s="73"/>
      <c r="AD398" s="73"/>
      <c r="AE398" s="73"/>
      <c r="AF398" s="73"/>
      <c r="AG398" s="73"/>
      <c r="AH398" s="73"/>
      <c r="AI398" s="73"/>
      <c r="AJ398" s="75"/>
      <c r="AK398" s="76" t="s">
        <v>798</v>
      </c>
      <c r="AL398" s="83" t="s">
        <v>4322</v>
      </c>
      <c r="AM398" s="71" t="s">
        <v>4323</v>
      </c>
      <c r="AN398" s="84" t="s">
        <v>4324</v>
      </c>
      <c r="AO398" s="71" t="s">
        <v>4325</v>
      </c>
      <c r="AP398" s="161" t="str">
        <f>IMAGE("https://bellingcat-archive.nyc3.cdn.digitaloceanspaces.com/Ukraine_Witness_Datasheet/Worksheet/youtube_dl_1494984191586578434/out2.jpg")</f>
        <v/>
      </c>
      <c r="AQ398" s="84" t="s">
        <v>4326</v>
      </c>
      <c r="AR398" s="71" t="s">
        <v>4327</v>
      </c>
      <c r="AS398" s="71" t="s">
        <v>4328</v>
      </c>
      <c r="AT398" s="71">
        <v>44.887</v>
      </c>
      <c r="AU398" s="89"/>
      <c r="AV398" s="162"/>
      <c r="AW398" s="81"/>
    </row>
    <row r="399" ht="15.75" customHeight="1">
      <c r="A399" s="87" t="s">
        <v>63</v>
      </c>
      <c r="B399" s="73"/>
      <c r="C399" s="57" t="s">
        <v>4167</v>
      </c>
      <c r="D399" s="74">
        <v>51.716462</v>
      </c>
      <c r="E399" s="74">
        <v>36.265661</v>
      </c>
      <c r="F399" s="59">
        <v>1.0</v>
      </c>
      <c r="G399" s="84" t="s">
        <v>4329</v>
      </c>
      <c r="H399" s="61" t="s">
        <v>66</v>
      </c>
      <c r="I399" s="75"/>
      <c r="J399" s="63" t="s">
        <v>4330</v>
      </c>
      <c r="K399" s="88" t="s">
        <v>4331</v>
      </c>
      <c r="L399" s="110" t="s">
        <v>79</v>
      </c>
      <c r="M399" s="92" t="s">
        <v>1028</v>
      </c>
      <c r="N399" s="92" t="s">
        <v>2063</v>
      </c>
      <c r="O399" s="111"/>
      <c r="P399" s="67" t="str">
        <f t="shared" si="1"/>
        <v>51.716462, 36.265661</v>
      </c>
      <c r="Q399" s="67" t="str">
        <f t="shared" si="2"/>
        <v>51.716119, 36.264964</v>
      </c>
      <c r="R399" s="67">
        <f t="shared" si="3"/>
        <v>51.716119</v>
      </c>
      <c r="S399" s="67">
        <f t="shared" si="4"/>
        <v>36.264964</v>
      </c>
      <c r="T399" s="161"/>
      <c r="U399" s="69"/>
      <c r="V399" s="65" t="s">
        <v>4332</v>
      </c>
      <c r="W399" s="71" t="s">
        <v>74</v>
      </c>
      <c r="X399" s="72" t="s">
        <v>75</v>
      </c>
      <c r="Y399" s="73"/>
      <c r="Z399" s="73"/>
      <c r="AA399" s="73"/>
      <c r="AB399" s="73"/>
      <c r="AC399" s="73"/>
      <c r="AD399" s="73"/>
      <c r="AE399" s="73"/>
      <c r="AF399" s="73"/>
      <c r="AG399" s="73"/>
      <c r="AH399" s="73"/>
      <c r="AI399" s="73"/>
      <c r="AJ399" s="75"/>
      <c r="AK399" s="76" t="s">
        <v>798</v>
      </c>
      <c r="AL399" s="83" t="s">
        <v>4333</v>
      </c>
      <c r="AM399" s="71" t="s">
        <v>4334</v>
      </c>
      <c r="AN399" s="84" t="s">
        <v>4335</v>
      </c>
      <c r="AO399" s="71" t="s">
        <v>4336</v>
      </c>
      <c r="AP399" s="161" t="str">
        <f>IMAGE("https://bellingcat-archive.nyc3.cdn.digitaloceanspaces.com/Ukraine_Witness_Datasheet/Worksheet/youtube_dl_1494867617634471940/out3.jpg")</f>
        <v/>
      </c>
      <c r="AQ399" s="84" t="s">
        <v>4337</v>
      </c>
      <c r="AR399" s="71" t="s">
        <v>1038</v>
      </c>
      <c r="AS399" s="71" t="s">
        <v>4338</v>
      </c>
      <c r="AT399" s="71">
        <v>68.633</v>
      </c>
      <c r="AU399" s="89"/>
      <c r="AV399" s="162"/>
      <c r="AW399" s="81"/>
    </row>
    <row r="400" ht="15.75" customHeight="1">
      <c r="A400" s="87" t="s">
        <v>63</v>
      </c>
      <c r="B400" s="73"/>
      <c r="C400" s="57" t="s">
        <v>4167</v>
      </c>
      <c r="D400" s="104">
        <v>52.29024</v>
      </c>
      <c r="E400" s="74">
        <v>30.358015</v>
      </c>
      <c r="F400" s="59">
        <v>1.0</v>
      </c>
      <c r="G400" s="84" t="s">
        <v>4339</v>
      </c>
      <c r="H400" s="61" t="s">
        <v>66</v>
      </c>
      <c r="I400" s="75"/>
      <c r="J400" s="63" t="s">
        <v>4340</v>
      </c>
      <c r="K400" s="88" t="s">
        <v>4341</v>
      </c>
      <c r="L400" s="110" t="s">
        <v>69</v>
      </c>
      <c r="M400" s="111"/>
      <c r="N400" s="92" t="s">
        <v>1958</v>
      </c>
      <c r="O400" s="111"/>
      <c r="P400" s="67" t="str">
        <f t="shared" si="1"/>
        <v>52.29024, 30.358015</v>
      </c>
      <c r="Q400" s="67" t="str">
        <f t="shared" si="2"/>
        <v>52.28953, 30.358552</v>
      </c>
      <c r="R400" s="67">
        <f t="shared" si="3"/>
        <v>52.28953</v>
      </c>
      <c r="S400" s="67">
        <f t="shared" si="4"/>
        <v>30.358552</v>
      </c>
      <c r="T400" s="161"/>
      <c r="U400" s="185"/>
      <c r="V400" s="65" t="s">
        <v>4342</v>
      </c>
      <c r="W400" s="71" t="s">
        <v>74</v>
      </c>
      <c r="X400" s="72" t="s">
        <v>75</v>
      </c>
      <c r="Y400" s="73"/>
      <c r="Z400" s="73"/>
      <c r="AA400" s="73"/>
      <c r="AB400" s="73"/>
      <c r="AC400" s="73"/>
      <c r="AD400" s="73"/>
      <c r="AE400" s="73"/>
      <c r="AF400" s="73"/>
      <c r="AG400" s="73"/>
      <c r="AH400" s="73"/>
      <c r="AI400" s="73"/>
      <c r="AJ400" s="75"/>
      <c r="AK400" s="76" t="s">
        <v>798</v>
      </c>
      <c r="AL400" s="83" t="s">
        <v>4343</v>
      </c>
      <c r="AM400" s="71" t="s">
        <v>4344</v>
      </c>
      <c r="AN400" s="84" t="s">
        <v>4345</v>
      </c>
      <c r="AO400" s="71" t="s">
        <v>4346</v>
      </c>
      <c r="AP400" s="161" t="str">
        <f>IMAGE("https://bellingcat-archive.nyc3.cdn.digitaloceanspaces.com/Ukraine_Witness_Datasheet/Worksheet/youtube_dl_1495049985150312449/out2.jpg")</f>
        <v/>
      </c>
      <c r="AQ400" s="84" t="s">
        <v>4347</v>
      </c>
      <c r="AR400" s="71" t="s">
        <v>4348</v>
      </c>
      <c r="AS400" s="71" t="s">
        <v>4349</v>
      </c>
      <c r="AT400" s="71">
        <v>24.452</v>
      </c>
      <c r="AU400" s="89"/>
      <c r="AV400" s="162"/>
      <c r="AW400" s="81"/>
    </row>
    <row r="401" ht="15.75" customHeight="1">
      <c r="A401" s="87" t="s">
        <v>63</v>
      </c>
      <c r="B401" s="73"/>
      <c r="C401" s="57" t="s">
        <v>4167</v>
      </c>
      <c r="D401" s="74">
        <v>53.062779</v>
      </c>
      <c r="E401" s="74">
        <v>32.848194</v>
      </c>
      <c r="F401" s="59">
        <v>1.0</v>
      </c>
      <c r="G401" s="84" t="s">
        <v>4350</v>
      </c>
      <c r="H401" s="61" t="s">
        <v>66</v>
      </c>
      <c r="I401" s="75"/>
      <c r="J401" s="63" t="s">
        <v>4351</v>
      </c>
      <c r="K401" s="88" t="s">
        <v>4352</v>
      </c>
      <c r="L401" s="110" t="s">
        <v>79</v>
      </c>
      <c r="M401" s="92" t="s">
        <v>240</v>
      </c>
      <c r="N401" s="111"/>
      <c r="O401" s="92" t="s">
        <v>242</v>
      </c>
      <c r="P401" s="67" t="str">
        <f t="shared" si="1"/>
        <v>53.062779, 32.848194</v>
      </c>
      <c r="Q401" s="67" t="str">
        <f t="shared" si="2"/>
        <v>53.062329, 32.849228</v>
      </c>
      <c r="R401" s="67">
        <f t="shared" si="3"/>
        <v>53.062329</v>
      </c>
      <c r="S401" s="67">
        <f t="shared" si="4"/>
        <v>32.849228</v>
      </c>
      <c r="T401" s="161"/>
      <c r="U401" s="69"/>
      <c r="V401" s="65" t="s">
        <v>4353</v>
      </c>
      <c r="W401" s="71" t="s">
        <v>74</v>
      </c>
      <c r="X401" s="72" t="s">
        <v>75</v>
      </c>
      <c r="Y401" s="73"/>
      <c r="Z401" s="73"/>
      <c r="AA401" s="73"/>
      <c r="AB401" s="73"/>
      <c r="AC401" s="73"/>
      <c r="AD401" s="73"/>
      <c r="AE401" s="73"/>
      <c r="AF401" s="73"/>
      <c r="AG401" s="73"/>
      <c r="AH401" s="73"/>
      <c r="AI401" s="73"/>
      <c r="AJ401" s="75"/>
      <c r="AK401" s="76" t="s">
        <v>798</v>
      </c>
      <c r="AL401" s="83" t="s">
        <v>4354</v>
      </c>
      <c r="AM401" s="71" t="s">
        <v>4355</v>
      </c>
      <c r="AN401" s="84" t="s">
        <v>4356</v>
      </c>
      <c r="AO401" s="71" t="s">
        <v>4357</v>
      </c>
      <c r="AP401" s="161" t="str">
        <f>IMAGE("https://bellingcat-archive.nyc3.cdn.digitaloceanspaces.com/Ukraine_Witness_Datasheet/Worksheet/youtube_dl_1495019720361320453/out2.jpg")</f>
        <v/>
      </c>
      <c r="AQ401" s="84" t="s">
        <v>4358</v>
      </c>
      <c r="AR401" s="71" t="s">
        <v>4359</v>
      </c>
      <c r="AS401" s="71" t="s">
        <v>4360</v>
      </c>
      <c r="AT401" s="71">
        <v>16.37</v>
      </c>
      <c r="AU401" s="89"/>
      <c r="AV401" s="162"/>
      <c r="AW401" s="81"/>
    </row>
    <row r="402" ht="15.75" customHeight="1">
      <c r="A402" s="87" t="s">
        <v>63</v>
      </c>
      <c r="B402" s="73"/>
      <c r="C402" s="57" t="s">
        <v>4167</v>
      </c>
      <c r="D402" s="92">
        <v>53.286896</v>
      </c>
      <c r="E402" s="74">
        <v>28.827678</v>
      </c>
      <c r="F402" s="59">
        <v>1.0</v>
      </c>
      <c r="G402" s="84" t="s">
        <v>4361</v>
      </c>
      <c r="H402" s="61" t="s">
        <v>66</v>
      </c>
      <c r="I402" s="75"/>
      <c r="J402" s="63" t="s">
        <v>4362</v>
      </c>
      <c r="K402" s="88" t="s">
        <v>4363</v>
      </c>
      <c r="L402" s="110" t="s">
        <v>69</v>
      </c>
      <c r="M402" s="111"/>
      <c r="N402" s="92" t="s">
        <v>4364</v>
      </c>
      <c r="O402" s="111"/>
      <c r="P402" s="67" t="str">
        <f t="shared" si="1"/>
        <v>53.286896, 28.827678</v>
      </c>
      <c r="Q402" s="67" t="str">
        <f t="shared" si="2"/>
        <v>53.286882, 28.828455</v>
      </c>
      <c r="R402" s="67">
        <f t="shared" si="3"/>
        <v>53.286882</v>
      </c>
      <c r="S402" s="67">
        <f t="shared" si="4"/>
        <v>28.828455</v>
      </c>
      <c r="T402" s="161"/>
      <c r="U402" s="69"/>
      <c r="V402" s="65" t="s">
        <v>4365</v>
      </c>
      <c r="W402" s="71" t="s">
        <v>74</v>
      </c>
      <c r="X402" s="72" t="s">
        <v>75</v>
      </c>
      <c r="Y402" s="73"/>
      <c r="Z402" s="73"/>
      <c r="AA402" s="73"/>
      <c r="AB402" s="73"/>
      <c r="AC402" s="73"/>
      <c r="AD402" s="73"/>
      <c r="AE402" s="73"/>
      <c r="AF402" s="73"/>
      <c r="AG402" s="73"/>
      <c r="AH402" s="73"/>
      <c r="AI402" s="73"/>
      <c r="AJ402" s="75"/>
      <c r="AK402" s="76" t="s">
        <v>798</v>
      </c>
      <c r="AL402" s="83" t="s">
        <v>4366</v>
      </c>
      <c r="AM402" s="71" t="s">
        <v>4367</v>
      </c>
      <c r="AN402" s="84" t="s">
        <v>4368</v>
      </c>
      <c r="AO402" s="71" t="s">
        <v>4369</v>
      </c>
      <c r="AP402" s="161" t="str">
        <f>IMAGE("https://bellingcat-archive.nyc3.cdn.digitaloceanspaces.com/Ukraine_Witness_Datasheet/Worksheet/youtube_dl_1495008242430316547/out3.jpg")</f>
        <v/>
      </c>
      <c r="AQ402" s="84" t="s">
        <v>4370</v>
      </c>
      <c r="AR402" s="71" t="s">
        <v>4371</v>
      </c>
      <c r="AS402" s="71" t="s">
        <v>4372</v>
      </c>
      <c r="AT402" s="71">
        <v>69.2</v>
      </c>
      <c r="AU402" s="89"/>
      <c r="AV402" s="162"/>
      <c r="AW402" s="81"/>
    </row>
    <row r="403" ht="15.75" customHeight="1">
      <c r="A403" s="87" t="s">
        <v>63</v>
      </c>
      <c r="B403" s="73"/>
      <c r="C403" s="57" t="s">
        <v>4167</v>
      </c>
      <c r="D403" s="74">
        <v>45.25521</v>
      </c>
      <c r="E403" s="74">
        <v>37.463664</v>
      </c>
      <c r="F403" s="59">
        <v>1.0</v>
      </c>
      <c r="G403" s="84" t="s">
        <v>4373</v>
      </c>
      <c r="H403" s="61" t="s">
        <v>66</v>
      </c>
      <c r="I403" s="75"/>
      <c r="J403" s="63" t="s">
        <v>3510</v>
      </c>
      <c r="K403" s="88" t="s">
        <v>4374</v>
      </c>
      <c r="L403" s="110" t="s">
        <v>79</v>
      </c>
      <c r="M403" s="92" t="s">
        <v>1819</v>
      </c>
      <c r="N403" s="111"/>
      <c r="O403" s="92" t="s">
        <v>4375</v>
      </c>
      <c r="P403" s="67" t="str">
        <f t="shared" si="1"/>
        <v>45.25521, 37.463664</v>
      </c>
      <c r="Q403" s="67" t="str">
        <f t="shared" si="2"/>
        <v>45.254471, 37.463505</v>
      </c>
      <c r="R403" s="67">
        <f t="shared" si="3"/>
        <v>45.254471</v>
      </c>
      <c r="S403" s="67">
        <f t="shared" si="4"/>
        <v>37.463505</v>
      </c>
      <c r="T403" s="161"/>
      <c r="U403" s="69"/>
      <c r="V403" s="65" t="s">
        <v>4376</v>
      </c>
      <c r="W403" s="71" t="s">
        <v>74</v>
      </c>
      <c r="X403" s="72" t="s">
        <v>75</v>
      </c>
      <c r="Y403" s="73"/>
      <c r="Z403" s="73"/>
      <c r="AA403" s="73"/>
      <c r="AB403" s="73"/>
      <c r="AC403" s="73"/>
      <c r="AD403" s="73"/>
      <c r="AE403" s="73"/>
      <c r="AF403" s="73"/>
      <c r="AG403" s="73"/>
      <c r="AH403" s="73"/>
      <c r="AI403" s="73"/>
      <c r="AJ403" s="75"/>
      <c r="AK403" s="76" t="s">
        <v>798</v>
      </c>
      <c r="AL403" s="83" t="s">
        <v>4377</v>
      </c>
      <c r="AM403" s="71" t="s">
        <v>4378</v>
      </c>
      <c r="AN403" s="84" t="s">
        <v>4379</v>
      </c>
      <c r="AO403" s="71" t="s">
        <v>4380</v>
      </c>
      <c r="AP403" s="161" t="str">
        <f>IMAGE("https://bellingcat-archive.nyc3.cdn.digitaloceanspaces.com/Ukraine_Witness_Datasheet/Worksheet/youtube_dl_1495015956078374913/out2.jpg")</f>
        <v/>
      </c>
      <c r="AQ403" s="84" t="s">
        <v>4381</v>
      </c>
      <c r="AR403" s="71" t="s">
        <v>4382</v>
      </c>
      <c r="AS403" s="71" t="s">
        <v>4383</v>
      </c>
      <c r="AT403" s="71">
        <v>17.16</v>
      </c>
      <c r="AU403" s="89"/>
      <c r="AV403" s="162"/>
      <c r="AW403" s="81"/>
    </row>
    <row r="404" ht="15.75" customHeight="1">
      <c r="A404" s="87" t="s">
        <v>63</v>
      </c>
      <c r="B404" s="73"/>
      <c r="C404" s="57" t="s">
        <v>4167</v>
      </c>
      <c r="D404" s="92">
        <v>50.861289</v>
      </c>
      <c r="E404" s="74">
        <v>36.450786</v>
      </c>
      <c r="F404" s="59">
        <v>1.0</v>
      </c>
      <c r="G404" s="84" t="s">
        <v>4384</v>
      </c>
      <c r="H404" s="61" t="s">
        <v>66</v>
      </c>
      <c r="I404" s="75"/>
      <c r="J404" s="63" t="s">
        <v>4385</v>
      </c>
      <c r="K404" s="88" t="s">
        <v>4386</v>
      </c>
      <c r="L404" s="110" t="s">
        <v>873</v>
      </c>
      <c r="M404" s="92" t="s">
        <v>547</v>
      </c>
      <c r="N404" s="111"/>
      <c r="O404" s="92" t="s">
        <v>4387</v>
      </c>
      <c r="P404" s="67" t="str">
        <f t="shared" si="1"/>
        <v>50.861289, 36.450786</v>
      </c>
      <c r="Q404" s="67" t="str">
        <f t="shared" si="2"/>
        <v>50.860904, 36.45074</v>
      </c>
      <c r="R404" s="67">
        <f t="shared" si="3"/>
        <v>50.860904</v>
      </c>
      <c r="S404" s="67">
        <f t="shared" si="4"/>
        <v>36.45074</v>
      </c>
      <c r="T404" s="161"/>
      <c r="U404" s="69"/>
      <c r="V404" s="65" t="s">
        <v>4388</v>
      </c>
      <c r="W404" s="71" t="s">
        <v>74</v>
      </c>
      <c r="X404" s="72" t="s">
        <v>75</v>
      </c>
      <c r="Y404" s="73"/>
      <c r="Z404" s="73"/>
      <c r="AA404" s="73"/>
      <c r="AB404" s="73"/>
      <c r="AC404" s="73"/>
      <c r="AD404" s="73"/>
      <c r="AE404" s="73"/>
      <c r="AF404" s="73"/>
      <c r="AG404" s="73"/>
      <c r="AH404" s="73"/>
      <c r="AI404" s="73"/>
      <c r="AJ404" s="75"/>
      <c r="AK404" s="76" t="s">
        <v>798</v>
      </c>
      <c r="AL404" s="83" t="s">
        <v>4389</v>
      </c>
      <c r="AM404" s="71" t="s">
        <v>4390</v>
      </c>
      <c r="AN404" s="84" t="s">
        <v>4391</v>
      </c>
      <c r="AO404" s="71" t="s">
        <v>4392</v>
      </c>
      <c r="AP404" s="161" t="str">
        <f>IMAGE("https://bellingcat-archive.nyc3.cdn.digitaloceanspaces.com/Ukraine_Witness_Datasheet/Worksheet/youtube_dl_1495032915264163846/out2.jpg")</f>
        <v/>
      </c>
      <c r="AQ404" s="84" t="s">
        <v>4393</v>
      </c>
      <c r="AR404" s="71" t="s">
        <v>4394</v>
      </c>
      <c r="AS404" s="71" t="s">
        <v>4395</v>
      </c>
      <c r="AT404" s="71">
        <v>12.233</v>
      </c>
      <c r="AU404" s="89"/>
      <c r="AV404" s="162"/>
      <c r="AW404" s="81"/>
    </row>
    <row r="405" ht="15.75" customHeight="1">
      <c r="A405" s="87" t="s">
        <v>63</v>
      </c>
      <c r="B405" s="73"/>
      <c r="C405" s="57" t="s">
        <v>4167</v>
      </c>
      <c r="D405" s="74">
        <v>53.222743</v>
      </c>
      <c r="E405" s="74">
        <v>34.377321</v>
      </c>
      <c r="F405" s="59">
        <v>1.0</v>
      </c>
      <c r="G405" s="84" t="s">
        <v>4396</v>
      </c>
      <c r="H405" s="61" t="s">
        <v>66</v>
      </c>
      <c r="I405" s="75"/>
      <c r="J405" s="63" t="s">
        <v>1278</v>
      </c>
      <c r="K405" s="88" t="s">
        <v>4397</v>
      </c>
      <c r="L405" s="110" t="s">
        <v>873</v>
      </c>
      <c r="M405" s="92" t="s">
        <v>240</v>
      </c>
      <c r="N405" s="111"/>
      <c r="O405" s="92" t="s">
        <v>240</v>
      </c>
      <c r="P405" s="67" t="str">
        <f t="shared" si="1"/>
        <v>53.222743, 34.377321</v>
      </c>
      <c r="Q405" s="67" t="str">
        <f t="shared" si="2"/>
        <v>53.222055, 34.376642</v>
      </c>
      <c r="R405" s="67">
        <f t="shared" si="3"/>
        <v>53.222055</v>
      </c>
      <c r="S405" s="67">
        <f t="shared" si="4"/>
        <v>34.376642</v>
      </c>
      <c r="T405" s="161"/>
      <c r="U405" s="69"/>
      <c r="V405" s="65" t="s">
        <v>4398</v>
      </c>
      <c r="W405" s="71" t="s">
        <v>74</v>
      </c>
      <c r="X405" s="72" t="s">
        <v>75</v>
      </c>
      <c r="Y405" s="73"/>
      <c r="Z405" s="73"/>
      <c r="AA405" s="73"/>
      <c r="AB405" s="73"/>
      <c r="AC405" s="73"/>
      <c r="AD405" s="73"/>
      <c r="AE405" s="73"/>
      <c r="AF405" s="73"/>
      <c r="AG405" s="73"/>
      <c r="AH405" s="73"/>
      <c r="AI405" s="73"/>
      <c r="AJ405" s="75"/>
      <c r="AK405" s="76" t="s">
        <v>798</v>
      </c>
      <c r="AL405" s="83" t="s">
        <v>4399</v>
      </c>
      <c r="AM405" s="71" t="s">
        <v>4400</v>
      </c>
      <c r="AN405" s="84" t="s">
        <v>4401</v>
      </c>
      <c r="AO405" s="71" t="s">
        <v>4402</v>
      </c>
      <c r="AP405" s="161" t="str">
        <f>IMAGE("https://bellingcat-archive.nyc3.cdn.digitaloceanspaces.com/Ukraine_Witness_Datasheet/Worksheet/youtube_dl_1495024214939774980/out2.jpg")</f>
        <v/>
      </c>
      <c r="AQ405" s="84" t="s">
        <v>4403</v>
      </c>
      <c r="AR405" s="71" t="s">
        <v>4404</v>
      </c>
      <c r="AS405" s="71" t="s">
        <v>4405</v>
      </c>
      <c r="AT405" s="71">
        <v>21.366</v>
      </c>
      <c r="AU405" s="89"/>
      <c r="AV405" s="162"/>
      <c r="AW405" s="81"/>
    </row>
    <row r="406" ht="15.75" customHeight="1">
      <c r="A406" s="87" t="s">
        <v>63</v>
      </c>
      <c r="B406" s="73"/>
      <c r="C406" s="57" t="s">
        <v>4167</v>
      </c>
      <c r="D406" s="74">
        <v>50.855827</v>
      </c>
      <c r="E406" s="74">
        <v>36.455077</v>
      </c>
      <c r="F406" s="59">
        <v>1.0</v>
      </c>
      <c r="G406" s="84" t="s">
        <v>4406</v>
      </c>
      <c r="H406" s="61" t="s">
        <v>66</v>
      </c>
      <c r="I406" s="75"/>
      <c r="J406" s="63" t="s">
        <v>4407</v>
      </c>
      <c r="K406" s="88" t="s">
        <v>4408</v>
      </c>
      <c r="L406" s="110" t="s">
        <v>873</v>
      </c>
      <c r="M406" s="92" t="s">
        <v>547</v>
      </c>
      <c r="N406" s="111"/>
      <c r="O406" s="92" t="s">
        <v>4387</v>
      </c>
      <c r="P406" s="67" t="str">
        <f t="shared" si="1"/>
        <v>50.855827, 36.455077</v>
      </c>
      <c r="Q406" s="67" t="str">
        <f t="shared" si="2"/>
        <v>50.85553, 36.454563</v>
      </c>
      <c r="R406" s="67">
        <f t="shared" si="3"/>
        <v>50.85553</v>
      </c>
      <c r="S406" s="67">
        <f t="shared" si="4"/>
        <v>36.454563</v>
      </c>
      <c r="T406" s="161"/>
      <c r="U406" s="69"/>
      <c r="V406" s="65" t="s">
        <v>4409</v>
      </c>
      <c r="W406" s="71" t="s">
        <v>74</v>
      </c>
      <c r="X406" s="72" t="s">
        <v>75</v>
      </c>
      <c r="Y406" s="73"/>
      <c r="Z406" s="73"/>
      <c r="AA406" s="73"/>
      <c r="AB406" s="73"/>
      <c r="AC406" s="73"/>
      <c r="AD406" s="73"/>
      <c r="AE406" s="73"/>
      <c r="AF406" s="73"/>
      <c r="AG406" s="73"/>
      <c r="AH406" s="73"/>
      <c r="AI406" s="73"/>
      <c r="AJ406" s="75"/>
      <c r="AK406" s="76" t="s">
        <v>4410</v>
      </c>
      <c r="AL406" s="83" t="s">
        <v>4411</v>
      </c>
      <c r="AM406" s="71" t="s">
        <v>4412</v>
      </c>
      <c r="AN406" s="84" t="s">
        <v>4413</v>
      </c>
      <c r="AO406" s="71" t="s">
        <v>4414</v>
      </c>
      <c r="AP406" s="161" t="str">
        <f>IMAGE("https://bellingcat-archive.nyc3.cdn.digitaloceanspaces.com/Ukraine_Witness_Datasheet/Worksheet/telegram_5c25a5ec5c/out2.jpg")</f>
        <v/>
      </c>
      <c r="AQ406" s="84" t="s">
        <v>4415</v>
      </c>
      <c r="AR406" s="84" t="s">
        <v>4406</v>
      </c>
      <c r="AS406" s="71" t="s">
        <v>4416</v>
      </c>
      <c r="AT406" s="71">
        <v>13.0</v>
      </c>
      <c r="AU406" s="89"/>
      <c r="AV406" s="162"/>
      <c r="AW406" s="81"/>
    </row>
    <row r="407" ht="15.75" customHeight="1">
      <c r="A407" s="87" t="s">
        <v>63</v>
      </c>
      <c r="B407" s="73"/>
      <c r="C407" s="57" t="s">
        <v>4417</v>
      </c>
      <c r="D407" s="74">
        <v>44.928165</v>
      </c>
      <c r="E407" s="74">
        <v>37.334667</v>
      </c>
      <c r="F407" s="59">
        <v>1.0</v>
      </c>
      <c r="G407" s="84" t="s">
        <v>4418</v>
      </c>
      <c r="H407" s="61" t="s">
        <v>66</v>
      </c>
      <c r="I407" s="75"/>
      <c r="J407" s="63" t="s">
        <v>1278</v>
      </c>
      <c r="K407" s="88" t="s">
        <v>4419</v>
      </c>
      <c r="L407" s="110" t="s">
        <v>79</v>
      </c>
      <c r="M407" s="92" t="s">
        <v>1819</v>
      </c>
      <c r="N407" s="111"/>
      <c r="O407" s="92" t="s">
        <v>4420</v>
      </c>
      <c r="P407" s="67" t="str">
        <f t="shared" si="1"/>
        <v>44.928165, 37.334667</v>
      </c>
      <c r="Q407" s="67" t="str">
        <f t="shared" si="2"/>
        <v>44.927489, 37.33453</v>
      </c>
      <c r="R407" s="67">
        <f t="shared" si="3"/>
        <v>44.927489</v>
      </c>
      <c r="S407" s="67">
        <f t="shared" si="4"/>
        <v>37.33453</v>
      </c>
      <c r="T407" s="161"/>
      <c r="U407" s="69"/>
      <c r="V407" s="65" t="s">
        <v>4421</v>
      </c>
      <c r="W407" s="71" t="s">
        <v>74</v>
      </c>
      <c r="X407" s="72" t="s">
        <v>75</v>
      </c>
      <c r="Y407" s="73"/>
      <c r="Z407" s="73"/>
      <c r="AA407" s="73"/>
      <c r="AB407" s="73"/>
      <c r="AC407" s="73"/>
      <c r="AD407" s="73"/>
      <c r="AE407" s="73"/>
      <c r="AF407" s="73"/>
      <c r="AG407" s="73"/>
      <c r="AH407" s="73"/>
      <c r="AI407" s="73"/>
      <c r="AJ407" s="75"/>
      <c r="AK407" s="76" t="s">
        <v>798</v>
      </c>
      <c r="AL407" s="83" t="s">
        <v>4422</v>
      </c>
      <c r="AM407" s="71" t="s">
        <v>4423</v>
      </c>
      <c r="AN407" s="84" t="s">
        <v>4424</v>
      </c>
      <c r="AO407" s="71" t="s">
        <v>4425</v>
      </c>
      <c r="AP407" s="161" t="str">
        <f>IMAGE("https://bellingcat-archive.nyc3.cdn.digitaloceanspaces.com/Ukraine_Witness_Datasheet/Worksheet/youtube_dl_1495152980093513731/out2.jpg")</f>
        <v/>
      </c>
      <c r="AQ407" s="84" t="s">
        <v>4426</v>
      </c>
      <c r="AR407" s="71" t="s">
        <v>4427</v>
      </c>
      <c r="AS407" s="71" t="s">
        <v>4428</v>
      </c>
      <c r="AT407" s="71">
        <v>36.76</v>
      </c>
      <c r="AU407" s="89"/>
      <c r="AV407" s="162"/>
      <c r="AW407" s="81"/>
    </row>
    <row r="408" ht="15.75" customHeight="1">
      <c r="A408" s="87" t="s">
        <v>63</v>
      </c>
      <c r="B408" s="73"/>
      <c r="C408" s="57" t="s">
        <v>4167</v>
      </c>
      <c r="D408" s="74">
        <v>50.963884</v>
      </c>
      <c r="E408" s="74">
        <v>36.581095</v>
      </c>
      <c r="F408" s="59">
        <v>1.0</v>
      </c>
      <c r="G408" s="84" t="s">
        <v>4429</v>
      </c>
      <c r="H408" s="61" t="s">
        <v>66</v>
      </c>
      <c r="I408" s="75"/>
      <c r="J408" s="63" t="s">
        <v>4430</v>
      </c>
      <c r="K408" s="88" t="s">
        <v>4431</v>
      </c>
      <c r="L408" s="110" t="s">
        <v>873</v>
      </c>
      <c r="M408" s="92" t="s">
        <v>547</v>
      </c>
      <c r="N408" s="92" t="s">
        <v>4432</v>
      </c>
      <c r="O408" s="111"/>
      <c r="P408" s="67" t="str">
        <f t="shared" si="1"/>
        <v>50.963884, 36.581095</v>
      </c>
      <c r="Q408" s="67" t="str">
        <f t="shared" si="2"/>
        <v>50.96359, 36.580632</v>
      </c>
      <c r="R408" s="67">
        <f t="shared" si="3"/>
        <v>50.96359</v>
      </c>
      <c r="S408" s="67">
        <f t="shared" si="4"/>
        <v>36.580632</v>
      </c>
      <c r="T408" s="161"/>
      <c r="U408" s="69"/>
      <c r="V408" s="65" t="s">
        <v>4433</v>
      </c>
      <c r="W408" s="71" t="s">
        <v>74</v>
      </c>
      <c r="X408" s="72" t="s">
        <v>75</v>
      </c>
      <c r="Y408" s="73"/>
      <c r="Z408" s="73"/>
      <c r="AA408" s="73"/>
      <c r="AB408" s="73"/>
      <c r="AC408" s="73"/>
      <c r="AD408" s="73"/>
      <c r="AE408" s="73"/>
      <c r="AF408" s="73"/>
      <c r="AG408" s="73"/>
      <c r="AH408" s="73"/>
      <c r="AI408" s="73"/>
      <c r="AJ408" s="75"/>
      <c r="AK408" s="76" t="s">
        <v>798</v>
      </c>
      <c r="AL408" s="83" t="s">
        <v>4434</v>
      </c>
      <c r="AM408" s="71" t="s">
        <v>4435</v>
      </c>
      <c r="AN408" s="84" t="s">
        <v>4436</v>
      </c>
      <c r="AO408" s="71" t="s">
        <v>4437</v>
      </c>
      <c r="AP408" s="161" t="str">
        <f>IMAGE("https://bellingcat-archive.nyc3.cdn.digitaloceanspaces.com/Ukraine_Witness_Datasheet/Worksheet/youtube_dl_1495143188599824384/out2.jpg")</f>
        <v/>
      </c>
      <c r="AQ408" s="84" t="s">
        <v>4438</v>
      </c>
      <c r="AR408" s="71" t="s">
        <v>4439</v>
      </c>
      <c r="AS408" s="71" t="s">
        <v>4440</v>
      </c>
      <c r="AT408" s="71">
        <v>34.52</v>
      </c>
      <c r="AU408" s="89"/>
      <c r="AV408" s="162"/>
      <c r="AW408" s="81"/>
    </row>
    <row r="409" ht="15.75" customHeight="1">
      <c r="A409" s="95" t="s">
        <v>63</v>
      </c>
      <c r="B409" s="73"/>
      <c r="C409" s="57" t="s">
        <v>4167</v>
      </c>
      <c r="D409" s="74">
        <v>50.528436</v>
      </c>
      <c r="E409" s="74">
        <v>37.358069</v>
      </c>
      <c r="F409" s="59">
        <v>1.0</v>
      </c>
      <c r="G409" s="84" t="s">
        <v>4441</v>
      </c>
      <c r="H409" s="61" t="s">
        <v>66</v>
      </c>
      <c r="I409" s="75"/>
      <c r="J409" s="63" t="s">
        <v>4442</v>
      </c>
      <c r="K409" s="69"/>
      <c r="L409" s="110" t="s">
        <v>79</v>
      </c>
      <c r="M409" s="92" t="s">
        <v>547</v>
      </c>
      <c r="N409" s="111"/>
      <c r="O409" s="92" t="s">
        <v>4443</v>
      </c>
      <c r="P409" s="67" t="str">
        <f t="shared" si="1"/>
        <v>50.528436, 37.358069</v>
      </c>
      <c r="Q409" s="67" t="str">
        <f t="shared" si="2"/>
        <v>50.528095, 37.358827</v>
      </c>
      <c r="R409" s="67">
        <f t="shared" si="3"/>
        <v>50.528095</v>
      </c>
      <c r="S409" s="67">
        <f t="shared" si="4"/>
        <v>37.358827</v>
      </c>
      <c r="T409" s="161"/>
      <c r="U409" s="64" t="s">
        <v>4444</v>
      </c>
      <c r="V409" s="186" t="s">
        <v>4445</v>
      </c>
      <c r="W409" s="71" t="s">
        <v>74</v>
      </c>
      <c r="X409" s="72" t="s">
        <v>75</v>
      </c>
      <c r="Y409" s="73"/>
      <c r="Z409" s="73"/>
      <c r="AA409" s="73"/>
      <c r="AB409" s="73"/>
      <c r="AC409" s="73"/>
      <c r="AD409" s="73"/>
      <c r="AE409" s="73"/>
      <c r="AF409" s="73"/>
      <c r="AG409" s="73"/>
      <c r="AH409" s="73"/>
      <c r="AI409" s="73"/>
      <c r="AJ409" s="75"/>
      <c r="AK409" s="76" t="s">
        <v>798</v>
      </c>
      <c r="AL409" s="83" t="s">
        <v>4446</v>
      </c>
      <c r="AM409" s="71" t="s">
        <v>4447</v>
      </c>
      <c r="AN409" s="84" t="s">
        <v>4448</v>
      </c>
      <c r="AO409" s="71" t="s">
        <v>4449</v>
      </c>
      <c r="AP409" s="161" t="str">
        <f>IMAGE("https://bellingcat-archive.nyc3.cdn.digitaloceanspaces.com/Ukraine_Witness_Datasheet/Worksheet/youtube_dl_1495122053116145667/out5.jpg")</f>
        <v/>
      </c>
      <c r="AQ409" s="84" t="s">
        <v>4450</v>
      </c>
      <c r="AR409" s="71" t="s">
        <v>4451</v>
      </c>
      <c r="AS409" s="71" t="s">
        <v>4452</v>
      </c>
      <c r="AT409" s="71">
        <v>133.399</v>
      </c>
      <c r="AU409" s="89"/>
      <c r="AV409" s="162"/>
      <c r="AW409" s="81"/>
    </row>
    <row r="410" ht="15.75" customHeight="1">
      <c r="A410" s="87" t="s">
        <v>63</v>
      </c>
      <c r="B410" s="73"/>
      <c r="C410" s="57" t="s">
        <v>4167</v>
      </c>
      <c r="D410" s="187">
        <v>52.36658936</v>
      </c>
      <c r="E410" s="123">
        <v>30.34938996</v>
      </c>
      <c r="F410" s="59">
        <v>1.0</v>
      </c>
      <c r="G410" s="84" t="s">
        <v>4453</v>
      </c>
      <c r="H410" s="61" t="s">
        <v>66</v>
      </c>
      <c r="I410" s="75"/>
      <c r="J410" s="63" t="s">
        <v>4454</v>
      </c>
      <c r="K410" s="88" t="s">
        <v>4455</v>
      </c>
      <c r="L410" s="110" t="s">
        <v>69</v>
      </c>
      <c r="M410" s="111"/>
      <c r="N410" s="111"/>
      <c r="O410" s="92" t="s">
        <v>1957</v>
      </c>
      <c r="P410" s="67" t="str">
        <f t="shared" si="1"/>
        <v>52.36658936, 30.34938996</v>
      </c>
      <c r="Q410" s="67" t="str">
        <f t="shared" si="2"/>
        <v>52.365967, 30.349032</v>
      </c>
      <c r="R410" s="67">
        <f t="shared" si="3"/>
        <v>52.365967</v>
      </c>
      <c r="S410" s="67">
        <f t="shared" si="4"/>
        <v>30.349032</v>
      </c>
      <c r="T410" s="161"/>
      <c r="U410" s="188"/>
      <c r="V410" s="186" t="s">
        <v>4456</v>
      </c>
      <c r="W410" s="71" t="s">
        <v>74</v>
      </c>
      <c r="X410" s="72" t="s">
        <v>75</v>
      </c>
      <c r="Y410" s="73"/>
      <c r="Z410" s="73"/>
      <c r="AA410" s="73"/>
      <c r="AB410" s="73"/>
      <c r="AC410" s="73"/>
      <c r="AD410" s="73"/>
      <c r="AE410" s="73"/>
      <c r="AF410" s="73"/>
      <c r="AG410" s="73"/>
      <c r="AH410" s="73"/>
      <c r="AI410" s="73"/>
      <c r="AJ410" s="75"/>
      <c r="AK410" s="76" t="s">
        <v>798</v>
      </c>
      <c r="AL410" s="83" t="s">
        <v>4457</v>
      </c>
      <c r="AM410" s="71" t="s">
        <v>4458</v>
      </c>
      <c r="AN410" s="84" t="s">
        <v>4459</v>
      </c>
      <c r="AO410" s="71" t="s">
        <v>4460</v>
      </c>
      <c r="AP410" s="161" t="str">
        <f>IMAGE("https://bellingcat-archive.nyc3.cdn.digitaloceanspaces.com/Ukraine_Witness_Datasheet/Worksheet/youtube_dl_1495169062866927620/out2.jpg")</f>
        <v/>
      </c>
      <c r="AQ410" s="84" t="s">
        <v>4461</v>
      </c>
      <c r="AR410" s="71" t="s">
        <v>4462</v>
      </c>
      <c r="AS410" s="71" t="s">
        <v>4463</v>
      </c>
      <c r="AT410" s="71">
        <v>12.12</v>
      </c>
      <c r="AU410" s="89"/>
      <c r="AV410" s="162"/>
      <c r="AW410" s="81"/>
    </row>
    <row r="411" ht="15.75" customHeight="1">
      <c r="A411" s="87" t="s">
        <v>63</v>
      </c>
      <c r="B411" s="73"/>
      <c r="C411" s="57" t="s">
        <v>4167</v>
      </c>
      <c r="D411" s="104">
        <v>50.550785</v>
      </c>
      <c r="E411" s="104">
        <v>37.450317</v>
      </c>
      <c r="F411" s="59">
        <v>1.0</v>
      </c>
      <c r="G411" s="84" t="s">
        <v>4464</v>
      </c>
      <c r="H411" s="61" t="s">
        <v>66</v>
      </c>
      <c r="I411" s="75"/>
      <c r="J411" s="63" t="s">
        <v>4465</v>
      </c>
      <c r="K411" s="69"/>
      <c r="L411" s="110" t="s">
        <v>79</v>
      </c>
      <c r="M411" s="92" t="s">
        <v>547</v>
      </c>
      <c r="N411" s="111"/>
      <c r="O411" s="92" t="s">
        <v>4466</v>
      </c>
      <c r="P411" s="67" t="str">
        <f t="shared" si="1"/>
        <v>50.550785, 37.450317</v>
      </c>
      <c r="Q411" s="67" t="str">
        <f t="shared" si="2"/>
        <v>50.550507, 37.449622</v>
      </c>
      <c r="R411" s="67">
        <f t="shared" si="3"/>
        <v>50.550507</v>
      </c>
      <c r="S411" s="67">
        <f t="shared" si="4"/>
        <v>37.449622</v>
      </c>
      <c r="T411" s="161"/>
      <c r="U411" s="69"/>
      <c r="V411" s="186" t="s">
        <v>4467</v>
      </c>
      <c r="W411" s="71" t="s">
        <v>74</v>
      </c>
      <c r="X411" s="72" t="s">
        <v>75</v>
      </c>
      <c r="Y411" s="73"/>
      <c r="Z411" s="73"/>
      <c r="AA411" s="73"/>
      <c r="AB411" s="73"/>
      <c r="AC411" s="73"/>
      <c r="AD411" s="73"/>
      <c r="AE411" s="73"/>
      <c r="AF411" s="73"/>
      <c r="AG411" s="73"/>
      <c r="AH411" s="73"/>
      <c r="AI411" s="73"/>
      <c r="AJ411" s="75"/>
      <c r="AK411" s="76" t="s">
        <v>798</v>
      </c>
      <c r="AL411" s="83" t="s">
        <v>4468</v>
      </c>
      <c r="AM411" s="71" t="s">
        <v>4469</v>
      </c>
      <c r="AN411" s="84" t="s">
        <v>4470</v>
      </c>
      <c r="AO411" s="71" t="s">
        <v>4471</v>
      </c>
      <c r="AP411" s="161" t="str">
        <f>IMAGE("https://bellingcat-archive.nyc3.cdn.digitaloceanspaces.com/Ukraine_Witness_Datasheet/Worksheet/youtube_dl_1495168140061384708/out2.jpg")</f>
        <v/>
      </c>
      <c r="AQ411" s="84" t="s">
        <v>4472</v>
      </c>
      <c r="AR411" s="71" t="s">
        <v>4473</v>
      </c>
      <c r="AS411" s="71" t="s">
        <v>4474</v>
      </c>
      <c r="AT411" s="71">
        <v>44.86</v>
      </c>
      <c r="AU411" s="89"/>
      <c r="AV411" s="162"/>
      <c r="AW411" s="81"/>
    </row>
    <row r="412" ht="15.75" customHeight="1">
      <c r="A412" s="165" t="s">
        <v>63</v>
      </c>
      <c r="B412" s="73"/>
      <c r="C412" s="176"/>
      <c r="D412" s="121"/>
      <c r="E412" s="121"/>
      <c r="F412" s="59">
        <v>1.0</v>
      </c>
      <c r="G412" s="84" t="s">
        <v>4475</v>
      </c>
      <c r="H412" s="61" t="s">
        <v>66</v>
      </c>
      <c r="I412" s="75"/>
      <c r="J412" s="168"/>
      <c r="K412" s="69"/>
      <c r="L412" s="134"/>
      <c r="M412" s="111"/>
      <c r="N412" s="111"/>
      <c r="O412" s="111"/>
      <c r="P412" s="67" t="str">
        <f t="shared" si="1"/>
        <v/>
      </c>
      <c r="Q412" s="67" t="str">
        <f t="shared" si="2"/>
        <v/>
      </c>
      <c r="R412" s="67" t="str">
        <f t="shared" si="3"/>
        <v/>
      </c>
      <c r="S412" s="67" t="str">
        <f t="shared" si="4"/>
        <v/>
      </c>
      <c r="T412" s="161"/>
      <c r="U412" s="69"/>
      <c r="V412" s="186" t="s">
        <v>4476</v>
      </c>
      <c r="W412" s="71" t="s">
        <v>74</v>
      </c>
      <c r="X412" s="72" t="s">
        <v>75</v>
      </c>
      <c r="Y412" s="73"/>
      <c r="Z412" s="73"/>
      <c r="AA412" s="73"/>
      <c r="AB412" s="73"/>
      <c r="AC412" s="73"/>
      <c r="AD412" s="73"/>
      <c r="AE412" s="73"/>
      <c r="AF412" s="73"/>
      <c r="AG412" s="73"/>
      <c r="AH412" s="73"/>
      <c r="AI412" s="73"/>
      <c r="AJ412" s="75"/>
      <c r="AK412" s="76" t="s">
        <v>798</v>
      </c>
      <c r="AL412" s="83" t="s">
        <v>4477</v>
      </c>
      <c r="AM412" s="71" t="s">
        <v>4478</v>
      </c>
      <c r="AN412" s="84" t="s">
        <v>4479</v>
      </c>
      <c r="AO412" s="71" t="s">
        <v>4480</v>
      </c>
      <c r="AP412" s="161" t="str">
        <f>IMAGE("https://bellingcat-archive.nyc3.cdn.digitaloceanspaces.com/Ukraine_Witness_Datasheet/Worksheet/youtube_dl_1495172211002466311/out2.jpg")</f>
        <v/>
      </c>
      <c r="AQ412" s="84" t="s">
        <v>4481</v>
      </c>
      <c r="AR412" s="71" t="s">
        <v>4482</v>
      </c>
      <c r="AS412" s="71" t="s">
        <v>4483</v>
      </c>
      <c r="AT412" s="71">
        <v>44.833</v>
      </c>
      <c r="AU412" s="89"/>
      <c r="AV412" s="162"/>
      <c r="AW412" s="81"/>
    </row>
    <row r="413" ht="15.75" customHeight="1">
      <c r="A413" s="87" t="s">
        <v>63</v>
      </c>
      <c r="B413" s="73"/>
      <c r="C413" s="57" t="s">
        <v>4417</v>
      </c>
      <c r="D413" s="74">
        <v>51.161909</v>
      </c>
      <c r="E413" s="74">
        <v>36.101448</v>
      </c>
      <c r="F413" s="59">
        <v>1.0</v>
      </c>
      <c r="G413" s="84" t="s">
        <v>4484</v>
      </c>
      <c r="H413" s="61" t="s">
        <v>66</v>
      </c>
      <c r="I413" s="75"/>
      <c r="J413" s="63" t="s">
        <v>4307</v>
      </c>
      <c r="K413" s="88" t="s">
        <v>4485</v>
      </c>
      <c r="L413" s="110" t="s">
        <v>79</v>
      </c>
      <c r="M413" s="92" t="s">
        <v>1028</v>
      </c>
      <c r="N413" s="111"/>
      <c r="O413" s="92" t="s">
        <v>4486</v>
      </c>
      <c r="P413" s="67" t="str">
        <f t="shared" si="1"/>
        <v>51.161909, 36.101448</v>
      </c>
      <c r="Q413" s="67" t="str">
        <f t="shared" si="2"/>
        <v>51.161569, 36.100775</v>
      </c>
      <c r="R413" s="67">
        <f t="shared" si="3"/>
        <v>51.161569</v>
      </c>
      <c r="S413" s="67">
        <f t="shared" si="4"/>
        <v>36.100775</v>
      </c>
      <c r="T413" s="161"/>
      <c r="U413" s="69"/>
      <c r="V413" s="186" t="s">
        <v>4487</v>
      </c>
      <c r="W413" s="71" t="s">
        <v>74</v>
      </c>
      <c r="X413" s="72" t="s">
        <v>75</v>
      </c>
      <c r="Y413" s="73"/>
      <c r="Z413" s="73"/>
      <c r="AA413" s="73"/>
      <c r="AB413" s="73"/>
      <c r="AC413" s="73"/>
      <c r="AD413" s="73"/>
      <c r="AE413" s="73"/>
      <c r="AF413" s="73"/>
      <c r="AG413" s="73"/>
      <c r="AH413" s="73"/>
      <c r="AI413" s="73"/>
      <c r="AJ413" s="75"/>
      <c r="AK413" s="76" t="s">
        <v>798</v>
      </c>
      <c r="AL413" s="83" t="s">
        <v>4488</v>
      </c>
      <c r="AM413" s="71" t="s">
        <v>2307</v>
      </c>
      <c r="AN413" s="84" t="s">
        <v>4489</v>
      </c>
      <c r="AO413" s="71" t="s">
        <v>4490</v>
      </c>
      <c r="AP413" s="161" t="str">
        <f>IMAGE("https://bellingcat-archive.nyc3.cdn.digitaloceanspaces.com/Ukraine_Witness_Datasheet/Worksheet/youtube_dl_1495266521777594374/out3.jpg")</f>
        <v/>
      </c>
      <c r="AQ413" s="84" t="s">
        <v>4491</v>
      </c>
      <c r="AR413" s="71" t="s">
        <v>4492</v>
      </c>
      <c r="AS413" s="71" t="s">
        <v>4493</v>
      </c>
      <c r="AT413" s="71">
        <v>116.233</v>
      </c>
      <c r="AU413" s="89"/>
      <c r="AV413" s="162"/>
      <c r="AW413" s="81"/>
    </row>
    <row r="414" ht="15.75" customHeight="1">
      <c r="A414" s="95" t="s">
        <v>63</v>
      </c>
      <c r="B414" s="73"/>
      <c r="C414" s="57" t="s">
        <v>4167</v>
      </c>
      <c r="D414" s="74">
        <v>50.496607</v>
      </c>
      <c r="E414" s="74">
        <v>36.390005</v>
      </c>
      <c r="F414" s="59">
        <v>1.0</v>
      </c>
      <c r="G414" s="84" t="s">
        <v>4494</v>
      </c>
      <c r="H414" s="61" t="s">
        <v>66</v>
      </c>
      <c r="I414" s="75"/>
      <c r="J414" s="63" t="s">
        <v>4495</v>
      </c>
      <c r="K414" s="69"/>
      <c r="L414" s="110" t="s">
        <v>79</v>
      </c>
      <c r="M414" s="92" t="s">
        <v>547</v>
      </c>
      <c r="N414" s="111"/>
      <c r="O414" s="92" t="s">
        <v>1259</v>
      </c>
      <c r="P414" s="67" t="str">
        <f t="shared" si="1"/>
        <v>50.496607, 36.390005</v>
      </c>
      <c r="Q414" s="67" t="str">
        <f t="shared" si="2"/>
        <v>50.496291, 36.390847</v>
      </c>
      <c r="R414" s="67">
        <f t="shared" si="3"/>
        <v>50.496291</v>
      </c>
      <c r="S414" s="67">
        <f t="shared" si="4"/>
        <v>36.390847</v>
      </c>
      <c r="T414" s="161"/>
      <c r="U414" s="69"/>
      <c r="V414" s="186" t="s">
        <v>4496</v>
      </c>
      <c r="W414" s="71" t="s">
        <v>74</v>
      </c>
      <c r="X414" s="72" t="s">
        <v>75</v>
      </c>
      <c r="Y414" s="73"/>
      <c r="Z414" s="73"/>
      <c r="AA414" s="73"/>
      <c r="AB414" s="73"/>
      <c r="AC414" s="73"/>
      <c r="AD414" s="73"/>
      <c r="AE414" s="73"/>
      <c r="AF414" s="73"/>
      <c r="AG414" s="73"/>
      <c r="AH414" s="73"/>
      <c r="AI414" s="73"/>
      <c r="AJ414" s="75"/>
      <c r="AK414" s="76" t="s">
        <v>798</v>
      </c>
      <c r="AL414" s="83" t="s">
        <v>4497</v>
      </c>
      <c r="AM414" s="71" t="s">
        <v>4498</v>
      </c>
      <c r="AN414" s="84" t="s">
        <v>4499</v>
      </c>
      <c r="AO414" s="71" t="s">
        <v>4500</v>
      </c>
      <c r="AP414" s="161" t="str">
        <f>IMAGE("https://bellingcat-archive.nyc3.cdn.digitaloceanspaces.com/Ukraine_Witness_Datasheet/Worksheet/youtube_dl_1495231557829038083/out2.jpg")</f>
        <v/>
      </c>
      <c r="AQ414" s="84" t="s">
        <v>4501</v>
      </c>
      <c r="AR414" s="71" t="s">
        <v>4502</v>
      </c>
      <c r="AS414" s="71" t="s">
        <v>4503</v>
      </c>
      <c r="AT414" s="71">
        <v>15.371</v>
      </c>
      <c r="AU414" s="89"/>
      <c r="AV414" s="162"/>
      <c r="AW414" s="81"/>
    </row>
    <row r="415" ht="15.75" customHeight="1">
      <c r="A415" s="87" t="s">
        <v>63</v>
      </c>
      <c r="B415" s="73"/>
      <c r="C415" s="57" t="s">
        <v>4167</v>
      </c>
      <c r="D415" s="74">
        <v>51.650375</v>
      </c>
      <c r="E415" s="74">
        <v>36.384521</v>
      </c>
      <c r="F415" s="59">
        <v>1.0</v>
      </c>
      <c r="G415" s="84" t="s">
        <v>4504</v>
      </c>
      <c r="H415" s="61" t="s">
        <v>66</v>
      </c>
      <c r="I415" s="75"/>
      <c r="J415" s="63" t="s">
        <v>4505</v>
      </c>
      <c r="K415" s="88" t="s">
        <v>4506</v>
      </c>
      <c r="L415" s="110" t="s">
        <v>79</v>
      </c>
      <c r="M415" s="92" t="s">
        <v>1028</v>
      </c>
      <c r="N415" s="111"/>
      <c r="O415" s="92" t="s">
        <v>4507</v>
      </c>
      <c r="P415" s="67" t="str">
        <f t="shared" si="1"/>
        <v>51.650375, 36.384521</v>
      </c>
      <c r="Q415" s="67" t="str">
        <f t="shared" si="2"/>
        <v>51.649968, 36.384429</v>
      </c>
      <c r="R415" s="67">
        <f t="shared" si="3"/>
        <v>51.649968</v>
      </c>
      <c r="S415" s="67">
        <f t="shared" si="4"/>
        <v>36.384429</v>
      </c>
      <c r="T415" s="161"/>
      <c r="U415" s="69"/>
      <c r="V415" s="186" t="s">
        <v>4508</v>
      </c>
      <c r="W415" s="71" t="s">
        <v>74</v>
      </c>
      <c r="X415" s="72" t="s">
        <v>75</v>
      </c>
      <c r="Y415" s="73"/>
      <c r="Z415" s="73"/>
      <c r="AA415" s="73"/>
      <c r="AB415" s="73"/>
      <c r="AC415" s="73"/>
      <c r="AD415" s="73"/>
      <c r="AE415" s="73"/>
      <c r="AF415" s="73"/>
      <c r="AG415" s="73"/>
      <c r="AH415" s="73"/>
      <c r="AI415" s="73"/>
      <c r="AJ415" s="75"/>
      <c r="AK415" s="76" t="s">
        <v>798</v>
      </c>
      <c r="AL415" s="83" t="s">
        <v>4509</v>
      </c>
      <c r="AM415" s="71" t="s">
        <v>4510</v>
      </c>
      <c r="AN415" s="84" t="s">
        <v>4511</v>
      </c>
      <c r="AO415" s="71" t="s">
        <v>4512</v>
      </c>
      <c r="AP415" s="161" t="str">
        <f>IMAGE("https://bellingcat-archive.nyc3.cdn.digitaloceanspaces.com/Ukraine_Witness_Datasheet/Worksheet/youtube_dl_1495316374553612289/out2.jpg")</f>
        <v/>
      </c>
      <c r="AQ415" s="84" t="s">
        <v>4513</v>
      </c>
      <c r="AR415" s="71" t="s">
        <v>4514</v>
      </c>
      <c r="AS415" s="71" t="s">
        <v>4515</v>
      </c>
      <c r="AT415" s="71">
        <v>33.274</v>
      </c>
      <c r="AU415" s="89"/>
      <c r="AV415" s="162"/>
      <c r="AW415" s="81"/>
    </row>
    <row r="416" ht="15.75" customHeight="1">
      <c r="A416" s="87" t="s">
        <v>63</v>
      </c>
      <c r="B416" s="73"/>
      <c r="C416" s="57" t="s">
        <v>4167</v>
      </c>
      <c r="D416" s="74">
        <v>53.12275</v>
      </c>
      <c r="E416" s="74">
        <v>27.563166</v>
      </c>
      <c r="F416" s="189">
        <v>1.0</v>
      </c>
      <c r="G416" s="84" t="s">
        <v>4516</v>
      </c>
      <c r="H416" s="61" t="s">
        <v>66</v>
      </c>
      <c r="I416" s="75"/>
      <c r="J416" s="63" t="s">
        <v>4517</v>
      </c>
      <c r="K416" s="88" t="s">
        <v>4518</v>
      </c>
      <c r="L416" s="110" t="s">
        <v>69</v>
      </c>
      <c r="M416" s="111"/>
      <c r="N416" s="92" t="s">
        <v>4519</v>
      </c>
      <c r="O416" s="92" t="s">
        <v>4520</v>
      </c>
      <c r="P416" s="67" t="str">
        <f t="shared" si="1"/>
        <v>53.12275, 27.563166</v>
      </c>
      <c r="Q416" s="67" t="str">
        <f t="shared" si="2"/>
        <v>53.12252, 27.562764</v>
      </c>
      <c r="R416" s="67">
        <f t="shared" si="3"/>
        <v>53.12252</v>
      </c>
      <c r="S416" s="67">
        <f t="shared" si="4"/>
        <v>27.562764</v>
      </c>
      <c r="T416" s="161"/>
      <c r="U416" s="69"/>
      <c r="V416" s="186" t="s">
        <v>4521</v>
      </c>
      <c r="W416" s="71" t="s">
        <v>74</v>
      </c>
      <c r="X416" s="72" t="s">
        <v>75</v>
      </c>
      <c r="Y416" s="73"/>
      <c r="Z416" s="73"/>
      <c r="AA416" s="73"/>
      <c r="AB416" s="73"/>
      <c r="AC416" s="73"/>
      <c r="AD416" s="73"/>
      <c r="AE416" s="73"/>
      <c r="AF416" s="73"/>
      <c r="AG416" s="73"/>
      <c r="AH416" s="73"/>
      <c r="AI416" s="73"/>
      <c r="AJ416" s="75"/>
      <c r="AK416" s="76" t="s">
        <v>798</v>
      </c>
      <c r="AL416" s="83" t="s">
        <v>4522</v>
      </c>
      <c r="AM416" s="71" t="s">
        <v>4523</v>
      </c>
      <c r="AN416" s="84" t="s">
        <v>4524</v>
      </c>
      <c r="AO416" s="71" t="s">
        <v>4525</v>
      </c>
      <c r="AP416" s="161" t="str">
        <f>IMAGE("https://bellingcat-archive.nyc3.cdn.digitaloceanspaces.com/Ukraine_Witness_Datasheet/Worksheet/youtube_dl_1494998947387084810/out3.jpg")</f>
        <v/>
      </c>
      <c r="AQ416" s="84" t="s">
        <v>4526</v>
      </c>
      <c r="AR416" s="71" t="s">
        <v>4527</v>
      </c>
      <c r="AS416" s="71" t="s">
        <v>4528</v>
      </c>
      <c r="AT416" s="71">
        <v>90.466</v>
      </c>
      <c r="AU416" s="89"/>
      <c r="AV416" s="162"/>
      <c r="AW416" s="81"/>
    </row>
    <row r="417" ht="15.75" customHeight="1">
      <c r="A417" s="95" t="s">
        <v>63</v>
      </c>
      <c r="B417" s="73"/>
      <c r="C417" s="57" t="s">
        <v>4417</v>
      </c>
      <c r="D417" s="74">
        <v>50.650735</v>
      </c>
      <c r="E417" s="74">
        <v>36.534391</v>
      </c>
      <c r="F417" s="189">
        <v>1.0</v>
      </c>
      <c r="G417" s="84" t="s">
        <v>4529</v>
      </c>
      <c r="H417" s="61" t="s">
        <v>66</v>
      </c>
      <c r="I417" s="75"/>
      <c r="J417" s="63" t="s">
        <v>4495</v>
      </c>
      <c r="K417" s="69"/>
      <c r="L417" s="110" t="s">
        <v>79</v>
      </c>
      <c r="M417" s="92" t="s">
        <v>547</v>
      </c>
      <c r="N417" s="111"/>
      <c r="O417" s="92" t="s">
        <v>547</v>
      </c>
      <c r="P417" s="67" t="str">
        <f t="shared" si="1"/>
        <v>50.650735, 36.534391</v>
      </c>
      <c r="Q417" s="67" t="str">
        <f t="shared" si="2"/>
        <v>50.650339, 36.534016</v>
      </c>
      <c r="R417" s="67">
        <f t="shared" si="3"/>
        <v>50.650339</v>
      </c>
      <c r="S417" s="67">
        <f t="shared" si="4"/>
        <v>36.534016</v>
      </c>
      <c r="T417" s="161"/>
      <c r="U417" s="69"/>
      <c r="V417" s="186" t="s">
        <v>4530</v>
      </c>
      <c r="W417" s="71" t="s">
        <v>74</v>
      </c>
      <c r="X417" s="72" t="s">
        <v>75</v>
      </c>
      <c r="Y417" s="73"/>
      <c r="Z417" s="73"/>
      <c r="AA417" s="73"/>
      <c r="AB417" s="73"/>
      <c r="AC417" s="73"/>
      <c r="AD417" s="73"/>
      <c r="AE417" s="73"/>
      <c r="AF417" s="73"/>
      <c r="AG417" s="73"/>
      <c r="AH417" s="73"/>
      <c r="AI417" s="73"/>
      <c r="AJ417" s="75"/>
      <c r="AK417" s="76" t="s">
        <v>798</v>
      </c>
      <c r="AL417" s="83" t="s">
        <v>4531</v>
      </c>
      <c r="AM417" s="71" t="s">
        <v>4532</v>
      </c>
      <c r="AN417" s="84" t="s">
        <v>4533</v>
      </c>
      <c r="AO417" s="71" t="s">
        <v>4534</v>
      </c>
      <c r="AP417" s="161" t="str">
        <f>IMAGE("https://bellingcat-archive.nyc3.cdn.digitaloceanspaces.com/Ukraine_Witness_Datasheet/Worksheet/youtube_dl_1495357694294777864/out2.jpg")</f>
        <v/>
      </c>
      <c r="AQ417" s="84" t="s">
        <v>4535</v>
      </c>
      <c r="AR417" s="71" t="s">
        <v>4536</v>
      </c>
      <c r="AS417" s="71" t="s">
        <v>4537</v>
      </c>
      <c r="AT417" s="71">
        <v>29.164</v>
      </c>
      <c r="AU417" s="89"/>
      <c r="AV417" s="162"/>
      <c r="AW417" s="81"/>
    </row>
    <row r="418" ht="15.75" customHeight="1">
      <c r="A418" s="87" t="s">
        <v>63</v>
      </c>
      <c r="B418" s="73"/>
      <c r="C418" s="57" t="s">
        <v>4417</v>
      </c>
      <c r="D418" s="104">
        <v>52.420708</v>
      </c>
      <c r="E418" s="104">
        <v>31.7491</v>
      </c>
      <c r="F418" s="189">
        <v>1.0</v>
      </c>
      <c r="G418" s="84" t="s">
        <v>4538</v>
      </c>
      <c r="H418" s="61" t="s">
        <v>66</v>
      </c>
      <c r="I418" s="75"/>
      <c r="J418" s="63" t="s">
        <v>1924</v>
      </c>
      <c r="K418" s="88" t="s">
        <v>4539</v>
      </c>
      <c r="L418" s="110" t="s">
        <v>79</v>
      </c>
      <c r="M418" s="92" t="s">
        <v>240</v>
      </c>
      <c r="N418" s="92" t="s">
        <v>4540</v>
      </c>
      <c r="O418" s="92" t="s">
        <v>4541</v>
      </c>
      <c r="P418" s="67" t="str">
        <f t="shared" si="1"/>
        <v>52.420708, 31.7491</v>
      </c>
      <c r="Q418" s="67" t="str">
        <f t="shared" si="2"/>
        <v>52.42046, 31.750187</v>
      </c>
      <c r="R418" s="67">
        <f t="shared" si="3"/>
        <v>52.42046</v>
      </c>
      <c r="S418" s="67">
        <f t="shared" si="4"/>
        <v>31.750187</v>
      </c>
      <c r="T418" s="161"/>
      <c r="U418" s="69"/>
      <c r="V418" s="186" t="s">
        <v>4542</v>
      </c>
      <c r="W418" s="71" t="s">
        <v>74</v>
      </c>
      <c r="X418" s="72" t="s">
        <v>75</v>
      </c>
      <c r="Y418" s="73"/>
      <c r="Z418" s="73"/>
      <c r="AA418" s="73"/>
      <c r="AB418" s="73"/>
      <c r="AC418" s="73"/>
      <c r="AD418" s="73"/>
      <c r="AE418" s="73"/>
      <c r="AF418" s="73"/>
      <c r="AG418" s="73"/>
      <c r="AH418" s="73"/>
      <c r="AI418" s="73"/>
      <c r="AJ418" s="75"/>
      <c r="AK418" s="76" t="s">
        <v>798</v>
      </c>
      <c r="AL418" s="83" t="s">
        <v>4543</v>
      </c>
      <c r="AM418" s="71" t="s">
        <v>4544</v>
      </c>
      <c r="AN418" s="84" t="s">
        <v>4545</v>
      </c>
      <c r="AO418" s="71" t="s">
        <v>4546</v>
      </c>
      <c r="AP418" s="161" t="str">
        <f>IMAGE("https://bellingcat-archive.nyc3.cdn.digitaloceanspaces.com/Ukraine_Witness_Datasheet/Worksheet/youtube_dl_1495365726869327877/out2.jpg")</f>
        <v/>
      </c>
      <c r="AQ418" s="84" t="s">
        <v>4547</v>
      </c>
      <c r="AR418" s="71" t="s">
        <v>4548</v>
      </c>
      <c r="AS418" s="71" t="s">
        <v>4549</v>
      </c>
      <c r="AT418" s="71">
        <v>21.037</v>
      </c>
      <c r="AU418" s="89"/>
      <c r="AV418" s="162"/>
      <c r="AW418" s="81"/>
    </row>
    <row r="419" ht="15.75" customHeight="1">
      <c r="A419" s="95" t="s">
        <v>63</v>
      </c>
      <c r="B419" s="73"/>
      <c r="C419" s="57" t="s">
        <v>4417</v>
      </c>
      <c r="D419" s="74">
        <v>50.320719</v>
      </c>
      <c r="E419" s="74">
        <v>37.921465</v>
      </c>
      <c r="F419" s="189">
        <v>1.0</v>
      </c>
      <c r="G419" s="84" t="s">
        <v>4550</v>
      </c>
      <c r="H419" s="61" t="s">
        <v>66</v>
      </c>
      <c r="I419" s="75"/>
      <c r="J419" s="63" t="s">
        <v>4551</v>
      </c>
      <c r="K419" s="69"/>
      <c r="L419" s="110" t="s">
        <v>79</v>
      </c>
      <c r="M419" s="92" t="s">
        <v>547</v>
      </c>
      <c r="N419" s="111"/>
      <c r="O419" s="92" t="s">
        <v>4552</v>
      </c>
      <c r="P419" s="67" t="str">
        <f t="shared" si="1"/>
        <v>50.320719, 37.921465</v>
      </c>
      <c r="Q419" s="67" t="str">
        <f t="shared" si="2"/>
        <v>50.32049, 37.920376</v>
      </c>
      <c r="R419" s="67">
        <f t="shared" si="3"/>
        <v>50.32049</v>
      </c>
      <c r="S419" s="67">
        <f t="shared" si="4"/>
        <v>37.920376</v>
      </c>
      <c r="T419" s="161"/>
      <c r="U419" s="69"/>
      <c r="V419" s="186" t="s">
        <v>4553</v>
      </c>
      <c r="W419" s="71" t="s">
        <v>74</v>
      </c>
      <c r="X419" s="72" t="s">
        <v>75</v>
      </c>
      <c r="Y419" s="73"/>
      <c r="Z419" s="73"/>
      <c r="AA419" s="73"/>
      <c r="AB419" s="73"/>
      <c r="AC419" s="73"/>
      <c r="AD419" s="73"/>
      <c r="AE419" s="73"/>
      <c r="AF419" s="73"/>
      <c r="AG419" s="73"/>
      <c r="AH419" s="73"/>
      <c r="AI419" s="73"/>
      <c r="AJ419" s="75"/>
      <c r="AK419" s="76" t="s">
        <v>798</v>
      </c>
      <c r="AL419" s="83" t="s">
        <v>4554</v>
      </c>
      <c r="AM419" s="71" t="s">
        <v>4555</v>
      </c>
      <c r="AN419" s="84" t="s">
        <v>4556</v>
      </c>
      <c r="AO419" s="71" t="s">
        <v>4557</v>
      </c>
      <c r="AP419" s="161" t="str">
        <f>IMAGE("https://bellingcat-archive.nyc3.cdn.digitaloceanspaces.com/Ukraine_Witness_Datasheet/Worksheet/youtube_dl_1495370167030882304/out2.jpg")</f>
        <v/>
      </c>
      <c r="AQ419" s="84" t="s">
        <v>4558</v>
      </c>
      <c r="AR419" s="71" t="s">
        <v>4559</v>
      </c>
      <c r="AS419" s="71" t="s">
        <v>4560</v>
      </c>
      <c r="AT419" s="71">
        <v>27.008</v>
      </c>
      <c r="AU419" s="89"/>
      <c r="AV419" s="162"/>
      <c r="AW419" s="81"/>
    </row>
    <row r="420" ht="15.75" customHeight="1">
      <c r="A420" s="95" t="s">
        <v>63</v>
      </c>
      <c r="B420" s="73"/>
      <c r="C420" s="57" t="s">
        <v>4417</v>
      </c>
      <c r="D420" s="104">
        <v>51.424736</v>
      </c>
      <c r="E420" s="104">
        <v>36.090197</v>
      </c>
      <c r="F420" s="189">
        <v>1.0</v>
      </c>
      <c r="G420" s="130" t="s">
        <v>4561</v>
      </c>
      <c r="H420" s="61" t="s">
        <v>66</v>
      </c>
      <c r="I420" s="75"/>
      <c r="J420" s="63" t="s">
        <v>4562</v>
      </c>
      <c r="K420" s="69"/>
      <c r="L420" s="110" t="s">
        <v>79</v>
      </c>
      <c r="M420" s="92" t="s">
        <v>1028</v>
      </c>
      <c r="N420" s="111"/>
      <c r="O420" s="92" t="s">
        <v>4563</v>
      </c>
      <c r="P420" s="67" t="str">
        <f t="shared" si="1"/>
        <v>51.424736, 36.090197</v>
      </c>
      <c r="Q420" s="67" t="str">
        <f t="shared" si="2"/>
        <v>51.424633, 36.089492</v>
      </c>
      <c r="R420" s="67">
        <f t="shared" si="3"/>
        <v>51.424633</v>
      </c>
      <c r="S420" s="67">
        <f t="shared" si="4"/>
        <v>36.089492</v>
      </c>
      <c r="T420" s="161"/>
      <c r="U420" s="69"/>
      <c r="V420" s="186" t="s">
        <v>4564</v>
      </c>
      <c r="W420" s="71" t="s">
        <v>74</v>
      </c>
      <c r="X420" s="72" t="s">
        <v>75</v>
      </c>
      <c r="Y420" s="73"/>
      <c r="Z420" s="73"/>
      <c r="AA420" s="73"/>
      <c r="AB420" s="73"/>
      <c r="AC420" s="73"/>
      <c r="AD420" s="73"/>
      <c r="AE420" s="73"/>
      <c r="AF420" s="73"/>
      <c r="AG420" s="73"/>
      <c r="AH420" s="73"/>
      <c r="AI420" s="73"/>
      <c r="AJ420" s="75"/>
      <c r="AK420" s="76" t="s">
        <v>798</v>
      </c>
      <c r="AL420" s="83" t="s">
        <v>4565</v>
      </c>
      <c r="AM420" s="71" t="s">
        <v>4566</v>
      </c>
      <c r="AN420" s="84" t="s">
        <v>4567</v>
      </c>
      <c r="AO420" s="71" t="s">
        <v>4568</v>
      </c>
      <c r="AP420" s="161" t="str">
        <f>IMAGE("https://bellingcat-archive.nyc3.cdn.digitaloceanspaces.com/Ukraine_Witness_Datasheet/Worksheet/youtube_dl_1495389712634335234/out2.jpg")</f>
        <v/>
      </c>
      <c r="AQ420" s="84" t="s">
        <v>4569</v>
      </c>
      <c r="AR420" s="71" t="s">
        <v>4570</v>
      </c>
      <c r="AS420" s="71" t="s">
        <v>4571</v>
      </c>
      <c r="AT420" s="71">
        <v>14.4</v>
      </c>
      <c r="AU420" s="89"/>
      <c r="AV420" s="162"/>
      <c r="AW420" s="81"/>
    </row>
    <row r="421" ht="15.75" customHeight="1">
      <c r="A421" s="87" t="s">
        <v>63</v>
      </c>
      <c r="B421" s="73"/>
      <c r="C421" s="57" t="s">
        <v>4417</v>
      </c>
      <c r="D421" s="74">
        <v>52.597417</v>
      </c>
      <c r="E421" s="74">
        <v>38.4395</v>
      </c>
      <c r="F421" s="189">
        <v>1.0</v>
      </c>
      <c r="G421" s="84" t="s">
        <v>4572</v>
      </c>
      <c r="H421" s="61" t="s">
        <v>66</v>
      </c>
      <c r="I421" s="75"/>
      <c r="J421" s="63" t="s">
        <v>4275</v>
      </c>
      <c r="K421" s="88" t="s">
        <v>4573</v>
      </c>
      <c r="L421" s="110" t="s">
        <v>79</v>
      </c>
      <c r="M421" s="92" t="s">
        <v>4574</v>
      </c>
      <c r="N421" s="111"/>
      <c r="O421" s="92" t="s">
        <v>4575</v>
      </c>
      <c r="P421" s="67" t="str">
        <f t="shared" si="1"/>
        <v>52.597417, 38.4395</v>
      </c>
      <c r="Q421" s="67" t="str">
        <f t="shared" si="2"/>
        <v>52.597336, 38.440179</v>
      </c>
      <c r="R421" s="67">
        <f t="shared" si="3"/>
        <v>52.597336</v>
      </c>
      <c r="S421" s="67">
        <f t="shared" si="4"/>
        <v>38.440179</v>
      </c>
      <c r="T421" s="161"/>
      <c r="U421" s="69"/>
      <c r="V421" s="186" t="s">
        <v>4576</v>
      </c>
      <c r="W421" s="71" t="s">
        <v>74</v>
      </c>
      <c r="X421" s="72" t="s">
        <v>75</v>
      </c>
      <c r="Y421" s="73"/>
      <c r="Z421" s="73"/>
      <c r="AA421" s="73"/>
      <c r="AB421" s="73"/>
      <c r="AC421" s="73"/>
      <c r="AD421" s="73"/>
      <c r="AE421" s="73"/>
      <c r="AF421" s="73"/>
      <c r="AG421" s="73"/>
      <c r="AH421" s="73"/>
      <c r="AI421" s="73"/>
      <c r="AJ421" s="75"/>
      <c r="AK421" s="76" t="s">
        <v>798</v>
      </c>
      <c r="AL421" s="83" t="s">
        <v>4577</v>
      </c>
      <c r="AM421" s="71" t="s">
        <v>4578</v>
      </c>
      <c r="AN421" s="84" t="s">
        <v>4579</v>
      </c>
      <c r="AO421" s="71" t="s">
        <v>4580</v>
      </c>
      <c r="AP421" s="161" t="str">
        <f>IMAGE("https://bellingcat-archive.nyc3.cdn.digitaloceanspaces.com/Ukraine_Witness_Datasheet/Worksheet/youtube_dl_1495462683218427914/out2.jpg")</f>
        <v/>
      </c>
      <c r="AQ421" s="84" t="s">
        <v>4581</v>
      </c>
      <c r="AR421" s="71" t="s">
        <v>4582</v>
      </c>
      <c r="AS421" s="71" t="s">
        <v>4583</v>
      </c>
      <c r="AT421" s="71">
        <v>26.867</v>
      </c>
      <c r="AU421" s="89"/>
      <c r="AV421" s="162"/>
      <c r="AW421" s="81"/>
    </row>
    <row r="422" ht="15.75" customHeight="1">
      <c r="A422" s="165" t="s">
        <v>63</v>
      </c>
      <c r="B422" s="73"/>
      <c r="C422" s="176"/>
      <c r="D422" s="121"/>
      <c r="E422" s="121"/>
      <c r="F422" s="189">
        <v>1.0</v>
      </c>
      <c r="G422" s="84" t="s">
        <v>4584</v>
      </c>
      <c r="H422" s="61" t="s">
        <v>66</v>
      </c>
      <c r="I422" s="75"/>
      <c r="J422" s="168"/>
      <c r="K422" s="88" t="s">
        <v>4585</v>
      </c>
      <c r="L422" s="134"/>
      <c r="M422" s="111"/>
      <c r="N422" s="111"/>
      <c r="O422" s="111"/>
      <c r="P422" s="67" t="str">
        <f t="shared" si="1"/>
        <v/>
      </c>
      <c r="Q422" s="67" t="str">
        <f t="shared" si="2"/>
        <v/>
      </c>
      <c r="R422" s="67" t="str">
        <f t="shared" si="3"/>
        <v/>
      </c>
      <c r="S422" s="67" t="str">
        <f t="shared" si="4"/>
        <v/>
      </c>
      <c r="T422" s="161"/>
      <c r="U422" s="69"/>
      <c r="V422" s="186" t="s">
        <v>4586</v>
      </c>
      <c r="W422" s="71" t="s">
        <v>74</v>
      </c>
      <c r="X422" s="72" t="s">
        <v>75</v>
      </c>
      <c r="Y422" s="73"/>
      <c r="Z422" s="73"/>
      <c r="AA422" s="73"/>
      <c r="AB422" s="73"/>
      <c r="AC422" s="73"/>
      <c r="AD422" s="73"/>
      <c r="AE422" s="73"/>
      <c r="AF422" s="73"/>
      <c r="AG422" s="73"/>
      <c r="AH422" s="73"/>
      <c r="AI422" s="73"/>
      <c r="AJ422" s="75"/>
      <c r="AK422" s="76" t="s">
        <v>798</v>
      </c>
      <c r="AL422" s="83" t="s">
        <v>4587</v>
      </c>
      <c r="AM422" s="71" t="s">
        <v>4588</v>
      </c>
      <c r="AN422" s="84" t="s">
        <v>4589</v>
      </c>
      <c r="AO422" s="71" t="s">
        <v>4590</v>
      </c>
      <c r="AP422" s="161" t="str">
        <f>IMAGE("https://bellingcat-archive.nyc3.cdn.digitaloceanspaces.com/Ukraine_Witness_Datasheet/Worksheet/youtube_dl_1495276351242317832/out2.jpg")</f>
        <v/>
      </c>
      <c r="AQ422" s="84" t="s">
        <v>4591</v>
      </c>
      <c r="AR422" s="71" t="s">
        <v>4592</v>
      </c>
      <c r="AS422" s="71" t="s">
        <v>4593</v>
      </c>
      <c r="AT422" s="71">
        <v>14.931</v>
      </c>
      <c r="AU422" s="89"/>
      <c r="AV422" s="162"/>
      <c r="AW422" s="81"/>
    </row>
    <row r="423" ht="15.75" customHeight="1">
      <c r="A423" s="87" t="s">
        <v>63</v>
      </c>
      <c r="B423" s="73"/>
      <c r="C423" s="57" t="s">
        <v>4167</v>
      </c>
      <c r="D423" s="74">
        <v>45.11711</v>
      </c>
      <c r="E423" s="74">
        <v>37.441791</v>
      </c>
      <c r="F423" s="190">
        <v>1.0</v>
      </c>
      <c r="G423" s="84" t="s">
        <v>4594</v>
      </c>
      <c r="H423" s="61" t="s">
        <v>66</v>
      </c>
      <c r="I423" s="75"/>
      <c r="J423" s="63" t="s">
        <v>4595</v>
      </c>
      <c r="K423" s="88" t="s">
        <v>4596</v>
      </c>
      <c r="L423" s="110" t="s">
        <v>873</v>
      </c>
      <c r="M423" s="92" t="s">
        <v>1819</v>
      </c>
      <c r="N423" s="92" t="s">
        <v>4597</v>
      </c>
      <c r="O423" s="111"/>
      <c r="P423" s="67" t="str">
        <f t="shared" si="1"/>
        <v>45.11711, 37.441791</v>
      </c>
      <c r="Q423" s="67" t="str">
        <f t="shared" si="2"/>
        <v>45.116992, 37.442326</v>
      </c>
      <c r="R423" s="67">
        <f t="shared" si="3"/>
        <v>45.116992</v>
      </c>
      <c r="S423" s="67">
        <f t="shared" si="4"/>
        <v>37.442326</v>
      </c>
      <c r="T423" s="161"/>
      <c r="U423" s="69"/>
      <c r="V423" s="186" t="s">
        <v>4598</v>
      </c>
      <c r="W423" s="71" t="s">
        <v>74</v>
      </c>
      <c r="X423" s="72" t="s">
        <v>75</v>
      </c>
      <c r="Y423" s="73"/>
      <c r="Z423" s="73"/>
      <c r="AA423" s="73"/>
      <c r="AB423" s="73"/>
      <c r="AC423" s="73"/>
      <c r="AD423" s="73"/>
      <c r="AE423" s="73"/>
      <c r="AF423" s="73"/>
      <c r="AG423" s="73"/>
      <c r="AH423" s="73"/>
      <c r="AI423" s="73"/>
      <c r="AJ423" s="75"/>
      <c r="AK423" s="76" t="s">
        <v>798</v>
      </c>
      <c r="AL423" s="83" t="s">
        <v>4599</v>
      </c>
      <c r="AM423" s="71" t="s">
        <v>4600</v>
      </c>
      <c r="AN423" s="84" t="s">
        <v>4601</v>
      </c>
      <c r="AO423" s="71" t="s">
        <v>4602</v>
      </c>
      <c r="AP423" s="161" t="str">
        <f>IMAGE("https://bellingcat-archive.nyc3.cdn.digitaloceanspaces.com/Ukraine_Witness_Datasheet/Worksheet/youtube_dl_1495130617851392004/out3.jpg")</f>
        <v/>
      </c>
      <c r="AQ423" s="84" t="s">
        <v>4603</v>
      </c>
      <c r="AR423" s="71" t="s">
        <v>530</v>
      </c>
      <c r="AS423" s="71" t="s">
        <v>4604</v>
      </c>
      <c r="AT423" s="71">
        <v>66.666</v>
      </c>
      <c r="AU423" s="89"/>
      <c r="AV423" s="162"/>
      <c r="AW423" s="81"/>
    </row>
    <row r="424" ht="15.75" customHeight="1">
      <c r="A424" s="87" t="s">
        <v>63</v>
      </c>
      <c r="B424" s="73"/>
      <c r="C424" s="57" t="s">
        <v>4417</v>
      </c>
      <c r="D424" s="74">
        <v>50.242996</v>
      </c>
      <c r="E424" s="74">
        <v>38.037612</v>
      </c>
      <c r="F424" s="190">
        <v>1.0</v>
      </c>
      <c r="G424" s="84" t="s">
        <v>4605</v>
      </c>
      <c r="H424" s="61" t="s">
        <v>66</v>
      </c>
      <c r="I424" s="75"/>
      <c r="J424" s="63" t="s">
        <v>4606</v>
      </c>
      <c r="K424" s="88" t="s">
        <v>4607</v>
      </c>
      <c r="L424" s="110" t="s">
        <v>873</v>
      </c>
      <c r="M424" s="92" t="s">
        <v>1325</v>
      </c>
      <c r="N424" s="92" t="s">
        <v>548</v>
      </c>
      <c r="O424" s="111"/>
      <c r="P424" s="67" t="str">
        <f t="shared" si="1"/>
        <v>50.242996, 38.037612</v>
      </c>
      <c r="Q424" s="67" t="str">
        <f t="shared" si="2"/>
        <v>50.242737, 38.037106</v>
      </c>
      <c r="R424" s="67">
        <f t="shared" si="3"/>
        <v>50.242737</v>
      </c>
      <c r="S424" s="67">
        <f t="shared" si="4"/>
        <v>38.037106</v>
      </c>
      <c r="T424" s="161"/>
      <c r="U424" s="69"/>
      <c r="V424" s="186" t="s">
        <v>4608</v>
      </c>
      <c r="W424" s="71" t="s">
        <v>74</v>
      </c>
      <c r="X424" s="72" t="s">
        <v>75</v>
      </c>
      <c r="Y424" s="73"/>
      <c r="Z424" s="73"/>
      <c r="AA424" s="73"/>
      <c r="AB424" s="73"/>
      <c r="AC424" s="73"/>
      <c r="AD424" s="73"/>
      <c r="AE424" s="73"/>
      <c r="AF424" s="73"/>
      <c r="AG424" s="73"/>
      <c r="AH424" s="73"/>
      <c r="AI424" s="73"/>
      <c r="AJ424" s="75"/>
      <c r="AK424" s="76" t="s">
        <v>798</v>
      </c>
      <c r="AL424" s="83" t="s">
        <v>4609</v>
      </c>
      <c r="AM424" s="71" t="s">
        <v>4610</v>
      </c>
      <c r="AN424" s="84" t="s">
        <v>4611</v>
      </c>
      <c r="AO424" s="71" t="s">
        <v>4612</v>
      </c>
      <c r="AP424" s="161" t="str">
        <f>IMAGE("https://bellingcat-archive.nyc3.cdn.digitaloceanspaces.com/Ukraine_Witness_Datasheet/Worksheet/youtube_dl_1495398896973107205/out3.jpg")</f>
        <v/>
      </c>
      <c r="AQ424" s="84" t="s">
        <v>4613</v>
      </c>
      <c r="AR424" s="71" t="s">
        <v>3893</v>
      </c>
      <c r="AS424" s="71" t="s">
        <v>4614</v>
      </c>
      <c r="AT424" s="71">
        <v>102.749</v>
      </c>
      <c r="AU424" s="89"/>
      <c r="AV424" s="162"/>
      <c r="AW424" s="81"/>
    </row>
    <row r="425" ht="15.75" customHeight="1">
      <c r="A425" s="87" t="s">
        <v>63</v>
      </c>
      <c r="B425" s="73"/>
      <c r="C425" s="57" t="s">
        <v>4615</v>
      </c>
      <c r="D425" s="149">
        <v>52.421984</v>
      </c>
      <c r="E425" s="149">
        <v>31.746372</v>
      </c>
      <c r="F425" s="190">
        <v>1.0</v>
      </c>
      <c r="G425" s="84" t="s">
        <v>4616</v>
      </c>
      <c r="H425" s="61" t="s">
        <v>66</v>
      </c>
      <c r="I425" s="75"/>
      <c r="J425" s="63" t="s">
        <v>4617</v>
      </c>
      <c r="K425" s="88" t="s">
        <v>4618</v>
      </c>
      <c r="L425" s="110" t="s">
        <v>873</v>
      </c>
      <c r="M425" s="92" t="s">
        <v>240</v>
      </c>
      <c r="N425" s="111"/>
      <c r="O425" s="92" t="s">
        <v>4541</v>
      </c>
      <c r="P425" s="67" t="str">
        <f t="shared" si="1"/>
        <v>52.421984, 31.746372</v>
      </c>
      <c r="Q425" s="67" t="str">
        <f t="shared" si="2"/>
        <v>52.421815, 31.747014</v>
      </c>
      <c r="R425" s="67">
        <f t="shared" si="3"/>
        <v>52.421815</v>
      </c>
      <c r="S425" s="67">
        <f t="shared" si="4"/>
        <v>31.747014</v>
      </c>
      <c r="T425" s="161"/>
      <c r="U425" s="69"/>
      <c r="V425" s="186" t="s">
        <v>4619</v>
      </c>
      <c r="W425" s="71" t="s">
        <v>74</v>
      </c>
      <c r="X425" s="72" t="s">
        <v>75</v>
      </c>
      <c r="Y425" s="73"/>
      <c r="Z425" s="73"/>
      <c r="AA425" s="73"/>
      <c r="AB425" s="73"/>
      <c r="AC425" s="73"/>
      <c r="AD425" s="73"/>
      <c r="AE425" s="73"/>
      <c r="AF425" s="73"/>
      <c r="AG425" s="73"/>
      <c r="AH425" s="73"/>
      <c r="AI425" s="73"/>
      <c r="AJ425" s="75"/>
      <c r="AK425" s="76" t="s">
        <v>798</v>
      </c>
      <c r="AL425" s="83" t="s">
        <v>4620</v>
      </c>
      <c r="AM425" s="71" t="s">
        <v>4621</v>
      </c>
      <c r="AN425" s="84" t="s">
        <v>4622</v>
      </c>
      <c r="AO425" s="71" t="s">
        <v>4623</v>
      </c>
      <c r="AP425" s="161" t="str">
        <f>IMAGE("https://bellingcat-archive.nyc3.cdn.digitaloceanspaces.com/Ukraine_Witness_Datasheet/Worksheet/youtube_dl_1495392608859963395/out3.jpg")</f>
        <v/>
      </c>
      <c r="AQ425" s="84" t="s">
        <v>4624</v>
      </c>
      <c r="AR425" s="71" t="s">
        <v>4625</v>
      </c>
      <c r="AS425" s="71" t="s">
        <v>4626</v>
      </c>
      <c r="AT425" s="71">
        <v>91.767</v>
      </c>
      <c r="AU425" s="89"/>
      <c r="AV425" s="162"/>
      <c r="AW425" s="81"/>
    </row>
    <row r="426" ht="15.75" customHeight="1">
      <c r="A426" s="87" t="s">
        <v>63</v>
      </c>
      <c r="B426" s="61" t="s">
        <v>4627</v>
      </c>
      <c r="C426" s="57" t="s">
        <v>4417</v>
      </c>
      <c r="D426" s="74">
        <v>45.212611</v>
      </c>
      <c r="E426" s="74">
        <v>33.357185</v>
      </c>
      <c r="F426" s="190">
        <v>1.0</v>
      </c>
      <c r="G426" s="84" t="s">
        <v>4628</v>
      </c>
      <c r="H426" s="61" t="s">
        <v>66</v>
      </c>
      <c r="I426" s="75"/>
      <c r="J426" s="63" t="s">
        <v>2134</v>
      </c>
      <c r="K426" s="88" t="s">
        <v>4629</v>
      </c>
      <c r="L426" s="134"/>
      <c r="M426" s="92" t="s">
        <v>407</v>
      </c>
      <c r="N426" s="111"/>
      <c r="O426" s="92" t="s">
        <v>4630</v>
      </c>
      <c r="P426" s="67" t="str">
        <f t="shared" si="1"/>
        <v>45.212611, 33.357185</v>
      </c>
      <c r="Q426" s="67" t="str">
        <f t="shared" si="2"/>
        <v>45.212592, 33.35635</v>
      </c>
      <c r="R426" s="67">
        <f t="shared" si="3"/>
        <v>45.212592</v>
      </c>
      <c r="S426" s="67">
        <f t="shared" si="4"/>
        <v>33.35635</v>
      </c>
      <c r="T426" s="161"/>
      <c r="U426" s="69"/>
      <c r="V426" s="186" t="s">
        <v>4631</v>
      </c>
      <c r="W426" s="71" t="s">
        <v>74</v>
      </c>
      <c r="X426" s="72" t="s">
        <v>75</v>
      </c>
      <c r="Y426" s="73"/>
      <c r="Z426" s="73"/>
      <c r="AA426" s="73"/>
      <c r="AB426" s="73"/>
      <c r="AC426" s="73"/>
      <c r="AD426" s="73"/>
      <c r="AE426" s="73"/>
      <c r="AF426" s="73"/>
      <c r="AG426" s="73"/>
      <c r="AH426" s="73"/>
      <c r="AI426" s="73"/>
      <c r="AJ426" s="75"/>
      <c r="AK426" s="76" t="s">
        <v>798</v>
      </c>
      <c r="AL426" s="83" t="s">
        <v>4632</v>
      </c>
      <c r="AM426" s="71" t="s">
        <v>4633</v>
      </c>
      <c r="AN426" s="84" t="s">
        <v>4634</v>
      </c>
      <c r="AO426" s="71" t="s">
        <v>4635</v>
      </c>
      <c r="AP426" s="161" t="str">
        <f>IMAGE("https://bellingcat-archive.nyc3.cdn.digitaloceanspaces.com/Ukraine_Witness_Datasheet/Worksheet/youtube_dl_1495393293890371584/out2.jpg")</f>
        <v/>
      </c>
      <c r="AQ426" s="84" t="s">
        <v>4636</v>
      </c>
      <c r="AR426" s="71" t="s">
        <v>4637</v>
      </c>
      <c r="AS426" s="71" t="s">
        <v>4638</v>
      </c>
      <c r="AT426" s="71">
        <v>14.328</v>
      </c>
      <c r="AU426" s="89"/>
      <c r="AV426" s="162"/>
      <c r="AW426" s="81"/>
    </row>
    <row r="427" ht="15.75" customHeight="1">
      <c r="A427" s="87" t="s">
        <v>63</v>
      </c>
      <c r="B427" s="61" t="s">
        <v>4639</v>
      </c>
      <c r="C427" s="57" t="s">
        <v>4417</v>
      </c>
      <c r="D427" s="74">
        <v>45.009139</v>
      </c>
      <c r="E427" s="74">
        <v>38.969743</v>
      </c>
      <c r="F427" s="189">
        <v>1.0</v>
      </c>
      <c r="G427" s="84" t="s">
        <v>4640</v>
      </c>
      <c r="H427" s="61" t="s">
        <v>66</v>
      </c>
      <c r="I427" s="75"/>
      <c r="J427" s="63" t="s">
        <v>2814</v>
      </c>
      <c r="K427" s="88" t="s">
        <v>4641</v>
      </c>
      <c r="L427" s="110" t="s">
        <v>79</v>
      </c>
      <c r="M427" s="92" t="s">
        <v>445</v>
      </c>
      <c r="N427" s="111"/>
      <c r="O427" s="92" t="s">
        <v>445</v>
      </c>
      <c r="P427" s="67" t="str">
        <f t="shared" si="1"/>
        <v>45.009139, 38.969743</v>
      </c>
      <c r="Q427" s="67" t="str">
        <f t="shared" si="2"/>
        <v>45.008473, 38.970414</v>
      </c>
      <c r="R427" s="67">
        <f t="shared" si="3"/>
        <v>45.008473</v>
      </c>
      <c r="S427" s="67">
        <f t="shared" si="4"/>
        <v>38.970414</v>
      </c>
      <c r="T427" s="161"/>
      <c r="U427" s="69"/>
      <c r="V427" s="186" t="s">
        <v>4642</v>
      </c>
      <c r="W427" s="71" t="s">
        <v>74</v>
      </c>
      <c r="X427" s="72" t="s">
        <v>75</v>
      </c>
      <c r="Y427" s="73"/>
      <c r="Z427" s="73"/>
      <c r="AA427" s="73"/>
      <c r="AB427" s="73"/>
      <c r="AC427" s="73"/>
      <c r="AD427" s="73"/>
      <c r="AE427" s="73"/>
      <c r="AF427" s="73"/>
      <c r="AG427" s="73"/>
      <c r="AH427" s="73"/>
      <c r="AI427" s="73"/>
      <c r="AJ427" s="75"/>
      <c r="AK427" s="76" t="s">
        <v>798</v>
      </c>
      <c r="AL427" s="83" t="s">
        <v>4643</v>
      </c>
      <c r="AM427" s="71" t="s">
        <v>4644</v>
      </c>
      <c r="AN427" s="84" t="s">
        <v>4645</v>
      </c>
      <c r="AO427" s="71" t="s">
        <v>4646</v>
      </c>
      <c r="AP427" s="161" t="str">
        <f>IMAGE("https://bellingcat-archive.nyc3.cdn.digitaloceanspaces.com/Ukraine_Witness_Datasheet/Worksheet/youtube_dl_1495463432790941701/out2.jpg")</f>
        <v/>
      </c>
      <c r="AQ427" s="84" t="s">
        <v>4647</v>
      </c>
      <c r="AR427" s="71" t="s">
        <v>453</v>
      </c>
      <c r="AS427" s="71" t="s">
        <v>4648</v>
      </c>
      <c r="AT427" s="71">
        <v>15.164</v>
      </c>
      <c r="AU427" s="89"/>
      <c r="AV427" s="162"/>
      <c r="AW427" s="81"/>
    </row>
    <row r="428" ht="15.75" customHeight="1">
      <c r="A428" s="95" t="s">
        <v>63</v>
      </c>
      <c r="B428" s="61" t="s">
        <v>4649</v>
      </c>
      <c r="C428" s="57" t="s">
        <v>4417</v>
      </c>
      <c r="D428" s="74">
        <v>51.789721</v>
      </c>
      <c r="E428" s="74">
        <v>36.433995</v>
      </c>
      <c r="F428" s="189">
        <v>1.0</v>
      </c>
      <c r="G428" s="84" t="s">
        <v>4650</v>
      </c>
      <c r="H428" s="61" t="s">
        <v>66</v>
      </c>
      <c r="I428" s="75"/>
      <c r="J428" s="63" t="s">
        <v>4651</v>
      </c>
      <c r="K428" s="69"/>
      <c r="L428" s="110" t="s">
        <v>79</v>
      </c>
      <c r="M428" s="92" t="s">
        <v>1028</v>
      </c>
      <c r="N428" s="111"/>
      <c r="O428" s="92" t="s">
        <v>2039</v>
      </c>
      <c r="P428" s="67" t="str">
        <f t="shared" si="1"/>
        <v>51.789721, 36.433995</v>
      </c>
      <c r="Q428" s="67" t="str">
        <f t="shared" si="2"/>
        <v>51.789706, 36.435184</v>
      </c>
      <c r="R428" s="67">
        <f t="shared" si="3"/>
        <v>51.789706</v>
      </c>
      <c r="S428" s="67">
        <f t="shared" si="4"/>
        <v>36.435184</v>
      </c>
      <c r="T428" s="161"/>
      <c r="U428" s="69"/>
      <c r="V428" s="186" t="s">
        <v>4652</v>
      </c>
      <c r="W428" s="71" t="s">
        <v>74</v>
      </c>
      <c r="X428" s="72" t="s">
        <v>75</v>
      </c>
      <c r="Y428" s="73"/>
      <c r="Z428" s="73"/>
      <c r="AA428" s="73"/>
      <c r="AB428" s="73"/>
      <c r="AC428" s="73"/>
      <c r="AD428" s="73"/>
      <c r="AE428" s="73"/>
      <c r="AF428" s="73"/>
      <c r="AG428" s="73"/>
      <c r="AH428" s="73"/>
      <c r="AI428" s="73"/>
      <c r="AJ428" s="75"/>
      <c r="AK428" s="76" t="s">
        <v>798</v>
      </c>
      <c r="AL428" s="83" t="s">
        <v>4653</v>
      </c>
      <c r="AM428" s="71" t="s">
        <v>4654</v>
      </c>
      <c r="AN428" s="84" t="s">
        <v>4655</v>
      </c>
      <c r="AO428" s="71" t="s">
        <v>4656</v>
      </c>
      <c r="AP428" s="161" t="str">
        <f>IMAGE("https://bellingcat-archive.nyc3.cdn.digitaloceanspaces.com/Ukraine_Witness_Datasheet/Worksheet/youtube_dl_1495482636533391370/out3.jpg")</f>
        <v/>
      </c>
      <c r="AQ428" s="84" t="s">
        <v>4657</v>
      </c>
      <c r="AR428" s="71" t="s">
        <v>4658</v>
      </c>
      <c r="AS428" s="71" t="s">
        <v>4659</v>
      </c>
      <c r="AT428" s="71">
        <v>63.544</v>
      </c>
      <c r="AU428" s="89"/>
      <c r="AV428" s="162"/>
      <c r="AW428" s="81"/>
    </row>
    <row r="429" ht="15.75" customHeight="1">
      <c r="A429" s="87" t="s">
        <v>63</v>
      </c>
      <c r="B429" s="61" t="s">
        <v>4627</v>
      </c>
      <c r="C429" s="57" t="s">
        <v>4417</v>
      </c>
      <c r="D429" s="104">
        <v>51.420757</v>
      </c>
      <c r="E429" s="74">
        <v>36.734055</v>
      </c>
      <c r="F429" s="189">
        <v>1.0</v>
      </c>
      <c r="G429" s="84" t="s">
        <v>4660</v>
      </c>
      <c r="H429" s="61" t="s">
        <v>66</v>
      </c>
      <c r="I429" s="75"/>
      <c r="J429" s="63" t="s">
        <v>1924</v>
      </c>
      <c r="K429" s="88" t="s">
        <v>4661</v>
      </c>
      <c r="L429" s="110" t="s">
        <v>79</v>
      </c>
      <c r="M429" s="92" t="s">
        <v>1028</v>
      </c>
      <c r="N429" s="111"/>
      <c r="O429" s="92" t="s">
        <v>3060</v>
      </c>
      <c r="P429" s="67" t="str">
        <f t="shared" si="1"/>
        <v>51.420757, 36.734055</v>
      </c>
      <c r="Q429" s="67" t="str">
        <f t="shared" si="2"/>
        <v>51.420753, 36.73311</v>
      </c>
      <c r="R429" s="67">
        <f t="shared" si="3"/>
        <v>51.420753</v>
      </c>
      <c r="S429" s="67">
        <f t="shared" si="4"/>
        <v>36.73311</v>
      </c>
      <c r="T429" s="161"/>
      <c r="U429" s="69"/>
      <c r="V429" s="186" t="s">
        <v>4662</v>
      </c>
      <c r="W429" s="71" t="s">
        <v>74</v>
      </c>
      <c r="X429" s="72" t="s">
        <v>75</v>
      </c>
      <c r="Y429" s="73"/>
      <c r="Z429" s="73"/>
      <c r="AA429" s="73"/>
      <c r="AB429" s="73"/>
      <c r="AC429" s="73"/>
      <c r="AD429" s="73"/>
      <c r="AE429" s="73"/>
      <c r="AF429" s="73"/>
      <c r="AG429" s="73"/>
      <c r="AH429" s="73"/>
      <c r="AI429" s="73"/>
      <c r="AJ429" s="75"/>
      <c r="AK429" s="76" t="s">
        <v>798</v>
      </c>
      <c r="AL429" s="83" t="s">
        <v>4663</v>
      </c>
      <c r="AM429" s="71" t="s">
        <v>2196</v>
      </c>
      <c r="AN429" s="84" t="s">
        <v>4664</v>
      </c>
      <c r="AO429" s="71" t="s">
        <v>4665</v>
      </c>
      <c r="AP429" s="161" t="str">
        <f>IMAGE("https://bellingcat-archive.nyc3.cdn.digitaloceanspaces.com/Ukraine_Witness_Datasheet/Worksheet/youtube_dl_1495479787007234048/out2.jpg")</f>
        <v/>
      </c>
      <c r="AQ429" s="84" t="s">
        <v>4666</v>
      </c>
      <c r="AR429" s="71" t="s">
        <v>4667</v>
      </c>
      <c r="AS429" s="71" t="s">
        <v>4668</v>
      </c>
      <c r="AT429" s="71">
        <v>39.466</v>
      </c>
      <c r="AU429" s="89"/>
      <c r="AV429" s="162"/>
      <c r="AW429" s="81"/>
    </row>
    <row r="430" ht="15.75" customHeight="1">
      <c r="A430" s="87" t="s">
        <v>63</v>
      </c>
      <c r="B430" s="61" t="s">
        <v>4669</v>
      </c>
      <c r="C430" s="57" t="s">
        <v>4417</v>
      </c>
      <c r="D430" s="74">
        <v>52.015498</v>
      </c>
      <c r="E430" s="74">
        <v>29.193043</v>
      </c>
      <c r="F430" s="189">
        <v>1.0</v>
      </c>
      <c r="G430" s="84" t="s">
        <v>4670</v>
      </c>
      <c r="H430" s="61" t="s">
        <v>66</v>
      </c>
      <c r="I430" s="75"/>
      <c r="J430" s="63" t="s">
        <v>1278</v>
      </c>
      <c r="K430" s="88" t="s">
        <v>4671</v>
      </c>
      <c r="L430" s="110" t="s">
        <v>69</v>
      </c>
      <c r="M430" s="111"/>
      <c r="N430" s="111"/>
      <c r="O430" s="92" t="s">
        <v>4672</v>
      </c>
      <c r="P430" s="67" t="str">
        <f t="shared" si="1"/>
        <v>52.015498, 29.193043</v>
      </c>
      <c r="Q430" s="67" t="str">
        <f t="shared" si="2"/>
        <v>52.015226, 29.193535</v>
      </c>
      <c r="R430" s="67">
        <f t="shared" si="3"/>
        <v>52.015226</v>
      </c>
      <c r="S430" s="67">
        <f t="shared" si="4"/>
        <v>29.193535</v>
      </c>
      <c r="T430" s="161"/>
      <c r="U430" s="69"/>
      <c r="V430" s="186" t="s">
        <v>4673</v>
      </c>
      <c r="W430" s="71" t="s">
        <v>74</v>
      </c>
      <c r="X430" s="72" t="s">
        <v>75</v>
      </c>
      <c r="Y430" s="73"/>
      <c r="Z430" s="73"/>
      <c r="AA430" s="73"/>
      <c r="AB430" s="73"/>
      <c r="AC430" s="73"/>
      <c r="AD430" s="73"/>
      <c r="AE430" s="73"/>
      <c r="AF430" s="73"/>
      <c r="AG430" s="73"/>
      <c r="AH430" s="73"/>
      <c r="AI430" s="73"/>
      <c r="AJ430" s="75"/>
      <c r="AK430" s="76" t="s">
        <v>798</v>
      </c>
      <c r="AL430" s="83" t="s">
        <v>4674</v>
      </c>
      <c r="AM430" s="71" t="s">
        <v>4675</v>
      </c>
      <c r="AN430" s="84" t="s">
        <v>4676</v>
      </c>
      <c r="AO430" s="71" t="s">
        <v>4677</v>
      </c>
      <c r="AP430" s="161" t="str">
        <f>IMAGE("https://bellingcat-archive.nyc3.cdn.digitaloceanspaces.com/Ukraine_Witness_Datasheet/Worksheet/youtube_dl_1495369733461397514/out2.jpg")</f>
        <v/>
      </c>
      <c r="AQ430" s="84" t="s">
        <v>4678</v>
      </c>
      <c r="AR430" s="71" t="s">
        <v>4679</v>
      </c>
      <c r="AS430" s="71" t="s">
        <v>4680</v>
      </c>
      <c r="AT430" s="71">
        <v>58.433</v>
      </c>
      <c r="AU430" s="89"/>
      <c r="AV430" s="162"/>
      <c r="AW430" s="81"/>
    </row>
    <row r="431" ht="15.75" customHeight="1">
      <c r="A431" s="87" t="s">
        <v>63</v>
      </c>
      <c r="B431" s="173" t="s">
        <v>4681</v>
      </c>
      <c r="C431" s="191" t="s">
        <v>4417</v>
      </c>
      <c r="D431" s="192">
        <v>52.119869</v>
      </c>
      <c r="E431" s="192">
        <v>35.057755</v>
      </c>
      <c r="F431" s="190">
        <v>1.0</v>
      </c>
      <c r="G431" s="84" t="s">
        <v>4682</v>
      </c>
      <c r="H431" s="61" t="s">
        <v>66</v>
      </c>
      <c r="I431" s="75"/>
      <c r="J431" s="63" t="s">
        <v>4606</v>
      </c>
      <c r="K431" s="88" t="s">
        <v>4683</v>
      </c>
      <c r="L431" s="110" t="s">
        <v>79</v>
      </c>
      <c r="M431" s="92" t="s">
        <v>946</v>
      </c>
      <c r="N431" s="111"/>
      <c r="O431" s="92" t="s">
        <v>4684</v>
      </c>
      <c r="P431" s="67" t="str">
        <f t="shared" si="1"/>
        <v>52.119869, 35.057755</v>
      </c>
      <c r="Q431" s="67" t="str">
        <f t="shared" si="2"/>
        <v>52.119117, 35.057333</v>
      </c>
      <c r="R431" s="67">
        <f t="shared" si="3"/>
        <v>52.119117</v>
      </c>
      <c r="S431" s="67">
        <f t="shared" si="4"/>
        <v>35.057333</v>
      </c>
      <c r="T431" s="161"/>
      <c r="U431" s="69"/>
      <c r="V431" s="186" t="s">
        <v>4685</v>
      </c>
      <c r="W431" s="71" t="s">
        <v>74</v>
      </c>
      <c r="X431" s="72" t="s">
        <v>75</v>
      </c>
      <c r="Y431" s="73"/>
      <c r="Z431" s="73"/>
      <c r="AA431" s="73"/>
      <c r="AB431" s="73"/>
      <c r="AC431" s="73"/>
      <c r="AD431" s="73"/>
      <c r="AE431" s="73"/>
      <c r="AF431" s="73"/>
      <c r="AG431" s="73"/>
      <c r="AH431" s="73"/>
      <c r="AI431" s="73"/>
      <c r="AJ431" s="75"/>
      <c r="AK431" s="76" t="s">
        <v>798</v>
      </c>
      <c r="AL431" s="83" t="s">
        <v>4686</v>
      </c>
      <c r="AM431" s="71" t="s">
        <v>4687</v>
      </c>
      <c r="AN431" s="84" t="s">
        <v>4688</v>
      </c>
      <c r="AO431" s="71" t="s">
        <v>4689</v>
      </c>
      <c r="AP431" s="161" t="str">
        <f>IMAGE("https://bellingcat-archive.nyc3.cdn.digitaloceanspaces.com/Ukraine_Witness_Datasheet/Worksheet/youtube_dl_1495472823824957440/out2.jpg")</f>
        <v/>
      </c>
      <c r="AQ431" s="84" t="s">
        <v>4690</v>
      </c>
      <c r="AR431" s="71" t="s">
        <v>4691</v>
      </c>
      <c r="AS431" s="71" t="s">
        <v>4692</v>
      </c>
      <c r="AT431" s="71">
        <v>18.168</v>
      </c>
      <c r="AU431" s="89"/>
      <c r="AV431" s="162"/>
      <c r="AW431" s="81"/>
    </row>
    <row r="432" ht="15.75" customHeight="1">
      <c r="A432" s="87" t="s">
        <v>63</v>
      </c>
      <c r="B432" s="61" t="s">
        <v>4693</v>
      </c>
      <c r="C432" s="57" t="s">
        <v>4694</v>
      </c>
      <c r="D432" s="74">
        <v>57.64142</v>
      </c>
      <c r="E432" s="74">
        <v>34.411813</v>
      </c>
      <c r="F432" s="190">
        <v>1.0</v>
      </c>
      <c r="G432" s="84" t="s">
        <v>4695</v>
      </c>
      <c r="H432" s="61" t="s">
        <v>66</v>
      </c>
      <c r="I432" s="75"/>
      <c r="J432" s="63" t="s">
        <v>4606</v>
      </c>
      <c r="K432" s="88" t="s">
        <v>4696</v>
      </c>
      <c r="L432" s="110" t="s">
        <v>79</v>
      </c>
      <c r="M432" s="92" t="s">
        <v>4697</v>
      </c>
      <c r="N432" s="92" t="s">
        <v>4698</v>
      </c>
      <c r="O432" s="92"/>
      <c r="P432" s="67" t="str">
        <f t="shared" si="1"/>
        <v>57.64142, 34.411813</v>
      </c>
      <c r="Q432" s="67" t="str">
        <f t="shared" si="2"/>
        <v>57.641271, 34.412348</v>
      </c>
      <c r="R432" s="67">
        <f t="shared" si="3"/>
        <v>57.641271</v>
      </c>
      <c r="S432" s="67">
        <f t="shared" si="4"/>
        <v>34.412348</v>
      </c>
      <c r="T432" s="161"/>
      <c r="U432" s="69"/>
      <c r="V432" s="186" t="s">
        <v>4699</v>
      </c>
      <c r="W432" s="71" t="s">
        <v>74</v>
      </c>
      <c r="X432" s="72" t="s">
        <v>75</v>
      </c>
      <c r="Y432" s="73"/>
      <c r="Z432" s="73"/>
      <c r="AA432" s="73"/>
      <c r="AB432" s="73"/>
      <c r="AC432" s="73"/>
      <c r="AD432" s="73"/>
      <c r="AE432" s="73"/>
      <c r="AF432" s="73"/>
      <c r="AG432" s="73"/>
      <c r="AH432" s="73"/>
      <c r="AI432" s="73"/>
      <c r="AJ432" s="75"/>
      <c r="AK432" s="76" t="s">
        <v>798</v>
      </c>
      <c r="AL432" s="83" t="s">
        <v>4700</v>
      </c>
      <c r="AM432" s="71" t="s">
        <v>4701</v>
      </c>
      <c r="AN432" s="84" t="s">
        <v>4702</v>
      </c>
      <c r="AO432" s="71" t="s">
        <v>4703</v>
      </c>
      <c r="AP432" s="161" t="str">
        <f>IMAGE("https://bellingcat-archive.nyc3.cdn.digitaloceanspaces.com/Ukraine_Witness_Datasheet/Worksheet/youtube_dl_1495548898944897028/out3.jpg")</f>
        <v/>
      </c>
      <c r="AQ432" s="84" t="s">
        <v>4704</v>
      </c>
      <c r="AR432" s="71" t="s">
        <v>4705</v>
      </c>
      <c r="AS432" s="71" t="s">
        <v>4706</v>
      </c>
      <c r="AT432" s="71">
        <v>91.3</v>
      </c>
      <c r="AU432" s="89"/>
      <c r="AV432" s="162"/>
      <c r="AW432" s="81"/>
    </row>
    <row r="433" ht="15.75" customHeight="1">
      <c r="A433" s="87" t="s">
        <v>63</v>
      </c>
      <c r="B433" s="61" t="s">
        <v>4707</v>
      </c>
      <c r="C433" s="57" t="s">
        <v>4417</v>
      </c>
      <c r="D433" s="74">
        <v>57.595269</v>
      </c>
      <c r="E433" s="74">
        <v>34.564613</v>
      </c>
      <c r="F433" s="190">
        <v>1.0</v>
      </c>
      <c r="G433" s="84" t="s">
        <v>4708</v>
      </c>
      <c r="H433" s="61" t="s">
        <v>66</v>
      </c>
      <c r="I433" s="75"/>
      <c r="J433" s="63" t="s">
        <v>4606</v>
      </c>
      <c r="K433" s="88" t="s">
        <v>4709</v>
      </c>
      <c r="L433" s="110" t="s">
        <v>873</v>
      </c>
      <c r="M433" s="92" t="s">
        <v>4697</v>
      </c>
      <c r="N433" s="92" t="s">
        <v>4710</v>
      </c>
      <c r="O433" s="111"/>
      <c r="P433" s="67" t="str">
        <f t="shared" si="1"/>
        <v>57.595269, 34.564613</v>
      </c>
      <c r="Q433" s="67" t="str">
        <f t="shared" si="2"/>
        <v>57.594628, 34.563858</v>
      </c>
      <c r="R433" s="67">
        <f t="shared" si="3"/>
        <v>57.594628</v>
      </c>
      <c r="S433" s="67">
        <f t="shared" si="4"/>
        <v>34.563858</v>
      </c>
      <c r="T433" s="161"/>
      <c r="U433" s="69"/>
      <c r="V433" s="186" t="s">
        <v>4711</v>
      </c>
      <c r="W433" s="71" t="s">
        <v>74</v>
      </c>
      <c r="X433" s="72" t="s">
        <v>75</v>
      </c>
      <c r="Y433" s="73"/>
      <c r="Z433" s="73"/>
      <c r="AA433" s="73"/>
      <c r="AB433" s="73"/>
      <c r="AC433" s="73"/>
      <c r="AD433" s="73"/>
      <c r="AE433" s="73"/>
      <c r="AF433" s="73"/>
      <c r="AG433" s="73"/>
      <c r="AH433" s="73"/>
      <c r="AI433" s="73"/>
      <c r="AJ433" s="75"/>
      <c r="AK433" s="76" t="s">
        <v>798</v>
      </c>
      <c r="AL433" s="83" t="s">
        <v>4712</v>
      </c>
      <c r="AM433" s="71" t="s">
        <v>4713</v>
      </c>
      <c r="AN433" s="84" t="s">
        <v>4714</v>
      </c>
      <c r="AO433" s="71" t="s">
        <v>4715</v>
      </c>
      <c r="AP433" s="161" t="str">
        <f>IMAGE("https://bellingcat-archive.nyc3.cdn.digitaloceanspaces.com/Ukraine_Witness_Datasheet/Worksheet/youtube_dl_1495548048679882759/out2.jpg")</f>
        <v/>
      </c>
      <c r="AQ433" s="84" t="s">
        <v>4716</v>
      </c>
      <c r="AR433" s="71" t="s">
        <v>4717</v>
      </c>
      <c r="AS433" s="71" t="s">
        <v>4718</v>
      </c>
      <c r="AT433" s="71">
        <v>52.066</v>
      </c>
      <c r="AU433" s="89"/>
      <c r="AV433" s="162"/>
      <c r="AW433" s="81"/>
    </row>
    <row r="434" ht="15.75" customHeight="1">
      <c r="A434" s="95" t="s">
        <v>63</v>
      </c>
      <c r="B434" s="61"/>
      <c r="C434" s="57" t="s">
        <v>4417</v>
      </c>
      <c r="D434" s="74">
        <v>50.314267</v>
      </c>
      <c r="E434" s="74">
        <v>37.931973</v>
      </c>
      <c r="F434" s="190">
        <v>1.0</v>
      </c>
      <c r="G434" s="84" t="s">
        <v>4719</v>
      </c>
      <c r="H434" s="61" t="s">
        <v>66</v>
      </c>
      <c r="I434" s="75"/>
      <c r="J434" s="63" t="s">
        <v>4720</v>
      </c>
      <c r="K434" s="69"/>
      <c r="L434" s="110" t="s">
        <v>79</v>
      </c>
      <c r="M434" s="92" t="s">
        <v>547</v>
      </c>
      <c r="N434" s="111"/>
      <c r="O434" s="92" t="s">
        <v>4552</v>
      </c>
      <c r="P434" s="67" t="str">
        <f t="shared" si="1"/>
        <v>50.314267, 37.931973</v>
      </c>
      <c r="Q434" s="67" t="str">
        <f t="shared" si="2"/>
        <v>50.313633, 37.932524</v>
      </c>
      <c r="R434" s="67">
        <f t="shared" si="3"/>
        <v>50.313633</v>
      </c>
      <c r="S434" s="67">
        <f t="shared" si="4"/>
        <v>37.932524</v>
      </c>
      <c r="T434" s="161"/>
      <c r="U434" s="69"/>
      <c r="V434" s="186" t="s">
        <v>4721</v>
      </c>
      <c r="W434" s="71" t="s">
        <v>74</v>
      </c>
      <c r="X434" s="72" t="s">
        <v>75</v>
      </c>
      <c r="Y434" s="73"/>
      <c r="Z434" s="73"/>
      <c r="AA434" s="73"/>
      <c r="AB434" s="73"/>
      <c r="AC434" s="73"/>
      <c r="AD434" s="73"/>
      <c r="AE434" s="73"/>
      <c r="AF434" s="73"/>
      <c r="AG434" s="73"/>
      <c r="AH434" s="73"/>
      <c r="AI434" s="73"/>
      <c r="AJ434" s="75"/>
      <c r="AK434" s="76" t="s">
        <v>798</v>
      </c>
      <c r="AL434" s="83" t="s">
        <v>4722</v>
      </c>
      <c r="AM434" s="71" t="s">
        <v>4723</v>
      </c>
      <c r="AN434" s="84" t="s">
        <v>4724</v>
      </c>
      <c r="AO434" s="71" t="s">
        <v>4725</v>
      </c>
      <c r="AP434" s="161" t="str">
        <f>IMAGE("https://bellingcat-archive.nyc3.cdn.digitaloceanspaces.com/Ukraine_Witness_Datasheet/Worksheet/youtube_dl_1495470916679184388/out2.jpg")</f>
        <v/>
      </c>
      <c r="AQ434" s="84" t="s">
        <v>4726</v>
      </c>
      <c r="AR434" s="71" t="s">
        <v>4727</v>
      </c>
      <c r="AS434" s="71" t="s">
        <v>4728</v>
      </c>
      <c r="AT434" s="71">
        <v>26.038</v>
      </c>
      <c r="AU434" s="89"/>
      <c r="AV434" s="162"/>
      <c r="AW434" s="81"/>
    </row>
    <row r="435" ht="15.75" customHeight="1">
      <c r="A435" s="95" t="s">
        <v>63</v>
      </c>
      <c r="B435" s="73"/>
      <c r="C435" s="57" t="s">
        <v>4417</v>
      </c>
      <c r="D435" s="74">
        <v>51.138909</v>
      </c>
      <c r="E435" s="74">
        <v>36.043678</v>
      </c>
      <c r="F435" s="59">
        <v>1.0</v>
      </c>
      <c r="G435" s="84" t="s">
        <v>4729</v>
      </c>
      <c r="H435" s="61" t="s">
        <v>66</v>
      </c>
      <c r="I435" s="75"/>
      <c r="J435" s="63" t="s">
        <v>4730</v>
      </c>
      <c r="K435" s="69"/>
      <c r="L435" s="110" t="s">
        <v>79</v>
      </c>
      <c r="M435" s="92" t="s">
        <v>547</v>
      </c>
      <c r="N435" s="111"/>
      <c r="O435" s="92" t="s">
        <v>4731</v>
      </c>
      <c r="P435" s="67" t="str">
        <f t="shared" si="1"/>
        <v>51.138909, 36.043678</v>
      </c>
      <c r="Q435" s="67" t="str">
        <f t="shared" si="2"/>
        <v>51.138804, 36.042498</v>
      </c>
      <c r="R435" s="67">
        <f t="shared" si="3"/>
        <v>51.138804</v>
      </c>
      <c r="S435" s="67">
        <f t="shared" si="4"/>
        <v>36.042498</v>
      </c>
      <c r="T435" s="161"/>
      <c r="U435" s="69"/>
      <c r="V435" s="186" t="s">
        <v>4732</v>
      </c>
      <c r="W435" s="71" t="s">
        <v>74</v>
      </c>
      <c r="X435" s="72" t="s">
        <v>75</v>
      </c>
      <c r="Y435" s="73"/>
      <c r="Z435" s="73"/>
      <c r="AA435" s="73"/>
      <c r="AB435" s="73"/>
      <c r="AC435" s="73"/>
      <c r="AD435" s="73"/>
      <c r="AE435" s="73"/>
      <c r="AF435" s="73"/>
      <c r="AG435" s="73"/>
      <c r="AH435" s="73"/>
      <c r="AI435" s="73"/>
      <c r="AJ435" s="75"/>
      <c r="AK435" s="76" t="s">
        <v>798</v>
      </c>
      <c r="AL435" s="83" t="s">
        <v>4733</v>
      </c>
      <c r="AM435" s="71" t="s">
        <v>4734</v>
      </c>
      <c r="AN435" s="84" t="s">
        <v>4735</v>
      </c>
      <c r="AO435" s="71" t="s">
        <v>4736</v>
      </c>
      <c r="AP435" s="161" t="str">
        <f>IMAGE("https://bellingcat-archive.nyc3.cdn.digitaloceanspaces.com/Ukraine_Witness_Datasheet/Worksheet/youtube_dl_1495357148984922118/out3.jpg")</f>
        <v/>
      </c>
      <c r="AQ435" s="84" t="s">
        <v>4737</v>
      </c>
      <c r="AR435" s="71" t="s">
        <v>4536</v>
      </c>
      <c r="AS435" s="71" t="s">
        <v>4738</v>
      </c>
      <c r="AT435" s="71">
        <v>61.881</v>
      </c>
      <c r="AU435" s="89"/>
      <c r="AV435" s="162"/>
      <c r="AW435" s="81"/>
    </row>
    <row r="436" ht="15.75" customHeight="1">
      <c r="A436" s="87" t="s">
        <v>2580</v>
      </c>
      <c r="B436" s="61" t="s">
        <v>4739</v>
      </c>
      <c r="C436" s="57" t="s">
        <v>4694</v>
      </c>
      <c r="D436" s="74">
        <v>51.095655</v>
      </c>
      <c r="E436" s="74">
        <v>36.072969</v>
      </c>
      <c r="F436" s="59">
        <v>1.0</v>
      </c>
      <c r="G436" s="84" t="s">
        <v>4740</v>
      </c>
      <c r="H436" s="61" t="s">
        <v>66</v>
      </c>
      <c r="I436" s="75"/>
      <c r="J436" s="63" t="s">
        <v>4741</v>
      </c>
      <c r="K436" s="88" t="s">
        <v>4742</v>
      </c>
      <c r="L436" s="110" t="s">
        <v>873</v>
      </c>
      <c r="M436" s="92" t="s">
        <v>547</v>
      </c>
      <c r="N436" s="92" t="s">
        <v>4743</v>
      </c>
      <c r="O436" s="111"/>
      <c r="P436" s="67" t="str">
        <f t="shared" si="1"/>
        <v>51.095655, 36.072969</v>
      </c>
      <c r="Q436" s="67" t="str">
        <f t="shared" si="2"/>
        <v>51.09501, 36.072776</v>
      </c>
      <c r="R436" s="67">
        <f t="shared" si="3"/>
        <v>51.09501</v>
      </c>
      <c r="S436" s="67">
        <f t="shared" si="4"/>
        <v>36.072776</v>
      </c>
      <c r="T436" s="161"/>
      <c r="U436" s="69"/>
      <c r="V436" s="65" t="s">
        <v>4744</v>
      </c>
      <c r="W436" s="71" t="s">
        <v>74</v>
      </c>
      <c r="X436" s="72" t="s">
        <v>75</v>
      </c>
      <c r="Y436" s="73"/>
      <c r="Z436" s="73"/>
      <c r="AA436" s="73"/>
      <c r="AB436" s="73"/>
      <c r="AC436" s="73"/>
      <c r="AD436" s="73"/>
      <c r="AE436" s="73"/>
      <c r="AF436" s="73"/>
      <c r="AG436" s="73"/>
      <c r="AH436" s="73"/>
      <c r="AI436" s="73"/>
      <c r="AJ436" s="75"/>
      <c r="AK436" s="76" t="s">
        <v>798</v>
      </c>
      <c r="AL436" s="83" t="s">
        <v>4745</v>
      </c>
      <c r="AM436" s="71" t="s">
        <v>4746</v>
      </c>
      <c r="AN436" s="84" t="s">
        <v>4747</v>
      </c>
      <c r="AO436" s="71" t="s">
        <v>4748</v>
      </c>
      <c r="AP436" s="161" t="str">
        <f>IMAGE("https://bellingcat-archive.nyc3.cdn.digitaloceanspaces.com/Ukraine_Witness_Datasheet/Worksheet/youtube_dl_1495622087339397120/out2.jpg")</f>
        <v/>
      </c>
      <c r="AQ436" s="84" t="s">
        <v>4749</v>
      </c>
      <c r="AR436" s="71" t="s">
        <v>4750</v>
      </c>
      <c r="AS436" s="71" t="s">
        <v>4751</v>
      </c>
      <c r="AT436" s="71">
        <v>52.433</v>
      </c>
      <c r="AU436" s="89"/>
      <c r="AV436" s="162"/>
      <c r="AW436" s="81"/>
    </row>
    <row r="437" ht="15.75" customHeight="1">
      <c r="A437" s="87" t="s">
        <v>2580</v>
      </c>
      <c r="B437" s="61" t="s">
        <v>4639</v>
      </c>
      <c r="C437" s="57" t="s">
        <v>4417</v>
      </c>
      <c r="D437" s="74">
        <v>50.795513</v>
      </c>
      <c r="E437" s="74">
        <v>35.716413</v>
      </c>
      <c r="F437" s="59">
        <v>1.0</v>
      </c>
      <c r="G437" s="84" t="s">
        <v>4752</v>
      </c>
      <c r="H437" s="61" t="s">
        <v>66</v>
      </c>
      <c r="I437" s="75"/>
      <c r="J437" s="63" t="s">
        <v>2814</v>
      </c>
      <c r="K437" s="88" t="s">
        <v>4753</v>
      </c>
      <c r="L437" s="110" t="s">
        <v>873</v>
      </c>
      <c r="M437" s="92" t="s">
        <v>547</v>
      </c>
      <c r="N437" s="92" t="s">
        <v>4754</v>
      </c>
      <c r="O437" s="111"/>
      <c r="P437" s="67" t="str">
        <f t="shared" si="1"/>
        <v>50.795513, 35.716413</v>
      </c>
      <c r="Q437" s="67" t="str">
        <f t="shared" si="2"/>
        <v>50.795317, 35.717094</v>
      </c>
      <c r="R437" s="67">
        <f t="shared" si="3"/>
        <v>50.795317</v>
      </c>
      <c r="S437" s="67">
        <f t="shared" si="4"/>
        <v>35.717094</v>
      </c>
      <c r="T437" s="161"/>
      <c r="U437" s="69"/>
      <c r="V437" s="65" t="s">
        <v>4755</v>
      </c>
      <c r="W437" s="71" t="s">
        <v>74</v>
      </c>
      <c r="X437" s="72" t="s">
        <v>75</v>
      </c>
      <c r="Y437" s="73"/>
      <c r="Z437" s="73"/>
      <c r="AA437" s="73"/>
      <c r="AB437" s="73"/>
      <c r="AC437" s="73"/>
      <c r="AD437" s="73"/>
      <c r="AE437" s="73"/>
      <c r="AF437" s="73"/>
      <c r="AG437" s="73"/>
      <c r="AH437" s="73"/>
      <c r="AI437" s="73"/>
      <c r="AJ437" s="75"/>
      <c r="AK437" s="76" t="s">
        <v>798</v>
      </c>
      <c r="AL437" s="83" t="s">
        <v>4756</v>
      </c>
      <c r="AM437" s="71" t="s">
        <v>4757</v>
      </c>
      <c r="AN437" s="84" t="s">
        <v>4758</v>
      </c>
      <c r="AO437" s="71" t="s">
        <v>4759</v>
      </c>
      <c r="AP437" s="161" t="str">
        <f>IMAGE("https://bellingcat-archive.nyc3.cdn.digitaloceanspaces.com/Ukraine_Witness_Datasheet/Worksheet/youtube_dl_1495474393560059907/out2.jpg")</f>
        <v/>
      </c>
      <c r="AQ437" s="84" t="s">
        <v>4760</v>
      </c>
      <c r="AR437" s="71" t="s">
        <v>4761</v>
      </c>
      <c r="AS437" s="71" t="s">
        <v>4762</v>
      </c>
      <c r="AT437" s="71">
        <v>21.666</v>
      </c>
      <c r="AU437" s="89"/>
      <c r="AV437" s="162"/>
      <c r="AW437" s="81"/>
    </row>
    <row r="438" ht="15.75" customHeight="1">
      <c r="A438" s="87" t="s">
        <v>2580</v>
      </c>
      <c r="B438" s="61" t="s">
        <v>4763</v>
      </c>
      <c r="C438" s="57" t="s">
        <v>4417</v>
      </c>
      <c r="D438" s="74">
        <v>52.115536</v>
      </c>
      <c r="E438" s="74">
        <v>34.471345</v>
      </c>
      <c r="F438" s="59">
        <v>1.0</v>
      </c>
      <c r="G438" s="84" t="s">
        <v>4764</v>
      </c>
      <c r="H438" s="61" t="s">
        <v>66</v>
      </c>
      <c r="I438" s="75"/>
      <c r="J438" s="63" t="s">
        <v>3510</v>
      </c>
      <c r="K438" s="88" t="s">
        <v>4765</v>
      </c>
      <c r="L438" s="110" t="s">
        <v>79</v>
      </c>
      <c r="M438" s="92" t="s">
        <v>1416</v>
      </c>
      <c r="N438" s="92" t="s">
        <v>4766</v>
      </c>
      <c r="O438" s="111"/>
      <c r="P438" s="67" t="str">
        <f t="shared" si="1"/>
        <v>52.115536, 34.471345</v>
      </c>
      <c r="Q438" s="67" t="str">
        <f t="shared" si="2"/>
        <v>52.115106, 34.471018</v>
      </c>
      <c r="R438" s="67">
        <f t="shared" si="3"/>
        <v>52.115106</v>
      </c>
      <c r="S438" s="67">
        <f t="shared" si="4"/>
        <v>34.471018</v>
      </c>
      <c r="T438" s="161"/>
      <c r="U438" s="69"/>
      <c r="V438" s="65" t="s">
        <v>4767</v>
      </c>
      <c r="W438" s="71" t="s">
        <v>74</v>
      </c>
      <c r="X438" s="72" t="s">
        <v>75</v>
      </c>
      <c r="Y438" s="73"/>
      <c r="Z438" s="73"/>
      <c r="AA438" s="73"/>
      <c r="AB438" s="73"/>
      <c r="AC438" s="73"/>
      <c r="AD438" s="73"/>
      <c r="AE438" s="73"/>
      <c r="AF438" s="73"/>
      <c r="AG438" s="73"/>
      <c r="AH438" s="73"/>
      <c r="AI438" s="73"/>
      <c r="AJ438" s="75"/>
      <c r="AK438" s="76" t="s">
        <v>798</v>
      </c>
      <c r="AL438" s="83" t="s">
        <v>4768</v>
      </c>
      <c r="AM438" s="71" t="s">
        <v>4769</v>
      </c>
      <c r="AN438" s="84" t="s">
        <v>4770</v>
      </c>
      <c r="AO438" s="71" t="s">
        <v>4771</v>
      </c>
      <c r="AP438" s="161" t="str">
        <f>IMAGE("https://bellingcat-archive.nyc3.cdn.digitaloceanspaces.com/Ukraine_Witness_Datasheet/Worksheet/youtube_dl_1495413406622490629/out3.jpg")</f>
        <v/>
      </c>
      <c r="AQ438" s="84" t="s">
        <v>4772</v>
      </c>
      <c r="AR438" s="71" t="s">
        <v>4773</v>
      </c>
      <c r="AS438" s="71" t="s">
        <v>4774</v>
      </c>
      <c r="AT438" s="71">
        <v>60.233</v>
      </c>
      <c r="AU438" s="89"/>
      <c r="AV438" s="162"/>
      <c r="AW438" s="81"/>
    </row>
    <row r="439" ht="15.75" customHeight="1">
      <c r="A439" s="87" t="s">
        <v>2580</v>
      </c>
      <c r="B439" s="61" t="s">
        <v>4639</v>
      </c>
      <c r="C439" s="57" t="s">
        <v>4417</v>
      </c>
      <c r="D439" s="92">
        <v>51.279111</v>
      </c>
      <c r="E439" s="92">
        <v>37.573972</v>
      </c>
      <c r="F439" s="59">
        <v>1.0</v>
      </c>
      <c r="G439" s="84" t="s">
        <v>4775</v>
      </c>
      <c r="H439" s="61" t="s">
        <v>66</v>
      </c>
      <c r="I439" s="75"/>
      <c r="J439" s="63" t="s">
        <v>2814</v>
      </c>
      <c r="K439" s="88" t="s">
        <v>4776</v>
      </c>
      <c r="L439" s="110" t="s">
        <v>79</v>
      </c>
      <c r="M439" s="92" t="s">
        <v>547</v>
      </c>
      <c r="N439" s="111"/>
      <c r="O439" s="92" t="s">
        <v>2980</v>
      </c>
      <c r="P439" s="67" t="str">
        <f t="shared" si="1"/>
        <v>51.279111, 37.573972</v>
      </c>
      <c r="Q439" s="67" t="str">
        <f t="shared" si="2"/>
        <v>51.278819, 37.575096</v>
      </c>
      <c r="R439" s="67">
        <f t="shared" si="3"/>
        <v>51.278819</v>
      </c>
      <c r="S439" s="67">
        <f t="shared" si="4"/>
        <v>37.575096</v>
      </c>
      <c r="T439" s="161"/>
      <c r="U439" s="69"/>
      <c r="V439" s="65" t="s">
        <v>4777</v>
      </c>
      <c r="W439" s="71" t="s">
        <v>74</v>
      </c>
      <c r="X439" s="72" t="s">
        <v>75</v>
      </c>
      <c r="Y439" s="73"/>
      <c r="Z439" s="73"/>
      <c r="AA439" s="73"/>
      <c r="AB439" s="73"/>
      <c r="AC439" s="73"/>
      <c r="AD439" s="73"/>
      <c r="AE439" s="73"/>
      <c r="AF439" s="73"/>
      <c r="AG439" s="73"/>
      <c r="AH439" s="73"/>
      <c r="AI439" s="73"/>
      <c r="AJ439" s="75"/>
      <c r="AK439" s="76" t="s">
        <v>798</v>
      </c>
      <c r="AL439" s="83" t="s">
        <v>4778</v>
      </c>
      <c r="AM439" s="71" t="s">
        <v>4779</v>
      </c>
      <c r="AN439" s="84" t="s">
        <v>4780</v>
      </c>
      <c r="AO439" s="71" t="s">
        <v>4781</v>
      </c>
      <c r="AP439" s="161" t="str">
        <f>IMAGE("https://bellingcat-archive.nyc3.cdn.digitaloceanspaces.com/Ukraine_Witness_Datasheet/Worksheet/youtube_dl_1495296046712430594/out2.jpg")</f>
        <v/>
      </c>
      <c r="AQ439" s="84" t="s">
        <v>4782</v>
      </c>
      <c r="AR439" s="71" t="s">
        <v>4783</v>
      </c>
      <c r="AS439" s="71" t="s">
        <v>4784</v>
      </c>
      <c r="AT439" s="71">
        <v>15.024</v>
      </c>
      <c r="AU439" s="89"/>
      <c r="AV439" s="162"/>
      <c r="AW439" s="81"/>
    </row>
    <row r="440" ht="15.75" customHeight="1">
      <c r="A440" s="87" t="s">
        <v>2580</v>
      </c>
      <c r="B440" s="61" t="s">
        <v>4785</v>
      </c>
      <c r="C440" s="57" t="s">
        <v>4167</v>
      </c>
      <c r="D440" s="74">
        <v>50.199549</v>
      </c>
      <c r="E440" s="74">
        <v>38.121542</v>
      </c>
      <c r="F440" s="59">
        <v>1.0</v>
      </c>
      <c r="G440" s="84" t="s">
        <v>4786</v>
      </c>
      <c r="H440" s="61" t="s">
        <v>66</v>
      </c>
      <c r="I440" s="75"/>
      <c r="J440" s="63" t="s">
        <v>2814</v>
      </c>
      <c r="K440" s="69"/>
      <c r="L440" s="110" t="s">
        <v>79</v>
      </c>
      <c r="M440" s="92" t="s">
        <v>547</v>
      </c>
      <c r="N440" s="111"/>
      <c r="O440" s="92" t="s">
        <v>4787</v>
      </c>
      <c r="P440" s="67" t="str">
        <f t="shared" si="1"/>
        <v>50.199549, 38.121542</v>
      </c>
      <c r="Q440" s="67" t="str">
        <f t="shared" si="2"/>
        <v>50.198899, 38.12142</v>
      </c>
      <c r="R440" s="67">
        <f t="shared" si="3"/>
        <v>50.198899</v>
      </c>
      <c r="S440" s="67">
        <f t="shared" si="4"/>
        <v>38.12142</v>
      </c>
      <c r="T440" s="161"/>
      <c r="U440" s="69"/>
      <c r="V440" s="65" t="s">
        <v>4788</v>
      </c>
      <c r="W440" s="71" t="s">
        <v>74</v>
      </c>
      <c r="X440" s="72" t="s">
        <v>75</v>
      </c>
      <c r="Y440" s="73"/>
      <c r="Z440" s="73"/>
      <c r="AA440" s="73"/>
      <c r="AB440" s="73"/>
      <c r="AC440" s="73"/>
      <c r="AD440" s="73"/>
      <c r="AE440" s="73"/>
      <c r="AF440" s="73"/>
      <c r="AG440" s="73"/>
      <c r="AH440" s="73"/>
      <c r="AI440" s="73"/>
      <c r="AJ440" s="75"/>
      <c r="AK440" s="76" t="s">
        <v>798</v>
      </c>
      <c r="AL440" s="83" t="s">
        <v>4789</v>
      </c>
      <c r="AM440" s="71" t="s">
        <v>4790</v>
      </c>
      <c r="AN440" s="84" t="s">
        <v>4791</v>
      </c>
      <c r="AO440" s="71" t="s">
        <v>4792</v>
      </c>
      <c r="AP440" s="161" t="str">
        <f>IMAGE("https://bellingcat-archive.nyc3.cdn.digitaloceanspaces.com/Ukraine_Witness_Datasheet/Worksheet/youtube_dl_1495118536548700162/out2.jpg")</f>
        <v/>
      </c>
      <c r="AQ440" s="84" t="s">
        <v>4793</v>
      </c>
      <c r="AR440" s="71" t="s">
        <v>4794</v>
      </c>
      <c r="AS440" s="71" t="s">
        <v>4795</v>
      </c>
      <c r="AT440" s="71">
        <v>15.989</v>
      </c>
      <c r="AU440" s="89"/>
      <c r="AV440" s="162"/>
      <c r="AW440" s="81"/>
    </row>
    <row r="441" ht="15.75" customHeight="1">
      <c r="A441" s="87" t="s">
        <v>2580</v>
      </c>
      <c r="B441" s="61" t="s">
        <v>4796</v>
      </c>
      <c r="C441" s="57" t="s">
        <v>4167</v>
      </c>
      <c r="D441" s="74">
        <v>50.419417</v>
      </c>
      <c r="E441" s="74">
        <v>37.027611</v>
      </c>
      <c r="F441" s="59">
        <v>1.0</v>
      </c>
      <c r="G441" s="84" t="s">
        <v>4797</v>
      </c>
      <c r="H441" s="61" t="s">
        <v>66</v>
      </c>
      <c r="I441" s="75"/>
      <c r="J441" s="63" t="s">
        <v>2814</v>
      </c>
      <c r="K441" s="88" t="s">
        <v>4798</v>
      </c>
      <c r="L441" s="110" t="s">
        <v>873</v>
      </c>
      <c r="M441" s="92" t="s">
        <v>547</v>
      </c>
      <c r="N441" s="111"/>
      <c r="O441" s="92" t="s">
        <v>4799</v>
      </c>
      <c r="P441" s="67" t="str">
        <f t="shared" si="1"/>
        <v>50.419417, 37.027611</v>
      </c>
      <c r="Q441" s="67" t="str">
        <f t="shared" si="2"/>
        <v>50.419242, 37.026541</v>
      </c>
      <c r="R441" s="67">
        <f t="shared" si="3"/>
        <v>50.419242</v>
      </c>
      <c r="S441" s="67">
        <f t="shared" si="4"/>
        <v>37.026541</v>
      </c>
      <c r="T441" s="161"/>
      <c r="U441" s="69"/>
      <c r="V441" s="65" t="s">
        <v>4800</v>
      </c>
      <c r="W441" s="71" t="s">
        <v>74</v>
      </c>
      <c r="X441" s="72" t="s">
        <v>75</v>
      </c>
      <c r="Y441" s="73"/>
      <c r="Z441" s="73"/>
      <c r="AA441" s="73"/>
      <c r="AB441" s="73"/>
      <c r="AC441" s="73"/>
      <c r="AD441" s="73"/>
      <c r="AE441" s="73"/>
      <c r="AF441" s="73"/>
      <c r="AG441" s="73"/>
      <c r="AH441" s="73"/>
      <c r="AI441" s="73"/>
      <c r="AJ441" s="75"/>
      <c r="AK441" s="76" t="s">
        <v>798</v>
      </c>
      <c r="AL441" s="83" t="s">
        <v>4801</v>
      </c>
      <c r="AM441" s="71" t="s">
        <v>4802</v>
      </c>
      <c r="AN441" s="84" t="s">
        <v>4803</v>
      </c>
      <c r="AO441" s="71" t="s">
        <v>4804</v>
      </c>
      <c r="AP441" s="161" t="str">
        <f>IMAGE("https://bellingcat-archive.nyc3.cdn.digitaloceanspaces.com/Ukraine_Witness_Datasheet/Worksheet/youtube_dl_1495112678532128770/out2.jpg")</f>
        <v/>
      </c>
      <c r="AQ441" s="84" t="s">
        <v>4805</v>
      </c>
      <c r="AR441" s="71" t="s">
        <v>1794</v>
      </c>
      <c r="AS441" s="71" t="s">
        <v>4806</v>
      </c>
      <c r="AT441" s="71">
        <v>21.617</v>
      </c>
      <c r="AU441" s="89"/>
      <c r="AV441" s="162"/>
      <c r="AW441" s="81"/>
    </row>
    <row r="442" ht="15.75" customHeight="1">
      <c r="A442" s="87" t="s">
        <v>2580</v>
      </c>
      <c r="B442" s="61" t="s">
        <v>4796</v>
      </c>
      <c r="C442" s="57" t="s">
        <v>4167</v>
      </c>
      <c r="D442" s="74">
        <v>50.51275</v>
      </c>
      <c r="E442" s="92">
        <v>37.536556</v>
      </c>
      <c r="F442" s="59">
        <v>1.0</v>
      </c>
      <c r="G442" s="84" t="s">
        <v>4807</v>
      </c>
      <c r="H442" s="61" t="s">
        <v>66</v>
      </c>
      <c r="I442" s="75"/>
      <c r="J442" s="63" t="s">
        <v>4808</v>
      </c>
      <c r="K442" s="88" t="s">
        <v>4809</v>
      </c>
      <c r="L442" s="110" t="s">
        <v>79</v>
      </c>
      <c r="M442" s="92" t="s">
        <v>547</v>
      </c>
      <c r="N442" s="92" t="s">
        <v>4810</v>
      </c>
      <c r="O442" s="111"/>
      <c r="P442" s="67" t="str">
        <f t="shared" si="1"/>
        <v>50.51275, 37.536556</v>
      </c>
      <c r="Q442" s="67" t="str">
        <f t="shared" si="2"/>
        <v>50.51216, 37.537255</v>
      </c>
      <c r="R442" s="67">
        <f t="shared" si="3"/>
        <v>50.51216</v>
      </c>
      <c r="S442" s="67">
        <f t="shared" si="4"/>
        <v>37.537255</v>
      </c>
      <c r="T442" s="161"/>
      <c r="U442" s="69"/>
      <c r="V442" s="65" t="s">
        <v>4811</v>
      </c>
      <c r="W442" s="71" t="s">
        <v>74</v>
      </c>
      <c r="X442" s="72" t="s">
        <v>75</v>
      </c>
      <c r="Y442" s="73"/>
      <c r="Z442" s="73"/>
      <c r="AA442" s="73"/>
      <c r="AB442" s="73"/>
      <c r="AC442" s="73"/>
      <c r="AD442" s="73"/>
      <c r="AE442" s="73"/>
      <c r="AF442" s="73"/>
      <c r="AG442" s="73"/>
      <c r="AH442" s="73"/>
      <c r="AI442" s="73"/>
      <c r="AJ442" s="75"/>
      <c r="AK442" s="76" t="s">
        <v>798</v>
      </c>
      <c r="AL442" s="83" t="s">
        <v>4812</v>
      </c>
      <c r="AM442" s="71" t="s">
        <v>4813</v>
      </c>
      <c r="AN442" s="84" t="s">
        <v>4814</v>
      </c>
      <c r="AO442" s="71" t="s">
        <v>4815</v>
      </c>
      <c r="AP442" s="161" t="str">
        <f>IMAGE("https://bellingcat-archive.nyc3.cdn.digitaloceanspaces.com/Ukraine_Witness_Datasheet/Worksheet/youtube_dl_1495063279000948738/out2.jpg")</f>
        <v/>
      </c>
      <c r="AQ442" s="84" t="s">
        <v>4816</v>
      </c>
      <c r="AR442" s="71" t="s">
        <v>4817</v>
      </c>
      <c r="AS442" s="71" t="s">
        <v>4818</v>
      </c>
      <c r="AT442" s="71">
        <v>22.035</v>
      </c>
      <c r="AU442" s="89"/>
      <c r="AV442" s="162"/>
      <c r="AW442" s="81"/>
    </row>
    <row r="443" ht="15.75" customHeight="1">
      <c r="A443" s="87" t="s">
        <v>2580</v>
      </c>
      <c r="B443" s="61" t="s">
        <v>4796</v>
      </c>
      <c r="C443" s="57" t="s">
        <v>4167</v>
      </c>
      <c r="D443" s="74">
        <v>50.63062</v>
      </c>
      <c r="E443" s="74">
        <v>36.121997</v>
      </c>
      <c r="F443" s="59">
        <v>1.0</v>
      </c>
      <c r="G443" s="84" t="s">
        <v>4819</v>
      </c>
      <c r="H443" s="61" t="s">
        <v>66</v>
      </c>
      <c r="I443" s="75"/>
      <c r="J443" s="63" t="s">
        <v>2814</v>
      </c>
      <c r="K443" s="88" t="s">
        <v>4820</v>
      </c>
      <c r="L443" s="110" t="s">
        <v>79</v>
      </c>
      <c r="M443" s="92" t="s">
        <v>547</v>
      </c>
      <c r="N443" s="92" t="s">
        <v>3297</v>
      </c>
      <c r="O443" s="111"/>
      <c r="P443" s="67" t="str">
        <f t="shared" si="1"/>
        <v>50.63062, 36.121997</v>
      </c>
      <c r="Q443" s="67" t="str">
        <f t="shared" si="2"/>
        <v>50.630245, 36.1217</v>
      </c>
      <c r="R443" s="67">
        <f t="shared" si="3"/>
        <v>50.630245</v>
      </c>
      <c r="S443" s="67">
        <f t="shared" si="4"/>
        <v>36.1217</v>
      </c>
      <c r="T443" s="161"/>
      <c r="U443" s="69"/>
      <c r="V443" s="65" t="s">
        <v>4821</v>
      </c>
      <c r="W443" s="71" t="s">
        <v>74</v>
      </c>
      <c r="X443" s="72" t="s">
        <v>75</v>
      </c>
      <c r="Y443" s="73"/>
      <c r="Z443" s="73"/>
      <c r="AA443" s="73"/>
      <c r="AB443" s="73"/>
      <c r="AC443" s="73"/>
      <c r="AD443" s="73"/>
      <c r="AE443" s="73"/>
      <c r="AF443" s="73"/>
      <c r="AG443" s="73"/>
      <c r="AH443" s="73"/>
      <c r="AI443" s="73"/>
      <c r="AJ443" s="75"/>
      <c r="AK443" s="76" t="s">
        <v>798</v>
      </c>
      <c r="AL443" s="83" t="s">
        <v>4822</v>
      </c>
      <c r="AM443" s="71" t="s">
        <v>4823</v>
      </c>
      <c r="AN443" s="84" t="s">
        <v>4824</v>
      </c>
      <c r="AO443" s="71" t="s">
        <v>4825</v>
      </c>
      <c r="AP443" s="161" t="str">
        <f>IMAGE("https://bellingcat-archive.nyc3.cdn.digitaloceanspaces.com/Ukraine_Witness_Datasheet/Worksheet/youtube_dl_1495020849748971520/out2.jpg")</f>
        <v/>
      </c>
      <c r="AQ443" s="84" t="s">
        <v>4826</v>
      </c>
      <c r="AR443" s="71" t="s">
        <v>4827</v>
      </c>
      <c r="AS443" s="71" t="s">
        <v>4828</v>
      </c>
      <c r="AT443" s="71">
        <v>13.91</v>
      </c>
      <c r="AU443" s="89"/>
      <c r="AV443" s="162"/>
      <c r="AW443" s="81"/>
    </row>
    <row r="444" ht="15.75" customHeight="1">
      <c r="A444" s="87" t="s">
        <v>170</v>
      </c>
      <c r="B444" s="61" t="s">
        <v>4829</v>
      </c>
      <c r="C444" s="57" t="s">
        <v>4167</v>
      </c>
      <c r="D444" s="74">
        <v>52.826028</v>
      </c>
      <c r="E444" s="74">
        <v>35.871287</v>
      </c>
      <c r="F444" s="59">
        <v>1.0</v>
      </c>
      <c r="G444" s="84" t="s">
        <v>4830</v>
      </c>
      <c r="H444" s="61" t="s">
        <v>66</v>
      </c>
      <c r="I444" s="75"/>
      <c r="J444" s="63" t="s">
        <v>2814</v>
      </c>
      <c r="K444" s="88" t="s">
        <v>4831</v>
      </c>
      <c r="L444" s="110" t="s">
        <v>79</v>
      </c>
      <c r="M444" s="92" t="s">
        <v>2660</v>
      </c>
      <c r="N444" s="111"/>
      <c r="O444" s="92" t="s">
        <v>4245</v>
      </c>
      <c r="P444" s="67" t="str">
        <f t="shared" si="1"/>
        <v>52.826028, 35.871287</v>
      </c>
      <c r="Q444" s="67" t="str">
        <f t="shared" si="2"/>
        <v>52.825944, 35.871988</v>
      </c>
      <c r="R444" s="67">
        <f t="shared" si="3"/>
        <v>52.825944</v>
      </c>
      <c r="S444" s="67">
        <f t="shared" si="4"/>
        <v>35.871988</v>
      </c>
      <c r="T444" s="161"/>
      <c r="U444" s="69"/>
      <c r="V444" s="65" t="s">
        <v>4832</v>
      </c>
      <c r="W444" s="71" t="s">
        <v>74</v>
      </c>
      <c r="X444" s="72" t="s">
        <v>75</v>
      </c>
      <c r="Y444" s="73"/>
      <c r="Z444" s="73"/>
      <c r="AA444" s="73"/>
      <c r="AB444" s="73"/>
      <c r="AC444" s="73"/>
      <c r="AD444" s="73"/>
      <c r="AE444" s="73"/>
      <c r="AF444" s="73"/>
      <c r="AG444" s="73"/>
      <c r="AH444" s="73"/>
      <c r="AI444" s="73"/>
      <c r="AJ444" s="75"/>
      <c r="AK444" s="76" t="s">
        <v>798</v>
      </c>
      <c r="AL444" s="83" t="s">
        <v>4833</v>
      </c>
      <c r="AM444" s="71" t="s">
        <v>4834</v>
      </c>
      <c r="AN444" s="84" t="s">
        <v>4835</v>
      </c>
      <c r="AO444" s="71" t="s">
        <v>4836</v>
      </c>
      <c r="AP444" s="161" t="str">
        <f>IMAGE("https://bellingcat-archive.nyc3.cdn.digitaloceanspaces.com/Ukraine_Witness_Datasheet/Worksheet/youtube_dl_1494985842535849984/out2.jpg")</f>
        <v/>
      </c>
      <c r="AQ444" s="84" t="s">
        <v>4837</v>
      </c>
      <c r="AR444" s="71" t="s">
        <v>543</v>
      </c>
      <c r="AS444" s="71" t="s">
        <v>4838</v>
      </c>
      <c r="AT444" s="71">
        <v>15.3</v>
      </c>
      <c r="AU444" s="89"/>
      <c r="AV444" s="162"/>
      <c r="AW444" s="81"/>
    </row>
    <row r="445" ht="15.75" customHeight="1">
      <c r="A445" s="87" t="s">
        <v>63</v>
      </c>
      <c r="B445" s="73"/>
      <c r="C445" s="57" t="s">
        <v>4417</v>
      </c>
      <c r="D445" s="74">
        <v>50.504112</v>
      </c>
      <c r="E445" s="74">
        <v>36.270381</v>
      </c>
      <c r="F445" s="59">
        <v>1.0</v>
      </c>
      <c r="G445" s="84" t="s">
        <v>4839</v>
      </c>
      <c r="H445" s="61" t="s">
        <v>66</v>
      </c>
      <c r="I445" s="75"/>
      <c r="J445" s="63" t="s">
        <v>4840</v>
      </c>
      <c r="K445" s="88" t="s">
        <v>4841</v>
      </c>
      <c r="L445" s="110" t="s">
        <v>79</v>
      </c>
      <c r="M445" s="92" t="s">
        <v>547</v>
      </c>
      <c r="N445" s="111"/>
      <c r="O445" s="92" t="s">
        <v>4842</v>
      </c>
      <c r="P445" s="67" t="str">
        <f t="shared" si="1"/>
        <v>50.504112, 36.270381</v>
      </c>
      <c r="Q445" s="67" t="str">
        <f t="shared" si="2"/>
        <v>50.503478, 36.270294</v>
      </c>
      <c r="R445" s="67">
        <f t="shared" si="3"/>
        <v>50.503478</v>
      </c>
      <c r="S445" s="67">
        <f t="shared" si="4"/>
        <v>36.270294</v>
      </c>
      <c r="T445" s="161"/>
      <c r="U445" s="69"/>
      <c r="V445" s="65" t="s">
        <v>4843</v>
      </c>
      <c r="W445" s="71" t="s">
        <v>74</v>
      </c>
      <c r="X445" s="72" t="s">
        <v>75</v>
      </c>
      <c r="Y445" s="73"/>
      <c r="Z445" s="73"/>
      <c r="AA445" s="73"/>
      <c r="AB445" s="73"/>
      <c r="AC445" s="73"/>
      <c r="AD445" s="73"/>
      <c r="AE445" s="73"/>
      <c r="AF445" s="73"/>
      <c r="AG445" s="73"/>
      <c r="AH445" s="73"/>
      <c r="AI445" s="73"/>
      <c r="AJ445" s="75"/>
      <c r="AK445" s="76" t="s">
        <v>798</v>
      </c>
      <c r="AL445" s="83" t="s">
        <v>4844</v>
      </c>
      <c r="AM445" s="71" t="s">
        <v>4845</v>
      </c>
      <c r="AN445" s="84" t="s">
        <v>4846</v>
      </c>
      <c r="AO445" s="71" t="s">
        <v>4847</v>
      </c>
      <c r="AP445" s="161" t="str">
        <f>IMAGE("https://bellingcat-archive.nyc3.cdn.digitaloceanspaces.com/Ukraine_Witness_Datasheet/Worksheet/youtube_dl_1495471310159421443/out2.jpg")</f>
        <v/>
      </c>
      <c r="AQ445" s="84" t="s">
        <v>4848</v>
      </c>
      <c r="AR445" s="71" t="s">
        <v>1794</v>
      </c>
      <c r="AS445" s="71" t="s">
        <v>4849</v>
      </c>
      <c r="AT445" s="71">
        <v>43.944</v>
      </c>
      <c r="AU445" s="89"/>
      <c r="AV445" s="162"/>
      <c r="AW445" s="81"/>
    </row>
    <row r="446" ht="15.75" customHeight="1">
      <c r="A446" s="95" t="s">
        <v>63</v>
      </c>
      <c r="B446" s="73"/>
      <c r="C446" s="57" t="s">
        <v>4694</v>
      </c>
      <c r="D446" s="92">
        <v>51.843593</v>
      </c>
      <c r="E446" s="92">
        <v>29.220673</v>
      </c>
      <c r="F446" s="59">
        <v>1.0</v>
      </c>
      <c r="G446" s="84" t="s">
        <v>4850</v>
      </c>
      <c r="H446" s="61" t="s">
        <v>66</v>
      </c>
      <c r="I446" s="75"/>
      <c r="J446" s="63" t="s">
        <v>4851</v>
      </c>
      <c r="K446" s="69"/>
      <c r="L446" s="110" t="s">
        <v>69</v>
      </c>
      <c r="M446" s="92" t="s">
        <v>70</v>
      </c>
      <c r="N446" s="92" t="s">
        <v>758</v>
      </c>
      <c r="O446" s="92" t="s">
        <v>4852</v>
      </c>
      <c r="P446" s="67" t="str">
        <f t="shared" si="1"/>
        <v>51.843593, 29.220673</v>
      </c>
      <c r="Q446" s="67" t="str">
        <f t="shared" si="2"/>
        <v>51.843361, 29.221581</v>
      </c>
      <c r="R446" s="67">
        <f t="shared" si="3"/>
        <v>51.843361</v>
      </c>
      <c r="S446" s="67">
        <f t="shared" si="4"/>
        <v>29.221581</v>
      </c>
      <c r="T446" s="161"/>
      <c r="U446" s="69"/>
      <c r="V446" s="65" t="s">
        <v>4853</v>
      </c>
      <c r="W446" s="71" t="s">
        <v>74</v>
      </c>
      <c r="X446" s="72" t="s">
        <v>75</v>
      </c>
      <c r="Y446" s="73"/>
      <c r="Z446" s="73"/>
      <c r="AA446" s="73"/>
      <c r="AB446" s="73"/>
      <c r="AC446" s="73"/>
      <c r="AD446" s="73"/>
      <c r="AE446" s="73"/>
      <c r="AF446" s="73"/>
      <c r="AG446" s="73"/>
      <c r="AH446" s="73"/>
      <c r="AI446" s="73"/>
      <c r="AJ446" s="75"/>
      <c r="AK446" s="76" t="s">
        <v>798</v>
      </c>
      <c r="AL446" s="83" t="s">
        <v>4854</v>
      </c>
      <c r="AM446" s="71" t="s">
        <v>4855</v>
      </c>
      <c r="AN446" s="84" t="s">
        <v>4856</v>
      </c>
      <c r="AO446" s="71" t="s">
        <v>4857</v>
      </c>
      <c r="AP446" s="161" t="str">
        <f>IMAGE("https://bellingcat-archive.nyc3.cdn.digitaloceanspaces.com/Ukraine_Witness_Datasheet/Worksheet/youtube_dl_1495731393854427137/out3.jpg")</f>
        <v/>
      </c>
      <c r="AQ446" s="84" t="s">
        <v>4858</v>
      </c>
      <c r="AR446" s="71" t="s">
        <v>4859</v>
      </c>
      <c r="AS446" s="71" t="s">
        <v>4860</v>
      </c>
      <c r="AT446" s="71">
        <v>113.766</v>
      </c>
      <c r="AU446" s="89"/>
      <c r="AV446" s="162"/>
      <c r="AW446" s="81"/>
    </row>
    <row r="447" ht="15.75" customHeight="1">
      <c r="A447" s="95" t="s">
        <v>63</v>
      </c>
      <c r="B447" s="73"/>
      <c r="C447" s="57" t="s">
        <v>4417</v>
      </c>
      <c r="D447" s="74">
        <v>51.788271</v>
      </c>
      <c r="E447" s="74">
        <v>36.419269</v>
      </c>
      <c r="F447" s="59">
        <v>1.0</v>
      </c>
      <c r="G447" s="84" t="s">
        <v>4861</v>
      </c>
      <c r="H447" s="61" t="s">
        <v>66</v>
      </c>
      <c r="I447" s="75"/>
      <c r="J447" s="63" t="s">
        <v>4862</v>
      </c>
      <c r="K447" s="69"/>
      <c r="L447" s="110" t="s">
        <v>79</v>
      </c>
      <c r="M447" s="92" t="s">
        <v>946</v>
      </c>
      <c r="N447" s="111"/>
      <c r="O447" s="92" t="s">
        <v>2039</v>
      </c>
      <c r="P447" s="67" t="str">
        <f t="shared" si="1"/>
        <v>51.788271, 36.419269</v>
      </c>
      <c r="Q447" s="67" t="str">
        <f t="shared" si="2"/>
        <v>51.78797, 36.418226</v>
      </c>
      <c r="R447" s="67">
        <f t="shared" si="3"/>
        <v>51.78797</v>
      </c>
      <c r="S447" s="67">
        <f t="shared" si="4"/>
        <v>36.418226</v>
      </c>
      <c r="T447" s="161"/>
      <c r="U447" s="69"/>
      <c r="V447" s="65" t="s">
        <v>4863</v>
      </c>
      <c r="W447" s="71" t="s">
        <v>74</v>
      </c>
      <c r="X447" s="72" t="s">
        <v>75</v>
      </c>
      <c r="Y447" s="73"/>
      <c r="Z447" s="73"/>
      <c r="AA447" s="73"/>
      <c r="AB447" s="73"/>
      <c r="AC447" s="73"/>
      <c r="AD447" s="73"/>
      <c r="AE447" s="73"/>
      <c r="AF447" s="73"/>
      <c r="AG447" s="73"/>
      <c r="AH447" s="73"/>
      <c r="AI447" s="73"/>
      <c r="AJ447" s="75"/>
      <c r="AK447" s="76" t="s">
        <v>798</v>
      </c>
      <c r="AL447" s="83" t="s">
        <v>4864</v>
      </c>
      <c r="AM447" s="71" t="s">
        <v>2007</v>
      </c>
      <c r="AN447" s="84" t="s">
        <v>4865</v>
      </c>
      <c r="AO447" s="71" t="s">
        <v>4866</v>
      </c>
      <c r="AP447" s="161" t="str">
        <f>IMAGE("https://bellingcat-archive.nyc3.cdn.digitaloceanspaces.com/Ukraine_Witness_Datasheet/Worksheet/youtube_dl_1495724090019229699/out2.jpg")</f>
        <v/>
      </c>
      <c r="AQ447" s="84" t="s">
        <v>4867</v>
      </c>
      <c r="AR447" s="71" t="s">
        <v>4868</v>
      </c>
      <c r="AS447" s="71" t="s">
        <v>4869</v>
      </c>
      <c r="AT447" s="71">
        <v>27.4</v>
      </c>
      <c r="AU447" s="89"/>
      <c r="AV447" s="162"/>
      <c r="AW447" s="81"/>
    </row>
    <row r="448" ht="15.75" customHeight="1">
      <c r="A448" s="87" t="s">
        <v>63</v>
      </c>
      <c r="B448" s="73"/>
      <c r="C448" s="57" t="s">
        <v>4694</v>
      </c>
      <c r="D448" s="74">
        <v>47.404155</v>
      </c>
      <c r="E448" s="74">
        <v>38.918944</v>
      </c>
      <c r="F448" s="59">
        <v>1.0</v>
      </c>
      <c r="G448" s="84" t="s">
        <v>4870</v>
      </c>
      <c r="H448" s="61" t="s">
        <v>66</v>
      </c>
      <c r="I448" s="75"/>
      <c r="J448" s="63" t="s">
        <v>4871</v>
      </c>
      <c r="K448" s="88" t="s">
        <v>4872</v>
      </c>
      <c r="L448" s="110" t="s">
        <v>79</v>
      </c>
      <c r="M448" s="92" t="s">
        <v>349</v>
      </c>
      <c r="N448" s="111"/>
      <c r="O448" s="92" t="s">
        <v>1232</v>
      </c>
      <c r="P448" s="67" t="str">
        <f t="shared" si="1"/>
        <v>47.404155, 38.918944</v>
      </c>
      <c r="Q448" s="67" t="str">
        <f t="shared" si="2"/>
        <v>47.403819, 38.91799</v>
      </c>
      <c r="R448" s="67">
        <f t="shared" si="3"/>
        <v>47.403819</v>
      </c>
      <c r="S448" s="67">
        <f t="shared" si="4"/>
        <v>38.91799</v>
      </c>
      <c r="T448" s="161"/>
      <c r="U448" s="69"/>
      <c r="V448" s="65" t="s">
        <v>4873</v>
      </c>
      <c r="W448" s="71" t="s">
        <v>74</v>
      </c>
      <c r="X448" s="72" t="s">
        <v>75</v>
      </c>
      <c r="Y448" s="73"/>
      <c r="Z448" s="73"/>
      <c r="AA448" s="73"/>
      <c r="AB448" s="73"/>
      <c r="AC448" s="73"/>
      <c r="AD448" s="73"/>
      <c r="AE448" s="73"/>
      <c r="AF448" s="73"/>
      <c r="AG448" s="73"/>
      <c r="AH448" s="73"/>
      <c r="AI448" s="73"/>
      <c r="AJ448" s="75"/>
      <c r="AK448" s="76" t="s">
        <v>798</v>
      </c>
      <c r="AL448" s="83" t="s">
        <v>4874</v>
      </c>
      <c r="AM448" s="71" t="s">
        <v>1996</v>
      </c>
      <c r="AN448" s="84" t="s">
        <v>4875</v>
      </c>
      <c r="AO448" s="71" t="s">
        <v>4876</v>
      </c>
      <c r="AP448" s="161" t="str">
        <f>IMAGE("https://bellingcat-archive.nyc3.cdn.digitaloceanspaces.com/Ukraine_Witness_Datasheet/Worksheet/youtube_dl_1495235434875609088/out2.jpg")</f>
        <v/>
      </c>
      <c r="AQ448" s="84" t="s">
        <v>4877</v>
      </c>
      <c r="AR448" s="71" t="s">
        <v>4878</v>
      </c>
      <c r="AS448" s="71" t="s">
        <v>4879</v>
      </c>
      <c r="AT448" s="71">
        <v>32.182</v>
      </c>
      <c r="AU448" s="89"/>
      <c r="AV448" s="162"/>
      <c r="AW448" s="81"/>
    </row>
    <row r="449" ht="15.75" customHeight="1">
      <c r="A449" s="87" t="s">
        <v>63</v>
      </c>
      <c r="B449" s="73"/>
      <c r="C449" s="57" t="s">
        <v>4694</v>
      </c>
      <c r="D449" s="74">
        <v>52.548883</v>
      </c>
      <c r="E449" s="104">
        <v>32.961264</v>
      </c>
      <c r="F449" s="59">
        <v>1.0</v>
      </c>
      <c r="G449" s="84" t="s">
        <v>4880</v>
      </c>
      <c r="H449" s="61" t="s">
        <v>66</v>
      </c>
      <c r="I449" s="75"/>
      <c r="J449" s="63" t="s">
        <v>4881</v>
      </c>
      <c r="K449" s="88" t="s">
        <v>4882</v>
      </c>
      <c r="L449" s="110" t="s">
        <v>79</v>
      </c>
      <c r="M449" s="92" t="s">
        <v>1416</v>
      </c>
      <c r="N449" s="92" t="s">
        <v>4883</v>
      </c>
      <c r="O449" s="92" t="s">
        <v>4884</v>
      </c>
      <c r="P449" s="67" t="str">
        <f t="shared" si="1"/>
        <v>52.548883, 32.961264</v>
      </c>
      <c r="Q449" s="67" t="str">
        <f t="shared" si="2"/>
        <v>52.548623, 32.962392</v>
      </c>
      <c r="R449" s="67">
        <f t="shared" si="3"/>
        <v>52.548623</v>
      </c>
      <c r="S449" s="67">
        <f t="shared" si="4"/>
        <v>32.962392</v>
      </c>
      <c r="T449" s="161"/>
      <c r="U449" s="69"/>
      <c r="V449" s="65" t="s">
        <v>4885</v>
      </c>
      <c r="W449" s="71" t="s">
        <v>74</v>
      </c>
      <c r="X449" s="72" t="s">
        <v>75</v>
      </c>
      <c r="Y449" s="73"/>
      <c r="Z449" s="73"/>
      <c r="AA449" s="73"/>
      <c r="AB449" s="73"/>
      <c r="AC449" s="73"/>
      <c r="AD449" s="73"/>
      <c r="AE449" s="73"/>
      <c r="AF449" s="73"/>
      <c r="AG449" s="73"/>
      <c r="AH449" s="73"/>
      <c r="AI449" s="73"/>
      <c r="AJ449" s="75"/>
      <c r="AK449" s="76" t="s">
        <v>798</v>
      </c>
      <c r="AL449" s="83" t="s">
        <v>4886</v>
      </c>
      <c r="AM449" s="71" t="s">
        <v>1985</v>
      </c>
      <c r="AN449" s="84" t="s">
        <v>4887</v>
      </c>
      <c r="AO449" s="71" t="s">
        <v>4888</v>
      </c>
      <c r="AP449" s="161" t="str">
        <f>IMAGE("https://bellingcat-archive.nyc3.cdn.digitaloceanspaces.com/Ukraine_Witness_Datasheet/Worksheet/youtube_dl_1495764242846392332/out2.jpg")</f>
        <v/>
      </c>
      <c r="AQ449" s="84" t="s">
        <v>4889</v>
      </c>
      <c r="AR449" s="71" t="s">
        <v>4890</v>
      </c>
      <c r="AS449" s="71" t="s">
        <v>4891</v>
      </c>
      <c r="AT449" s="71">
        <v>48.54</v>
      </c>
      <c r="AU449" s="89"/>
      <c r="AV449" s="162"/>
      <c r="AW449" s="81"/>
    </row>
    <row r="450" ht="15.75" customHeight="1">
      <c r="A450" s="95" t="s">
        <v>63</v>
      </c>
      <c r="B450" s="73"/>
      <c r="C450" s="57" t="s">
        <v>4694</v>
      </c>
      <c r="D450" s="92">
        <v>50.496496</v>
      </c>
      <c r="E450" s="92">
        <v>36.389983</v>
      </c>
      <c r="F450" s="59">
        <v>1.0</v>
      </c>
      <c r="G450" s="84" t="s">
        <v>4892</v>
      </c>
      <c r="H450" s="61" t="s">
        <v>66</v>
      </c>
      <c r="I450" s="75"/>
      <c r="J450" s="63" t="s">
        <v>4893</v>
      </c>
      <c r="K450" s="69"/>
      <c r="L450" s="110" t="s">
        <v>79</v>
      </c>
      <c r="M450" s="92" t="s">
        <v>547</v>
      </c>
      <c r="N450" s="111"/>
      <c r="O450" s="92" t="s">
        <v>1259</v>
      </c>
      <c r="P450" s="67" t="str">
        <f t="shared" si="1"/>
        <v>50.496496, 36.389983</v>
      </c>
      <c r="Q450" s="67" t="str">
        <f t="shared" si="2"/>
        <v>50.495917, 36.389253</v>
      </c>
      <c r="R450" s="67">
        <f t="shared" si="3"/>
        <v>50.495917</v>
      </c>
      <c r="S450" s="67">
        <f t="shared" si="4"/>
        <v>36.389253</v>
      </c>
      <c r="T450" s="161"/>
      <c r="U450" s="69"/>
      <c r="V450" s="65" t="s">
        <v>4894</v>
      </c>
      <c r="W450" s="71" t="s">
        <v>74</v>
      </c>
      <c r="X450" s="72" t="s">
        <v>75</v>
      </c>
      <c r="Y450" s="73"/>
      <c r="Z450" s="73"/>
      <c r="AA450" s="73"/>
      <c r="AB450" s="73"/>
      <c r="AC450" s="73"/>
      <c r="AD450" s="73"/>
      <c r="AE450" s="73"/>
      <c r="AF450" s="73"/>
      <c r="AG450" s="73"/>
      <c r="AH450" s="73"/>
      <c r="AI450" s="73"/>
      <c r="AJ450" s="75"/>
      <c r="AK450" s="76" t="s">
        <v>798</v>
      </c>
      <c r="AL450" s="83" t="s">
        <v>4895</v>
      </c>
      <c r="AM450" s="71" t="s">
        <v>4896</v>
      </c>
      <c r="AN450" s="84" t="s">
        <v>4897</v>
      </c>
      <c r="AO450" s="71" t="s">
        <v>4898</v>
      </c>
      <c r="AP450" s="161" t="str">
        <f>IMAGE("https://bellingcat-archive.nyc3.cdn.digitaloceanspaces.com/Ukraine_Witness_Datasheet/Worksheet/youtube_dl_1495715028900720649/out2.jpg")</f>
        <v/>
      </c>
      <c r="AQ450" s="84" t="s">
        <v>4899</v>
      </c>
      <c r="AR450" s="71" t="s">
        <v>4502</v>
      </c>
      <c r="AS450" s="71" t="s">
        <v>4900</v>
      </c>
      <c r="AT450" s="71">
        <v>25.704</v>
      </c>
      <c r="AU450" s="89"/>
      <c r="AV450" s="162"/>
      <c r="AW450" s="81"/>
    </row>
    <row r="451" ht="15.75" customHeight="1">
      <c r="A451" s="87" t="s">
        <v>2580</v>
      </c>
      <c r="B451" s="73"/>
      <c r="C451" s="57" t="s">
        <v>4901</v>
      </c>
      <c r="D451" s="123">
        <v>50.678969</v>
      </c>
      <c r="E451" s="123">
        <v>36.245588</v>
      </c>
      <c r="F451" s="59">
        <v>1.0</v>
      </c>
      <c r="G451" s="84" t="s">
        <v>4902</v>
      </c>
      <c r="H451" s="61" t="s">
        <v>66</v>
      </c>
      <c r="I451" s="75"/>
      <c r="J451" s="63" t="s">
        <v>2814</v>
      </c>
      <c r="K451" s="88" t="s">
        <v>4903</v>
      </c>
      <c r="L451" s="110" t="s">
        <v>79</v>
      </c>
      <c r="M451" s="92" t="s">
        <v>547</v>
      </c>
      <c r="N451" s="111"/>
      <c r="O451" s="92" t="s">
        <v>4904</v>
      </c>
      <c r="P451" s="67" t="str">
        <f t="shared" si="1"/>
        <v>50.678969, 36.245588</v>
      </c>
      <c r="Q451" s="67" t="str">
        <f t="shared" si="2"/>
        <v>50.678719, 36.245161</v>
      </c>
      <c r="R451" s="67">
        <f t="shared" si="3"/>
        <v>50.678719</v>
      </c>
      <c r="S451" s="67">
        <f t="shared" si="4"/>
        <v>36.245161</v>
      </c>
      <c r="T451" s="161"/>
      <c r="U451" s="69"/>
      <c r="V451" s="65" t="s">
        <v>4905</v>
      </c>
      <c r="W451" s="71" t="s">
        <v>74</v>
      </c>
      <c r="X451" s="72" t="s">
        <v>75</v>
      </c>
      <c r="Y451" s="73"/>
      <c r="Z451" s="73"/>
      <c r="AA451" s="73"/>
      <c r="AB451" s="73"/>
      <c r="AC451" s="73"/>
      <c r="AD451" s="73"/>
      <c r="AE451" s="73"/>
      <c r="AF451" s="73"/>
      <c r="AG451" s="73"/>
      <c r="AH451" s="73"/>
      <c r="AI451" s="73"/>
      <c r="AJ451" s="75"/>
      <c r="AK451" s="76" t="s">
        <v>798</v>
      </c>
      <c r="AL451" s="83" t="s">
        <v>4906</v>
      </c>
      <c r="AM451" s="71" t="s">
        <v>4907</v>
      </c>
      <c r="AN451" s="84" t="s">
        <v>4908</v>
      </c>
      <c r="AO451" s="71" t="s">
        <v>4909</v>
      </c>
      <c r="AP451" s="161" t="str">
        <f>IMAGE("https://bellingcat-archive.nyc3.cdn.digitaloceanspaces.com/Ukraine_Witness_Datasheet/Worksheet/youtube_dl_1495860047691329537/out2.jpg")</f>
        <v/>
      </c>
      <c r="AQ451" s="84" t="s">
        <v>4910</v>
      </c>
      <c r="AR451" s="71" t="s">
        <v>4911</v>
      </c>
      <c r="AS451" s="71" t="s">
        <v>4912</v>
      </c>
      <c r="AT451" s="71">
        <v>34.8</v>
      </c>
      <c r="AU451" s="89"/>
      <c r="AV451" s="162"/>
      <c r="AW451" s="81"/>
    </row>
    <row r="452" ht="15.75" customHeight="1">
      <c r="A452" s="87" t="s">
        <v>2580</v>
      </c>
      <c r="B452" s="73"/>
      <c r="C452" s="57" t="s">
        <v>4694</v>
      </c>
      <c r="D452" s="187">
        <v>50.574638</v>
      </c>
      <c r="E452" s="123">
        <v>35.943149</v>
      </c>
      <c r="F452" s="59">
        <v>1.0</v>
      </c>
      <c r="G452" s="84" t="s">
        <v>4913</v>
      </c>
      <c r="H452" s="61" t="s">
        <v>66</v>
      </c>
      <c r="I452" s="75"/>
      <c r="J452" s="63" t="s">
        <v>4265</v>
      </c>
      <c r="K452" s="88" t="s">
        <v>4914</v>
      </c>
      <c r="L452" s="110" t="s">
        <v>79</v>
      </c>
      <c r="M452" s="92" t="s">
        <v>547</v>
      </c>
      <c r="N452" s="92" t="s">
        <v>4915</v>
      </c>
      <c r="O452" s="111"/>
      <c r="P452" s="67" t="str">
        <f t="shared" si="1"/>
        <v>50.574638, 35.943149</v>
      </c>
      <c r="Q452" s="67" t="str">
        <f t="shared" si="2"/>
        <v>50.574251, 35.943484</v>
      </c>
      <c r="R452" s="67">
        <f t="shared" si="3"/>
        <v>50.574251</v>
      </c>
      <c r="S452" s="67">
        <f t="shared" si="4"/>
        <v>35.943484</v>
      </c>
      <c r="T452" s="161"/>
      <c r="U452" s="69"/>
      <c r="V452" s="65" t="s">
        <v>4916</v>
      </c>
      <c r="W452" s="71" t="s">
        <v>74</v>
      </c>
      <c r="X452" s="72" t="s">
        <v>75</v>
      </c>
      <c r="Y452" s="73"/>
      <c r="Z452" s="73"/>
      <c r="AA452" s="73"/>
      <c r="AB452" s="73"/>
      <c r="AC452" s="73"/>
      <c r="AD452" s="73"/>
      <c r="AE452" s="73"/>
      <c r="AF452" s="73"/>
      <c r="AG452" s="73"/>
      <c r="AH452" s="73"/>
      <c r="AI452" s="73"/>
      <c r="AJ452" s="75"/>
      <c r="AK452" s="76" t="s">
        <v>798</v>
      </c>
      <c r="AL452" s="83" t="s">
        <v>4917</v>
      </c>
      <c r="AM452" s="71" t="s">
        <v>4918</v>
      </c>
      <c r="AN452" s="84" t="s">
        <v>4919</v>
      </c>
      <c r="AO452" s="71" t="s">
        <v>4920</v>
      </c>
      <c r="AP452" s="161" t="str">
        <f>IMAGE("https://bellingcat-archive.nyc3.cdn.digitaloceanspaces.com/Ukraine_Witness_Datasheet/Worksheet/youtube_dl_1495845829147561989/out5.jpg")</f>
        <v/>
      </c>
      <c r="AQ452" s="84" t="s">
        <v>4921</v>
      </c>
      <c r="AR452" s="71" t="s">
        <v>1794</v>
      </c>
      <c r="AS452" s="71" t="s">
        <v>4922</v>
      </c>
      <c r="AT452" s="71">
        <v>140.0</v>
      </c>
      <c r="AU452" s="89"/>
      <c r="AV452" s="162"/>
      <c r="AW452" s="81"/>
    </row>
    <row r="453" ht="15.75" customHeight="1">
      <c r="A453" s="87" t="s">
        <v>2580</v>
      </c>
      <c r="B453" s="73"/>
      <c r="C453" s="57" t="s">
        <v>4694</v>
      </c>
      <c r="D453" s="123">
        <v>45.4338327</v>
      </c>
      <c r="E453" s="123">
        <v>40.5854641</v>
      </c>
      <c r="F453" s="59">
        <v>1.0</v>
      </c>
      <c r="G453" s="84" t="s">
        <v>4923</v>
      </c>
      <c r="H453" s="61" t="s">
        <v>66</v>
      </c>
      <c r="I453" s="75"/>
      <c r="J453" s="63" t="s">
        <v>4924</v>
      </c>
      <c r="K453" s="88" t="s">
        <v>4925</v>
      </c>
      <c r="L453" s="110" t="s">
        <v>79</v>
      </c>
      <c r="M453" s="92" t="s">
        <v>1819</v>
      </c>
      <c r="N453" s="111"/>
      <c r="O453" s="92" t="s">
        <v>4926</v>
      </c>
      <c r="P453" s="67" t="str">
        <f t="shared" si="1"/>
        <v>45.4338327, 40.5854641</v>
      </c>
      <c r="Q453" s="67" t="str">
        <f t="shared" si="2"/>
        <v>45.433079, 40.585465</v>
      </c>
      <c r="R453" s="67">
        <f t="shared" si="3"/>
        <v>45.433079</v>
      </c>
      <c r="S453" s="67">
        <f t="shared" si="4"/>
        <v>40.585465</v>
      </c>
      <c r="T453" s="161"/>
      <c r="U453" s="69"/>
      <c r="V453" s="65" t="s">
        <v>4927</v>
      </c>
      <c r="W453" s="71" t="s">
        <v>74</v>
      </c>
      <c r="X453" s="72" t="s">
        <v>75</v>
      </c>
      <c r="Y453" s="73"/>
      <c r="Z453" s="73"/>
      <c r="AA453" s="73"/>
      <c r="AB453" s="73"/>
      <c r="AC453" s="73"/>
      <c r="AD453" s="73"/>
      <c r="AE453" s="73"/>
      <c r="AF453" s="73"/>
      <c r="AG453" s="73"/>
      <c r="AH453" s="73"/>
      <c r="AI453" s="73"/>
      <c r="AJ453" s="75"/>
      <c r="AK453" s="76" t="s">
        <v>930</v>
      </c>
      <c r="AL453" s="83" t="s">
        <v>4928</v>
      </c>
      <c r="AM453" s="71" t="s">
        <v>4929</v>
      </c>
      <c r="AN453" s="84" t="s">
        <v>4930</v>
      </c>
      <c r="AO453" s="71" t="s">
        <v>4931</v>
      </c>
      <c r="AP453" s="161" t="str">
        <f>IMAGE("https://bellingcat-archive.nyc3.cdn.digitaloceanspaces.com/Ukraine_Witness_Datasheet/Worksheet/youtube_dl_1495816924801941517/out2.jpg")</f>
        <v/>
      </c>
      <c r="AQ453" s="84" t="s">
        <v>4932</v>
      </c>
      <c r="AR453" s="71" t="s">
        <v>4933</v>
      </c>
      <c r="AS453" s="71" t="s">
        <v>4934</v>
      </c>
      <c r="AT453" s="71">
        <v>7.867</v>
      </c>
      <c r="AU453" s="89"/>
      <c r="AV453" s="162"/>
      <c r="AW453" s="81"/>
    </row>
    <row r="454" ht="15.75" customHeight="1">
      <c r="A454" s="87" t="s">
        <v>2580</v>
      </c>
      <c r="B454" s="73"/>
      <c r="C454" s="57" t="s">
        <v>4694</v>
      </c>
      <c r="D454" s="74">
        <v>47.7824</v>
      </c>
      <c r="E454" s="74">
        <v>40.162225</v>
      </c>
      <c r="F454" s="59">
        <v>1.0</v>
      </c>
      <c r="G454" s="84" t="s">
        <v>4935</v>
      </c>
      <c r="H454" s="61" t="s">
        <v>66</v>
      </c>
      <c r="I454" s="75"/>
      <c r="J454" s="63" t="s">
        <v>4936</v>
      </c>
      <c r="K454" s="88" t="s">
        <v>4937</v>
      </c>
      <c r="L454" s="110" t="s">
        <v>79</v>
      </c>
      <c r="M454" s="92" t="s">
        <v>349</v>
      </c>
      <c r="N454" s="92" t="s">
        <v>4938</v>
      </c>
      <c r="O454" s="111"/>
      <c r="P454" s="67" t="str">
        <f t="shared" si="1"/>
        <v>47.7824, 40.162225</v>
      </c>
      <c r="Q454" s="67" t="str">
        <f t="shared" si="2"/>
        <v>47.781855, 40.162594</v>
      </c>
      <c r="R454" s="67">
        <f t="shared" si="3"/>
        <v>47.781855</v>
      </c>
      <c r="S454" s="67">
        <f t="shared" si="4"/>
        <v>40.162594</v>
      </c>
      <c r="T454" s="161"/>
      <c r="U454" s="69"/>
      <c r="V454" s="65" t="s">
        <v>4927</v>
      </c>
      <c r="W454" s="71" t="s">
        <v>74</v>
      </c>
      <c r="X454" s="72" t="s">
        <v>75</v>
      </c>
      <c r="Y454" s="73"/>
      <c r="Z454" s="73"/>
      <c r="AA454" s="73"/>
      <c r="AB454" s="73"/>
      <c r="AC454" s="73"/>
      <c r="AD454" s="73"/>
      <c r="AE454" s="73"/>
      <c r="AF454" s="73"/>
      <c r="AG454" s="73"/>
      <c r="AH454" s="73"/>
      <c r="AI454" s="73"/>
      <c r="AJ454" s="75"/>
      <c r="AK454" s="76" t="s">
        <v>798</v>
      </c>
      <c r="AL454" s="83" t="s">
        <v>4939</v>
      </c>
      <c r="AM454" s="71" t="s">
        <v>4940</v>
      </c>
      <c r="AN454" s="84" t="s">
        <v>4941</v>
      </c>
      <c r="AO454" s="71" t="s">
        <v>4942</v>
      </c>
      <c r="AP454" s="161" t="str">
        <f>IMAGE("https://bellingcat-archive.nyc3.cdn.digitaloceanspaces.com/Ukraine_Witness_Datasheet/Worksheet/youtube_dl_1495815793904398337/out2.jpg")</f>
        <v/>
      </c>
      <c r="AQ454" s="84" t="s">
        <v>4943</v>
      </c>
      <c r="AR454" s="71" t="s">
        <v>4944</v>
      </c>
      <c r="AS454" s="71" t="s">
        <v>4945</v>
      </c>
      <c r="AT454" s="71">
        <v>57.8</v>
      </c>
      <c r="AU454" s="89"/>
      <c r="AV454" s="162"/>
      <c r="AW454" s="81"/>
    </row>
    <row r="455" ht="15.75" customHeight="1">
      <c r="A455" s="87" t="s">
        <v>2580</v>
      </c>
      <c r="B455" s="73"/>
      <c r="C455" s="57" t="s">
        <v>4694</v>
      </c>
      <c r="D455" s="74">
        <v>44.98585</v>
      </c>
      <c r="E455" s="74">
        <v>39.115193</v>
      </c>
      <c r="F455" s="59">
        <v>1.0</v>
      </c>
      <c r="G455" s="84" t="s">
        <v>4946</v>
      </c>
      <c r="H455" s="61" t="s">
        <v>66</v>
      </c>
      <c r="I455" s="75"/>
      <c r="J455" s="63" t="s">
        <v>4936</v>
      </c>
      <c r="K455" s="88" t="s">
        <v>4947</v>
      </c>
      <c r="L455" s="110" t="s">
        <v>79</v>
      </c>
      <c r="M455" s="92" t="s">
        <v>1819</v>
      </c>
      <c r="N455" s="92" t="s">
        <v>1016</v>
      </c>
      <c r="O455" s="111"/>
      <c r="P455" s="67" t="str">
        <f t="shared" si="1"/>
        <v>44.98585, 39.115193</v>
      </c>
      <c r="Q455" s="67" t="str">
        <f t="shared" si="2"/>
        <v>44.985773, 39.116367</v>
      </c>
      <c r="R455" s="67">
        <f t="shared" si="3"/>
        <v>44.985773</v>
      </c>
      <c r="S455" s="67">
        <f t="shared" si="4"/>
        <v>39.116367</v>
      </c>
      <c r="T455" s="161"/>
      <c r="U455" s="69"/>
      <c r="V455" s="65" t="s">
        <v>4948</v>
      </c>
      <c r="W455" s="71" t="s">
        <v>74</v>
      </c>
      <c r="X455" s="72" t="s">
        <v>75</v>
      </c>
      <c r="Y455" s="73"/>
      <c r="Z455" s="73"/>
      <c r="AA455" s="73"/>
      <c r="AB455" s="73"/>
      <c r="AC455" s="73"/>
      <c r="AD455" s="73"/>
      <c r="AE455" s="73"/>
      <c r="AF455" s="73"/>
      <c r="AG455" s="73"/>
      <c r="AH455" s="73"/>
      <c r="AI455" s="73"/>
      <c r="AJ455" s="75"/>
      <c r="AK455" s="76" t="s">
        <v>798</v>
      </c>
      <c r="AL455" s="83" t="s">
        <v>4949</v>
      </c>
      <c r="AM455" s="71" t="s">
        <v>4950</v>
      </c>
      <c r="AN455" s="84" t="s">
        <v>4951</v>
      </c>
      <c r="AO455" s="71" t="s">
        <v>4952</v>
      </c>
      <c r="AP455" s="161" t="str">
        <f>IMAGE("https://bellingcat-archive.nyc3.cdn.digitaloceanspaces.com/Ukraine_Witness_Datasheet/Worksheet/youtube_dl_1495731452230656008/out2.jpg")</f>
        <v/>
      </c>
      <c r="AQ455" s="84" t="s">
        <v>4953</v>
      </c>
      <c r="AR455" s="71" t="s">
        <v>4954</v>
      </c>
      <c r="AS455" s="71" t="s">
        <v>4955</v>
      </c>
      <c r="AT455" s="71">
        <v>45.0</v>
      </c>
      <c r="AU455" s="89"/>
      <c r="AV455" s="162"/>
      <c r="AW455" s="81"/>
    </row>
    <row r="456" ht="15.75" customHeight="1">
      <c r="A456" s="87" t="s">
        <v>63</v>
      </c>
      <c r="B456" s="73"/>
      <c r="C456" s="57" t="s">
        <v>4694</v>
      </c>
      <c r="D456" s="74">
        <v>52.34975</v>
      </c>
      <c r="E456" s="74">
        <v>30.40468</v>
      </c>
      <c r="F456" s="59">
        <v>1.0</v>
      </c>
      <c r="G456" s="84" t="s">
        <v>4956</v>
      </c>
      <c r="H456" s="61" t="s">
        <v>66</v>
      </c>
      <c r="I456" s="75"/>
      <c r="J456" s="63" t="s">
        <v>4957</v>
      </c>
      <c r="K456" s="88" t="s">
        <v>4958</v>
      </c>
      <c r="L456" s="110" t="s">
        <v>69</v>
      </c>
      <c r="M456" s="92" t="s">
        <v>70</v>
      </c>
      <c r="N456" s="92" t="s">
        <v>71</v>
      </c>
      <c r="O456" s="92" t="s">
        <v>71</v>
      </c>
      <c r="P456" s="67" t="str">
        <f t="shared" si="1"/>
        <v>52.34975, 30.40468</v>
      </c>
      <c r="Q456" s="67" t="str">
        <f t="shared" si="2"/>
        <v>52.349152, 30.404369</v>
      </c>
      <c r="R456" s="67">
        <f t="shared" si="3"/>
        <v>52.349152</v>
      </c>
      <c r="S456" s="67">
        <f t="shared" si="4"/>
        <v>30.404369</v>
      </c>
      <c r="T456" s="161"/>
      <c r="U456" s="69"/>
      <c r="V456" s="65" t="s">
        <v>4959</v>
      </c>
      <c r="W456" s="71" t="s">
        <v>74</v>
      </c>
      <c r="X456" s="72" t="s">
        <v>75</v>
      </c>
      <c r="Y456" s="73"/>
      <c r="Z456" s="73"/>
      <c r="AA456" s="73"/>
      <c r="AB456" s="73"/>
      <c r="AC456" s="73"/>
      <c r="AD456" s="73"/>
      <c r="AE456" s="73"/>
      <c r="AF456" s="73"/>
      <c r="AG456" s="73"/>
      <c r="AH456" s="73"/>
      <c r="AI456" s="73"/>
      <c r="AJ456" s="75"/>
      <c r="AK456" s="76" t="s">
        <v>798</v>
      </c>
      <c r="AL456" s="83" t="s">
        <v>4960</v>
      </c>
      <c r="AM456" s="71" t="s">
        <v>4961</v>
      </c>
      <c r="AN456" s="84" t="s">
        <v>4962</v>
      </c>
      <c r="AO456" s="71" t="s">
        <v>4963</v>
      </c>
      <c r="AP456" s="161" t="str">
        <f>IMAGE("https://bellingcat-archive.nyc3.cdn.digitaloceanspaces.com/Ukraine_Witness_Datasheet/Worksheet/youtube_dl_1495808675235364868/out3.jpg")</f>
        <v/>
      </c>
      <c r="AQ456" s="84" t="s">
        <v>4964</v>
      </c>
      <c r="AR456" s="71" t="s">
        <v>4965</v>
      </c>
      <c r="AS456" s="71" t="s">
        <v>4966</v>
      </c>
      <c r="AT456" s="71">
        <v>70.966</v>
      </c>
      <c r="AU456" s="89"/>
      <c r="AV456" s="162"/>
      <c r="AW456" s="81"/>
    </row>
    <row r="457" ht="15.75" customHeight="1">
      <c r="A457" s="87" t="s">
        <v>63</v>
      </c>
      <c r="B457" s="73"/>
      <c r="C457" s="57" t="s">
        <v>4694</v>
      </c>
      <c r="D457" s="74">
        <v>50.45849</v>
      </c>
      <c r="E457" s="74">
        <v>35.654072</v>
      </c>
      <c r="F457" s="59">
        <v>1.0</v>
      </c>
      <c r="G457" s="84" t="s">
        <v>4967</v>
      </c>
      <c r="H457" s="61" t="s">
        <v>66</v>
      </c>
      <c r="I457" s="75"/>
      <c r="J457" s="63" t="s">
        <v>4968</v>
      </c>
      <c r="K457" s="88" t="s">
        <v>4969</v>
      </c>
      <c r="L457" s="110" t="s">
        <v>79</v>
      </c>
      <c r="M457" s="92" t="s">
        <v>547</v>
      </c>
      <c r="N457" s="92"/>
      <c r="O457" s="92" t="s">
        <v>4970</v>
      </c>
      <c r="P457" s="67" t="str">
        <f t="shared" si="1"/>
        <v>50.45849, 35.654072</v>
      </c>
      <c r="Q457" s="67" t="str">
        <f t="shared" si="2"/>
        <v>50.458216, 35.654623</v>
      </c>
      <c r="R457" s="67">
        <f t="shared" si="3"/>
        <v>50.458216</v>
      </c>
      <c r="S457" s="67">
        <f t="shared" si="4"/>
        <v>35.654623</v>
      </c>
      <c r="T457" s="161"/>
      <c r="U457" s="69"/>
      <c r="V457" s="65" t="s">
        <v>4971</v>
      </c>
      <c r="W457" s="71" t="s">
        <v>74</v>
      </c>
      <c r="X457" s="72" t="s">
        <v>75</v>
      </c>
      <c r="Y457" s="73"/>
      <c r="Z457" s="73"/>
      <c r="AA457" s="73"/>
      <c r="AB457" s="73"/>
      <c r="AC457" s="73"/>
      <c r="AD457" s="73"/>
      <c r="AE457" s="73"/>
      <c r="AF457" s="73"/>
      <c r="AG457" s="73"/>
      <c r="AH457" s="73"/>
      <c r="AI457" s="73"/>
      <c r="AJ457" s="75"/>
      <c r="AK457" s="76" t="s">
        <v>798</v>
      </c>
      <c r="AL457" s="83" t="s">
        <v>4972</v>
      </c>
      <c r="AM457" s="71" t="s">
        <v>4973</v>
      </c>
      <c r="AN457" s="84" t="s">
        <v>4974</v>
      </c>
      <c r="AO457" s="71" t="s">
        <v>4975</v>
      </c>
      <c r="AP457" s="161" t="str">
        <f>IMAGE("https://bellingcat-archive.nyc3.cdn.digitaloceanspaces.com/Ukraine_Witness_Datasheet/Worksheet/youtube_dl_1495858102964559873/out3.jpg")</f>
        <v/>
      </c>
      <c r="AQ457" s="84" t="s">
        <v>4976</v>
      </c>
      <c r="AR457" s="71" t="s">
        <v>4977</v>
      </c>
      <c r="AS457" s="71" t="s">
        <v>4978</v>
      </c>
      <c r="AT457" s="71">
        <v>97.037</v>
      </c>
      <c r="AU457" s="89"/>
      <c r="AV457" s="162"/>
      <c r="AW457" s="81"/>
    </row>
    <row r="458" ht="15.75" customHeight="1">
      <c r="A458" s="87" t="s">
        <v>63</v>
      </c>
      <c r="B458" s="73"/>
      <c r="C458" s="57" t="s">
        <v>4694</v>
      </c>
      <c r="D458" s="74">
        <v>45.635205</v>
      </c>
      <c r="E458" s="74">
        <v>38.936367</v>
      </c>
      <c r="F458" s="59">
        <v>1.0</v>
      </c>
      <c r="G458" s="84" t="s">
        <v>4979</v>
      </c>
      <c r="H458" s="61" t="s">
        <v>66</v>
      </c>
      <c r="I458" s="75"/>
      <c r="J458" s="63" t="s">
        <v>3316</v>
      </c>
      <c r="K458" s="88" t="s">
        <v>4980</v>
      </c>
      <c r="L458" s="110" t="s">
        <v>79</v>
      </c>
      <c r="M458" s="92" t="s">
        <v>1819</v>
      </c>
      <c r="N458" s="111"/>
      <c r="O458" s="92" t="s">
        <v>4981</v>
      </c>
      <c r="P458" s="67" t="str">
        <f t="shared" si="1"/>
        <v>45.635205, 38.936367</v>
      </c>
      <c r="Q458" s="67" t="str">
        <f t="shared" si="2"/>
        <v>45.635103, 38.935495</v>
      </c>
      <c r="R458" s="67">
        <f t="shared" si="3"/>
        <v>45.635103</v>
      </c>
      <c r="S458" s="67">
        <f t="shared" si="4"/>
        <v>38.935495</v>
      </c>
      <c r="T458" s="161"/>
      <c r="U458" s="69"/>
      <c r="V458" s="65" t="s">
        <v>4982</v>
      </c>
      <c r="W458" s="71" t="s">
        <v>74</v>
      </c>
      <c r="X458" s="72" t="s">
        <v>75</v>
      </c>
      <c r="Y458" s="73"/>
      <c r="Z458" s="73"/>
      <c r="AA458" s="73"/>
      <c r="AB458" s="73"/>
      <c r="AC458" s="73"/>
      <c r="AD458" s="73"/>
      <c r="AE458" s="73"/>
      <c r="AF458" s="73"/>
      <c r="AG458" s="73"/>
      <c r="AH458" s="73"/>
      <c r="AI458" s="73"/>
      <c r="AJ458" s="75"/>
      <c r="AK458" s="76" t="s">
        <v>798</v>
      </c>
      <c r="AL458" s="83" t="s">
        <v>4983</v>
      </c>
      <c r="AM458" s="71" t="s">
        <v>4984</v>
      </c>
      <c r="AN458" s="84" t="s">
        <v>4985</v>
      </c>
      <c r="AO458" s="71" t="s">
        <v>4986</v>
      </c>
      <c r="AP458" s="161" t="str">
        <f>IMAGE("https://bellingcat-archive.nyc3.cdn.digitaloceanspaces.com/Ukraine_Witness_Datasheet/Worksheet/youtube_dl_1495852505921732616/out2.jpg")</f>
        <v/>
      </c>
      <c r="AQ458" s="84" t="s">
        <v>4987</v>
      </c>
      <c r="AR458" s="71" t="s">
        <v>4988</v>
      </c>
      <c r="AS458" s="71" t="s">
        <v>4989</v>
      </c>
      <c r="AT458" s="71">
        <v>12.88</v>
      </c>
      <c r="AU458" s="89"/>
      <c r="AV458" s="162"/>
      <c r="AW458" s="81"/>
    </row>
    <row r="459" ht="15.75" customHeight="1">
      <c r="A459" s="87" t="s">
        <v>63</v>
      </c>
      <c r="B459" s="73"/>
      <c r="C459" s="57" t="s">
        <v>4694</v>
      </c>
      <c r="D459" s="74">
        <v>51.999719</v>
      </c>
      <c r="E459" s="74">
        <v>29.257309</v>
      </c>
      <c r="F459" s="59">
        <v>1.0</v>
      </c>
      <c r="G459" s="84" t="s">
        <v>4990</v>
      </c>
      <c r="H459" s="61" t="s">
        <v>66</v>
      </c>
      <c r="I459" s="75"/>
      <c r="J459" s="63" t="s">
        <v>4991</v>
      </c>
      <c r="K459" s="88" t="s">
        <v>4992</v>
      </c>
      <c r="L459" s="110" t="s">
        <v>69</v>
      </c>
      <c r="M459" s="92" t="s">
        <v>70</v>
      </c>
      <c r="N459" s="111"/>
      <c r="O459" s="92" t="s">
        <v>2709</v>
      </c>
      <c r="P459" s="67" t="str">
        <f t="shared" si="1"/>
        <v>51.999719, 29.257309</v>
      </c>
      <c r="Q459" s="67" t="str">
        <f t="shared" si="2"/>
        <v>51.999668, 29.256767</v>
      </c>
      <c r="R459" s="67">
        <f t="shared" si="3"/>
        <v>51.999668</v>
      </c>
      <c r="S459" s="67">
        <f t="shared" si="4"/>
        <v>29.256767</v>
      </c>
      <c r="T459" s="161"/>
      <c r="U459" s="69"/>
      <c r="V459" s="65" t="s">
        <v>4993</v>
      </c>
      <c r="W459" s="71" t="s">
        <v>74</v>
      </c>
      <c r="X459" s="72" t="s">
        <v>75</v>
      </c>
      <c r="Y459" s="73"/>
      <c r="Z459" s="73"/>
      <c r="AA459" s="73"/>
      <c r="AB459" s="73"/>
      <c r="AC459" s="73"/>
      <c r="AD459" s="73"/>
      <c r="AE459" s="73"/>
      <c r="AF459" s="73"/>
      <c r="AG459" s="73"/>
      <c r="AH459" s="73"/>
      <c r="AI459" s="73"/>
      <c r="AJ459" s="75"/>
      <c r="AK459" s="76" t="s">
        <v>798</v>
      </c>
      <c r="AL459" s="83" t="s">
        <v>4994</v>
      </c>
      <c r="AM459" s="71" t="s">
        <v>4995</v>
      </c>
      <c r="AN459" s="84" t="s">
        <v>4996</v>
      </c>
      <c r="AO459" s="71" t="s">
        <v>4997</v>
      </c>
      <c r="AP459" s="161" t="str">
        <f>IMAGE("https://bellingcat-archive.nyc3.cdn.digitaloceanspaces.com/Ukraine_Witness_Datasheet/Worksheet/youtube_dl_1495776848260870149/out2.jpg")</f>
        <v/>
      </c>
      <c r="AQ459" s="84" t="s">
        <v>4998</v>
      </c>
      <c r="AR459" s="71" t="s">
        <v>4999</v>
      </c>
      <c r="AS459" s="71" t="s">
        <v>5000</v>
      </c>
      <c r="AT459" s="71">
        <v>18.5</v>
      </c>
      <c r="AU459" s="89"/>
      <c r="AV459" s="162"/>
      <c r="AW459" s="81"/>
    </row>
    <row r="460" ht="15.75" customHeight="1">
      <c r="A460" s="87" t="s">
        <v>63</v>
      </c>
      <c r="B460" s="73"/>
      <c r="C460" s="57" t="s">
        <v>4901</v>
      </c>
      <c r="D460" s="74">
        <v>50.42703</v>
      </c>
      <c r="E460" s="74">
        <v>37.069789</v>
      </c>
      <c r="F460" s="59">
        <v>1.0</v>
      </c>
      <c r="G460" s="84" t="s">
        <v>5001</v>
      </c>
      <c r="H460" s="61" t="s">
        <v>66</v>
      </c>
      <c r="I460" s="75"/>
      <c r="J460" s="63" t="s">
        <v>3316</v>
      </c>
      <c r="K460" s="88" t="s">
        <v>5002</v>
      </c>
      <c r="L460" s="110" t="s">
        <v>79</v>
      </c>
      <c r="M460" s="111"/>
      <c r="N460" s="111"/>
      <c r="O460" s="111"/>
      <c r="P460" s="67" t="str">
        <f t="shared" si="1"/>
        <v>50.42703, 37.069789</v>
      </c>
      <c r="Q460" s="67" t="str">
        <f t="shared" si="2"/>
        <v>50.426458, 37.070164</v>
      </c>
      <c r="R460" s="67">
        <f t="shared" si="3"/>
        <v>50.426458</v>
      </c>
      <c r="S460" s="67">
        <f t="shared" si="4"/>
        <v>37.070164</v>
      </c>
      <c r="T460" s="161"/>
      <c r="U460" s="69"/>
      <c r="V460" s="65" t="s">
        <v>5003</v>
      </c>
      <c r="W460" s="71" t="s">
        <v>74</v>
      </c>
      <c r="X460" s="72" t="s">
        <v>75</v>
      </c>
      <c r="Y460" s="73"/>
      <c r="Z460" s="73"/>
      <c r="AA460" s="73"/>
      <c r="AB460" s="73"/>
      <c r="AC460" s="73"/>
      <c r="AD460" s="73"/>
      <c r="AE460" s="73"/>
      <c r="AF460" s="73"/>
      <c r="AG460" s="73"/>
      <c r="AH460" s="73"/>
      <c r="AI460" s="73"/>
      <c r="AJ460" s="75"/>
      <c r="AK460" s="76" t="s">
        <v>798</v>
      </c>
      <c r="AL460" s="83" t="s">
        <v>5004</v>
      </c>
      <c r="AM460" s="71" t="s">
        <v>5005</v>
      </c>
      <c r="AN460" s="84" t="s">
        <v>5006</v>
      </c>
      <c r="AO460" s="71" t="s">
        <v>5007</v>
      </c>
      <c r="AP460" s="161" t="str">
        <f>IMAGE("https://bellingcat-archive.nyc3.cdn.digitaloceanspaces.com/Ukraine_Witness_Datasheet/Worksheet/youtube_dl_1495944475264307204/out2.jpg")</f>
        <v/>
      </c>
      <c r="AQ460" s="84" t="s">
        <v>5008</v>
      </c>
      <c r="AR460" s="71" t="s">
        <v>5009</v>
      </c>
      <c r="AS460" s="71" t="s">
        <v>5010</v>
      </c>
      <c r="AT460" s="71">
        <v>38.533</v>
      </c>
      <c r="AU460" s="89"/>
      <c r="AV460" s="162"/>
      <c r="AW460" s="81"/>
    </row>
    <row r="461" ht="15.75" customHeight="1">
      <c r="A461" s="95" t="s">
        <v>63</v>
      </c>
      <c r="B461" s="73"/>
      <c r="C461" s="57" t="s">
        <v>4694</v>
      </c>
      <c r="D461" s="74">
        <v>48.017533</v>
      </c>
      <c r="E461" s="74">
        <v>37.982981</v>
      </c>
      <c r="F461" s="59">
        <v>1.0</v>
      </c>
      <c r="G461" s="84" t="s">
        <v>5011</v>
      </c>
      <c r="H461" s="61" t="s">
        <v>66</v>
      </c>
      <c r="I461" s="75"/>
      <c r="J461" s="63" t="s">
        <v>5012</v>
      </c>
      <c r="K461" s="88" t="s">
        <v>5013</v>
      </c>
      <c r="L461" s="134"/>
      <c r="M461" s="92" t="s">
        <v>3544</v>
      </c>
      <c r="N461" s="111"/>
      <c r="O461" s="92" t="s">
        <v>5014</v>
      </c>
      <c r="P461" s="67" t="str">
        <f t="shared" si="1"/>
        <v>48.017533, 37.982981</v>
      </c>
      <c r="Q461" s="67" t="str">
        <f t="shared" si="2"/>
        <v>48.016923, 37.983548</v>
      </c>
      <c r="R461" s="67">
        <f t="shared" si="3"/>
        <v>48.016923</v>
      </c>
      <c r="S461" s="67">
        <f t="shared" si="4"/>
        <v>37.983548</v>
      </c>
      <c r="T461" s="161"/>
      <c r="U461" s="69"/>
      <c r="V461" s="65" t="s">
        <v>5015</v>
      </c>
      <c r="W461" s="71" t="s">
        <v>74</v>
      </c>
      <c r="X461" s="72" t="s">
        <v>75</v>
      </c>
      <c r="Y461" s="73"/>
      <c r="Z461" s="73"/>
      <c r="AA461" s="73"/>
      <c r="AB461" s="73"/>
      <c r="AC461" s="73"/>
      <c r="AD461" s="73"/>
      <c r="AE461" s="73"/>
      <c r="AF461" s="73"/>
      <c r="AG461" s="73"/>
      <c r="AH461" s="73"/>
      <c r="AI461" s="73"/>
      <c r="AJ461" s="75"/>
      <c r="AK461" s="76" t="s">
        <v>798</v>
      </c>
      <c r="AL461" s="83" t="s">
        <v>5016</v>
      </c>
      <c r="AM461" s="71" t="s">
        <v>5017</v>
      </c>
      <c r="AN461" s="84" t="s">
        <v>5018</v>
      </c>
      <c r="AO461" s="71" t="s">
        <v>5019</v>
      </c>
      <c r="AP461" s="161" t="str">
        <f>IMAGE("https://bellingcat-archive.nyc3.cdn.digitaloceanspaces.com/Ukraine_Witness_Datasheet/Worksheet/youtube_dl_1495829232068538371/out2.jpg")</f>
        <v/>
      </c>
      <c r="AQ461" s="84" t="s">
        <v>5020</v>
      </c>
      <c r="AR461" s="71" t="s">
        <v>5021</v>
      </c>
      <c r="AS461" s="71" t="s">
        <v>5022</v>
      </c>
      <c r="AT461" s="71">
        <v>14.547</v>
      </c>
      <c r="AU461" s="89"/>
      <c r="AV461" s="162"/>
      <c r="AW461" s="81"/>
    </row>
    <row r="462" ht="15.75" customHeight="1">
      <c r="A462" s="87" t="s">
        <v>63</v>
      </c>
      <c r="B462" s="73"/>
      <c r="C462" s="57" t="s">
        <v>4901</v>
      </c>
      <c r="D462" s="74">
        <v>47.516949</v>
      </c>
      <c r="E462" s="74">
        <v>38.89946</v>
      </c>
      <c r="F462" s="190">
        <v>1.0</v>
      </c>
      <c r="G462" s="84" t="s">
        <v>5023</v>
      </c>
      <c r="H462" s="61" t="s">
        <v>66</v>
      </c>
      <c r="I462" s="75"/>
      <c r="J462" s="63" t="s">
        <v>5024</v>
      </c>
      <c r="K462" s="88" t="s">
        <v>5025</v>
      </c>
      <c r="L462" s="110" t="s">
        <v>79</v>
      </c>
      <c r="M462" s="92" t="s">
        <v>349</v>
      </c>
      <c r="N462" s="111"/>
      <c r="O462" s="92" t="s">
        <v>5026</v>
      </c>
      <c r="P462" s="67" t="str">
        <f t="shared" si="1"/>
        <v>47.516949, 38.89946</v>
      </c>
      <c r="Q462" s="67" t="str">
        <f t="shared" si="2"/>
        <v>47.516892, 38.898713</v>
      </c>
      <c r="R462" s="67">
        <f t="shared" si="3"/>
        <v>47.516892</v>
      </c>
      <c r="S462" s="67">
        <f t="shared" si="4"/>
        <v>38.898713</v>
      </c>
      <c r="T462" s="161"/>
      <c r="U462" s="69"/>
      <c r="V462" s="65" t="s">
        <v>5027</v>
      </c>
      <c r="W462" s="71" t="s">
        <v>74</v>
      </c>
      <c r="X462" s="72" t="s">
        <v>75</v>
      </c>
      <c r="Y462" s="73"/>
      <c r="Z462" s="73"/>
      <c r="AA462" s="73"/>
      <c r="AB462" s="73"/>
      <c r="AC462" s="73"/>
      <c r="AD462" s="73"/>
      <c r="AE462" s="73"/>
      <c r="AF462" s="73"/>
      <c r="AG462" s="73"/>
      <c r="AH462" s="73"/>
      <c r="AI462" s="73"/>
      <c r="AJ462" s="75"/>
      <c r="AK462" s="76" t="s">
        <v>798</v>
      </c>
      <c r="AL462" s="83" t="s">
        <v>5028</v>
      </c>
      <c r="AM462" s="71" t="s">
        <v>5029</v>
      </c>
      <c r="AN462" s="84" t="s">
        <v>5030</v>
      </c>
      <c r="AO462" s="71" t="s">
        <v>5031</v>
      </c>
      <c r="AP462" s="161" t="str">
        <f>IMAGE("https://bellingcat-archive.nyc3.cdn.digitaloceanspaces.com/Ukraine_Witness_Datasheet/Worksheet/youtube_dl_1496086615776804868/out2.jpg")</f>
        <v/>
      </c>
      <c r="AQ462" s="84" t="s">
        <v>5032</v>
      </c>
      <c r="AR462" s="71" t="s">
        <v>5033</v>
      </c>
      <c r="AS462" s="71" t="s">
        <v>5034</v>
      </c>
      <c r="AT462" s="71">
        <v>59.8</v>
      </c>
      <c r="AU462" s="89"/>
      <c r="AV462" s="162"/>
      <c r="AW462" s="81"/>
    </row>
    <row r="463" ht="15.75" customHeight="1">
      <c r="A463" s="87" t="s">
        <v>170</v>
      </c>
      <c r="B463" s="73"/>
      <c r="C463" s="57" t="s">
        <v>4694</v>
      </c>
      <c r="D463" s="123">
        <v>55.494609</v>
      </c>
      <c r="E463" s="123">
        <v>28.744695</v>
      </c>
      <c r="F463" s="189">
        <v>1.0</v>
      </c>
      <c r="G463" s="84" t="s">
        <v>5035</v>
      </c>
      <c r="H463" s="61" t="s">
        <v>66</v>
      </c>
      <c r="I463" s="75"/>
      <c r="J463" s="63" t="s">
        <v>2061</v>
      </c>
      <c r="K463" s="88" t="s">
        <v>5036</v>
      </c>
      <c r="L463" s="110" t="s">
        <v>69</v>
      </c>
      <c r="M463" s="92"/>
      <c r="N463" s="111"/>
      <c r="O463" s="92" t="s">
        <v>3746</v>
      </c>
      <c r="P463" s="67" t="str">
        <f t="shared" si="1"/>
        <v>55.494609, 28.744695</v>
      </c>
      <c r="Q463" s="67" t="str">
        <f t="shared" si="2"/>
        <v>55.493785, 28.744925</v>
      </c>
      <c r="R463" s="67">
        <f t="shared" si="3"/>
        <v>55.493785</v>
      </c>
      <c r="S463" s="67">
        <f t="shared" si="4"/>
        <v>28.744925</v>
      </c>
      <c r="T463" s="161"/>
      <c r="U463" s="69"/>
      <c r="V463" s="65" t="s">
        <v>5037</v>
      </c>
      <c r="W463" s="71" t="s">
        <v>74</v>
      </c>
      <c r="X463" s="72" t="s">
        <v>75</v>
      </c>
      <c r="Y463" s="73"/>
      <c r="Z463" s="73"/>
      <c r="AA463" s="73"/>
      <c r="AB463" s="73"/>
      <c r="AC463" s="73"/>
      <c r="AD463" s="73"/>
      <c r="AE463" s="73"/>
      <c r="AF463" s="73"/>
      <c r="AG463" s="73"/>
      <c r="AH463" s="73"/>
      <c r="AI463" s="73"/>
      <c r="AJ463" s="75"/>
      <c r="AK463" s="76" t="s">
        <v>798</v>
      </c>
      <c r="AL463" s="83" t="s">
        <v>5038</v>
      </c>
      <c r="AM463" s="71" t="s">
        <v>5039</v>
      </c>
      <c r="AN463" s="84" t="s">
        <v>5040</v>
      </c>
      <c r="AO463" s="71" t="s">
        <v>5041</v>
      </c>
      <c r="AP463" s="161" t="str">
        <f>IMAGE("https://bellingcat-archive.nyc3.cdn.digitaloceanspaces.com/Ukraine_Witness_Datasheet/Worksheet/youtube_dl_1495775151761338378/out2.jpg")</f>
        <v/>
      </c>
      <c r="AQ463" s="84" t="s">
        <v>5042</v>
      </c>
      <c r="AR463" s="71" t="s">
        <v>5043</v>
      </c>
      <c r="AS463" s="71" t="s">
        <v>5044</v>
      </c>
      <c r="AT463" s="71">
        <v>55.966</v>
      </c>
      <c r="AU463" s="89"/>
      <c r="AV463" s="162"/>
      <c r="AW463" s="81"/>
    </row>
    <row r="464" ht="15.75" customHeight="1">
      <c r="A464" s="87" t="s">
        <v>170</v>
      </c>
      <c r="B464" s="73"/>
      <c r="C464" s="57" t="s">
        <v>4694</v>
      </c>
      <c r="D464" s="74">
        <v>50.625841</v>
      </c>
      <c r="E464" s="74">
        <v>36.09293</v>
      </c>
      <c r="F464" s="189">
        <v>1.0</v>
      </c>
      <c r="G464" s="84" t="s">
        <v>5045</v>
      </c>
      <c r="H464" s="61" t="s">
        <v>66</v>
      </c>
      <c r="I464" s="75"/>
      <c r="J464" s="63" t="s">
        <v>5046</v>
      </c>
      <c r="K464" s="88" t="s">
        <v>5047</v>
      </c>
      <c r="L464" s="110" t="s">
        <v>79</v>
      </c>
      <c r="M464" s="92" t="s">
        <v>547</v>
      </c>
      <c r="N464" s="111"/>
      <c r="O464" s="92" t="s">
        <v>5048</v>
      </c>
      <c r="P464" s="67" t="str">
        <f t="shared" si="1"/>
        <v>50.625841, 36.09293</v>
      </c>
      <c r="Q464" s="67" t="str">
        <f t="shared" si="2"/>
        <v>50.625679, 36.092064</v>
      </c>
      <c r="R464" s="67">
        <f t="shared" si="3"/>
        <v>50.625679</v>
      </c>
      <c r="S464" s="67">
        <f t="shared" si="4"/>
        <v>36.092064</v>
      </c>
      <c r="T464" s="161"/>
      <c r="U464" s="69"/>
      <c r="V464" s="65" t="s">
        <v>5049</v>
      </c>
      <c r="W464" s="71" t="s">
        <v>74</v>
      </c>
      <c r="X464" s="72" t="s">
        <v>75</v>
      </c>
      <c r="Y464" s="73"/>
      <c r="Z464" s="73"/>
      <c r="AA464" s="73"/>
      <c r="AB464" s="73"/>
      <c r="AC464" s="73"/>
      <c r="AD464" s="73"/>
      <c r="AE464" s="73"/>
      <c r="AF464" s="73"/>
      <c r="AG464" s="73"/>
      <c r="AH464" s="73"/>
      <c r="AI464" s="73"/>
      <c r="AJ464" s="75"/>
      <c r="AK464" s="76" t="s">
        <v>798</v>
      </c>
      <c r="AL464" s="83" t="s">
        <v>5050</v>
      </c>
      <c r="AM464" s="71" t="s">
        <v>5051</v>
      </c>
      <c r="AN464" s="84" t="s">
        <v>5052</v>
      </c>
      <c r="AO464" s="71" t="s">
        <v>5053</v>
      </c>
      <c r="AP464" s="161" t="str">
        <f>IMAGE("https://bellingcat-archive.nyc3.cdn.digitaloceanspaces.com/Ukraine_Witness_Datasheet/Worksheet/youtube_dl_1496093439938764800/out3.jpg")</f>
        <v/>
      </c>
      <c r="AQ464" s="84" t="s">
        <v>5054</v>
      </c>
      <c r="AR464" s="71" t="s">
        <v>5055</v>
      </c>
      <c r="AS464" s="71" t="s">
        <v>5056</v>
      </c>
      <c r="AT464" s="71">
        <v>107.09</v>
      </c>
      <c r="AU464" s="89"/>
      <c r="AV464" s="162"/>
      <c r="AW464" s="81"/>
    </row>
    <row r="465" ht="15.75" customHeight="1">
      <c r="A465" s="87" t="s">
        <v>170</v>
      </c>
      <c r="B465" s="73"/>
      <c r="C465" s="57" t="s">
        <v>4901</v>
      </c>
      <c r="D465" s="123">
        <v>50.406123</v>
      </c>
      <c r="E465" s="123">
        <v>36.882179</v>
      </c>
      <c r="F465" s="189">
        <v>1.0</v>
      </c>
      <c r="G465" s="84" t="s">
        <v>5057</v>
      </c>
      <c r="H465" s="61" t="s">
        <v>66</v>
      </c>
      <c r="I465" s="75"/>
      <c r="J465" s="63" t="s">
        <v>5058</v>
      </c>
      <c r="K465" s="88" t="s">
        <v>5059</v>
      </c>
      <c r="L465" s="110" t="s">
        <v>79</v>
      </c>
      <c r="M465" s="92" t="s">
        <v>547</v>
      </c>
      <c r="N465" s="111"/>
      <c r="O465" s="92" t="s">
        <v>4224</v>
      </c>
      <c r="P465" s="67" t="str">
        <f t="shared" si="1"/>
        <v>50.406123, 36.882179</v>
      </c>
      <c r="Q465" s="67" t="str">
        <f t="shared" si="2"/>
        <v>50.405466, 36.882052</v>
      </c>
      <c r="R465" s="67">
        <f t="shared" si="3"/>
        <v>50.405466</v>
      </c>
      <c r="S465" s="67">
        <f t="shared" si="4"/>
        <v>36.882052</v>
      </c>
      <c r="T465" s="161"/>
      <c r="U465" s="69"/>
      <c r="V465" s="65" t="s">
        <v>5060</v>
      </c>
      <c r="W465" s="71" t="s">
        <v>74</v>
      </c>
      <c r="X465" s="72" t="s">
        <v>75</v>
      </c>
      <c r="Y465" s="73"/>
      <c r="Z465" s="73"/>
      <c r="AA465" s="73"/>
      <c r="AB465" s="73"/>
      <c r="AC465" s="73"/>
      <c r="AD465" s="73"/>
      <c r="AE465" s="73"/>
      <c r="AF465" s="73"/>
      <c r="AG465" s="73"/>
      <c r="AH465" s="73"/>
      <c r="AI465" s="73"/>
      <c r="AJ465" s="75"/>
      <c r="AK465" s="76" t="s">
        <v>798</v>
      </c>
      <c r="AL465" s="83" t="s">
        <v>5061</v>
      </c>
      <c r="AM465" s="71" t="s">
        <v>5062</v>
      </c>
      <c r="AN465" s="84" t="s">
        <v>5063</v>
      </c>
      <c r="AO465" s="71" t="s">
        <v>5064</v>
      </c>
      <c r="AP465" s="161" t="str">
        <f>IMAGE("https://bellingcat-archive.nyc3.cdn.digitaloceanspaces.com/Ukraine_Witness_Datasheet/Worksheet/youtube_dl_1495979198665695232/out2.jpg")</f>
        <v/>
      </c>
      <c r="AQ465" s="84" t="s">
        <v>5065</v>
      </c>
      <c r="AR465" s="71" t="s">
        <v>5066</v>
      </c>
      <c r="AS465" s="71" t="s">
        <v>5067</v>
      </c>
      <c r="AT465" s="71">
        <v>58.91</v>
      </c>
      <c r="AU465" s="89"/>
      <c r="AV465" s="162"/>
      <c r="AW465" s="81"/>
    </row>
    <row r="466" ht="15.75" customHeight="1">
      <c r="A466" s="87" t="s">
        <v>170</v>
      </c>
      <c r="B466" s="73"/>
      <c r="C466" s="57" t="s">
        <v>4901</v>
      </c>
      <c r="D466" s="123">
        <v>51.579223</v>
      </c>
      <c r="E466" s="123">
        <v>36.080382</v>
      </c>
      <c r="F466" s="189">
        <v>1.0</v>
      </c>
      <c r="G466" s="84" t="s">
        <v>5068</v>
      </c>
      <c r="H466" s="61" t="s">
        <v>66</v>
      </c>
      <c r="I466" s="75"/>
      <c r="J466" s="63" t="s">
        <v>5069</v>
      </c>
      <c r="K466" s="88" t="s">
        <v>5070</v>
      </c>
      <c r="L466" s="110" t="s">
        <v>79</v>
      </c>
      <c r="M466" s="92" t="s">
        <v>946</v>
      </c>
      <c r="N466" s="111"/>
      <c r="O466" s="92" t="s">
        <v>2136</v>
      </c>
      <c r="P466" s="67" t="str">
        <f t="shared" si="1"/>
        <v>51.579223, 36.080382</v>
      </c>
      <c r="Q466" s="67" t="str">
        <f t="shared" si="2"/>
        <v>51.578812, 36.080394</v>
      </c>
      <c r="R466" s="67">
        <f t="shared" si="3"/>
        <v>51.578812</v>
      </c>
      <c r="S466" s="67">
        <f t="shared" si="4"/>
        <v>36.080394</v>
      </c>
      <c r="T466" s="161"/>
      <c r="U466" s="69"/>
      <c r="V466" s="65" t="s">
        <v>5071</v>
      </c>
      <c r="W466" s="71" t="s">
        <v>74</v>
      </c>
      <c r="X466" s="72" t="s">
        <v>75</v>
      </c>
      <c r="Y466" s="73"/>
      <c r="Z466" s="73"/>
      <c r="AA466" s="73"/>
      <c r="AB466" s="73"/>
      <c r="AC466" s="73"/>
      <c r="AD466" s="73"/>
      <c r="AE466" s="73"/>
      <c r="AF466" s="73"/>
      <c r="AG466" s="73"/>
      <c r="AH466" s="73"/>
      <c r="AI466" s="73"/>
      <c r="AJ466" s="75"/>
      <c r="AK466" s="76" t="s">
        <v>798</v>
      </c>
      <c r="AL466" s="83" t="s">
        <v>5072</v>
      </c>
      <c r="AM466" s="71" t="s">
        <v>5073</v>
      </c>
      <c r="AN466" s="84" t="s">
        <v>5074</v>
      </c>
      <c r="AO466" s="71" t="s">
        <v>5075</v>
      </c>
      <c r="AP466" s="161" t="str">
        <f>IMAGE("https://bellingcat-archive.nyc3.cdn.digitaloceanspaces.com/Ukraine_Witness_Datasheet/Worksheet/youtube_dl_1496126142272659457/out2.jpg")</f>
        <v/>
      </c>
      <c r="AQ466" s="84" t="s">
        <v>5076</v>
      </c>
      <c r="AR466" s="71" t="s">
        <v>5077</v>
      </c>
      <c r="AS466" s="71" t="s">
        <v>5078</v>
      </c>
      <c r="AT466" s="71">
        <v>44.746</v>
      </c>
      <c r="AU466" s="89"/>
      <c r="AV466" s="162"/>
      <c r="AW466" s="81"/>
    </row>
    <row r="467" ht="15.75" customHeight="1">
      <c r="A467" s="87" t="s">
        <v>170</v>
      </c>
      <c r="B467" s="73"/>
      <c r="C467" s="57" t="s">
        <v>4901</v>
      </c>
      <c r="D467" s="74">
        <v>49.394617</v>
      </c>
      <c r="E467" s="74">
        <v>40.399832</v>
      </c>
      <c r="F467" s="189">
        <v>1.0</v>
      </c>
      <c r="G467" s="84" t="s">
        <v>5079</v>
      </c>
      <c r="H467" s="61" t="s">
        <v>66</v>
      </c>
      <c r="I467" s="75"/>
      <c r="J467" s="63" t="s">
        <v>5080</v>
      </c>
      <c r="K467" s="88" t="s">
        <v>5081</v>
      </c>
      <c r="L467" s="110" t="s">
        <v>79</v>
      </c>
      <c r="M467" s="92" t="s">
        <v>5082</v>
      </c>
      <c r="N467" s="111"/>
      <c r="O467" s="92" t="s">
        <v>5083</v>
      </c>
      <c r="P467" s="67" t="str">
        <f t="shared" si="1"/>
        <v>49.394617, 40.399832</v>
      </c>
      <c r="Q467" s="67" t="str">
        <f t="shared" si="2"/>
        <v>49.394495, 40.398745</v>
      </c>
      <c r="R467" s="67">
        <f t="shared" si="3"/>
        <v>49.394495</v>
      </c>
      <c r="S467" s="67">
        <f t="shared" si="4"/>
        <v>40.398745</v>
      </c>
      <c r="T467" s="161"/>
      <c r="U467" s="69"/>
      <c r="V467" s="65" t="s">
        <v>5084</v>
      </c>
      <c r="W467" s="71" t="s">
        <v>74</v>
      </c>
      <c r="X467" s="72" t="s">
        <v>75</v>
      </c>
      <c r="Y467" s="73"/>
      <c r="Z467" s="73"/>
      <c r="AA467" s="73"/>
      <c r="AB467" s="73"/>
      <c r="AC467" s="73"/>
      <c r="AD467" s="73"/>
      <c r="AE467" s="73"/>
      <c r="AF467" s="73"/>
      <c r="AG467" s="73"/>
      <c r="AH467" s="73"/>
      <c r="AI467" s="73"/>
      <c r="AJ467" s="75"/>
      <c r="AK467" s="76" t="s">
        <v>798</v>
      </c>
      <c r="AL467" s="83" t="s">
        <v>5085</v>
      </c>
      <c r="AM467" s="71" t="s">
        <v>5086</v>
      </c>
      <c r="AN467" s="84" t="s">
        <v>5087</v>
      </c>
      <c r="AO467" s="71" t="s">
        <v>5088</v>
      </c>
      <c r="AP467" s="161" t="str">
        <f>IMAGE("https://bellingcat-archive.nyc3.cdn.digitaloceanspaces.com/Ukraine_Witness_Datasheet/Worksheet/youtube_dl_1496101698758225924/out2.jpg")</f>
        <v/>
      </c>
      <c r="AQ467" s="84" t="s">
        <v>5089</v>
      </c>
      <c r="AR467" s="71" t="s">
        <v>5090</v>
      </c>
      <c r="AS467" s="71" t="s">
        <v>5091</v>
      </c>
      <c r="AT467" s="71">
        <v>58.7</v>
      </c>
      <c r="AU467" s="89"/>
      <c r="AV467" s="162"/>
      <c r="AW467" s="81"/>
    </row>
    <row r="468" ht="15.75" customHeight="1">
      <c r="A468" s="87" t="s">
        <v>170</v>
      </c>
      <c r="B468" s="73"/>
      <c r="C468" s="57" t="s">
        <v>4694</v>
      </c>
      <c r="D468" s="74">
        <v>55.187171</v>
      </c>
      <c r="E468" s="74">
        <v>34.336873</v>
      </c>
      <c r="F468" s="59">
        <v>1.0</v>
      </c>
      <c r="G468" s="84" t="s">
        <v>5092</v>
      </c>
      <c r="H468" s="61" t="s">
        <v>66</v>
      </c>
      <c r="I468" s="75"/>
      <c r="J468" s="63" t="s">
        <v>5093</v>
      </c>
      <c r="K468" s="88" t="s">
        <v>5094</v>
      </c>
      <c r="L468" s="110" t="s">
        <v>79</v>
      </c>
      <c r="M468" s="92" t="s">
        <v>150</v>
      </c>
      <c r="N468" s="111"/>
      <c r="O468" s="92" t="s">
        <v>5095</v>
      </c>
      <c r="P468" s="67" t="str">
        <f t="shared" si="1"/>
        <v>55.187171, 34.336873</v>
      </c>
      <c r="Q468" s="67" t="str">
        <f t="shared" si="2"/>
        <v>55.187037, 34.337646</v>
      </c>
      <c r="R468" s="67">
        <f t="shared" si="3"/>
        <v>55.187037</v>
      </c>
      <c r="S468" s="67">
        <f t="shared" si="4"/>
        <v>34.337646</v>
      </c>
      <c r="T468" s="161"/>
      <c r="U468" s="69"/>
      <c r="V468" s="65" t="s">
        <v>5096</v>
      </c>
      <c r="W468" s="71" t="s">
        <v>74</v>
      </c>
      <c r="X468" s="72" t="s">
        <v>75</v>
      </c>
      <c r="Y468" s="73"/>
      <c r="Z468" s="73"/>
      <c r="AA468" s="73"/>
      <c r="AB468" s="73"/>
      <c r="AC468" s="73"/>
      <c r="AD468" s="73"/>
      <c r="AE468" s="73"/>
      <c r="AF468" s="73"/>
      <c r="AG468" s="73"/>
      <c r="AH468" s="73"/>
      <c r="AI468" s="73"/>
      <c r="AJ468" s="75"/>
      <c r="AK468" s="76" t="s">
        <v>798</v>
      </c>
      <c r="AL468" s="83" t="s">
        <v>5097</v>
      </c>
      <c r="AM468" s="71" t="s">
        <v>5098</v>
      </c>
      <c r="AN468" s="84" t="s">
        <v>5099</v>
      </c>
      <c r="AO468" s="71" t="s">
        <v>5100</v>
      </c>
      <c r="AP468" s="161" t="str">
        <f>IMAGE("https://bellingcat-archive.nyc3.cdn.digitaloceanspaces.com/Ukraine_Witness_Datasheet/Worksheet/youtube_dl_1495693049032331266/out2.jpg")</f>
        <v/>
      </c>
      <c r="AQ468" s="84" t="s">
        <v>5101</v>
      </c>
      <c r="AR468" s="71" t="s">
        <v>5102</v>
      </c>
      <c r="AS468" s="71" t="s">
        <v>5103</v>
      </c>
      <c r="AT468" s="71">
        <v>7.639</v>
      </c>
      <c r="AU468" s="89"/>
      <c r="AV468" s="162"/>
      <c r="AW468" s="81"/>
    </row>
    <row r="469" ht="15.75" customHeight="1">
      <c r="A469" s="87" t="s">
        <v>170</v>
      </c>
      <c r="B469" s="73"/>
      <c r="C469" s="57" t="s">
        <v>4417</v>
      </c>
      <c r="D469" s="74">
        <v>44.927994</v>
      </c>
      <c r="E469" s="74">
        <v>37.333719</v>
      </c>
      <c r="F469" s="59">
        <v>1.0</v>
      </c>
      <c r="G469" s="84" t="s">
        <v>5104</v>
      </c>
      <c r="H469" s="61" t="s">
        <v>66</v>
      </c>
      <c r="I469" s="75"/>
      <c r="J469" s="63" t="s">
        <v>5105</v>
      </c>
      <c r="K469" s="88" t="s">
        <v>5106</v>
      </c>
      <c r="L469" s="110" t="s">
        <v>79</v>
      </c>
      <c r="M469" s="92" t="s">
        <v>1819</v>
      </c>
      <c r="N469" s="111"/>
      <c r="O469" s="92" t="s">
        <v>4420</v>
      </c>
      <c r="P469" s="67" t="str">
        <f t="shared" si="1"/>
        <v>44.927994, 37.333719</v>
      </c>
      <c r="Q469" s="67" t="str">
        <f t="shared" si="2"/>
        <v>44.927815, 37.334747</v>
      </c>
      <c r="R469" s="67">
        <f t="shared" si="3"/>
        <v>44.927815</v>
      </c>
      <c r="S469" s="67">
        <f t="shared" si="4"/>
        <v>37.334747</v>
      </c>
      <c r="T469" s="161"/>
      <c r="U469" s="69"/>
      <c r="V469" s="65" t="s">
        <v>5107</v>
      </c>
      <c r="W469" s="71" t="s">
        <v>74</v>
      </c>
      <c r="X469" s="72" t="s">
        <v>75</v>
      </c>
      <c r="Y469" s="73"/>
      <c r="Z469" s="73"/>
      <c r="AA469" s="73"/>
      <c r="AB469" s="73"/>
      <c r="AC469" s="73"/>
      <c r="AD469" s="73"/>
      <c r="AE469" s="73"/>
      <c r="AF469" s="73"/>
      <c r="AG469" s="73"/>
      <c r="AH469" s="73"/>
      <c r="AI469" s="73"/>
      <c r="AJ469" s="75"/>
      <c r="AK469" s="76" t="s">
        <v>798</v>
      </c>
      <c r="AL469" s="83" t="s">
        <v>5108</v>
      </c>
      <c r="AM469" s="71" t="s">
        <v>5109</v>
      </c>
      <c r="AN469" s="84" t="s">
        <v>5110</v>
      </c>
      <c r="AO469" s="71" t="s">
        <v>5111</v>
      </c>
      <c r="AP469" s="161" t="str">
        <f>IMAGE("https://bellingcat-archive.nyc3.cdn.digitaloceanspaces.com/Ukraine_Witness_Datasheet/Worksheet/youtube_dl_1495413984530509826/out2.jpg")</f>
        <v/>
      </c>
      <c r="AQ469" s="84" t="s">
        <v>5112</v>
      </c>
      <c r="AR469" s="71" t="s">
        <v>5113</v>
      </c>
      <c r="AS469" s="71" t="s">
        <v>5114</v>
      </c>
      <c r="AT469" s="71">
        <v>34.833</v>
      </c>
      <c r="AU469" s="89"/>
      <c r="AV469" s="162"/>
      <c r="AW469" s="81"/>
    </row>
    <row r="470" ht="15.75" customHeight="1">
      <c r="A470" s="87" t="s">
        <v>63</v>
      </c>
      <c r="B470" s="73"/>
      <c r="C470" s="57" t="s">
        <v>4694</v>
      </c>
      <c r="D470" s="104">
        <v>47.589509</v>
      </c>
      <c r="E470" s="104">
        <v>38.864258</v>
      </c>
      <c r="F470" s="190">
        <v>1.0</v>
      </c>
      <c r="G470" s="84" t="s">
        <v>5115</v>
      </c>
      <c r="H470" s="173" t="s">
        <v>66</v>
      </c>
      <c r="I470" s="75"/>
      <c r="J470" s="63" t="s">
        <v>5116</v>
      </c>
      <c r="K470" s="88" t="s">
        <v>5117</v>
      </c>
      <c r="L470" s="110" t="s">
        <v>79</v>
      </c>
      <c r="M470" s="92" t="s">
        <v>5082</v>
      </c>
      <c r="N470" s="111"/>
      <c r="O470" s="92" t="s">
        <v>5118</v>
      </c>
      <c r="P470" s="67" t="str">
        <f t="shared" si="1"/>
        <v>47.589509, 38.864258</v>
      </c>
      <c r="Q470" s="67" t="str">
        <f t="shared" si="2"/>
        <v>47.589221, 38.865171</v>
      </c>
      <c r="R470" s="67">
        <f t="shared" si="3"/>
        <v>47.589221</v>
      </c>
      <c r="S470" s="67">
        <f t="shared" si="4"/>
        <v>38.865171</v>
      </c>
      <c r="T470" s="161"/>
      <c r="U470" s="69"/>
      <c r="V470" s="65" t="s">
        <v>5119</v>
      </c>
      <c r="W470" s="71" t="s">
        <v>74</v>
      </c>
      <c r="X470" s="72" t="s">
        <v>75</v>
      </c>
      <c r="Y470" s="73"/>
      <c r="Z470" s="73"/>
      <c r="AA470" s="73"/>
      <c r="AB470" s="73"/>
      <c r="AC470" s="73"/>
      <c r="AD470" s="73"/>
      <c r="AE470" s="73"/>
      <c r="AF470" s="73"/>
      <c r="AG470" s="73"/>
      <c r="AH470" s="73"/>
      <c r="AI470" s="73"/>
      <c r="AJ470" s="75"/>
      <c r="AK470" s="76" t="s">
        <v>798</v>
      </c>
      <c r="AL470" s="83" t="s">
        <v>5120</v>
      </c>
      <c r="AM470" s="71" t="s">
        <v>5121</v>
      </c>
      <c r="AN470" s="84" t="s">
        <v>5122</v>
      </c>
      <c r="AO470" s="71" t="s">
        <v>5123</v>
      </c>
      <c r="AP470" s="161" t="str">
        <f>IMAGE("https://bellingcat-archive.nyc3.cdn.digitaloceanspaces.com/Ukraine_Witness_Datasheet/Worksheet/youtube_dl_1496127648887619596/out2.jpg")</f>
        <v/>
      </c>
      <c r="AQ470" s="84" t="s">
        <v>5124</v>
      </c>
      <c r="AR470" s="71" t="s">
        <v>5125</v>
      </c>
      <c r="AS470" s="71" t="s">
        <v>5126</v>
      </c>
      <c r="AT470" s="71">
        <v>14.117</v>
      </c>
      <c r="AU470" s="89"/>
      <c r="AV470" s="162"/>
      <c r="AW470" s="81"/>
    </row>
    <row r="471" ht="15.75" customHeight="1">
      <c r="A471" s="87" t="s">
        <v>63</v>
      </c>
      <c r="B471" s="73"/>
      <c r="C471" s="57" t="s">
        <v>4901</v>
      </c>
      <c r="D471" s="104">
        <v>48.497972</v>
      </c>
      <c r="E471" s="104">
        <v>38.941556</v>
      </c>
      <c r="F471" s="190">
        <v>1.0</v>
      </c>
      <c r="G471" s="84" t="s">
        <v>5127</v>
      </c>
      <c r="H471" s="173" t="s">
        <v>66</v>
      </c>
      <c r="I471" s="75"/>
      <c r="J471" s="63" t="s">
        <v>5128</v>
      </c>
      <c r="K471" s="88" t="s">
        <v>5129</v>
      </c>
      <c r="L471" s="110" t="s">
        <v>3542</v>
      </c>
      <c r="M471" s="92" t="s">
        <v>3598</v>
      </c>
      <c r="N471" s="111"/>
      <c r="O471" s="92" t="s">
        <v>5130</v>
      </c>
      <c r="P471" s="67" t="str">
        <f t="shared" si="1"/>
        <v>48.497972, 38.941556</v>
      </c>
      <c r="Q471" s="67" t="str">
        <f t="shared" si="2"/>
        <v>48.497135, 38.941727</v>
      </c>
      <c r="R471" s="67">
        <f t="shared" si="3"/>
        <v>48.497135</v>
      </c>
      <c r="S471" s="67">
        <f t="shared" si="4"/>
        <v>38.941727</v>
      </c>
      <c r="T471" s="161"/>
      <c r="U471" s="69"/>
      <c r="V471" s="65" t="s">
        <v>5131</v>
      </c>
      <c r="W471" s="71" t="s">
        <v>74</v>
      </c>
      <c r="X471" s="72" t="s">
        <v>75</v>
      </c>
      <c r="Y471" s="73"/>
      <c r="Z471" s="73"/>
      <c r="AA471" s="73"/>
      <c r="AB471" s="73"/>
      <c r="AC471" s="73"/>
      <c r="AD471" s="73"/>
      <c r="AE471" s="73"/>
      <c r="AF471" s="73"/>
      <c r="AG471" s="73"/>
      <c r="AH471" s="73"/>
      <c r="AI471" s="73"/>
      <c r="AJ471" s="75"/>
      <c r="AK471" s="76" t="s">
        <v>798</v>
      </c>
      <c r="AL471" s="83" t="s">
        <v>5132</v>
      </c>
      <c r="AM471" s="71" t="s">
        <v>1846</v>
      </c>
      <c r="AN471" s="84" t="s">
        <v>5133</v>
      </c>
      <c r="AO471" s="71" t="s">
        <v>5134</v>
      </c>
      <c r="AP471" s="161" t="str">
        <f>IMAGE("https://bellingcat-archive.nyc3.cdn.digitaloceanspaces.com/Ukraine_Witness_Datasheet/Worksheet/youtube_dl_1496158245077065728/out2.jpg")</f>
        <v/>
      </c>
      <c r="AQ471" s="84" t="s">
        <v>5135</v>
      </c>
      <c r="AR471" s="71" t="s">
        <v>5136</v>
      </c>
      <c r="AS471" s="71" t="s">
        <v>5137</v>
      </c>
      <c r="AT471" s="71">
        <v>26.6</v>
      </c>
      <c r="AU471" s="89"/>
      <c r="AV471" s="162"/>
      <c r="AW471" s="81"/>
    </row>
    <row r="472" ht="15.75" customHeight="1">
      <c r="A472" s="87" t="s">
        <v>63</v>
      </c>
      <c r="B472" s="73"/>
      <c r="C472" s="57" t="s">
        <v>4694</v>
      </c>
      <c r="D472" s="104">
        <v>45.4338327</v>
      </c>
      <c r="E472" s="104">
        <v>40.5854641</v>
      </c>
      <c r="F472" s="190">
        <v>1.0</v>
      </c>
      <c r="G472" s="84" t="s">
        <v>4923</v>
      </c>
      <c r="H472" s="173" t="s">
        <v>66</v>
      </c>
      <c r="I472" s="75"/>
      <c r="J472" s="63" t="s">
        <v>5138</v>
      </c>
      <c r="K472" s="88" t="s">
        <v>4925</v>
      </c>
      <c r="L472" s="110" t="s">
        <v>79</v>
      </c>
      <c r="M472" s="92" t="s">
        <v>1819</v>
      </c>
      <c r="N472" s="111"/>
      <c r="O472" s="92" t="s">
        <v>4926</v>
      </c>
      <c r="P472" s="67" t="str">
        <f t="shared" si="1"/>
        <v>45.4338327, 40.5854641</v>
      </c>
      <c r="Q472" s="67" t="str">
        <f t="shared" si="2"/>
        <v>45.433399, 40.586186</v>
      </c>
      <c r="R472" s="67">
        <f t="shared" si="3"/>
        <v>45.433399</v>
      </c>
      <c r="S472" s="67">
        <f t="shared" si="4"/>
        <v>40.586186</v>
      </c>
      <c r="T472" s="161"/>
      <c r="U472" s="69"/>
      <c r="V472" s="65" t="s">
        <v>5139</v>
      </c>
      <c r="W472" s="71" t="s">
        <v>74</v>
      </c>
      <c r="X472" s="72" t="s">
        <v>75</v>
      </c>
      <c r="Y472" s="73"/>
      <c r="Z472" s="73"/>
      <c r="AA472" s="73"/>
      <c r="AB472" s="73"/>
      <c r="AC472" s="73"/>
      <c r="AD472" s="73"/>
      <c r="AE472" s="73"/>
      <c r="AF472" s="73"/>
      <c r="AG472" s="73"/>
      <c r="AH472" s="73"/>
      <c r="AI472" s="73"/>
      <c r="AJ472" s="75"/>
      <c r="AK472" s="76" t="s">
        <v>798</v>
      </c>
      <c r="AL472" s="83" t="s">
        <v>4928</v>
      </c>
      <c r="AM472" s="71" t="s">
        <v>5140</v>
      </c>
      <c r="AN472" s="84" t="s">
        <v>5141</v>
      </c>
      <c r="AO472" s="71" t="s">
        <v>4931</v>
      </c>
      <c r="AP472" s="161" t="str">
        <f>IMAGE("https://bellingcat-archive.nyc3.cdn.digitaloceanspaces.com/Ukraine_Witness_Datasheet/Worksheet/youtube_dl_1495816924801941517/out2.jpg")</f>
        <v/>
      </c>
      <c r="AQ472" s="84" t="s">
        <v>4932</v>
      </c>
      <c r="AR472" s="71" t="s">
        <v>4933</v>
      </c>
      <c r="AS472" s="71" t="s">
        <v>4934</v>
      </c>
      <c r="AT472" s="71">
        <v>7.867</v>
      </c>
      <c r="AU472" s="89"/>
      <c r="AV472" s="162"/>
      <c r="AW472" s="81"/>
    </row>
    <row r="473" ht="15.75" customHeight="1">
      <c r="A473" s="87" t="s">
        <v>63</v>
      </c>
      <c r="B473" s="73"/>
      <c r="C473" s="57" t="s">
        <v>4901</v>
      </c>
      <c r="D473" s="104">
        <v>47.407337</v>
      </c>
      <c r="E473" s="104">
        <v>38.941605</v>
      </c>
      <c r="F473" s="190">
        <v>1.0</v>
      </c>
      <c r="G473" s="84" t="s">
        <v>5142</v>
      </c>
      <c r="H473" s="173" t="s">
        <v>66</v>
      </c>
      <c r="I473" s="75"/>
      <c r="J473" s="63" t="s">
        <v>5143</v>
      </c>
      <c r="K473" s="88" t="s">
        <v>5144</v>
      </c>
      <c r="L473" s="110" t="s">
        <v>79</v>
      </c>
      <c r="M473" s="92" t="s">
        <v>5082</v>
      </c>
      <c r="N473" s="111"/>
      <c r="O473" s="92" t="s">
        <v>5145</v>
      </c>
      <c r="P473" s="67" t="str">
        <f t="shared" si="1"/>
        <v>47.407337, 38.941605</v>
      </c>
      <c r="Q473" s="67" t="str">
        <f t="shared" si="2"/>
        <v>47.406904, 38.941192</v>
      </c>
      <c r="R473" s="67">
        <f t="shared" si="3"/>
        <v>47.406904</v>
      </c>
      <c r="S473" s="67">
        <f t="shared" si="4"/>
        <v>38.941192</v>
      </c>
      <c r="T473" s="161"/>
      <c r="U473" s="69"/>
      <c r="V473" s="65" t="s">
        <v>5146</v>
      </c>
      <c r="W473" s="71" t="s">
        <v>74</v>
      </c>
      <c r="X473" s="72" t="s">
        <v>75</v>
      </c>
      <c r="Y473" s="73"/>
      <c r="Z473" s="73"/>
      <c r="AA473" s="73"/>
      <c r="AB473" s="73"/>
      <c r="AC473" s="73"/>
      <c r="AD473" s="73"/>
      <c r="AE473" s="73"/>
      <c r="AF473" s="73"/>
      <c r="AG473" s="73"/>
      <c r="AH473" s="73"/>
      <c r="AI473" s="73"/>
      <c r="AJ473" s="75"/>
      <c r="AK473" s="76" t="s">
        <v>798</v>
      </c>
      <c r="AL473" s="83" t="s">
        <v>5147</v>
      </c>
      <c r="AM473" s="71" t="s">
        <v>5148</v>
      </c>
      <c r="AN473" s="84" t="s">
        <v>5149</v>
      </c>
      <c r="AO473" s="71" t="s">
        <v>5150</v>
      </c>
      <c r="AP473" s="161" t="str">
        <f>IMAGE("https://bellingcat-archive.nyc3.cdn.digitaloceanspaces.com/Ukraine_Witness_Datasheet/Worksheet/youtube_dl_1496059846210334731/out2.jpg")</f>
        <v/>
      </c>
      <c r="AQ473" s="84" t="s">
        <v>5151</v>
      </c>
      <c r="AR473" s="71" t="s">
        <v>5152</v>
      </c>
      <c r="AS473" s="71" t="s">
        <v>5153</v>
      </c>
      <c r="AT473" s="71">
        <v>9.366</v>
      </c>
      <c r="AU473" s="89"/>
      <c r="AV473" s="162"/>
      <c r="AW473" s="81"/>
    </row>
    <row r="474" ht="15.75" customHeight="1">
      <c r="A474" s="87" t="s">
        <v>63</v>
      </c>
      <c r="B474" s="73"/>
      <c r="C474" s="57" t="s">
        <v>4901</v>
      </c>
      <c r="D474" s="74">
        <v>48.750731</v>
      </c>
      <c r="E474" s="74">
        <v>39.182247</v>
      </c>
      <c r="F474" s="190">
        <v>1.0</v>
      </c>
      <c r="G474" s="84" t="s">
        <v>5154</v>
      </c>
      <c r="H474" s="173" t="s">
        <v>66</v>
      </c>
      <c r="I474" s="75"/>
      <c r="J474" s="63" t="s">
        <v>5155</v>
      </c>
      <c r="K474" s="88" t="s">
        <v>5156</v>
      </c>
      <c r="L474" s="110" t="s">
        <v>3542</v>
      </c>
      <c r="M474" s="92" t="s">
        <v>3598</v>
      </c>
      <c r="N474" s="111"/>
      <c r="O474" s="92" t="s">
        <v>5157</v>
      </c>
      <c r="P474" s="67" t="str">
        <f t="shared" si="1"/>
        <v>48.750731, 39.182247</v>
      </c>
      <c r="Q474" s="67" t="str">
        <f t="shared" si="2"/>
        <v>48.750717, 39.182814</v>
      </c>
      <c r="R474" s="67">
        <f t="shared" si="3"/>
        <v>48.750717</v>
      </c>
      <c r="S474" s="67">
        <f t="shared" si="4"/>
        <v>39.182814</v>
      </c>
      <c r="T474" s="161"/>
      <c r="U474" s="69"/>
      <c r="V474" s="65" t="s">
        <v>5158</v>
      </c>
      <c r="W474" s="180" t="s">
        <v>3546</v>
      </c>
      <c r="X474" s="72" t="s">
        <v>75</v>
      </c>
      <c r="Y474" s="73"/>
      <c r="Z474" s="73"/>
      <c r="AA474" s="73"/>
      <c r="AB474" s="73"/>
      <c r="AC474" s="73"/>
      <c r="AD474" s="73"/>
      <c r="AE474" s="73"/>
      <c r="AF474" s="73"/>
      <c r="AG474" s="73"/>
      <c r="AH474" s="73"/>
      <c r="AI474" s="73"/>
      <c r="AJ474" s="75"/>
      <c r="AK474" s="76" t="s">
        <v>798</v>
      </c>
      <c r="AL474" s="83" t="s">
        <v>5159</v>
      </c>
      <c r="AM474" s="71" t="s">
        <v>5160</v>
      </c>
      <c r="AN474" s="84" t="s">
        <v>5161</v>
      </c>
      <c r="AO474" s="71" t="s">
        <v>5162</v>
      </c>
      <c r="AP474" s="161" t="str">
        <f>IMAGE("https://bellingcat-archive.nyc3.cdn.digitaloceanspaces.com/Ukraine_Witness_Datasheet/Worksheet/youtube_dl_1496164131833102348/out2.jpg")</f>
        <v/>
      </c>
      <c r="AQ474" s="84" t="s">
        <v>5163</v>
      </c>
      <c r="AR474" s="71" t="s">
        <v>5164</v>
      </c>
      <c r="AS474" s="71" t="s">
        <v>5165</v>
      </c>
      <c r="AT474" s="71">
        <v>44.7</v>
      </c>
      <c r="AU474" s="89"/>
      <c r="AV474" s="162"/>
      <c r="AW474" s="81"/>
    </row>
    <row r="475" ht="15.75" customHeight="1">
      <c r="A475" s="87" t="s">
        <v>63</v>
      </c>
      <c r="B475" s="73"/>
      <c r="C475" s="57" t="s">
        <v>4901</v>
      </c>
      <c r="D475" s="104">
        <v>50.562975</v>
      </c>
      <c r="E475" s="104">
        <v>36.460968</v>
      </c>
      <c r="F475" s="190">
        <v>1.0</v>
      </c>
      <c r="G475" s="84" t="s">
        <v>5166</v>
      </c>
      <c r="H475" s="173" t="s">
        <v>66</v>
      </c>
      <c r="I475" s="75"/>
      <c r="J475" s="63" t="s">
        <v>5167</v>
      </c>
      <c r="K475" s="88" t="s">
        <v>5168</v>
      </c>
      <c r="L475" s="110" t="s">
        <v>79</v>
      </c>
      <c r="M475" s="92" t="s">
        <v>547</v>
      </c>
      <c r="N475" s="111"/>
      <c r="O475" s="92" t="s">
        <v>5169</v>
      </c>
      <c r="P475" s="67" t="str">
        <f t="shared" si="1"/>
        <v>50.562975, 36.460968</v>
      </c>
      <c r="Q475" s="67" t="str">
        <f t="shared" si="2"/>
        <v>50.562297, 36.461133</v>
      </c>
      <c r="R475" s="67">
        <f t="shared" si="3"/>
        <v>50.562297</v>
      </c>
      <c r="S475" s="67">
        <f t="shared" si="4"/>
        <v>36.461133</v>
      </c>
      <c r="T475" s="161"/>
      <c r="U475" s="69"/>
      <c r="V475" s="65" t="s">
        <v>5170</v>
      </c>
      <c r="W475" s="71" t="s">
        <v>74</v>
      </c>
      <c r="X475" s="72" t="s">
        <v>75</v>
      </c>
      <c r="Y475" s="73"/>
      <c r="Z475" s="73"/>
      <c r="AA475" s="73"/>
      <c r="AB475" s="73"/>
      <c r="AC475" s="73"/>
      <c r="AD475" s="73"/>
      <c r="AE475" s="73"/>
      <c r="AF475" s="73"/>
      <c r="AG475" s="73"/>
      <c r="AH475" s="73"/>
      <c r="AI475" s="73"/>
      <c r="AJ475" s="75"/>
      <c r="AK475" s="76" t="s">
        <v>798</v>
      </c>
      <c r="AL475" s="83" t="s">
        <v>5171</v>
      </c>
      <c r="AM475" s="71" t="s">
        <v>5172</v>
      </c>
      <c r="AN475" s="84" t="s">
        <v>5173</v>
      </c>
      <c r="AO475" s="71" t="s">
        <v>5174</v>
      </c>
      <c r="AP475" s="161" t="str">
        <f>IMAGE("https://bellingcat-archive.nyc3.cdn.digitaloceanspaces.com/Ukraine_Witness_Datasheet/Worksheet/youtube_dl_1496183319893057542/out3.jpg")</f>
        <v/>
      </c>
      <c r="AQ475" s="84" t="s">
        <v>5175</v>
      </c>
      <c r="AR475" s="71" t="s">
        <v>5176</v>
      </c>
      <c r="AS475" s="71" t="s">
        <v>5177</v>
      </c>
      <c r="AT475" s="71">
        <v>90.743</v>
      </c>
      <c r="AU475" s="89"/>
      <c r="AV475" s="162"/>
      <c r="AW475" s="81"/>
    </row>
    <row r="476" ht="15.75" customHeight="1">
      <c r="A476" s="87" t="s">
        <v>63</v>
      </c>
      <c r="B476" s="73"/>
      <c r="C476" s="57" t="s">
        <v>4901</v>
      </c>
      <c r="D476" s="104">
        <v>48.493690978</v>
      </c>
      <c r="E476" s="104">
        <v>39.048243433</v>
      </c>
      <c r="F476" s="190">
        <v>1.0</v>
      </c>
      <c r="G476" s="84" t="s">
        <v>5178</v>
      </c>
      <c r="H476" s="173" t="s">
        <v>66</v>
      </c>
      <c r="I476" s="75"/>
      <c r="J476" s="63" t="s">
        <v>5179</v>
      </c>
      <c r="K476" s="88" t="s">
        <v>5180</v>
      </c>
      <c r="L476" s="110" t="s">
        <v>3542</v>
      </c>
      <c r="M476" s="92" t="s">
        <v>3598</v>
      </c>
      <c r="N476" s="111"/>
      <c r="O476" s="92" t="s">
        <v>5181</v>
      </c>
      <c r="P476" s="67" t="str">
        <f t="shared" si="1"/>
        <v>48.493690978, 39.048243433</v>
      </c>
      <c r="Q476" s="67" t="str">
        <f t="shared" si="2"/>
        <v>48.493445, 39.048696</v>
      </c>
      <c r="R476" s="67">
        <f t="shared" si="3"/>
        <v>48.493445</v>
      </c>
      <c r="S476" s="67">
        <f t="shared" si="4"/>
        <v>39.048696</v>
      </c>
      <c r="T476" s="161"/>
      <c r="U476" s="69"/>
      <c r="V476" s="65" t="s">
        <v>5182</v>
      </c>
      <c r="W476" s="71" t="s">
        <v>74</v>
      </c>
      <c r="X476" s="72" t="s">
        <v>75</v>
      </c>
      <c r="Y476" s="73"/>
      <c r="Z476" s="73"/>
      <c r="AA476" s="73"/>
      <c r="AB476" s="73"/>
      <c r="AC476" s="73"/>
      <c r="AD476" s="73"/>
      <c r="AE476" s="73"/>
      <c r="AF476" s="73"/>
      <c r="AG476" s="73"/>
      <c r="AH476" s="73"/>
      <c r="AI476" s="73"/>
      <c r="AJ476" s="75"/>
      <c r="AK476" s="76" t="s">
        <v>798</v>
      </c>
      <c r="AL476" s="83" t="s">
        <v>5183</v>
      </c>
      <c r="AM476" s="71" t="s">
        <v>5184</v>
      </c>
      <c r="AN476" s="84" t="s">
        <v>5185</v>
      </c>
      <c r="AO476" s="71" t="s">
        <v>5186</v>
      </c>
      <c r="AP476" s="161" t="str">
        <f>IMAGE("https://bellingcat-archive.nyc3.cdn.digitaloceanspaces.com/Ukraine_Witness_Datasheet/Worksheet/youtube_dl_1496220038923272196/out3.jpg")</f>
        <v/>
      </c>
      <c r="AQ476" s="84" t="s">
        <v>5187</v>
      </c>
      <c r="AR476" s="71" t="s">
        <v>5188</v>
      </c>
      <c r="AS476" s="71" t="s">
        <v>5189</v>
      </c>
      <c r="AT476" s="71">
        <v>74.048</v>
      </c>
      <c r="AU476" s="89"/>
      <c r="AV476" s="162"/>
      <c r="AW476" s="81"/>
    </row>
    <row r="477" ht="15.75" customHeight="1">
      <c r="A477" s="87" t="s">
        <v>63</v>
      </c>
      <c r="B477" s="73"/>
      <c r="C477" s="57" t="s">
        <v>4901</v>
      </c>
      <c r="D477" s="104">
        <v>51.012087</v>
      </c>
      <c r="E477" s="104">
        <v>35.6355383</v>
      </c>
      <c r="F477" s="190">
        <v>1.0</v>
      </c>
      <c r="G477" s="84" t="s">
        <v>5190</v>
      </c>
      <c r="H477" s="173" t="s">
        <v>66</v>
      </c>
      <c r="I477" s="75"/>
      <c r="J477" s="63" t="s">
        <v>5191</v>
      </c>
      <c r="K477" s="69"/>
      <c r="L477" s="110" t="s">
        <v>79</v>
      </c>
      <c r="M477" s="92" t="s">
        <v>946</v>
      </c>
      <c r="N477" s="111"/>
      <c r="O477" s="92" t="s">
        <v>5192</v>
      </c>
      <c r="P477" s="67" t="str">
        <f t="shared" si="1"/>
        <v>51.012087, 35.6355383</v>
      </c>
      <c r="Q477" s="67" t="str">
        <f t="shared" si="2"/>
        <v>51.011649, 35.635432</v>
      </c>
      <c r="R477" s="67">
        <f t="shared" si="3"/>
        <v>51.011649</v>
      </c>
      <c r="S477" s="67">
        <f t="shared" si="4"/>
        <v>35.635432</v>
      </c>
      <c r="T477" s="161"/>
      <c r="U477" s="69"/>
      <c r="V477" s="65" t="s">
        <v>5193</v>
      </c>
      <c r="W477" s="71" t="s">
        <v>74</v>
      </c>
      <c r="X477" s="72" t="s">
        <v>75</v>
      </c>
      <c r="Y477" s="73"/>
      <c r="Z477" s="73"/>
      <c r="AA477" s="73"/>
      <c r="AB477" s="73"/>
      <c r="AC477" s="73"/>
      <c r="AD477" s="73"/>
      <c r="AE477" s="73"/>
      <c r="AF477" s="73"/>
      <c r="AG477" s="73"/>
      <c r="AH477" s="73"/>
      <c r="AI477" s="73"/>
      <c r="AJ477" s="75"/>
      <c r="AK477" s="76" t="s">
        <v>798</v>
      </c>
      <c r="AL477" s="83" t="s">
        <v>5194</v>
      </c>
      <c r="AM477" s="71" t="s">
        <v>5195</v>
      </c>
      <c r="AN477" s="84" t="s">
        <v>5196</v>
      </c>
      <c r="AO477" s="71" t="s">
        <v>5197</v>
      </c>
      <c r="AP477" s="161" t="str">
        <f>IMAGE("https://bellingcat-archive.nyc3.cdn.digitaloceanspaces.com/Ukraine_Witness_Datasheet/Worksheet/youtube_dl_1496156796217708548/out2.jpg")</f>
        <v/>
      </c>
      <c r="AQ477" s="84" t="s">
        <v>5198</v>
      </c>
      <c r="AR477" s="71" t="s">
        <v>5199</v>
      </c>
      <c r="AS477" s="71" t="s">
        <v>5200</v>
      </c>
      <c r="AT477" s="71">
        <v>32.578</v>
      </c>
      <c r="AU477" s="89"/>
      <c r="AV477" s="162"/>
      <c r="AW477" s="81"/>
    </row>
    <row r="478" ht="15.75" customHeight="1">
      <c r="A478" s="87" t="s">
        <v>63</v>
      </c>
      <c r="B478" s="73"/>
      <c r="C478" s="57" t="s">
        <v>4901</v>
      </c>
      <c r="D478" s="123">
        <v>50.221689</v>
      </c>
      <c r="E478" s="104">
        <v>38.1065777</v>
      </c>
      <c r="F478" s="190">
        <v>1.0</v>
      </c>
      <c r="G478" s="84" t="s">
        <v>5201</v>
      </c>
      <c r="H478" s="173" t="s">
        <v>66</v>
      </c>
      <c r="I478" s="75"/>
      <c r="J478" s="63" t="s">
        <v>5202</v>
      </c>
      <c r="K478" s="88" t="s">
        <v>5203</v>
      </c>
      <c r="L478" s="110" t="s">
        <v>79</v>
      </c>
      <c r="M478" s="92" t="s">
        <v>1325</v>
      </c>
      <c r="N478" s="111"/>
      <c r="O478" s="92" t="s">
        <v>548</v>
      </c>
      <c r="P478" s="67" t="str">
        <f t="shared" si="1"/>
        <v>50.221689, 38.1065777</v>
      </c>
      <c r="Q478" s="67" t="str">
        <f t="shared" si="2"/>
        <v>50.22101, 38.105908</v>
      </c>
      <c r="R478" s="67">
        <f t="shared" si="3"/>
        <v>50.22101</v>
      </c>
      <c r="S478" s="67">
        <f t="shared" si="4"/>
        <v>38.105908</v>
      </c>
      <c r="T478" s="161"/>
      <c r="U478" s="69"/>
      <c r="V478" s="65" t="s">
        <v>5204</v>
      </c>
      <c r="W478" s="71" t="s">
        <v>74</v>
      </c>
      <c r="X478" s="72" t="s">
        <v>75</v>
      </c>
      <c r="Y478" s="73"/>
      <c r="Z478" s="73"/>
      <c r="AA478" s="73"/>
      <c r="AB478" s="73"/>
      <c r="AC478" s="73"/>
      <c r="AD478" s="73"/>
      <c r="AE478" s="73"/>
      <c r="AF478" s="73"/>
      <c r="AG478" s="73"/>
      <c r="AH478" s="73"/>
      <c r="AI478" s="73"/>
      <c r="AJ478" s="75"/>
      <c r="AK478" s="76" t="s">
        <v>798</v>
      </c>
      <c r="AL478" s="83" t="s">
        <v>5205</v>
      </c>
      <c r="AM478" s="71" t="s">
        <v>5206</v>
      </c>
      <c r="AN478" s="84" t="s">
        <v>5207</v>
      </c>
      <c r="AO478" s="71" t="s">
        <v>5208</v>
      </c>
      <c r="AP478" s="161" t="str">
        <f>IMAGE("https://bellingcat-archive.nyc3.cdn.digitaloceanspaces.com/Ukraine_Witness_Datasheet/Worksheet/youtube_dl_1496209530472050699/out2.jpg")</f>
        <v/>
      </c>
      <c r="AQ478" s="84" t="s">
        <v>5209</v>
      </c>
      <c r="AR478" s="71" t="s">
        <v>5210</v>
      </c>
      <c r="AS478" s="71" t="s">
        <v>5211</v>
      </c>
      <c r="AT478" s="71">
        <v>27.817</v>
      </c>
      <c r="AU478" s="89"/>
      <c r="AV478" s="162"/>
      <c r="AW478" s="81"/>
    </row>
    <row r="479" ht="15.75" customHeight="1">
      <c r="A479" s="87" t="s">
        <v>63</v>
      </c>
      <c r="B479" s="73"/>
      <c r="C479" s="57" t="s">
        <v>4901</v>
      </c>
      <c r="D479" s="123">
        <v>50.248492</v>
      </c>
      <c r="E479" s="123">
        <v>37.756265</v>
      </c>
      <c r="F479" s="190">
        <v>1.0</v>
      </c>
      <c r="G479" s="84" t="s">
        <v>5212</v>
      </c>
      <c r="H479" s="173" t="s">
        <v>66</v>
      </c>
      <c r="I479" s="75"/>
      <c r="J479" s="63" t="s">
        <v>5213</v>
      </c>
      <c r="K479" s="88" t="s">
        <v>5214</v>
      </c>
      <c r="L479" s="110" t="s">
        <v>79</v>
      </c>
      <c r="M479" s="92" t="s">
        <v>1325</v>
      </c>
      <c r="N479" s="92" t="s">
        <v>5215</v>
      </c>
      <c r="O479" s="111"/>
      <c r="P479" s="67" t="str">
        <f t="shared" si="1"/>
        <v>50.248492, 37.756265</v>
      </c>
      <c r="Q479" s="67" t="str">
        <f t="shared" si="2"/>
        <v>50.248298, 37.755628</v>
      </c>
      <c r="R479" s="67">
        <f t="shared" si="3"/>
        <v>50.248298</v>
      </c>
      <c r="S479" s="67">
        <f t="shared" si="4"/>
        <v>37.755628</v>
      </c>
      <c r="T479" s="161"/>
      <c r="U479" s="69"/>
      <c r="V479" s="65" t="s">
        <v>5216</v>
      </c>
      <c r="W479" s="71" t="s">
        <v>74</v>
      </c>
      <c r="X479" s="72" t="s">
        <v>75</v>
      </c>
      <c r="Y479" s="73"/>
      <c r="Z479" s="73"/>
      <c r="AA479" s="73"/>
      <c r="AB479" s="73"/>
      <c r="AC479" s="73"/>
      <c r="AD479" s="73"/>
      <c r="AE479" s="73"/>
      <c r="AF479" s="73"/>
      <c r="AG479" s="73"/>
      <c r="AH479" s="73"/>
      <c r="AI479" s="73"/>
      <c r="AJ479" s="75"/>
      <c r="AK479" s="76" t="s">
        <v>798</v>
      </c>
      <c r="AL479" s="83" t="s">
        <v>5217</v>
      </c>
      <c r="AM479" s="71" t="s">
        <v>5218</v>
      </c>
      <c r="AN479" s="84" t="s">
        <v>5219</v>
      </c>
      <c r="AO479" s="71" t="s">
        <v>5220</v>
      </c>
      <c r="AP479" s="161" t="str">
        <f>IMAGE("https://bellingcat-archive.nyc3.cdn.digitaloceanspaces.com/Ukraine_Witness_Datasheet/Worksheet/youtube_dl_1496180287126048769/out2.jpg")</f>
        <v/>
      </c>
      <c r="AQ479" s="84" t="s">
        <v>5221</v>
      </c>
      <c r="AR479" s="71" t="s">
        <v>5222</v>
      </c>
      <c r="AS479" s="71" t="s">
        <v>5223</v>
      </c>
      <c r="AT479" s="71">
        <v>15.746</v>
      </c>
      <c r="AU479" s="89"/>
      <c r="AV479" s="162"/>
      <c r="AW479" s="81"/>
    </row>
    <row r="480" ht="15.75" customHeight="1">
      <c r="A480" s="87" t="s">
        <v>63</v>
      </c>
      <c r="B480" s="73"/>
      <c r="C480" s="57" t="s">
        <v>4901</v>
      </c>
      <c r="D480" s="123">
        <v>50.21993</v>
      </c>
      <c r="E480" s="123">
        <v>38.11576</v>
      </c>
      <c r="F480" s="190">
        <v>1.0</v>
      </c>
      <c r="G480" s="84" t="s">
        <v>5224</v>
      </c>
      <c r="H480" s="173" t="s">
        <v>66</v>
      </c>
      <c r="I480" s="75"/>
      <c r="J480" s="63" t="s">
        <v>5225</v>
      </c>
      <c r="K480" s="88" t="s">
        <v>5226</v>
      </c>
      <c r="L480" s="110" t="s">
        <v>79</v>
      </c>
      <c r="M480" s="92" t="s">
        <v>1325</v>
      </c>
      <c r="N480" s="111"/>
      <c r="O480" s="92" t="s">
        <v>4787</v>
      </c>
      <c r="P480" s="67" t="str">
        <f t="shared" si="1"/>
        <v>50.21993, 38.11576</v>
      </c>
      <c r="Q480" s="67" t="str">
        <f t="shared" si="2"/>
        <v>50.219599, 38.116043</v>
      </c>
      <c r="R480" s="67">
        <f t="shared" si="3"/>
        <v>50.219599</v>
      </c>
      <c r="S480" s="67">
        <f t="shared" si="4"/>
        <v>38.116043</v>
      </c>
      <c r="T480" s="161"/>
      <c r="U480" s="69"/>
      <c r="V480" s="65" t="s">
        <v>5227</v>
      </c>
      <c r="W480" s="71" t="s">
        <v>74</v>
      </c>
      <c r="X480" s="72" t="s">
        <v>75</v>
      </c>
      <c r="Y480" s="73"/>
      <c r="Z480" s="73"/>
      <c r="AA480" s="73"/>
      <c r="AB480" s="73"/>
      <c r="AC480" s="73"/>
      <c r="AD480" s="73"/>
      <c r="AE480" s="73"/>
      <c r="AF480" s="73"/>
      <c r="AG480" s="73"/>
      <c r="AH480" s="73"/>
      <c r="AI480" s="73"/>
      <c r="AJ480" s="75"/>
      <c r="AK480" s="76" t="s">
        <v>798</v>
      </c>
      <c r="AL480" s="83" t="s">
        <v>5228</v>
      </c>
      <c r="AM480" s="71" t="s">
        <v>1734</v>
      </c>
      <c r="AN480" s="84" t="s">
        <v>5229</v>
      </c>
      <c r="AO480" s="71" t="s">
        <v>5230</v>
      </c>
      <c r="AP480" s="161" t="str">
        <f>IMAGE("https://bellingcat-archive.nyc3.cdn.digitaloceanspaces.com/Ukraine_Witness_Datasheet/Worksheet/youtube_dl_1496124505999171586/out2.jpg")</f>
        <v/>
      </c>
      <c r="AQ480" s="84" t="s">
        <v>5231</v>
      </c>
      <c r="AR480" s="71" t="s">
        <v>5232</v>
      </c>
      <c r="AS480" s="71" t="s">
        <v>5233</v>
      </c>
      <c r="AT480" s="71">
        <v>19.504</v>
      </c>
      <c r="AU480" s="89"/>
      <c r="AV480" s="162"/>
      <c r="AW480" s="81"/>
    </row>
    <row r="481" ht="15.75" customHeight="1">
      <c r="A481" s="87" t="s">
        <v>63</v>
      </c>
      <c r="B481" s="73"/>
      <c r="C481" s="57" t="s">
        <v>4901</v>
      </c>
      <c r="D481" s="74">
        <v>50.221814</v>
      </c>
      <c r="E481" s="74">
        <v>38.107179</v>
      </c>
      <c r="F481" s="190">
        <v>1.0</v>
      </c>
      <c r="G481" s="84" t="s">
        <v>5234</v>
      </c>
      <c r="H481" s="173" t="s">
        <v>66</v>
      </c>
      <c r="I481" s="75"/>
      <c r="J481" s="63" t="s">
        <v>5225</v>
      </c>
      <c r="K481" s="88" t="s">
        <v>5235</v>
      </c>
      <c r="L481" s="110" t="s">
        <v>79</v>
      </c>
      <c r="M481" s="92" t="s">
        <v>1325</v>
      </c>
      <c r="N481" s="111"/>
      <c r="O481" s="92" t="s">
        <v>4787</v>
      </c>
      <c r="P481" s="67" t="str">
        <f t="shared" si="1"/>
        <v>50.221814, 38.107179</v>
      </c>
      <c r="Q481" s="67" t="str">
        <f t="shared" si="2"/>
        <v>50.221331, 38.107538</v>
      </c>
      <c r="R481" s="67">
        <f t="shared" si="3"/>
        <v>50.221331</v>
      </c>
      <c r="S481" s="67">
        <f t="shared" si="4"/>
        <v>38.107538</v>
      </c>
      <c r="T481" s="161"/>
      <c r="U481" s="69"/>
      <c r="V481" s="65" t="s">
        <v>5236</v>
      </c>
      <c r="W481" s="71" t="s">
        <v>74</v>
      </c>
      <c r="X481" s="72" t="s">
        <v>75</v>
      </c>
      <c r="Y481" s="73"/>
      <c r="Z481" s="73"/>
      <c r="AA481" s="73"/>
      <c r="AB481" s="73"/>
      <c r="AC481" s="73"/>
      <c r="AD481" s="73"/>
      <c r="AE481" s="73"/>
      <c r="AF481" s="73"/>
      <c r="AG481" s="73"/>
      <c r="AH481" s="73"/>
      <c r="AI481" s="73"/>
      <c r="AJ481" s="75"/>
      <c r="AK481" s="76" t="s">
        <v>798</v>
      </c>
      <c r="AL481" s="83" t="s">
        <v>5237</v>
      </c>
      <c r="AM481" s="71" t="s">
        <v>5238</v>
      </c>
      <c r="AN481" s="84" t="s">
        <v>5239</v>
      </c>
      <c r="AO481" s="71" t="s">
        <v>5240</v>
      </c>
      <c r="AP481" s="161" t="str">
        <f>IMAGE("https://bellingcat-archive.nyc3.cdn.digitaloceanspaces.com/Ukraine_Witness_Datasheet/Worksheet/youtube_dl_1496238941741137933/out3.jpg")</f>
        <v/>
      </c>
      <c r="AQ481" s="84" t="s">
        <v>5241</v>
      </c>
      <c r="AR481" s="71" t="s">
        <v>5242</v>
      </c>
      <c r="AS481" s="71" t="s">
        <v>5243</v>
      </c>
      <c r="AT481" s="71">
        <v>60.952</v>
      </c>
      <c r="AU481" s="89"/>
      <c r="AV481" s="162"/>
      <c r="AW481" s="81"/>
    </row>
    <row r="482" ht="15.75" customHeight="1">
      <c r="A482" s="87" t="s">
        <v>63</v>
      </c>
      <c r="B482" s="73"/>
      <c r="C482" s="57" t="s">
        <v>4901</v>
      </c>
      <c r="D482" s="187">
        <v>51.604874</v>
      </c>
      <c r="E482" s="104">
        <v>34.591355</v>
      </c>
      <c r="F482" s="190">
        <v>1.0</v>
      </c>
      <c r="G482" s="84" t="s">
        <v>5244</v>
      </c>
      <c r="H482" s="173" t="s">
        <v>66</v>
      </c>
      <c r="I482" s="75"/>
      <c r="J482" s="63" t="s">
        <v>5245</v>
      </c>
      <c r="K482" s="88" t="s">
        <v>5246</v>
      </c>
      <c r="L482" s="110" t="s">
        <v>79</v>
      </c>
      <c r="M482" s="92" t="s">
        <v>946</v>
      </c>
      <c r="N482" s="92" t="s">
        <v>5247</v>
      </c>
      <c r="O482" s="111"/>
      <c r="P482" s="67" t="str">
        <f t="shared" si="1"/>
        <v>51.604874, 34.591355</v>
      </c>
      <c r="Q482" s="67" t="str">
        <f t="shared" si="2"/>
        <v>51.604646, 34.591901</v>
      </c>
      <c r="R482" s="67">
        <f t="shared" si="3"/>
        <v>51.604646</v>
      </c>
      <c r="S482" s="67">
        <f t="shared" si="4"/>
        <v>34.591901</v>
      </c>
      <c r="T482" s="161"/>
      <c r="U482" s="69"/>
      <c r="V482" s="65" t="s">
        <v>5248</v>
      </c>
      <c r="W482" s="71" t="s">
        <v>74</v>
      </c>
      <c r="X482" s="72" t="s">
        <v>75</v>
      </c>
      <c r="Y482" s="73"/>
      <c r="Z482" s="73"/>
      <c r="AA482" s="73"/>
      <c r="AB482" s="73"/>
      <c r="AC482" s="73"/>
      <c r="AD482" s="73"/>
      <c r="AE482" s="73"/>
      <c r="AF482" s="73"/>
      <c r="AG482" s="73"/>
      <c r="AH482" s="73"/>
      <c r="AI482" s="73"/>
      <c r="AJ482" s="75"/>
      <c r="AK482" s="76" t="s">
        <v>798</v>
      </c>
      <c r="AL482" s="83" t="s">
        <v>5249</v>
      </c>
      <c r="AM482" s="71" t="s">
        <v>5250</v>
      </c>
      <c r="AN482" s="84" t="s">
        <v>5251</v>
      </c>
      <c r="AO482" s="71" t="s">
        <v>5252</v>
      </c>
      <c r="AP482" s="161" t="str">
        <f>IMAGE("https://bellingcat-archive.nyc3.cdn.digitaloceanspaces.com/Ukraine_Witness_Datasheet/Worksheet/youtube_dl_1496249989676380166/out2.jpg")</f>
        <v/>
      </c>
      <c r="AQ482" s="84" t="s">
        <v>5253</v>
      </c>
      <c r="AR482" s="71" t="s">
        <v>5254</v>
      </c>
      <c r="AS482" s="71" t="s">
        <v>5255</v>
      </c>
      <c r="AT482" s="71">
        <v>29.1</v>
      </c>
      <c r="AU482" s="89"/>
      <c r="AV482" s="162"/>
      <c r="AW482" s="81"/>
    </row>
    <row r="483" ht="15.75" customHeight="1">
      <c r="A483" s="87" t="s">
        <v>63</v>
      </c>
      <c r="B483" s="73"/>
      <c r="C483" s="57" t="s">
        <v>5256</v>
      </c>
      <c r="D483" s="74">
        <v>47.798146</v>
      </c>
      <c r="E483" s="74">
        <v>40.167945</v>
      </c>
      <c r="F483" s="190">
        <v>1.0</v>
      </c>
      <c r="G483" s="84" t="s">
        <v>5257</v>
      </c>
      <c r="H483" s="173" t="s">
        <v>66</v>
      </c>
      <c r="I483" s="75"/>
      <c r="J483" s="63" t="s">
        <v>5105</v>
      </c>
      <c r="K483" s="114" t="s">
        <v>5258</v>
      </c>
      <c r="L483" s="110" t="s">
        <v>873</v>
      </c>
      <c r="M483" s="92" t="s">
        <v>4938</v>
      </c>
      <c r="N483" s="111"/>
      <c r="O483" s="111"/>
      <c r="P483" s="67" t="str">
        <f t="shared" si="1"/>
        <v>47.798146, 40.167945</v>
      </c>
      <c r="Q483" s="67" t="str">
        <f t="shared" si="2"/>
        <v>47.79802, 40.168743</v>
      </c>
      <c r="R483" s="67">
        <f t="shared" si="3"/>
        <v>47.79802</v>
      </c>
      <c r="S483" s="67">
        <f t="shared" si="4"/>
        <v>40.168743</v>
      </c>
      <c r="T483" s="161"/>
      <c r="U483" s="69"/>
      <c r="V483" s="65" t="s">
        <v>5259</v>
      </c>
      <c r="W483" s="71" t="s">
        <v>74</v>
      </c>
      <c r="X483" s="72" t="s">
        <v>75</v>
      </c>
      <c r="Y483" s="73"/>
      <c r="Z483" s="73"/>
      <c r="AA483" s="73"/>
      <c r="AB483" s="73"/>
      <c r="AC483" s="73"/>
      <c r="AD483" s="73"/>
      <c r="AE483" s="73"/>
      <c r="AF483" s="73"/>
      <c r="AG483" s="73"/>
      <c r="AH483" s="73"/>
      <c r="AI483" s="73"/>
      <c r="AJ483" s="75"/>
      <c r="AK483" s="76" t="s">
        <v>798</v>
      </c>
      <c r="AL483" s="83" t="s">
        <v>5260</v>
      </c>
      <c r="AM483" s="71" t="s">
        <v>5261</v>
      </c>
      <c r="AN483" s="84" t="s">
        <v>5262</v>
      </c>
      <c r="AO483" s="71" t="s">
        <v>5263</v>
      </c>
      <c r="AP483" s="161" t="str">
        <f>IMAGE("https://bellingcat-archive.nyc3.cdn.digitaloceanspaces.com/Ukraine_Witness_Datasheet/Worksheet/youtube_dl_1496302983495229440/out2.jpg")</f>
        <v/>
      </c>
      <c r="AQ483" s="84" t="s">
        <v>5264</v>
      </c>
      <c r="AR483" s="71" t="s">
        <v>5265</v>
      </c>
      <c r="AS483" s="71" t="s">
        <v>5266</v>
      </c>
      <c r="AT483" s="71">
        <v>20.417</v>
      </c>
      <c r="AU483" s="89"/>
      <c r="AV483" s="162"/>
      <c r="AW483" s="81"/>
    </row>
    <row r="484" ht="15.75" customHeight="1">
      <c r="A484" s="87" t="s">
        <v>63</v>
      </c>
      <c r="B484" s="73"/>
      <c r="C484" s="57" t="s">
        <v>5256</v>
      </c>
      <c r="D484" s="123">
        <v>50.5801154</v>
      </c>
      <c r="E484" s="123">
        <v>35.9567389</v>
      </c>
      <c r="F484" s="190">
        <v>1.0</v>
      </c>
      <c r="G484" s="84" t="s">
        <v>5267</v>
      </c>
      <c r="H484" s="173" t="s">
        <v>66</v>
      </c>
      <c r="I484" s="75"/>
      <c r="J484" s="63" t="s">
        <v>5105</v>
      </c>
      <c r="K484" s="88" t="s">
        <v>5268</v>
      </c>
      <c r="L484" s="110" t="s">
        <v>79</v>
      </c>
      <c r="M484" s="92" t="s">
        <v>1325</v>
      </c>
      <c r="N484" s="111"/>
      <c r="O484" s="92" t="s">
        <v>4915</v>
      </c>
      <c r="P484" s="67" t="str">
        <f t="shared" si="1"/>
        <v>50.5801154, 35.9567389</v>
      </c>
      <c r="Q484" s="67" t="str">
        <f t="shared" si="2"/>
        <v>50.57979, 35.957069</v>
      </c>
      <c r="R484" s="67">
        <f t="shared" si="3"/>
        <v>50.57979</v>
      </c>
      <c r="S484" s="67">
        <f t="shared" si="4"/>
        <v>35.957069</v>
      </c>
      <c r="T484" s="161"/>
      <c r="U484" s="69"/>
      <c r="V484" s="65" t="s">
        <v>5269</v>
      </c>
      <c r="W484" s="71" t="s">
        <v>74</v>
      </c>
      <c r="X484" s="72" t="s">
        <v>75</v>
      </c>
      <c r="Y484" s="73"/>
      <c r="Z484" s="73"/>
      <c r="AA484" s="73"/>
      <c r="AB484" s="73"/>
      <c r="AC484" s="73"/>
      <c r="AD484" s="73"/>
      <c r="AE484" s="73"/>
      <c r="AF484" s="73"/>
      <c r="AG484" s="73"/>
      <c r="AH484" s="73"/>
      <c r="AI484" s="73"/>
      <c r="AJ484" s="75"/>
      <c r="AK484" s="76" t="s">
        <v>798</v>
      </c>
      <c r="AL484" s="83" t="s">
        <v>5270</v>
      </c>
      <c r="AM484" s="71" t="s">
        <v>5271</v>
      </c>
      <c r="AN484" s="84" t="s">
        <v>5272</v>
      </c>
      <c r="AO484" s="71" t="s">
        <v>5273</v>
      </c>
      <c r="AP484" s="161" t="str">
        <f>IMAGE("https://bellingcat-archive.nyc3.cdn.digitaloceanspaces.com/Ukraine_Witness_Datasheet/Worksheet/youtube_dl_1496326525280468993/out2.jpg")</f>
        <v/>
      </c>
      <c r="AQ484" s="84" t="s">
        <v>5274</v>
      </c>
      <c r="AR484" s="71" t="s">
        <v>1794</v>
      </c>
      <c r="AS484" s="71" t="s">
        <v>5275</v>
      </c>
      <c r="AT484" s="71">
        <v>18.229</v>
      </c>
      <c r="AU484" s="89"/>
      <c r="AV484" s="162"/>
      <c r="AW484" s="81"/>
    </row>
    <row r="485" ht="15.75" customHeight="1">
      <c r="A485" s="87" t="s">
        <v>2580</v>
      </c>
      <c r="B485" s="73"/>
      <c r="C485" s="57" t="s">
        <v>4901</v>
      </c>
      <c r="D485" s="74">
        <v>50.672797</v>
      </c>
      <c r="E485" s="74">
        <v>36.147839</v>
      </c>
      <c r="F485" s="189">
        <v>1.0</v>
      </c>
      <c r="G485" s="84" t="s">
        <v>5276</v>
      </c>
      <c r="H485" s="167" t="s">
        <v>66</v>
      </c>
      <c r="I485" s="75"/>
      <c r="J485" s="63" t="s">
        <v>5225</v>
      </c>
      <c r="K485" s="88" t="s">
        <v>5277</v>
      </c>
      <c r="L485" s="110" t="s">
        <v>79</v>
      </c>
      <c r="M485" s="92" t="s">
        <v>1325</v>
      </c>
      <c r="N485" s="111"/>
      <c r="O485" s="92" t="s">
        <v>3609</v>
      </c>
      <c r="P485" s="67" t="str">
        <f t="shared" si="1"/>
        <v>50.672797, 36.147839</v>
      </c>
      <c r="Q485" s="67" t="str">
        <f t="shared" si="2"/>
        <v>50.672562, 36.148458</v>
      </c>
      <c r="R485" s="67">
        <f t="shared" si="3"/>
        <v>50.672562</v>
      </c>
      <c r="S485" s="67">
        <f t="shared" si="4"/>
        <v>36.148458</v>
      </c>
      <c r="T485" s="161"/>
      <c r="U485" s="69"/>
      <c r="V485" s="65" t="s">
        <v>5278</v>
      </c>
      <c r="W485" s="71" t="s">
        <v>74</v>
      </c>
      <c r="X485" s="72" t="s">
        <v>75</v>
      </c>
      <c r="Y485" s="73"/>
      <c r="Z485" s="73"/>
      <c r="AA485" s="73"/>
      <c r="AB485" s="73"/>
      <c r="AC485" s="73"/>
      <c r="AD485" s="73"/>
      <c r="AE485" s="73"/>
      <c r="AF485" s="73"/>
      <c r="AG485" s="73"/>
      <c r="AH485" s="73"/>
      <c r="AI485" s="73"/>
      <c r="AJ485" s="75"/>
      <c r="AK485" s="76" t="s">
        <v>798</v>
      </c>
      <c r="AL485" s="83" t="s">
        <v>5279</v>
      </c>
      <c r="AM485" s="71" t="s">
        <v>5280</v>
      </c>
      <c r="AN485" s="84" t="s">
        <v>5281</v>
      </c>
      <c r="AO485" s="71" t="s">
        <v>5282</v>
      </c>
      <c r="AP485" s="161" t="str">
        <f>IMAGE("https://bellingcat-archive.nyc3.cdn.digitaloceanspaces.com/Ukraine_Witness_Datasheet/Worksheet/youtube_dl_1496140293908963329/out3.jpg")</f>
        <v/>
      </c>
      <c r="AQ485" s="84" t="s">
        <v>5283</v>
      </c>
      <c r="AR485" s="71" t="s">
        <v>3781</v>
      </c>
      <c r="AS485" s="71" t="s">
        <v>5284</v>
      </c>
      <c r="AT485" s="71">
        <v>87.827</v>
      </c>
      <c r="AU485" s="89"/>
      <c r="AV485" s="162"/>
      <c r="AW485" s="81"/>
    </row>
    <row r="486" ht="15.75" customHeight="1">
      <c r="A486" s="87" t="s">
        <v>2580</v>
      </c>
      <c r="B486" s="73"/>
      <c r="C486" s="57" t="s">
        <v>4694</v>
      </c>
      <c r="D486" s="74">
        <v>45.400302</v>
      </c>
      <c r="E486" s="74">
        <v>33.144544</v>
      </c>
      <c r="F486" s="59">
        <v>1.0</v>
      </c>
      <c r="G486" s="84" t="s">
        <v>5285</v>
      </c>
      <c r="H486" s="167" t="s">
        <v>66</v>
      </c>
      <c r="I486" s="75"/>
      <c r="J486" s="63" t="s">
        <v>5286</v>
      </c>
      <c r="K486" s="88" t="s">
        <v>5287</v>
      </c>
      <c r="L486" s="134"/>
      <c r="M486" s="92" t="s">
        <v>407</v>
      </c>
      <c r="N486" s="111"/>
      <c r="O486" s="111"/>
      <c r="P486" s="67" t="str">
        <f t="shared" si="1"/>
        <v>45.400302, 33.144544</v>
      </c>
      <c r="Q486" s="67" t="str">
        <f t="shared" si="2"/>
        <v>45.400094, 33.143375</v>
      </c>
      <c r="R486" s="67">
        <f t="shared" si="3"/>
        <v>45.400094</v>
      </c>
      <c r="S486" s="67">
        <f t="shared" si="4"/>
        <v>33.143375</v>
      </c>
      <c r="T486" s="161"/>
      <c r="U486" s="69"/>
      <c r="V486" s="65" t="s">
        <v>5288</v>
      </c>
      <c r="W486" s="71" t="s">
        <v>74</v>
      </c>
      <c r="X486" s="72" t="s">
        <v>75</v>
      </c>
      <c r="Y486" s="73"/>
      <c r="Z486" s="73"/>
      <c r="AA486" s="73"/>
      <c r="AB486" s="73"/>
      <c r="AC486" s="73"/>
      <c r="AD486" s="73"/>
      <c r="AE486" s="73"/>
      <c r="AF486" s="73"/>
      <c r="AG486" s="73"/>
      <c r="AH486" s="73"/>
      <c r="AI486" s="73"/>
      <c r="AJ486" s="75"/>
      <c r="AK486" s="76" t="s">
        <v>2108</v>
      </c>
      <c r="AL486" s="83" t="s">
        <v>5289</v>
      </c>
      <c r="AM486" s="71" t="s">
        <v>5290</v>
      </c>
      <c r="AN486" s="84" t="s">
        <v>5291</v>
      </c>
      <c r="AO486" s="71" t="s">
        <v>5292</v>
      </c>
      <c r="AP486" s="161" t="str">
        <f>IMAGE("https://bellingcat-archive.nyc3.cdn.digitaloceanspaces.com/Ukraine_Witness_Datasheet/Worksheet/twitter__media_FMO05T7XMAMtN7A.jpg")</f>
        <v/>
      </c>
      <c r="AQ486" s="161"/>
      <c r="AR486" s="161"/>
      <c r="AS486" s="161"/>
      <c r="AT486" s="161"/>
      <c r="AU486" s="89"/>
      <c r="AV486" s="162"/>
      <c r="AW486" s="81"/>
    </row>
    <row r="487" ht="15.75" customHeight="1">
      <c r="A487" s="87" t="s">
        <v>2580</v>
      </c>
      <c r="B487" s="73"/>
      <c r="C487" s="57" t="s">
        <v>5256</v>
      </c>
      <c r="D487" s="74">
        <v>51.986542</v>
      </c>
      <c r="E487" s="74">
        <v>29.157015</v>
      </c>
      <c r="F487" s="59">
        <v>1.0</v>
      </c>
      <c r="G487" s="84" t="s">
        <v>5293</v>
      </c>
      <c r="H487" s="167" t="s">
        <v>66</v>
      </c>
      <c r="I487" s="75"/>
      <c r="J487" s="63" t="s">
        <v>5286</v>
      </c>
      <c r="K487" s="88" t="s">
        <v>5294</v>
      </c>
      <c r="L487" s="110" t="s">
        <v>69</v>
      </c>
      <c r="M487" s="92" t="s">
        <v>5295</v>
      </c>
      <c r="N487" s="111"/>
      <c r="O487" s="111"/>
      <c r="P487" s="67" t="str">
        <f t="shared" si="1"/>
        <v>51.986542, 29.157015</v>
      </c>
      <c r="Q487" s="67" t="str">
        <f t="shared" si="2"/>
        <v>51.986361, 29.156466</v>
      </c>
      <c r="R487" s="67">
        <f t="shared" si="3"/>
        <v>51.986361</v>
      </c>
      <c r="S487" s="67">
        <f t="shared" si="4"/>
        <v>29.156466</v>
      </c>
      <c r="T487" s="161"/>
      <c r="U487" s="69"/>
      <c r="V487" s="65" t="s">
        <v>5296</v>
      </c>
      <c r="W487" s="71" t="s">
        <v>74</v>
      </c>
      <c r="X487" s="72" t="s">
        <v>75</v>
      </c>
      <c r="Y487" s="73"/>
      <c r="Z487" s="73"/>
      <c r="AA487" s="73"/>
      <c r="AB487" s="73"/>
      <c r="AC487" s="73"/>
      <c r="AD487" s="73"/>
      <c r="AE487" s="73"/>
      <c r="AF487" s="73"/>
      <c r="AG487" s="73"/>
      <c r="AH487" s="73"/>
      <c r="AI487" s="73"/>
      <c r="AJ487" s="75"/>
      <c r="AK487" s="76" t="s">
        <v>798</v>
      </c>
      <c r="AL487" s="83" t="s">
        <v>5297</v>
      </c>
      <c r="AM487" s="71" t="s">
        <v>5298</v>
      </c>
      <c r="AN487" s="84" t="s">
        <v>5299</v>
      </c>
      <c r="AO487" s="71" t="s">
        <v>5300</v>
      </c>
      <c r="AP487" s="161" t="str">
        <f>IMAGE("https://bellingcat-archive.nyc3.cdn.digitaloceanspaces.com/Ukraine_Witness_Datasheet/Worksheet/youtube_dl_1496283968655839240/out1.jpg")</f>
        <v/>
      </c>
      <c r="AQ487" s="84" t="s">
        <v>5301</v>
      </c>
      <c r="AR487" s="71" t="s">
        <v>5302</v>
      </c>
      <c r="AS487" s="71" t="s">
        <v>5303</v>
      </c>
      <c r="AT487" s="161"/>
      <c r="AU487" s="89"/>
      <c r="AV487" s="162"/>
      <c r="AW487" s="81"/>
    </row>
    <row r="488" ht="15.75" customHeight="1">
      <c r="A488" s="87" t="s">
        <v>2580</v>
      </c>
      <c r="B488" s="73"/>
      <c r="C488" s="57" t="s">
        <v>4694</v>
      </c>
      <c r="D488" s="74">
        <v>50.698546</v>
      </c>
      <c r="E488" s="104">
        <v>36.291753</v>
      </c>
      <c r="F488" s="59">
        <v>1.0</v>
      </c>
      <c r="G488" s="84" t="s">
        <v>5304</v>
      </c>
      <c r="H488" s="61" t="s">
        <v>66</v>
      </c>
      <c r="I488" s="75"/>
      <c r="J488" s="63" t="s">
        <v>5305</v>
      </c>
      <c r="K488" s="88" t="s">
        <v>5306</v>
      </c>
      <c r="L488" s="110" t="s">
        <v>79</v>
      </c>
      <c r="M488" s="92" t="s">
        <v>1325</v>
      </c>
      <c r="N488" s="111"/>
      <c r="O488" s="92" t="s">
        <v>3074</v>
      </c>
      <c r="P488" s="67" t="str">
        <f t="shared" si="1"/>
        <v>50.698546, 36.291753</v>
      </c>
      <c r="Q488" s="67" t="str">
        <f t="shared" si="2"/>
        <v>50.69795, 36.292565</v>
      </c>
      <c r="R488" s="67">
        <f t="shared" si="3"/>
        <v>50.69795</v>
      </c>
      <c r="S488" s="67">
        <f t="shared" si="4"/>
        <v>36.292565</v>
      </c>
      <c r="T488" s="161"/>
      <c r="U488" s="69"/>
      <c r="V488" s="65" t="s">
        <v>5307</v>
      </c>
      <c r="W488" s="71" t="s">
        <v>74</v>
      </c>
      <c r="X488" s="72" t="s">
        <v>75</v>
      </c>
      <c r="Y488" s="73"/>
      <c r="Z488" s="73"/>
      <c r="AA488" s="73"/>
      <c r="AB488" s="73"/>
      <c r="AC488" s="73"/>
      <c r="AD488" s="73"/>
      <c r="AE488" s="73"/>
      <c r="AF488" s="73"/>
      <c r="AG488" s="73"/>
      <c r="AH488" s="73"/>
      <c r="AI488" s="73"/>
      <c r="AJ488" s="75"/>
      <c r="AK488" s="76" t="s">
        <v>798</v>
      </c>
      <c r="AL488" s="83" t="s">
        <v>5308</v>
      </c>
      <c r="AM488" s="71" t="s">
        <v>5309</v>
      </c>
      <c r="AN488" s="84" t="s">
        <v>5310</v>
      </c>
      <c r="AO488" s="71" t="s">
        <v>3902</v>
      </c>
      <c r="AP488" s="161" t="str">
        <f>IMAGE("https://bellingcat-archive.nyc3.cdn.digitaloceanspaces.com/Ukraine_Witness_Datasheet/Worksheet/youtube_dl_1494137731143720961/out2.jpg")</f>
        <v/>
      </c>
      <c r="AQ488" s="84" t="s">
        <v>5311</v>
      </c>
      <c r="AR488" s="71" t="s">
        <v>5312</v>
      </c>
      <c r="AS488" s="71" t="s">
        <v>5313</v>
      </c>
      <c r="AT488" s="71">
        <v>17.379</v>
      </c>
      <c r="AU488" s="89"/>
      <c r="AV488" s="162"/>
      <c r="AW488" s="81"/>
    </row>
    <row r="489" ht="15.75" customHeight="1">
      <c r="A489" s="87" t="s">
        <v>2580</v>
      </c>
      <c r="B489" s="73"/>
      <c r="C489" s="57" t="s">
        <v>4901</v>
      </c>
      <c r="D489" s="74">
        <v>52.082705</v>
      </c>
      <c r="E489" s="74">
        <v>30.547159</v>
      </c>
      <c r="F489" s="59">
        <v>1.0</v>
      </c>
      <c r="G489" s="84" t="s">
        <v>5314</v>
      </c>
      <c r="H489" s="61" t="s">
        <v>66</v>
      </c>
      <c r="I489" s="75"/>
      <c r="J489" s="63" t="s">
        <v>5315</v>
      </c>
      <c r="K489" s="88" t="s">
        <v>5316</v>
      </c>
      <c r="L489" s="110" t="s">
        <v>79</v>
      </c>
      <c r="M489" s="92" t="s">
        <v>5317</v>
      </c>
      <c r="N489" s="111"/>
      <c r="O489" s="111"/>
      <c r="P489" s="67" t="str">
        <f t="shared" si="1"/>
        <v>52.082705, 30.547159</v>
      </c>
      <c r="Q489" s="67" t="str">
        <f t="shared" si="2"/>
        <v>52.082182, 30.547283</v>
      </c>
      <c r="R489" s="67">
        <f t="shared" si="3"/>
        <v>52.082182</v>
      </c>
      <c r="S489" s="67">
        <f t="shared" si="4"/>
        <v>30.547283</v>
      </c>
      <c r="T489" s="161"/>
      <c r="U489" s="69"/>
      <c r="V489" s="65" t="s">
        <v>5318</v>
      </c>
      <c r="W489" s="71" t="s">
        <v>74</v>
      </c>
      <c r="X489" s="72" t="s">
        <v>75</v>
      </c>
      <c r="Y489" s="73"/>
      <c r="Z489" s="73"/>
      <c r="AA489" s="73"/>
      <c r="AB489" s="73"/>
      <c r="AC489" s="73"/>
      <c r="AD489" s="73"/>
      <c r="AE489" s="73"/>
      <c r="AF489" s="73"/>
      <c r="AG489" s="73"/>
      <c r="AH489" s="73"/>
      <c r="AI489" s="73"/>
      <c r="AJ489" s="75"/>
      <c r="AK489" s="76" t="s">
        <v>798</v>
      </c>
      <c r="AL489" s="83" t="s">
        <v>5319</v>
      </c>
      <c r="AM489" s="71" t="s">
        <v>5320</v>
      </c>
      <c r="AN489" s="84" t="s">
        <v>5321</v>
      </c>
      <c r="AO489" s="71" t="s">
        <v>5322</v>
      </c>
      <c r="AP489" s="161" t="str">
        <f>IMAGE("https://bellingcat-archive.nyc3.cdn.digitaloceanspaces.com/Ukraine_Witness_Datasheet/Worksheet/youtube_dl_1496146336982384643/out3.jpg")</f>
        <v/>
      </c>
      <c r="AQ489" s="84" t="s">
        <v>5323</v>
      </c>
      <c r="AR489" s="71" t="s">
        <v>5324</v>
      </c>
      <c r="AS489" s="71" t="s">
        <v>5325</v>
      </c>
      <c r="AT489" s="71">
        <v>103.6</v>
      </c>
      <c r="AU489" s="89"/>
      <c r="AV489" s="162"/>
      <c r="AW489" s="81"/>
    </row>
    <row r="490" ht="15.75" customHeight="1">
      <c r="A490" s="87" t="s">
        <v>2580</v>
      </c>
      <c r="B490" s="73"/>
      <c r="C490" s="57" t="s">
        <v>4417</v>
      </c>
      <c r="D490" s="123">
        <v>51.315182</v>
      </c>
      <c r="E490" s="123">
        <v>36.01024</v>
      </c>
      <c r="F490" s="59">
        <v>1.0</v>
      </c>
      <c r="G490" s="84" t="s">
        <v>5326</v>
      </c>
      <c r="H490" s="61" t="s">
        <v>66</v>
      </c>
      <c r="I490" s="75"/>
      <c r="J490" s="63" t="s">
        <v>1278</v>
      </c>
      <c r="K490" s="88" t="s">
        <v>5327</v>
      </c>
      <c r="L490" s="110" t="s">
        <v>79</v>
      </c>
      <c r="M490" s="92" t="s">
        <v>946</v>
      </c>
      <c r="N490" s="92" t="s">
        <v>5328</v>
      </c>
      <c r="O490" s="111"/>
      <c r="P490" s="67" t="str">
        <f t="shared" si="1"/>
        <v>51.315182, 36.01024</v>
      </c>
      <c r="Q490" s="67" t="str">
        <f t="shared" si="2"/>
        <v>51.314692, 36.009672</v>
      </c>
      <c r="R490" s="67">
        <f t="shared" si="3"/>
        <v>51.314692</v>
      </c>
      <c r="S490" s="67">
        <f t="shared" si="4"/>
        <v>36.009672</v>
      </c>
      <c r="T490" s="161"/>
      <c r="U490" s="69"/>
      <c r="V490" s="65" t="s">
        <v>5329</v>
      </c>
      <c r="W490" s="71" t="s">
        <v>74</v>
      </c>
      <c r="X490" s="72" t="s">
        <v>75</v>
      </c>
      <c r="Y490" s="73"/>
      <c r="Z490" s="73"/>
      <c r="AA490" s="73"/>
      <c r="AB490" s="73"/>
      <c r="AC490" s="73"/>
      <c r="AD490" s="73"/>
      <c r="AE490" s="73"/>
      <c r="AF490" s="73"/>
      <c r="AG490" s="73"/>
      <c r="AH490" s="73"/>
      <c r="AI490" s="73"/>
      <c r="AJ490" s="75"/>
      <c r="AK490" s="76" t="s">
        <v>798</v>
      </c>
      <c r="AL490" s="83" t="s">
        <v>5330</v>
      </c>
      <c r="AM490" s="71" t="s">
        <v>5331</v>
      </c>
      <c r="AN490" s="84" t="s">
        <v>5332</v>
      </c>
      <c r="AO490" s="71" t="s">
        <v>5333</v>
      </c>
      <c r="AP490" s="161" t="str">
        <f>IMAGE("https://bellingcat-archive.nyc3.cdn.digitaloceanspaces.com/Ukraine_Witness_Datasheet/Worksheet/youtube_dl_1495478565923655696/out3.jpg")</f>
        <v/>
      </c>
      <c r="AQ490" s="84" t="s">
        <v>5334</v>
      </c>
      <c r="AR490" s="71" t="s">
        <v>1794</v>
      </c>
      <c r="AS490" s="71" t="s">
        <v>5335</v>
      </c>
      <c r="AT490" s="71">
        <v>94.04</v>
      </c>
      <c r="AU490" s="89"/>
      <c r="AV490" s="162"/>
      <c r="AW490" s="81"/>
    </row>
    <row r="491" ht="15.75" customHeight="1">
      <c r="A491" s="87" t="s">
        <v>2580</v>
      </c>
      <c r="B491" s="73"/>
      <c r="C491" s="57" t="s">
        <v>4901</v>
      </c>
      <c r="D491" s="123">
        <v>51.077573</v>
      </c>
      <c r="E491" s="123">
        <v>37.209061</v>
      </c>
      <c r="F491" s="59">
        <v>1.0</v>
      </c>
      <c r="G491" s="84" t="s">
        <v>5336</v>
      </c>
      <c r="H491" s="61" t="s">
        <v>66</v>
      </c>
      <c r="I491" s="75"/>
      <c r="J491" s="63" t="s">
        <v>5337</v>
      </c>
      <c r="K491" s="88" t="s">
        <v>5338</v>
      </c>
      <c r="L491" s="110" t="s">
        <v>79</v>
      </c>
      <c r="M491" s="92" t="s">
        <v>1325</v>
      </c>
      <c r="N491" s="92" t="s">
        <v>5339</v>
      </c>
      <c r="O491" s="111"/>
      <c r="P491" s="67" t="str">
        <f t="shared" si="1"/>
        <v>51.077573, 37.209061</v>
      </c>
      <c r="Q491" s="67" t="str">
        <f t="shared" si="2"/>
        <v>51.077021, 37.209482</v>
      </c>
      <c r="R491" s="67">
        <f t="shared" si="3"/>
        <v>51.077021</v>
      </c>
      <c r="S491" s="67">
        <f t="shared" si="4"/>
        <v>37.209482</v>
      </c>
      <c r="T491" s="161"/>
      <c r="U491" s="69"/>
      <c r="V491" s="65" t="s">
        <v>5340</v>
      </c>
      <c r="W491" s="71" t="s">
        <v>74</v>
      </c>
      <c r="X491" s="72" t="s">
        <v>75</v>
      </c>
      <c r="Y491" s="73"/>
      <c r="Z491" s="73"/>
      <c r="AA491" s="73"/>
      <c r="AB491" s="73"/>
      <c r="AC491" s="73"/>
      <c r="AD491" s="73"/>
      <c r="AE491" s="73"/>
      <c r="AF491" s="73"/>
      <c r="AG491" s="73"/>
      <c r="AH491" s="73"/>
      <c r="AI491" s="73"/>
      <c r="AJ491" s="75"/>
      <c r="AK491" s="76" t="s">
        <v>798</v>
      </c>
      <c r="AL491" s="83" t="s">
        <v>5341</v>
      </c>
      <c r="AM491" s="71" t="s">
        <v>1610</v>
      </c>
      <c r="AN491" s="84" t="s">
        <v>5342</v>
      </c>
      <c r="AO491" s="71" t="s">
        <v>5343</v>
      </c>
      <c r="AP491" s="161" t="str">
        <f>IMAGE("https://bellingcat-archive.nyc3.cdn.digitaloceanspaces.com/Ukraine_Witness_Datasheet/Worksheet/youtube_dl_1496187284177264652/out2.jpg")</f>
        <v/>
      </c>
      <c r="AQ491" s="84" t="s">
        <v>5344</v>
      </c>
      <c r="AR491" s="71" t="s">
        <v>5345</v>
      </c>
      <c r="AS491" s="71" t="s">
        <v>5346</v>
      </c>
      <c r="AT491" s="71">
        <v>44.821</v>
      </c>
      <c r="AU491" s="89"/>
      <c r="AV491" s="162"/>
      <c r="AW491" s="81"/>
    </row>
    <row r="492" ht="15.75" customHeight="1">
      <c r="A492" s="95" t="s">
        <v>63</v>
      </c>
      <c r="B492" s="73"/>
      <c r="C492" s="57" t="s">
        <v>5256</v>
      </c>
      <c r="D492" s="74">
        <v>50.802422</v>
      </c>
      <c r="E492" s="74">
        <v>35.658992</v>
      </c>
      <c r="F492" s="59">
        <v>1.0</v>
      </c>
      <c r="G492" s="84" t="s">
        <v>5347</v>
      </c>
      <c r="H492" s="61" t="s">
        <v>66</v>
      </c>
      <c r="I492" s="75"/>
      <c r="J492" s="63" t="s">
        <v>5348</v>
      </c>
      <c r="K492" s="69"/>
      <c r="L492" s="110" t="s">
        <v>79</v>
      </c>
      <c r="M492" s="92" t="s">
        <v>1325</v>
      </c>
      <c r="N492" s="111"/>
      <c r="O492" s="92" t="s">
        <v>3285</v>
      </c>
      <c r="P492" s="67" t="str">
        <f t="shared" si="1"/>
        <v>50.802422, 35.658992</v>
      </c>
      <c r="Q492" s="67" t="str">
        <f t="shared" si="2"/>
        <v>50.801939, 35.658515</v>
      </c>
      <c r="R492" s="67">
        <f t="shared" si="3"/>
        <v>50.801939</v>
      </c>
      <c r="S492" s="67">
        <f t="shared" si="4"/>
        <v>35.658515</v>
      </c>
      <c r="T492" s="161"/>
      <c r="U492" s="69"/>
      <c r="V492" s="65" t="s">
        <v>5349</v>
      </c>
      <c r="W492" s="71" t="s">
        <v>74</v>
      </c>
      <c r="X492" s="72" t="s">
        <v>75</v>
      </c>
      <c r="Y492" s="73"/>
      <c r="Z492" s="73"/>
      <c r="AA492" s="73"/>
      <c r="AB492" s="73"/>
      <c r="AC492" s="73"/>
      <c r="AD492" s="73"/>
      <c r="AE492" s="73"/>
      <c r="AF492" s="73"/>
      <c r="AG492" s="73"/>
      <c r="AH492" s="73"/>
      <c r="AI492" s="73"/>
      <c r="AJ492" s="75"/>
      <c r="AK492" s="76" t="s">
        <v>798</v>
      </c>
      <c r="AL492" s="83" t="s">
        <v>5350</v>
      </c>
      <c r="AM492" s="71" t="s">
        <v>5351</v>
      </c>
      <c r="AN492" s="84" t="s">
        <v>5352</v>
      </c>
      <c r="AO492" s="71" t="s">
        <v>5353</v>
      </c>
      <c r="AP492" s="161" t="str">
        <f>IMAGE("https://bellingcat-archive.nyc3.cdn.digitaloceanspaces.com/Ukraine_Witness_Datasheet/Worksheet/youtube_dl_1496422142648410115/out2.jpg")</f>
        <v/>
      </c>
      <c r="AQ492" s="84" t="s">
        <v>5354</v>
      </c>
      <c r="AR492" s="71" t="s">
        <v>5355</v>
      </c>
      <c r="AS492" s="71" t="s">
        <v>5356</v>
      </c>
      <c r="AT492" s="71">
        <v>57.31</v>
      </c>
      <c r="AU492" s="89"/>
      <c r="AV492" s="162"/>
      <c r="AW492" s="81"/>
    </row>
    <row r="493" ht="15.75" customHeight="1">
      <c r="A493" s="87" t="s">
        <v>63</v>
      </c>
      <c r="B493" s="73"/>
      <c r="C493" s="57" t="s">
        <v>5256</v>
      </c>
      <c r="D493" s="74">
        <v>50.367012</v>
      </c>
      <c r="E493" s="74">
        <v>38.41578</v>
      </c>
      <c r="F493" s="59">
        <v>1.0</v>
      </c>
      <c r="G493" s="84" t="s">
        <v>5357</v>
      </c>
      <c r="H493" s="61" t="s">
        <v>66</v>
      </c>
      <c r="I493" s="75"/>
      <c r="J493" s="63" t="s">
        <v>5024</v>
      </c>
      <c r="K493" s="88" t="s">
        <v>5358</v>
      </c>
      <c r="L493" s="110" t="s">
        <v>79</v>
      </c>
      <c r="M493" s="92" t="s">
        <v>1325</v>
      </c>
      <c r="N493" s="111"/>
      <c r="O493" s="92" t="s">
        <v>5359</v>
      </c>
      <c r="P493" s="67" t="str">
        <f t="shared" si="1"/>
        <v>50.367012, 38.41578</v>
      </c>
      <c r="Q493" s="67" t="str">
        <f t="shared" si="2"/>
        <v>50.366956, 38.416605</v>
      </c>
      <c r="R493" s="67">
        <f t="shared" si="3"/>
        <v>50.366956</v>
      </c>
      <c r="S493" s="67">
        <f t="shared" si="4"/>
        <v>38.416605</v>
      </c>
      <c r="T493" s="161"/>
      <c r="U493" s="69"/>
      <c r="V493" s="65" t="s">
        <v>5360</v>
      </c>
      <c r="W493" s="71" t="s">
        <v>74</v>
      </c>
      <c r="X493" s="72" t="s">
        <v>75</v>
      </c>
      <c r="Y493" s="73"/>
      <c r="Z493" s="73"/>
      <c r="AA493" s="73"/>
      <c r="AB493" s="73"/>
      <c r="AC493" s="73"/>
      <c r="AD493" s="73"/>
      <c r="AE493" s="73"/>
      <c r="AF493" s="73"/>
      <c r="AG493" s="73"/>
      <c r="AH493" s="73"/>
      <c r="AI493" s="73"/>
      <c r="AJ493" s="75"/>
      <c r="AK493" s="76" t="s">
        <v>798</v>
      </c>
      <c r="AL493" s="83" t="s">
        <v>5361</v>
      </c>
      <c r="AM493" s="71" t="s">
        <v>5362</v>
      </c>
      <c r="AN493" s="84" t="s">
        <v>5363</v>
      </c>
      <c r="AO493" s="71" t="s">
        <v>5364</v>
      </c>
      <c r="AP493" s="161" t="str">
        <f>IMAGE("https://bellingcat-archive.nyc3.cdn.digitaloceanspaces.com/Ukraine_Witness_Datasheet/Worksheet/youtube_dl_1496419288932044800/out3.jpg")</f>
        <v/>
      </c>
      <c r="AQ493" s="84" t="s">
        <v>5365</v>
      </c>
      <c r="AR493" s="71" t="s">
        <v>1838</v>
      </c>
      <c r="AS493" s="71" t="s">
        <v>5366</v>
      </c>
      <c r="AT493" s="71">
        <v>60.099</v>
      </c>
      <c r="AU493" s="89"/>
      <c r="AV493" s="162"/>
      <c r="AW493" s="81"/>
    </row>
    <row r="494" ht="15.75" customHeight="1">
      <c r="A494" s="144" t="s">
        <v>3944</v>
      </c>
      <c r="B494" s="73"/>
      <c r="C494" s="57" t="s">
        <v>4694</v>
      </c>
      <c r="D494" s="74">
        <v>51.986053</v>
      </c>
      <c r="E494" s="74">
        <v>29.160662</v>
      </c>
      <c r="F494" s="59">
        <v>1.0</v>
      </c>
      <c r="G494" s="193" t="s">
        <v>5367</v>
      </c>
      <c r="H494" s="61" t="s">
        <v>5368</v>
      </c>
      <c r="I494" s="75"/>
      <c r="J494" s="63" t="s">
        <v>5369</v>
      </c>
      <c r="K494" s="69"/>
      <c r="L494" s="134"/>
      <c r="M494" s="111"/>
      <c r="N494" s="111"/>
      <c r="O494" s="111"/>
      <c r="P494" s="67" t="str">
        <f t="shared" si="1"/>
        <v>51.986053, 29.160662</v>
      </c>
      <c r="Q494" s="67" t="str">
        <f t="shared" si="2"/>
        <v>51.985579, 29.160098</v>
      </c>
      <c r="R494" s="67">
        <f t="shared" si="3"/>
        <v>51.985579</v>
      </c>
      <c r="S494" s="67">
        <f t="shared" si="4"/>
        <v>29.160098</v>
      </c>
      <c r="T494" s="161"/>
      <c r="U494" s="69"/>
      <c r="V494" s="65" t="s">
        <v>5370</v>
      </c>
      <c r="W494" s="71"/>
      <c r="X494" s="194"/>
      <c r="Y494" s="73"/>
      <c r="Z494" s="73"/>
      <c r="AA494" s="73"/>
      <c r="AB494" s="73"/>
      <c r="AC494" s="73"/>
      <c r="AD494" s="73"/>
      <c r="AE494" s="73"/>
      <c r="AF494" s="73"/>
      <c r="AG494" s="73"/>
      <c r="AH494" s="73"/>
      <c r="AI494" s="73"/>
      <c r="AJ494" s="75"/>
      <c r="AK494" s="76" t="s">
        <v>2108</v>
      </c>
      <c r="AL494" s="83" t="s">
        <v>5371</v>
      </c>
      <c r="AM494" s="71" t="s">
        <v>5372</v>
      </c>
      <c r="AN494" s="84" t="s">
        <v>5373</v>
      </c>
      <c r="AO494" s="71" t="s">
        <v>5374</v>
      </c>
      <c r="AP494" s="161" t="str">
        <f>IMAGE("https://bellingcat-archive.nyc3.cdn.digitaloceanspaces.com/Ukraine_Witness_Datasheet/Worksheet/twitter__media_FMQgCcpWQAYFl73.jpg")</f>
        <v/>
      </c>
      <c r="AQ494" s="161"/>
      <c r="AR494" s="161"/>
      <c r="AS494" s="161"/>
      <c r="AT494" s="161"/>
      <c r="AU494" s="89"/>
      <c r="AV494" s="162"/>
      <c r="AW494" s="81"/>
    </row>
    <row r="495" ht="15.75" customHeight="1">
      <c r="A495" s="195" t="s">
        <v>3944</v>
      </c>
      <c r="B495" s="161"/>
      <c r="C495" s="196" t="s">
        <v>4694</v>
      </c>
      <c r="D495" s="158">
        <v>50.649803</v>
      </c>
      <c r="E495" s="158">
        <v>36.527582</v>
      </c>
      <c r="F495" s="59">
        <v>1.0</v>
      </c>
      <c r="G495" s="60" t="s">
        <v>5375</v>
      </c>
      <c r="H495" s="61" t="s">
        <v>5368</v>
      </c>
      <c r="I495" s="75"/>
      <c r="J495" s="63" t="s">
        <v>5376</v>
      </c>
      <c r="K495" s="69"/>
      <c r="L495" s="197"/>
      <c r="M495" s="111"/>
      <c r="N495" s="111"/>
      <c r="O495" s="111"/>
      <c r="P495" s="67" t="str">
        <f t="shared" si="1"/>
        <v>50.649803, 36.527582</v>
      </c>
      <c r="Q495" s="67" t="str">
        <f t="shared" si="2"/>
        <v>50.64966, 36.528766</v>
      </c>
      <c r="R495" s="67">
        <f t="shared" si="3"/>
        <v>50.64966</v>
      </c>
      <c r="S495" s="67">
        <f t="shared" si="4"/>
        <v>36.528766</v>
      </c>
      <c r="T495" s="161"/>
      <c r="U495" s="69"/>
      <c r="V495" s="65" t="s">
        <v>5377</v>
      </c>
      <c r="W495" s="71"/>
      <c r="X495" s="194"/>
      <c r="Y495" s="73"/>
      <c r="Z495" s="73"/>
      <c r="AA495" s="73"/>
      <c r="AB495" s="73"/>
      <c r="AC495" s="73"/>
      <c r="AD495" s="73"/>
      <c r="AE495" s="73"/>
      <c r="AF495" s="73"/>
      <c r="AG495" s="73"/>
      <c r="AH495" s="73"/>
      <c r="AI495" s="73"/>
      <c r="AJ495" s="75"/>
      <c r="AK495" s="76" t="s">
        <v>2108</v>
      </c>
      <c r="AL495" s="83" t="s">
        <v>5378</v>
      </c>
      <c r="AM495" s="71" t="s">
        <v>5379</v>
      </c>
      <c r="AN495" s="84" t="s">
        <v>5380</v>
      </c>
      <c r="AO495" s="71" t="s">
        <v>5381</v>
      </c>
      <c r="AP495" s="161" t="str">
        <f>IMAGE("https://bellingcat-archive.nyc3.cdn.digitaloceanspaces.com/Ukraine_Witness_Datasheet/Worksheet/twitter__media_FMQg7yeXwAAwNEi.jpg")</f>
        <v/>
      </c>
      <c r="AQ495" s="161"/>
      <c r="AR495" s="161"/>
      <c r="AS495" s="161"/>
      <c r="AT495" s="161"/>
      <c r="AU495" s="89"/>
      <c r="AV495" s="162"/>
      <c r="AW495" s="81"/>
    </row>
    <row r="496" ht="15.75" customHeight="1">
      <c r="A496" s="144" t="s">
        <v>3944</v>
      </c>
      <c r="B496" s="73"/>
      <c r="C496" s="57" t="s">
        <v>4694</v>
      </c>
      <c r="D496" s="121"/>
      <c r="E496" s="121"/>
      <c r="F496" s="59">
        <v>1.0</v>
      </c>
      <c r="G496" s="130" t="s">
        <v>5382</v>
      </c>
      <c r="H496" s="61" t="s">
        <v>5368</v>
      </c>
      <c r="I496" s="75"/>
      <c r="J496" s="168"/>
      <c r="K496" s="69"/>
      <c r="L496" s="134"/>
      <c r="M496" s="111"/>
      <c r="N496" s="111"/>
      <c r="O496" s="111"/>
      <c r="P496" s="67" t="str">
        <f t="shared" si="1"/>
        <v/>
      </c>
      <c r="Q496" s="67" t="str">
        <f t="shared" si="2"/>
        <v/>
      </c>
      <c r="R496" s="67" t="str">
        <f t="shared" si="3"/>
        <v/>
      </c>
      <c r="S496" s="67" t="str">
        <f t="shared" si="4"/>
        <v/>
      </c>
      <c r="T496" s="161"/>
      <c r="U496" s="69"/>
      <c r="V496" s="65" t="s">
        <v>5383</v>
      </c>
      <c r="W496" s="71"/>
      <c r="X496" s="194"/>
      <c r="Y496" s="73"/>
      <c r="Z496" s="73"/>
      <c r="AA496" s="73"/>
      <c r="AB496" s="73"/>
      <c r="AC496" s="73"/>
      <c r="AD496" s="73"/>
      <c r="AE496" s="73"/>
      <c r="AF496" s="73"/>
      <c r="AG496" s="73"/>
      <c r="AH496" s="73"/>
      <c r="AI496" s="73"/>
      <c r="AJ496" s="75"/>
      <c r="AK496" s="76" t="s">
        <v>2108</v>
      </c>
      <c r="AL496" s="83" t="s">
        <v>5384</v>
      </c>
      <c r="AM496" s="71" t="s">
        <v>5385</v>
      </c>
      <c r="AN496" s="84" t="s">
        <v>5386</v>
      </c>
      <c r="AO496" s="71" t="s">
        <v>5387</v>
      </c>
      <c r="AP496" s="161" t="str">
        <f>IMAGE("https://bellingcat-archive.nyc3.cdn.digitaloceanspaces.com/Ukraine_Witness_Datasheet/Worksheet/twitter__media_FMQhXE9XIAAKDlO.jpg")</f>
        <v/>
      </c>
      <c r="AQ496" s="161"/>
      <c r="AR496" s="161"/>
      <c r="AS496" s="161"/>
      <c r="AT496" s="161"/>
      <c r="AU496" s="89"/>
      <c r="AV496" s="162"/>
      <c r="AW496" s="81"/>
    </row>
    <row r="497" ht="15.75" customHeight="1">
      <c r="A497" s="144" t="s">
        <v>3944</v>
      </c>
      <c r="B497" s="73"/>
      <c r="C497" s="86" t="s">
        <v>5256</v>
      </c>
      <c r="D497" s="121"/>
      <c r="E497" s="121"/>
      <c r="F497" s="59">
        <v>1.0</v>
      </c>
      <c r="G497" s="84" t="s">
        <v>5388</v>
      </c>
      <c r="H497" s="61" t="s">
        <v>5368</v>
      </c>
      <c r="I497" s="75"/>
      <c r="J497" s="63" t="s">
        <v>5389</v>
      </c>
      <c r="K497" s="69"/>
      <c r="L497" s="134"/>
      <c r="M497" s="111"/>
      <c r="N497" s="111"/>
      <c r="O497" s="111"/>
      <c r="P497" s="67" t="str">
        <f t="shared" si="1"/>
        <v/>
      </c>
      <c r="Q497" s="67" t="str">
        <f t="shared" si="2"/>
        <v/>
      </c>
      <c r="R497" s="67" t="str">
        <f t="shared" si="3"/>
        <v/>
      </c>
      <c r="S497" s="67" t="str">
        <f t="shared" si="4"/>
        <v/>
      </c>
      <c r="T497" s="161"/>
      <c r="U497" s="69"/>
      <c r="V497" s="65" t="s">
        <v>5390</v>
      </c>
      <c r="W497" s="71"/>
      <c r="X497" s="194"/>
      <c r="Y497" s="73"/>
      <c r="Z497" s="73"/>
      <c r="AA497" s="73"/>
      <c r="AB497" s="73"/>
      <c r="AC497" s="73"/>
      <c r="AD497" s="73"/>
      <c r="AE497" s="73"/>
      <c r="AF497" s="73"/>
      <c r="AG497" s="73"/>
      <c r="AH497" s="73"/>
      <c r="AI497" s="73"/>
      <c r="AJ497" s="75"/>
      <c r="AK497" s="76" t="s">
        <v>2108</v>
      </c>
      <c r="AL497" s="83" t="s">
        <v>5391</v>
      </c>
      <c r="AM497" s="71" t="s">
        <v>5392</v>
      </c>
      <c r="AN497" s="84" t="s">
        <v>5393</v>
      </c>
      <c r="AO497" s="71" t="s">
        <v>5394</v>
      </c>
      <c r="AP497" s="161" t="str">
        <f>IMAGE("https://bellingcat-archive.nyc3.cdn.digitaloceanspaces.com/Ukraine_Witness_Datasheet/Worksheet/twitter__media_FMPVha3XIAAcT8b.jpg")</f>
        <v/>
      </c>
      <c r="AQ497" s="161"/>
      <c r="AR497" s="161"/>
      <c r="AS497" s="161"/>
      <c r="AT497" s="161"/>
      <c r="AU497" s="89"/>
      <c r="AV497" s="162"/>
      <c r="AW497" s="81"/>
    </row>
    <row r="498" ht="15.75" customHeight="1">
      <c r="A498" s="144" t="s">
        <v>3944</v>
      </c>
      <c r="B498" s="73"/>
      <c r="C498" s="86" t="s">
        <v>4417</v>
      </c>
      <c r="D498" s="121"/>
      <c r="E498" s="121"/>
      <c r="F498" s="59">
        <v>1.0</v>
      </c>
      <c r="G498" s="193" t="s">
        <v>5395</v>
      </c>
      <c r="H498" s="61" t="s">
        <v>5368</v>
      </c>
      <c r="I498" s="75"/>
      <c r="J498" s="168"/>
      <c r="K498" s="69"/>
      <c r="L498" s="134"/>
      <c r="M498" s="111"/>
      <c r="N498" s="111"/>
      <c r="O498" s="111"/>
      <c r="P498" s="67" t="str">
        <f t="shared" si="1"/>
        <v/>
      </c>
      <c r="Q498" s="67" t="str">
        <f t="shared" si="2"/>
        <v/>
      </c>
      <c r="R498" s="67" t="str">
        <f t="shared" si="3"/>
        <v/>
      </c>
      <c r="S498" s="67" t="str">
        <f t="shared" si="4"/>
        <v/>
      </c>
      <c r="T498" s="161"/>
      <c r="U498" s="69"/>
      <c r="V498" s="65" t="s">
        <v>5396</v>
      </c>
      <c r="W498" s="71"/>
      <c r="X498" s="194"/>
      <c r="Y498" s="73"/>
      <c r="Z498" s="73"/>
      <c r="AA498" s="73"/>
      <c r="AB498" s="73"/>
      <c r="AC498" s="73"/>
      <c r="AD498" s="73"/>
      <c r="AE498" s="73"/>
      <c r="AF498" s="73"/>
      <c r="AG498" s="73"/>
      <c r="AH498" s="73"/>
      <c r="AI498" s="73"/>
      <c r="AJ498" s="75"/>
      <c r="AK498" s="76" t="s">
        <v>2108</v>
      </c>
      <c r="AL498" s="83" t="s">
        <v>5397</v>
      </c>
      <c r="AM498" s="71" t="s">
        <v>5398</v>
      </c>
      <c r="AN498" s="84" t="s">
        <v>5399</v>
      </c>
      <c r="AO498" s="71" t="s">
        <v>5400</v>
      </c>
      <c r="AP498" s="161" t="str">
        <f>IMAGE("https://bellingcat-archive.nyc3.cdn.digitaloceanspaces.com/Ukraine_Witness_Datasheet/Worksheet/twitter__media_FMEyykRXIAIv0FL.jpg")</f>
        <v/>
      </c>
      <c r="AQ498" s="161"/>
      <c r="AR498" s="161"/>
      <c r="AS498" s="161"/>
      <c r="AT498" s="161"/>
      <c r="AU498" s="89"/>
      <c r="AV498" s="162"/>
      <c r="AW498" s="81"/>
    </row>
    <row r="499" ht="15.75" customHeight="1">
      <c r="A499" s="144" t="s">
        <v>3944</v>
      </c>
      <c r="B499" s="73"/>
      <c r="C499" s="86" t="s">
        <v>3145</v>
      </c>
      <c r="D499" s="121"/>
      <c r="E499" s="121"/>
      <c r="F499" s="59">
        <v>1.0</v>
      </c>
      <c r="G499" s="84" t="s">
        <v>5401</v>
      </c>
      <c r="H499" s="61" t="s">
        <v>5368</v>
      </c>
      <c r="I499" s="75"/>
      <c r="J499" s="168"/>
      <c r="K499" s="69"/>
      <c r="L499" s="134"/>
      <c r="M499" s="111"/>
      <c r="N499" s="111"/>
      <c r="O499" s="111"/>
      <c r="P499" s="67" t="str">
        <f t="shared" si="1"/>
        <v/>
      </c>
      <c r="Q499" s="67" t="str">
        <f t="shared" si="2"/>
        <v/>
      </c>
      <c r="R499" s="67" t="str">
        <f t="shared" si="3"/>
        <v/>
      </c>
      <c r="S499" s="67" t="str">
        <f t="shared" si="4"/>
        <v/>
      </c>
      <c r="T499" s="161"/>
      <c r="U499" s="69"/>
      <c r="V499" s="65" t="s">
        <v>5402</v>
      </c>
      <c r="W499" s="71"/>
      <c r="X499" s="194"/>
      <c r="Y499" s="73"/>
      <c r="Z499" s="73"/>
      <c r="AA499" s="73"/>
      <c r="AB499" s="73"/>
      <c r="AC499" s="73"/>
      <c r="AD499" s="73"/>
      <c r="AE499" s="73"/>
      <c r="AF499" s="73"/>
      <c r="AG499" s="73"/>
      <c r="AH499" s="73"/>
      <c r="AI499" s="73"/>
      <c r="AJ499" s="75"/>
      <c r="AK499" s="76" t="s">
        <v>2108</v>
      </c>
      <c r="AL499" s="83" t="s">
        <v>5403</v>
      </c>
      <c r="AM499" s="71" t="s">
        <v>5404</v>
      </c>
      <c r="AN499" s="84" t="s">
        <v>5405</v>
      </c>
      <c r="AO499" s="71" t="s">
        <v>5406</v>
      </c>
      <c r="AP499" s="161" t="str">
        <f>IMAGE("https://bellingcat-archive.nyc3.cdn.digitaloceanspaces.com/Ukraine_Witness_Datasheet/Worksheet/twitter__media_FLnlK1rXwAIdpHX.jpg")</f>
        <v/>
      </c>
      <c r="AQ499" s="161"/>
      <c r="AR499" s="161"/>
      <c r="AS499" s="161"/>
      <c r="AT499" s="161"/>
      <c r="AU499" s="89"/>
      <c r="AV499" s="162"/>
      <c r="AW499" s="81"/>
    </row>
    <row r="500" ht="15.75" customHeight="1">
      <c r="A500" s="144" t="s">
        <v>3944</v>
      </c>
      <c r="B500" s="73"/>
      <c r="C500" s="57" t="s">
        <v>2392</v>
      </c>
      <c r="D500" s="121"/>
      <c r="E500" s="121"/>
      <c r="F500" s="59">
        <v>1.0</v>
      </c>
      <c r="G500" s="84" t="s">
        <v>5407</v>
      </c>
      <c r="H500" s="61" t="s">
        <v>5368</v>
      </c>
      <c r="I500" s="75"/>
      <c r="J500" s="168"/>
      <c r="K500" s="69"/>
      <c r="L500" s="134"/>
      <c r="M500" s="111"/>
      <c r="N500" s="111"/>
      <c r="O500" s="111"/>
      <c r="P500" s="67" t="str">
        <f t="shared" si="1"/>
        <v/>
      </c>
      <c r="Q500" s="67" t="str">
        <f t="shared" si="2"/>
        <v/>
      </c>
      <c r="R500" s="67" t="str">
        <f t="shared" si="3"/>
        <v/>
      </c>
      <c r="S500" s="67" t="str">
        <f t="shared" si="4"/>
        <v/>
      </c>
      <c r="T500" s="161"/>
      <c r="U500" s="69"/>
      <c r="V500" s="65" t="s">
        <v>5408</v>
      </c>
      <c r="W500" s="71"/>
      <c r="X500" s="194"/>
      <c r="Y500" s="73"/>
      <c r="Z500" s="73"/>
      <c r="AA500" s="73"/>
      <c r="AB500" s="73"/>
      <c r="AC500" s="73"/>
      <c r="AD500" s="73"/>
      <c r="AE500" s="73"/>
      <c r="AF500" s="73"/>
      <c r="AG500" s="73"/>
      <c r="AH500" s="73"/>
      <c r="AI500" s="73"/>
      <c r="AJ500" s="75"/>
      <c r="AK500" s="76" t="s">
        <v>2108</v>
      </c>
      <c r="AL500" s="83" t="s">
        <v>5409</v>
      </c>
      <c r="AM500" s="71" t="s">
        <v>5410</v>
      </c>
      <c r="AN500" s="84" t="s">
        <v>5411</v>
      </c>
      <c r="AO500" s="71" t="s">
        <v>5412</v>
      </c>
      <c r="AP500" s="161" t="str">
        <f>IMAGE("https://bellingcat-archive.nyc3.cdn.digitaloceanspaces.com/Ukraine_Witness_Datasheet/Worksheet/twitter__media_FLnmMW3XIAEtFcy.jpg")</f>
        <v/>
      </c>
      <c r="AQ500" s="161"/>
      <c r="AR500" s="161"/>
      <c r="AS500" s="161"/>
      <c r="AT500" s="161"/>
      <c r="AU500" s="89"/>
      <c r="AV500" s="162"/>
      <c r="AW500" s="81"/>
    </row>
    <row r="501" ht="15.75" customHeight="1">
      <c r="A501" s="144" t="s">
        <v>3944</v>
      </c>
      <c r="B501" s="73"/>
      <c r="C501" s="57" t="s">
        <v>2812</v>
      </c>
      <c r="D501" s="121"/>
      <c r="E501" s="121"/>
      <c r="F501" s="59">
        <v>1.0</v>
      </c>
      <c r="G501" s="84" t="s">
        <v>5413</v>
      </c>
      <c r="H501" s="61" t="s">
        <v>5368</v>
      </c>
      <c r="I501" s="75"/>
      <c r="J501" s="168"/>
      <c r="K501" s="69"/>
      <c r="L501" s="134"/>
      <c r="M501" s="111"/>
      <c r="N501" s="111"/>
      <c r="O501" s="111"/>
      <c r="P501" s="67" t="str">
        <f t="shared" si="1"/>
        <v/>
      </c>
      <c r="Q501" s="67" t="str">
        <f t="shared" si="2"/>
        <v/>
      </c>
      <c r="R501" s="67" t="str">
        <f t="shared" si="3"/>
        <v/>
      </c>
      <c r="S501" s="67" t="str">
        <f t="shared" si="4"/>
        <v/>
      </c>
      <c r="T501" s="161"/>
      <c r="U501" s="69"/>
      <c r="V501" s="65" t="s">
        <v>5414</v>
      </c>
      <c r="W501" s="71"/>
      <c r="X501" s="194"/>
      <c r="Y501" s="73"/>
      <c r="Z501" s="73"/>
      <c r="AA501" s="73"/>
      <c r="AB501" s="73"/>
      <c r="AC501" s="73"/>
      <c r="AD501" s="73"/>
      <c r="AE501" s="73"/>
      <c r="AF501" s="73"/>
      <c r="AG501" s="73"/>
      <c r="AH501" s="73"/>
      <c r="AI501" s="73"/>
      <c r="AJ501" s="75"/>
      <c r="AK501" s="76" t="s">
        <v>2108</v>
      </c>
      <c r="AL501" s="83" t="s">
        <v>5415</v>
      </c>
      <c r="AM501" s="71" t="s">
        <v>5416</v>
      </c>
      <c r="AN501" s="84" t="s">
        <v>5417</v>
      </c>
      <c r="AO501" s="71" t="s">
        <v>5418</v>
      </c>
      <c r="AP501" s="161" t="str">
        <f>IMAGE("https://bellingcat-archive.nyc3.cdn.digitaloceanspaces.com/Ukraine_Witness_Datasheet/Worksheet/twitter__media_FLwHDM-XoAAVXyI.jpg")</f>
        <v/>
      </c>
      <c r="AQ501" s="161"/>
      <c r="AR501" s="161"/>
      <c r="AS501" s="161"/>
      <c r="AT501" s="161"/>
      <c r="AU501" s="89"/>
      <c r="AV501" s="162"/>
      <c r="AW501" s="81"/>
    </row>
    <row r="502" ht="15.75" customHeight="1">
      <c r="A502" s="144" t="s">
        <v>3944</v>
      </c>
      <c r="B502" s="73"/>
      <c r="C502" s="57" t="s">
        <v>2392</v>
      </c>
      <c r="D502" s="121"/>
      <c r="E502" s="121"/>
      <c r="F502" s="59">
        <v>1.0</v>
      </c>
      <c r="G502" s="84" t="s">
        <v>5419</v>
      </c>
      <c r="H502" s="61" t="s">
        <v>5368</v>
      </c>
      <c r="I502" s="75"/>
      <c r="J502" s="168"/>
      <c r="K502" s="69"/>
      <c r="L502" s="134"/>
      <c r="M502" s="111"/>
      <c r="N502" s="111"/>
      <c r="O502" s="111"/>
      <c r="P502" s="67" t="str">
        <f t="shared" si="1"/>
        <v/>
      </c>
      <c r="Q502" s="67" t="str">
        <f t="shared" si="2"/>
        <v/>
      </c>
      <c r="R502" s="67" t="str">
        <f t="shared" si="3"/>
        <v/>
      </c>
      <c r="S502" s="67" t="str">
        <f t="shared" si="4"/>
        <v/>
      </c>
      <c r="T502" s="161"/>
      <c r="U502" s="69"/>
      <c r="V502" s="65" t="s">
        <v>5420</v>
      </c>
      <c r="W502" s="71"/>
      <c r="X502" s="194"/>
      <c r="Y502" s="73"/>
      <c r="Z502" s="73"/>
      <c r="AA502" s="73"/>
      <c r="AB502" s="73"/>
      <c r="AC502" s="73"/>
      <c r="AD502" s="73"/>
      <c r="AE502" s="73"/>
      <c r="AF502" s="73"/>
      <c r="AG502" s="73"/>
      <c r="AH502" s="73"/>
      <c r="AI502" s="73"/>
      <c r="AJ502" s="75"/>
      <c r="AK502" s="76" t="s">
        <v>2108</v>
      </c>
      <c r="AL502" s="83" t="s">
        <v>5421</v>
      </c>
      <c r="AM502" s="71" t="s">
        <v>5422</v>
      </c>
      <c r="AN502" s="84" t="s">
        <v>5423</v>
      </c>
      <c r="AO502" s="71" t="s">
        <v>5424</v>
      </c>
      <c r="AP502" s="161" t="str">
        <f>IMAGE("https://bellingcat-archive.nyc3.cdn.digitaloceanspaces.com/Ukraine_Witness_Datasheet/Worksheet/twitter__media_FLnotCVXIAEEgcO.jpg")</f>
        <v/>
      </c>
      <c r="AQ502" s="161"/>
      <c r="AR502" s="161"/>
      <c r="AS502" s="161"/>
      <c r="AT502" s="161"/>
      <c r="AU502" s="89"/>
      <c r="AV502" s="162"/>
      <c r="AW502" s="81"/>
    </row>
    <row r="503" ht="15.75" customHeight="1">
      <c r="A503" s="87" t="s">
        <v>2580</v>
      </c>
      <c r="B503" s="73"/>
      <c r="C503" s="57" t="s">
        <v>5256</v>
      </c>
      <c r="D503" s="74">
        <v>50.651933</v>
      </c>
      <c r="E503" s="74">
        <v>36.143587</v>
      </c>
      <c r="F503" s="59">
        <v>1.0</v>
      </c>
      <c r="G503" s="151" t="s">
        <v>5425</v>
      </c>
      <c r="H503" s="61" t="s">
        <v>66</v>
      </c>
      <c r="I503" s="75"/>
      <c r="J503" s="76" t="s">
        <v>5426</v>
      </c>
      <c r="K503" s="152" t="s">
        <v>5427</v>
      </c>
      <c r="L503" s="110" t="s">
        <v>79</v>
      </c>
      <c r="M503" s="92" t="s">
        <v>1325</v>
      </c>
      <c r="N503" s="111"/>
      <c r="O503" s="92" t="s">
        <v>2816</v>
      </c>
      <c r="P503" s="67" t="str">
        <f t="shared" si="1"/>
        <v>50.651933, 36.143587</v>
      </c>
      <c r="Q503" s="67" t="str">
        <f t="shared" si="2"/>
        <v>50.651334, 36.143183</v>
      </c>
      <c r="R503" s="67">
        <f t="shared" si="3"/>
        <v>50.651334</v>
      </c>
      <c r="S503" s="67">
        <f t="shared" si="4"/>
        <v>36.143183</v>
      </c>
      <c r="T503" s="161"/>
      <c r="U503" s="69"/>
      <c r="V503" s="65" t="s">
        <v>5428</v>
      </c>
      <c r="W503" s="71" t="s">
        <v>74</v>
      </c>
      <c r="X503" s="72" t="s">
        <v>75</v>
      </c>
      <c r="Y503" s="73"/>
      <c r="Z503" s="73"/>
      <c r="AA503" s="73"/>
      <c r="AB503" s="73"/>
      <c r="AC503" s="73"/>
      <c r="AD503" s="73"/>
      <c r="AE503" s="73"/>
      <c r="AF503" s="73"/>
      <c r="AG503" s="73"/>
      <c r="AH503" s="73"/>
      <c r="AI503" s="73"/>
      <c r="AJ503" s="75"/>
      <c r="AK503" s="76" t="s">
        <v>798</v>
      </c>
      <c r="AL503" s="83" t="s">
        <v>5429</v>
      </c>
      <c r="AM503" s="71" t="s">
        <v>5430</v>
      </c>
      <c r="AN503" s="84" t="s">
        <v>5431</v>
      </c>
      <c r="AO503" s="71" t="s">
        <v>5432</v>
      </c>
      <c r="AP503" s="161" t="str">
        <f>IMAGE("https://bellingcat-archive.nyc3.cdn.digitaloceanspaces.com/Ukraine_Witness_Datasheet/Worksheet/youtube_dl_1496479572333842439/out2.jpg")</f>
        <v/>
      </c>
      <c r="AQ503" s="84" t="s">
        <v>5433</v>
      </c>
      <c r="AR503" s="71" t="s">
        <v>5434</v>
      </c>
      <c r="AS503" s="71" t="s">
        <v>5435</v>
      </c>
      <c r="AT503" s="71">
        <v>24.965</v>
      </c>
      <c r="AU503" s="89"/>
      <c r="AV503" s="162"/>
      <c r="AW503" s="81"/>
    </row>
    <row r="504" ht="15.75" customHeight="1">
      <c r="A504" s="87" t="s">
        <v>63</v>
      </c>
      <c r="B504" s="73"/>
      <c r="C504" s="57" t="s">
        <v>5256</v>
      </c>
      <c r="D504" s="74">
        <v>50.437254</v>
      </c>
      <c r="E504" s="74">
        <v>36.380161</v>
      </c>
      <c r="F504" s="59">
        <v>1.0</v>
      </c>
      <c r="G504" s="151" t="s">
        <v>5436</v>
      </c>
      <c r="H504" s="61" t="s">
        <v>66</v>
      </c>
      <c r="I504" s="75"/>
      <c r="J504" s="76" t="s">
        <v>5437</v>
      </c>
      <c r="K504" s="152" t="s">
        <v>5438</v>
      </c>
      <c r="L504" s="110" t="s">
        <v>79</v>
      </c>
      <c r="M504" s="92" t="s">
        <v>1325</v>
      </c>
      <c r="N504" s="111"/>
      <c r="O504" s="92" t="s">
        <v>1763</v>
      </c>
      <c r="P504" s="67" t="str">
        <f t="shared" si="1"/>
        <v>50.437254, 36.380161</v>
      </c>
      <c r="Q504" s="67" t="str">
        <f t="shared" si="2"/>
        <v>50.436588, 36.380115</v>
      </c>
      <c r="R504" s="67">
        <f t="shared" si="3"/>
        <v>50.436588</v>
      </c>
      <c r="S504" s="67">
        <f t="shared" si="4"/>
        <v>36.380115</v>
      </c>
      <c r="T504" s="161"/>
      <c r="U504" s="69"/>
      <c r="V504" s="65" t="s">
        <v>5439</v>
      </c>
      <c r="W504" s="71" t="s">
        <v>74</v>
      </c>
      <c r="X504" s="72" t="s">
        <v>75</v>
      </c>
      <c r="Y504" s="73"/>
      <c r="Z504" s="73"/>
      <c r="AA504" s="73"/>
      <c r="AB504" s="73"/>
      <c r="AC504" s="73"/>
      <c r="AD504" s="73"/>
      <c r="AE504" s="73"/>
      <c r="AF504" s="73"/>
      <c r="AG504" s="73"/>
      <c r="AH504" s="73"/>
      <c r="AI504" s="73"/>
      <c r="AJ504" s="75"/>
      <c r="AK504" s="76" t="s">
        <v>798</v>
      </c>
      <c r="AL504" s="83" t="s">
        <v>5440</v>
      </c>
      <c r="AM504" s="71" t="s">
        <v>5441</v>
      </c>
      <c r="AN504" s="84" t="s">
        <v>5442</v>
      </c>
      <c r="AO504" s="71" t="s">
        <v>5443</v>
      </c>
      <c r="AP504" s="161" t="str">
        <f>IMAGE("https://bellingcat-archive.nyc3.cdn.digitaloceanspaces.com/Ukraine_Witness_Datasheet/Worksheet/youtube_dl_1496452064578347009/out2.jpg")</f>
        <v/>
      </c>
      <c r="AQ504" s="84" t="s">
        <v>5444</v>
      </c>
      <c r="AR504" s="71" t="s">
        <v>5445</v>
      </c>
      <c r="AS504" s="71" t="s">
        <v>5446</v>
      </c>
      <c r="AT504" s="71">
        <v>55.38</v>
      </c>
      <c r="AU504" s="89"/>
      <c r="AV504" s="162"/>
      <c r="AW504" s="81"/>
    </row>
    <row r="505" ht="15.75" customHeight="1">
      <c r="A505" s="87" t="s">
        <v>63</v>
      </c>
      <c r="B505" s="73"/>
      <c r="C505" s="57" t="s">
        <v>5256</v>
      </c>
      <c r="D505" s="74">
        <v>50.578121</v>
      </c>
      <c r="E505" s="74">
        <v>35.960031</v>
      </c>
      <c r="F505" s="59">
        <v>1.0</v>
      </c>
      <c r="G505" s="151" t="s">
        <v>5447</v>
      </c>
      <c r="H505" s="61" t="s">
        <v>66</v>
      </c>
      <c r="I505" s="75"/>
      <c r="J505" s="76" t="s">
        <v>5426</v>
      </c>
      <c r="K505" s="152" t="s">
        <v>5448</v>
      </c>
      <c r="L505" s="110" t="s">
        <v>79</v>
      </c>
      <c r="M505" s="92" t="s">
        <v>1325</v>
      </c>
      <c r="N505" s="111"/>
      <c r="O505" s="92" t="s">
        <v>4915</v>
      </c>
      <c r="P505" s="67" t="str">
        <f t="shared" si="1"/>
        <v>50.578121, 35.960031</v>
      </c>
      <c r="Q505" s="67" t="str">
        <f t="shared" si="2"/>
        <v>50.577351, 35.959618</v>
      </c>
      <c r="R505" s="67">
        <f t="shared" si="3"/>
        <v>50.577351</v>
      </c>
      <c r="S505" s="67">
        <f t="shared" si="4"/>
        <v>35.959618</v>
      </c>
      <c r="T505" s="161"/>
      <c r="U505" s="69"/>
      <c r="V505" s="65" t="s">
        <v>5449</v>
      </c>
      <c r="W505" s="71" t="s">
        <v>74</v>
      </c>
      <c r="X505" s="72" t="s">
        <v>75</v>
      </c>
      <c r="Y505" s="73"/>
      <c r="Z505" s="73"/>
      <c r="AA505" s="73"/>
      <c r="AB505" s="73"/>
      <c r="AC505" s="73"/>
      <c r="AD505" s="73"/>
      <c r="AE505" s="73"/>
      <c r="AF505" s="73"/>
      <c r="AG505" s="73"/>
      <c r="AH505" s="73"/>
      <c r="AI505" s="73"/>
      <c r="AJ505" s="75"/>
      <c r="AK505" s="76" t="s">
        <v>798</v>
      </c>
      <c r="AL505" s="83" t="s">
        <v>5450</v>
      </c>
      <c r="AM505" s="71" t="s">
        <v>5451</v>
      </c>
      <c r="AN505" s="84" t="s">
        <v>5452</v>
      </c>
      <c r="AO505" s="71" t="s">
        <v>5453</v>
      </c>
      <c r="AP505" s="161" t="str">
        <f>IMAGE("https://bellingcat-archive.nyc3.cdn.digitaloceanspaces.com/Ukraine_Witness_Datasheet/Worksheet/youtube_dl_1496489324208177158/out2.jpg")</f>
        <v/>
      </c>
      <c r="AQ505" s="84" t="s">
        <v>5454</v>
      </c>
      <c r="AR505" s="71" t="s">
        <v>5455</v>
      </c>
      <c r="AS505" s="71" t="s">
        <v>5456</v>
      </c>
      <c r="AT505" s="71">
        <v>35.805</v>
      </c>
      <c r="AU505" s="89"/>
      <c r="AV505" s="162"/>
      <c r="AW505" s="81"/>
    </row>
    <row r="506" ht="15.75" customHeight="1">
      <c r="A506" s="87" t="s">
        <v>5457</v>
      </c>
      <c r="B506" s="73"/>
      <c r="C506" s="198" t="s">
        <v>3145</v>
      </c>
      <c r="D506" s="104">
        <v>51.750395</v>
      </c>
      <c r="E506" s="104">
        <v>30.292269</v>
      </c>
      <c r="F506" s="59">
        <v>1.0</v>
      </c>
      <c r="G506" s="159" t="s">
        <v>5458</v>
      </c>
      <c r="H506" s="61" t="s">
        <v>5368</v>
      </c>
      <c r="I506" s="75"/>
      <c r="J506" s="76" t="s">
        <v>5459</v>
      </c>
      <c r="K506" s="153"/>
      <c r="L506" s="110" t="s">
        <v>69</v>
      </c>
      <c r="M506" s="92" t="s">
        <v>5317</v>
      </c>
      <c r="N506" s="92" t="s">
        <v>5460</v>
      </c>
      <c r="O506" s="92" t="s">
        <v>5461</v>
      </c>
      <c r="P506" s="67" t="str">
        <f t="shared" si="1"/>
        <v>51.750395, 30.292269</v>
      </c>
      <c r="Q506" s="67" t="str">
        <f t="shared" si="2"/>
        <v>51.749797, 30.292919</v>
      </c>
      <c r="R506" s="67">
        <f t="shared" si="3"/>
        <v>51.749797</v>
      </c>
      <c r="S506" s="67">
        <f t="shared" si="4"/>
        <v>30.292919</v>
      </c>
      <c r="T506" s="161"/>
      <c r="U506" s="69"/>
      <c r="V506" s="65" t="s">
        <v>5462</v>
      </c>
      <c r="W506" s="199" t="s">
        <v>74</v>
      </c>
      <c r="X506" s="72" t="s">
        <v>75</v>
      </c>
      <c r="Y506" s="73"/>
      <c r="Z506" s="73"/>
      <c r="AA506" s="73"/>
      <c r="AB506" s="73"/>
      <c r="AC506" s="73"/>
      <c r="AD506" s="73"/>
      <c r="AE506" s="73"/>
      <c r="AF506" s="73"/>
      <c r="AG506" s="73"/>
      <c r="AH506" s="73"/>
      <c r="AI506" s="73"/>
      <c r="AJ506" s="75"/>
      <c r="AK506" s="76" t="s">
        <v>2108</v>
      </c>
      <c r="AL506" s="83" t="s">
        <v>5463</v>
      </c>
      <c r="AM506" s="71" t="s">
        <v>5464</v>
      </c>
      <c r="AN506" s="84" t="s">
        <v>5465</v>
      </c>
      <c r="AO506" s="71" t="s">
        <v>5466</v>
      </c>
      <c r="AP506" s="161" t="str">
        <f>IMAGE("https://bellingcat-archive.nyc3.cdn.digitaloceanspaces.com/Ukraine_Witness_Datasheet/Worksheet/twitter__media_FMS6AaOWYAAsOgF.jpg")</f>
        <v/>
      </c>
      <c r="AQ506" s="161"/>
      <c r="AR506" s="161"/>
      <c r="AS506" s="161"/>
      <c r="AT506" s="161"/>
      <c r="AU506" s="89"/>
      <c r="AV506" s="162"/>
      <c r="AW506" s="81"/>
    </row>
    <row r="507" ht="15.75" customHeight="1">
      <c r="A507" s="87" t="s">
        <v>5457</v>
      </c>
      <c r="B507" s="73"/>
      <c r="C507" s="198" t="s">
        <v>3145</v>
      </c>
      <c r="D507" s="104">
        <v>47.416683</v>
      </c>
      <c r="E507" s="74">
        <v>39.256299</v>
      </c>
      <c r="F507" s="59">
        <v>1.0</v>
      </c>
      <c r="G507" s="200" t="s">
        <v>5467</v>
      </c>
      <c r="H507" s="61" t="s">
        <v>5368</v>
      </c>
      <c r="I507" s="75"/>
      <c r="J507" s="76" t="s">
        <v>5468</v>
      </c>
      <c r="K507" s="153"/>
      <c r="L507" s="110" t="s">
        <v>79</v>
      </c>
      <c r="M507" s="92" t="s">
        <v>5082</v>
      </c>
      <c r="N507" s="111"/>
      <c r="O507" s="92" t="s">
        <v>5469</v>
      </c>
      <c r="P507" s="67" t="str">
        <f t="shared" si="1"/>
        <v>47.416683, 39.256299</v>
      </c>
      <c r="Q507" s="67" t="str">
        <f t="shared" si="2"/>
        <v>47.416639, 39.255451</v>
      </c>
      <c r="R507" s="67">
        <f t="shared" si="3"/>
        <v>47.416639</v>
      </c>
      <c r="S507" s="67">
        <f t="shared" si="4"/>
        <v>39.255451</v>
      </c>
      <c r="T507" s="161"/>
      <c r="U507" s="69"/>
      <c r="V507" s="65" t="s">
        <v>5470</v>
      </c>
      <c r="W507" s="199" t="s">
        <v>74</v>
      </c>
      <c r="X507" s="72" t="s">
        <v>75</v>
      </c>
      <c r="Y507" s="73"/>
      <c r="Z507" s="73"/>
      <c r="AA507" s="73"/>
      <c r="AB507" s="73"/>
      <c r="AC507" s="73"/>
      <c r="AD507" s="73"/>
      <c r="AE507" s="73"/>
      <c r="AF507" s="73"/>
      <c r="AG507" s="73"/>
      <c r="AH507" s="73"/>
      <c r="AI507" s="73"/>
      <c r="AJ507" s="75"/>
      <c r="AK507" s="76" t="s">
        <v>2108</v>
      </c>
      <c r="AL507" s="83" t="s">
        <v>5471</v>
      </c>
      <c r="AM507" s="71" t="s">
        <v>1469</v>
      </c>
      <c r="AN507" s="84" t="s">
        <v>5472</v>
      </c>
      <c r="AO507" s="71" t="s">
        <v>5473</v>
      </c>
      <c r="AP507" s="161" t="str">
        <f>IMAGE("https://bellingcat-archive.nyc3.cdn.digitaloceanspaces.com/Ukraine_Witness_Datasheet/Worksheet/twitter__media_FMQwkHwX0Aovjmm.jpg")</f>
        <v/>
      </c>
      <c r="AQ507" s="161"/>
      <c r="AR507" s="161"/>
      <c r="AS507" s="161"/>
      <c r="AT507" s="161"/>
      <c r="AU507" s="89"/>
      <c r="AV507" s="162"/>
      <c r="AW507" s="81"/>
    </row>
    <row r="508" ht="15.75" customHeight="1">
      <c r="A508" s="95" t="s">
        <v>5457</v>
      </c>
      <c r="B508" s="73"/>
      <c r="C508" s="57" t="s">
        <v>4901</v>
      </c>
      <c r="D508" s="104">
        <v>50.471033</v>
      </c>
      <c r="E508" s="104">
        <v>36.331556</v>
      </c>
      <c r="F508" s="59">
        <v>1.0</v>
      </c>
      <c r="G508" s="159" t="s">
        <v>5474</v>
      </c>
      <c r="H508" s="61" t="s">
        <v>5368</v>
      </c>
      <c r="I508" s="75"/>
      <c r="J508" s="76" t="s">
        <v>5475</v>
      </c>
      <c r="K508" s="153"/>
      <c r="L508" s="110" t="s">
        <v>79</v>
      </c>
      <c r="M508" s="92" t="s">
        <v>1325</v>
      </c>
      <c r="N508" s="111"/>
      <c r="O508" s="92" t="s">
        <v>5476</v>
      </c>
      <c r="P508" s="67" t="str">
        <f t="shared" si="1"/>
        <v>50.471033, 36.331556</v>
      </c>
      <c r="Q508" s="67" t="str">
        <f t="shared" si="2"/>
        <v>50.470997, 36.33222</v>
      </c>
      <c r="R508" s="67">
        <f t="shared" si="3"/>
        <v>50.470997</v>
      </c>
      <c r="S508" s="67">
        <f t="shared" si="4"/>
        <v>36.33222</v>
      </c>
      <c r="T508" s="161"/>
      <c r="U508" s="69"/>
      <c r="V508" s="65" t="s">
        <v>5477</v>
      </c>
      <c r="W508" s="199" t="s">
        <v>74</v>
      </c>
      <c r="X508" s="72" t="s">
        <v>75</v>
      </c>
      <c r="Y508" s="73"/>
      <c r="Z508" s="73"/>
      <c r="AA508" s="73"/>
      <c r="AB508" s="73"/>
      <c r="AC508" s="73"/>
      <c r="AD508" s="73"/>
      <c r="AE508" s="73"/>
      <c r="AF508" s="73"/>
      <c r="AG508" s="73"/>
      <c r="AH508" s="73"/>
      <c r="AI508" s="73"/>
      <c r="AJ508" s="75"/>
      <c r="AK508" s="76" t="s">
        <v>2108</v>
      </c>
      <c r="AL508" s="83" t="s">
        <v>5478</v>
      </c>
      <c r="AM508" s="71" t="s">
        <v>1455</v>
      </c>
      <c r="AN508" s="84" t="s">
        <v>5479</v>
      </c>
      <c r="AO508" s="71" t="s">
        <v>5480</v>
      </c>
      <c r="AP508" s="161" t="str">
        <f>IMAGE("https://bellingcat-archive.nyc3.cdn.digitaloceanspaces.com/Ukraine_Witness_Datasheet/Worksheet/twitter__media_FMPIc7pXwAceC87.jpg")</f>
        <v/>
      </c>
      <c r="AQ508" s="161"/>
      <c r="AR508" s="161"/>
      <c r="AS508" s="161"/>
      <c r="AT508" s="161"/>
      <c r="AU508" s="89"/>
      <c r="AV508" s="162"/>
      <c r="AW508" s="81"/>
    </row>
    <row r="509" ht="15.75" customHeight="1">
      <c r="A509" s="144" t="s">
        <v>3944</v>
      </c>
      <c r="B509" s="73"/>
      <c r="C509" s="176"/>
      <c r="D509" s="121"/>
      <c r="E509" s="121"/>
      <c r="F509" s="59">
        <v>1.0</v>
      </c>
      <c r="G509" s="201" t="s">
        <v>5481</v>
      </c>
      <c r="H509" s="73"/>
      <c r="I509" s="75"/>
      <c r="J509" s="76" t="s">
        <v>5482</v>
      </c>
      <c r="K509" s="202" t="s">
        <v>5483</v>
      </c>
      <c r="L509" s="134"/>
      <c r="M509" s="111"/>
      <c r="N509" s="111"/>
      <c r="O509" s="111"/>
      <c r="P509" s="67" t="str">
        <f t="shared" si="1"/>
        <v/>
      </c>
      <c r="Q509" s="67" t="str">
        <f t="shared" si="2"/>
        <v/>
      </c>
      <c r="R509" s="67" t="str">
        <f t="shared" si="3"/>
        <v/>
      </c>
      <c r="S509" s="67" t="str">
        <f t="shared" si="4"/>
        <v/>
      </c>
      <c r="T509" s="161"/>
      <c r="U509" s="69"/>
      <c r="V509" s="65" t="s">
        <v>5484</v>
      </c>
      <c r="W509" s="161"/>
      <c r="X509" s="194"/>
      <c r="Y509" s="73"/>
      <c r="Z509" s="73"/>
      <c r="AA509" s="73"/>
      <c r="AB509" s="73"/>
      <c r="AC509" s="73"/>
      <c r="AD509" s="73"/>
      <c r="AE509" s="73"/>
      <c r="AF509" s="73"/>
      <c r="AG509" s="73"/>
      <c r="AH509" s="73"/>
      <c r="AI509" s="73"/>
      <c r="AJ509" s="75"/>
      <c r="AK509" s="76" t="s">
        <v>798</v>
      </c>
      <c r="AL509" s="83" t="s">
        <v>5485</v>
      </c>
      <c r="AM509" s="71" t="s">
        <v>5486</v>
      </c>
      <c r="AN509" s="84" t="s">
        <v>5487</v>
      </c>
      <c r="AO509" s="71" t="s">
        <v>5488</v>
      </c>
      <c r="AP509" s="161" t="str">
        <f>IMAGE("https://bellingcat-archive.nyc3.cdn.digitaloceanspaces.com/Ukraine_Witness_Datasheet/Worksheet/youtube_dl_1496521293126066181/out2.jpg")</f>
        <v/>
      </c>
      <c r="AQ509" s="84" t="s">
        <v>5489</v>
      </c>
      <c r="AR509" s="71" t="s">
        <v>5490</v>
      </c>
      <c r="AS509" s="71" t="s">
        <v>5491</v>
      </c>
      <c r="AT509" s="71">
        <v>21.6</v>
      </c>
      <c r="AU509" s="89"/>
      <c r="AV509" s="162"/>
      <c r="AW509" s="81"/>
    </row>
    <row r="510" ht="15.75" customHeight="1">
      <c r="A510" s="95" t="s">
        <v>5457</v>
      </c>
      <c r="B510" s="73"/>
      <c r="C510" s="57" t="s">
        <v>4901</v>
      </c>
      <c r="D510" s="104">
        <v>50.649509</v>
      </c>
      <c r="E510" s="104">
        <v>36.526427</v>
      </c>
      <c r="F510" s="59">
        <v>1.0</v>
      </c>
      <c r="G510" s="159" t="s">
        <v>5492</v>
      </c>
      <c r="H510" s="61" t="s">
        <v>5368</v>
      </c>
      <c r="I510" s="75"/>
      <c r="J510" s="76" t="s">
        <v>5493</v>
      </c>
      <c r="K510" s="153"/>
      <c r="L510" s="110" t="s">
        <v>79</v>
      </c>
      <c r="M510" s="92" t="s">
        <v>1325</v>
      </c>
      <c r="N510" s="111"/>
      <c r="O510" s="92" t="s">
        <v>547</v>
      </c>
      <c r="P510" s="67" t="str">
        <f t="shared" si="1"/>
        <v>50.649509, 36.526427</v>
      </c>
      <c r="Q510" s="67" t="str">
        <f t="shared" si="2"/>
        <v>50.649301, 36.525849</v>
      </c>
      <c r="R510" s="67">
        <f t="shared" si="3"/>
        <v>50.649301</v>
      </c>
      <c r="S510" s="67">
        <f t="shared" si="4"/>
        <v>36.525849</v>
      </c>
      <c r="T510" s="161"/>
      <c r="U510" s="69"/>
      <c r="V510" s="65" t="s">
        <v>5494</v>
      </c>
      <c r="W510" s="199" t="s">
        <v>74</v>
      </c>
      <c r="X510" s="72" t="s">
        <v>75</v>
      </c>
      <c r="Y510" s="73"/>
      <c r="Z510" s="73"/>
      <c r="AA510" s="73"/>
      <c r="AB510" s="73"/>
      <c r="AC510" s="73"/>
      <c r="AD510" s="73"/>
      <c r="AE510" s="73"/>
      <c r="AF510" s="73"/>
      <c r="AG510" s="73"/>
      <c r="AH510" s="73"/>
      <c r="AI510" s="73"/>
      <c r="AJ510" s="75"/>
      <c r="AK510" s="76" t="s">
        <v>2108</v>
      </c>
      <c r="AL510" s="83" t="s">
        <v>5495</v>
      </c>
      <c r="AM510" s="71" t="s">
        <v>5496</v>
      </c>
      <c r="AN510" s="84" t="s">
        <v>5497</v>
      </c>
      <c r="AO510" s="71" t="s">
        <v>5498</v>
      </c>
      <c r="AP510" s="161" t="str">
        <f>IMAGE("https://bellingcat-archive.nyc3.cdn.digitaloceanspaces.com/Ukraine_Witness_Datasheet/Worksheet/twitter__media_FMPJ9akXIAIZlym.jpg")</f>
        <v/>
      </c>
      <c r="AQ510" s="161"/>
      <c r="AR510" s="161"/>
      <c r="AS510" s="161"/>
      <c r="AT510" s="161"/>
      <c r="AU510" s="89"/>
      <c r="AV510" s="162"/>
      <c r="AW510" s="81"/>
    </row>
    <row r="511" ht="15.75" customHeight="1">
      <c r="A511" s="95" t="s">
        <v>3944</v>
      </c>
      <c r="B511" s="73"/>
      <c r="C511" s="57" t="s">
        <v>5256</v>
      </c>
      <c r="D511" s="104">
        <v>52.041278</v>
      </c>
      <c r="E511" s="104">
        <v>29.216028</v>
      </c>
      <c r="F511" s="59">
        <v>1.0</v>
      </c>
      <c r="G511" s="201" t="s">
        <v>5499</v>
      </c>
      <c r="H511" s="73"/>
      <c r="I511" s="75"/>
      <c r="J511" s="76" t="s">
        <v>5500</v>
      </c>
      <c r="K511" s="202" t="s">
        <v>5501</v>
      </c>
      <c r="L511" s="110" t="s">
        <v>69</v>
      </c>
      <c r="M511" s="92" t="s">
        <v>5502</v>
      </c>
      <c r="N511" s="111"/>
      <c r="O511" s="92" t="s">
        <v>510</v>
      </c>
      <c r="P511" s="67" t="str">
        <f t="shared" si="1"/>
        <v>52.041278, 29.216028</v>
      </c>
      <c r="Q511" s="67" t="str">
        <f t="shared" si="2"/>
        <v>52.040925, 29.216171</v>
      </c>
      <c r="R511" s="67">
        <f t="shared" si="3"/>
        <v>52.040925</v>
      </c>
      <c r="S511" s="67">
        <f t="shared" si="4"/>
        <v>29.216171</v>
      </c>
      <c r="T511" s="161"/>
      <c r="U511" s="69"/>
      <c r="V511" s="65" t="s">
        <v>5503</v>
      </c>
      <c r="W511" s="71" t="s">
        <v>74</v>
      </c>
      <c r="X511" s="72" t="s">
        <v>5504</v>
      </c>
      <c r="Y511" s="73"/>
      <c r="Z511" s="73"/>
      <c r="AA511" s="73"/>
      <c r="AB511" s="73"/>
      <c r="AC511" s="73"/>
      <c r="AD511" s="73"/>
      <c r="AE511" s="73"/>
      <c r="AF511" s="73"/>
      <c r="AG511" s="73"/>
      <c r="AH511" s="73"/>
      <c r="AI511" s="73"/>
      <c r="AJ511" s="75"/>
      <c r="AK511" s="76" t="s">
        <v>2108</v>
      </c>
      <c r="AL511" s="83" t="s">
        <v>5505</v>
      </c>
      <c r="AM511" s="71" t="s">
        <v>5506</v>
      </c>
      <c r="AN511" s="84" t="s">
        <v>5507</v>
      </c>
      <c r="AO511" s="71" t="s">
        <v>5508</v>
      </c>
      <c r="AP511" s="161" t="str">
        <f>IMAGE("https://bellingcat-archive.nyc3.cdn.digitaloceanspaces.com/Ukraine_Witness_Datasheet/Worksheet/twitter__media_FMTetc1XwAQWAN8.jpg")</f>
        <v/>
      </c>
      <c r="AQ511" s="161"/>
      <c r="AR511" s="161"/>
      <c r="AS511" s="161"/>
      <c r="AT511" s="161"/>
      <c r="AU511" s="89"/>
      <c r="AV511" s="80" t="s">
        <v>63</v>
      </c>
      <c r="AW511" s="203"/>
    </row>
    <row r="512" ht="15.75" customHeight="1">
      <c r="A512" s="87" t="s">
        <v>5457</v>
      </c>
      <c r="B512" s="73"/>
      <c r="C512" s="57" t="s">
        <v>4901</v>
      </c>
      <c r="D512" s="104">
        <v>50.560019</v>
      </c>
      <c r="E512" s="104">
        <v>36.463069</v>
      </c>
      <c r="F512" s="59">
        <v>1.0</v>
      </c>
      <c r="G512" s="201" t="s">
        <v>5509</v>
      </c>
      <c r="H512" s="61" t="s">
        <v>66</v>
      </c>
      <c r="I512" s="75"/>
      <c r="J512" s="76" t="s">
        <v>5510</v>
      </c>
      <c r="K512" s="202" t="s">
        <v>5511</v>
      </c>
      <c r="L512" s="110" t="s">
        <v>79</v>
      </c>
      <c r="M512" s="92" t="s">
        <v>1325</v>
      </c>
      <c r="N512" s="111"/>
      <c r="O512" s="92" t="s">
        <v>547</v>
      </c>
      <c r="P512" s="67" t="str">
        <f t="shared" si="1"/>
        <v>50.560019, 36.463069</v>
      </c>
      <c r="Q512" s="67" t="str">
        <f t="shared" si="2"/>
        <v>50.559988, 36.462375</v>
      </c>
      <c r="R512" s="67">
        <f t="shared" si="3"/>
        <v>50.559988</v>
      </c>
      <c r="S512" s="67">
        <f t="shared" si="4"/>
        <v>36.462375</v>
      </c>
      <c r="T512" s="161"/>
      <c r="U512" s="69"/>
      <c r="V512" s="65" t="s">
        <v>5512</v>
      </c>
      <c r="W512" s="71" t="s">
        <v>74</v>
      </c>
      <c r="X512" s="72" t="s">
        <v>75</v>
      </c>
      <c r="Y512" s="73"/>
      <c r="Z512" s="73"/>
      <c r="AA512" s="73"/>
      <c r="AB512" s="73"/>
      <c r="AC512" s="73"/>
      <c r="AD512" s="73"/>
      <c r="AE512" s="73"/>
      <c r="AF512" s="73"/>
      <c r="AG512" s="73"/>
      <c r="AH512" s="73"/>
      <c r="AI512" s="73"/>
      <c r="AJ512" s="75"/>
      <c r="AK512" s="76" t="s">
        <v>798</v>
      </c>
      <c r="AL512" s="83" t="s">
        <v>5513</v>
      </c>
      <c r="AM512" s="71" t="s">
        <v>5514</v>
      </c>
      <c r="AN512" s="84" t="s">
        <v>5515</v>
      </c>
      <c r="AO512" s="71" t="s">
        <v>5516</v>
      </c>
      <c r="AP512" s="161" t="str">
        <f>IMAGE("https://bellingcat-archive.nyc3.cdn.digitaloceanspaces.com/Ukraine_Witness_Datasheet/Worksheet/youtube_dl_1496187104786845700/out5.jpg")</f>
        <v/>
      </c>
      <c r="AQ512" s="84" t="s">
        <v>5517</v>
      </c>
      <c r="AR512" s="71" t="s">
        <v>5518</v>
      </c>
      <c r="AS512" s="71" t="s">
        <v>5519</v>
      </c>
      <c r="AT512" s="71">
        <v>140.006</v>
      </c>
      <c r="AU512" s="89"/>
      <c r="AV512" s="162"/>
      <c r="AW512" s="81"/>
    </row>
    <row r="513" ht="15.75" customHeight="1">
      <c r="A513" s="204" t="s">
        <v>5520</v>
      </c>
      <c r="B513" s="73"/>
      <c r="C513" s="57" t="s">
        <v>4901</v>
      </c>
      <c r="D513" s="104">
        <v>48.7476239855354</v>
      </c>
      <c r="E513" s="104">
        <v>39.261833607422</v>
      </c>
      <c r="F513" s="205">
        <v>2.0</v>
      </c>
      <c r="G513" s="154" t="s">
        <v>5521</v>
      </c>
      <c r="H513" s="61" t="s">
        <v>5522</v>
      </c>
      <c r="I513" s="75"/>
      <c r="J513" s="206" t="s">
        <v>5523</v>
      </c>
      <c r="K513" s="153"/>
      <c r="L513" s="110" t="s">
        <v>3542</v>
      </c>
      <c r="M513" s="92" t="s">
        <v>5524</v>
      </c>
      <c r="N513" s="111"/>
      <c r="O513" s="92" t="s">
        <v>5525</v>
      </c>
      <c r="P513" s="67" t="str">
        <f t="shared" si="1"/>
        <v>48.7476239855354, 39.261833607422</v>
      </c>
      <c r="Q513" s="67" t="str">
        <f t="shared" si="2"/>
        <v>48.747557, 39.261241</v>
      </c>
      <c r="R513" s="67">
        <f t="shared" si="3"/>
        <v>48.747557</v>
      </c>
      <c r="S513" s="67">
        <f t="shared" si="4"/>
        <v>39.261241</v>
      </c>
      <c r="T513" s="161"/>
      <c r="U513" s="69"/>
      <c r="V513" s="65" t="s">
        <v>5526</v>
      </c>
      <c r="W513" s="71" t="s">
        <v>3601</v>
      </c>
      <c r="X513" s="72" t="s">
        <v>2982</v>
      </c>
      <c r="Y513" s="73"/>
      <c r="Z513" s="73"/>
      <c r="AA513" s="73"/>
      <c r="AB513" s="73"/>
      <c r="AC513" s="73"/>
      <c r="AD513" s="73"/>
      <c r="AE513" s="73"/>
      <c r="AF513" s="73"/>
      <c r="AG513" s="73"/>
      <c r="AH513" s="73"/>
      <c r="AI513" s="73"/>
      <c r="AJ513" s="75"/>
      <c r="AK513" s="76" t="s">
        <v>798</v>
      </c>
      <c r="AL513" s="83" t="s">
        <v>5527</v>
      </c>
      <c r="AM513" s="71" t="s">
        <v>5528</v>
      </c>
      <c r="AN513" s="84" t="s">
        <v>5529</v>
      </c>
      <c r="AO513" s="71" t="s">
        <v>5530</v>
      </c>
      <c r="AP513" s="161" t="str">
        <f>IMAGE("https://bellingcat-archive.nyc3.cdn.digitaloceanspaces.com/Ukraine_Witness_Datasheet/Worksheet/youtube_dl_1496082009088794625/out2.jpg")</f>
        <v/>
      </c>
      <c r="AQ513" s="84" t="s">
        <v>5531</v>
      </c>
      <c r="AR513" s="71" t="s">
        <v>5532</v>
      </c>
      <c r="AS513" s="71" t="s">
        <v>5533</v>
      </c>
      <c r="AT513" s="71">
        <v>6.5</v>
      </c>
      <c r="AU513" s="89"/>
      <c r="AV513" s="162"/>
      <c r="AW513" s="81"/>
    </row>
    <row r="514" ht="15.75" customHeight="1">
      <c r="A514" s="87" t="s">
        <v>5457</v>
      </c>
      <c r="B514" s="73"/>
      <c r="C514" s="57" t="s">
        <v>4167</v>
      </c>
      <c r="D514" s="104">
        <v>45.7338927055045</v>
      </c>
      <c r="E514" s="104">
        <v>33.2099137508042</v>
      </c>
      <c r="F514" s="59">
        <v>1.0</v>
      </c>
      <c r="G514" s="159" t="s">
        <v>5534</v>
      </c>
      <c r="H514" s="61" t="s">
        <v>5368</v>
      </c>
      <c r="I514" s="75"/>
      <c r="J514" s="76" t="s">
        <v>5535</v>
      </c>
      <c r="K514" s="153"/>
      <c r="L514" s="110" t="s">
        <v>407</v>
      </c>
      <c r="M514" s="111"/>
      <c r="N514" s="111"/>
      <c r="O514" s="92" t="s">
        <v>5536</v>
      </c>
      <c r="P514" s="67" t="str">
        <f t="shared" si="1"/>
        <v>45.7338927055045, 33.2099137508042</v>
      </c>
      <c r="Q514" s="67" t="str">
        <f t="shared" si="2"/>
        <v>45.733637, 33.209555</v>
      </c>
      <c r="R514" s="67">
        <f t="shared" si="3"/>
        <v>45.733637</v>
      </c>
      <c r="S514" s="67">
        <f t="shared" si="4"/>
        <v>33.209555</v>
      </c>
      <c r="T514" s="161"/>
      <c r="U514" s="69"/>
      <c r="V514" s="65" t="s">
        <v>5537</v>
      </c>
      <c r="W514" s="199" t="s">
        <v>74</v>
      </c>
      <c r="X514" s="72" t="s">
        <v>75</v>
      </c>
      <c r="Y514" s="73"/>
      <c r="Z514" s="73"/>
      <c r="AA514" s="73"/>
      <c r="AB514" s="73"/>
      <c r="AC514" s="73"/>
      <c r="AD514" s="73"/>
      <c r="AE514" s="73"/>
      <c r="AF514" s="73"/>
      <c r="AG514" s="73"/>
      <c r="AH514" s="73"/>
      <c r="AI514" s="73"/>
      <c r="AJ514" s="75"/>
      <c r="AK514" s="76" t="s">
        <v>798</v>
      </c>
      <c r="AL514" s="83" t="s">
        <v>5538</v>
      </c>
      <c r="AM514" s="71" t="s">
        <v>5539</v>
      </c>
      <c r="AN514" s="84" t="s">
        <v>5540</v>
      </c>
      <c r="AO514" s="71" t="s">
        <v>5541</v>
      </c>
      <c r="AP514" s="161" t="str">
        <f>IMAGE("None")</f>
        <v/>
      </c>
      <c r="AQ514" s="71" t="s">
        <v>47</v>
      </c>
      <c r="AR514" s="71" t="s">
        <v>5542</v>
      </c>
      <c r="AS514" s="71" t="s">
        <v>5543</v>
      </c>
      <c r="AT514" s="161"/>
      <c r="AU514" s="89"/>
      <c r="AV514" s="162"/>
      <c r="AW514" s="81"/>
    </row>
    <row r="515" ht="15.75" customHeight="1">
      <c r="A515" s="72" t="s">
        <v>5520</v>
      </c>
      <c r="B515" s="73"/>
      <c r="C515" s="57" t="s">
        <v>4901</v>
      </c>
      <c r="D515" s="104">
        <v>48.733645</v>
      </c>
      <c r="E515" s="74">
        <v>39.237522</v>
      </c>
      <c r="F515" s="205">
        <v>2.0</v>
      </c>
      <c r="G515" s="151" t="s">
        <v>5544</v>
      </c>
      <c r="H515" s="61" t="s">
        <v>5522</v>
      </c>
      <c r="I515" s="75"/>
      <c r="J515" s="207" t="s">
        <v>5545</v>
      </c>
      <c r="K515" s="153"/>
      <c r="L515" s="110" t="s">
        <v>3542</v>
      </c>
      <c r="M515" s="92" t="s">
        <v>5524</v>
      </c>
      <c r="N515" s="111"/>
      <c r="O515" s="92" t="s">
        <v>5546</v>
      </c>
      <c r="P515" s="67" t="str">
        <f t="shared" si="1"/>
        <v>48.733645, 39.237522</v>
      </c>
      <c r="Q515" s="67" t="str">
        <f t="shared" si="2"/>
        <v>48.733332, 39.236951</v>
      </c>
      <c r="R515" s="67">
        <f t="shared" si="3"/>
        <v>48.733332</v>
      </c>
      <c r="S515" s="67">
        <f t="shared" si="4"/>
        <v>39.236951</v>
      </c>
      <c r="T515" s="71" t="s">
        <v>5547</v>
      </c>
      <c r="U515" s="69"/>
      <c r="V515" s="65" t="s">
        <v>5548</v>
      </c>
      <c r="W515" s="71" t="s">
        <v>3546</v>
      </c>
      <c r="X515" s="72" t="s">
        <v>2982</v>
      </c>
      <c r="Y515" s="73"/>
      <c r="Z515" s="73"/>
      <c r="AA515" s="73"/>
      <c r="AB515" s="73"/>
      <c r="AC515" s="73"/>
      <c r="AD515" s="73"/>
      <c r="AE515" s="73"/>
      <c r="AF515" s="73"/>
      <c r="AG515" s="73"/>
      <c r="AH515" s="73"/>
      <c r="AI515" s="73"/>
      <c r="AJ515" s="75"/>
      <c r="AK515" s="76" t="s">
        <v>798</v>
      </c>
      <c r="AL515" s="83" t="s">
        <v>5549</v>
      </c>
      <c r="AM515" s="71" t="s">
        <v>5550</v>
      </c>
      <c r="AN515" s="84" t="s">
        <v>5551</v>
      </c>
      <c r="AO515" s="71" t="s">
        <v>5552</v>
      </c>
      <c r="AP515" s="161" t="str">
        <f>IMAGE("https://bellingcat-archive.nyc3.cdn.digitaloceanspaces.com/Ukraine_Witness_Datasheet/Worksheet/youtube_dl_1496162101349523461/out2.jpg")</f>
        <v/>
      </c>
      <c r="AQ515" s="84" t="s">
        <v>5553</v>
      </c>
      <c r="AR515" s="71" t="s">
        <v>5554</v>
      </c>
      <c r="AS515" s="71" t="s">
        <v>5555</v>
      </c>
      <c r="AT515" s="71">
        <v>22.525</v>
      </c>
      <c r="AU515" s="89"/>
      <c r="AV515" s="80" t="s">
        <v>88</v>
      </c>
      <c r="AW515" s="81"/>
    </row>
    <row r="516" ht="15.75" customHeight="1">
      <c r="A516" s="87" t="s">
        <v>5457</v>
      </c>
      <c r="B516" s="73"/>
      <c r="C516" s="57" t="s">
        <v>4901</v>
      </c>
      <c r="D516" s="104">
        <v>46.434395</v>
      </c>
      <c r="E516" s="104">
        <v>30.762827</v>
      </c>
      <c r="F516" s="59">
        <v>1.0</v>
      </c>
      <c r="G516" s="159" t="s">
        <v>5556</v>
      </c>
      <c r="H516" s="61" t="s">
        <v>5522</v>
      </c>
      <c r="I516" s="75"/>
      <c r="J516" s="76" t="s">
        <v>5557</v>
      </c>
      <c r="K516" s="202" t="s">
        <v>5558</v>
      </c>
      <c r="L516" s="110" t="s">
        <v>3542</v>
      </c>
      <c r="M516" s="92" t="s">
        <v>5559</v>
      </c>
      <c r="N516" s="111"/>
      <c r="O516" s="92" t="s">
        <v>5560</v>
      </c>
      <c r="P516" s="67" t="str">
        <f t="shared" si="1"/>
        <v>46.434395, 30.762827</v>
      </c>
      <c r="Q516" s="67" t="str">
        <f t="shared" si="2"/>
        <v>46.433882, 30.762826</v>
      </c>
      <c r="R516" s="67">
        <f t="shared" si="3"/>
        <v>46.433882</v>
      </c>
      <c r="S516" s="67">
        <f t="shared" si="4"/>
        <v>30.762826</v>
      </c>
      <c r="T516" s="161"/>
      <c r="U516" s="69"/>
      <c r="V516" s="65" t="s">
        <v>5561</v>
      </c>
      <c r="W516" s="71" t="s">
        <v>811</v>
      </c>
      <c r="X516" s="72" t="s">
        <v>75</v>
      </c>
      <c r="Y516" s="73"/>
      <c r="Z516" s="73"/>
      <c r="AA516" s="73"/>
      <c r="AB516" s="73"/>
      <c r="AC516" s="73"/>
      <c r="AD516" s="73"/>
      <c r="AE516" s="73"/>
      <c r="AF516" s="73"/>
      <c r="AG516" s="73"/>
      <c r="AH516" s="73"/>
      <c r="AI516" s="73"/>
      <c r="AJ516" s="75"/>
      <c r="AK516" s="76" t="s">
        <v>798</v>
      </c>
      <c r="AL516" s="83" t="s">
        <v>5562</v>
      </c>
      <c r="AM516" s="71" t="s">
        <v>5563</v>
      </c>
      <c r="AN516" s="84" t="s">
        <v>5564</v>
      </c>
      <c r="AO516" s="71" t="s">
        <v>5565</v>
      </c>
      <c r="AP516" s="161" t="str">
        <f>IMAGE("https://bellingcat-archive.nyc3.cdn.digitaloceanspaces.com/Ukraine_Witness_Datasheet/Worksheet/youtube_dl_1496196904161628162/out2.jpg")</f>
        <v/>
      </c>
      <c r="AQ516" s="84" t="s">
        <v>5566</v>
      </c>
      <c r="AR516" s="71" t="s">
        <v>5567</v>
      </c>
      <c r="AS516" s="71" t="s">
        <v>5568</v>
      </c>
      <c r="AT516" s="71">
        <v>29.766</v>
      </c>
      <c r="AU516" s="89"/>
      <c r="AV516" s="162"/>
      <c r="AW516" s="81"/>
    </row>
    <row r="517" ht="15.75" customHeight="1">
      <c r="A517" s="208" t="s">
        <v>5569</v>
      </c>
      <c r="B517" s="73"/>
      <c r="C517" s="57" t="s">
        <v>5256</v>
      </c>
      <c r="D517" s="104">
        <v>52.1259635559357</v>
      </c>
      <c r="E517" s="104">
        <v>29.3306091072446</v>
      </c>
      <c r="F517" s="59">
        <v>1.0</v>
      </c>
      <c r="G517" s="159" t="s">
        <v>5570</v>
      </c>
      <c r="H517" s="61" t="s">
        <v>5522</v>
      </c>
      <c r="I517" s="75"/>
      <c r="J517" s="76" t="s">
        <v>5571</v>
      </c>
      <c r="K517" s="153"/>
      <c r="L517" s="110" t="s">
        <v>69</v>
      </c>
      <c r="M517" s="111"/>
      <c r="N517" s="111"/>
      <c r="O517" s="92" t="s">
        <v>271</v>
      </c>
      <c r="P517" s="67" t="str">
        <f t="shared" si="1"/>
        <v>52.1259635559357, 29.3306091072446</v>
      </c>
      <c r="Q517" s="67" t="str">
        <f t="shared" si="2"/>
        <v>52.125444, 29.331063</v>
      </c>
      <c r="R517" s="67">
        <f t="shared" si="3"/>
        <v>52.125444</v>
      </c>
      <c r="S517" s="67">
        <f t="shared" si="4"/>
        <v>29.331063</v>
      </c>
      <c r="T517" s="71" t="s">
        <v>5572</v>
      </c>
      <c r="U517" s="69"/>
      <c r="V517" s="65" t="s">
        <v>5573</v>
      </c>
      <c r="W517" s="71" t="s">
        <v>74</v>
      </c>
      <c r="X517" s="208"/>
      <c r="Y517" s="73"/>
      <c r="Z517" s="73"/>
      <c r="AA517" s="73"/>
      <c r="AB517" s="73"/>
      <c r="AC517" s="73"/>
      <c r="AD517" s="73"/>
      <c r="AE517" s="73"/>
      <c r="AF517" s="73"/>
      <c r="AG517" s="73"/>
      <c r="AH517" s="73"/>
      <c r="AI517" s="73"/>
      <c r="AJ517" s="75"/>
      <c r="AK517" s="76" t="s">
        <v>2998</v>
      </c>
      <c r="AL517" s="83" t="s">
        <v>5574</v>
      </c>
      <c r="AM517" s="71" t="s">
        <v>5575</v>
      </c>
      <c r="AN517" s="84" t="s">
        <v>5576</v>
      </c>
      <c r="AO517" s="71" t="s">
        <v>5577</v>
      </c>
      <c r="AP517" s="161" t="str">
        <f t="shared" ref="AP517:AP518" si="6">IMAGE("https://bellingcat-archive.nyc3.cdn.digitaloceanspaces.com/Ukraine_Witness_Datasheet/Worksheet/tiktok_7067969626512133382/out2.jpg")</f>
        <v/>
      </c>
      <c r="AQ517" s="84" t="s">
        <v>5578</v>
      </c>
      <c r="AR517" s="71" t="s">
        <v>5579</v>
      </c>
      <c r="AS517" s="71" t="s">
        <v>5580</v>
      </c>
      <c r="AT517" s="71">
        <v>38.0</v>
      </c>
      <c r="AU517" s="89"/>
      <c r="AV517" s="80"/>
      <c r="AW517" s="81"/>
    </row>
    <row r="518" ht="15.75" customHeight="1">
      <c r="A518" s="208" t="s">
        <v>5569</v>
      </c>
      <c r="B518" s="73"/>
      <c r="C518" s="101" t="s">
        <v>5256</v>
      </c>
      <c r="D518" s="104">
        <v>53.6630195931945</v>
      </c>
      <c r="E518" s="104">
        <v>23.8366460480425</v>
      </c>
      <c r="F518" s="59">
        <v>1.0</v>
      </c>
      <c r="G518" s="159" t="s">
        <v>5570</v>
      </c>
      <c r="H518" s="61" t="s">
        <v>5522</v>
      </c>
      <c r="I518" s="75"/>
      <c r="J518" s="76" t="s">
        <v>5581</v>
      </c>
      <c r="K518" s="153"/>
      <c r="L518" s="110" t="s">
        <v>69</v>
      </c>
      <c r="M518" s="111"/>
      <c r="N518" s="111"/>
      <c r="O518" s="92" t="s">
        <v>5582</v>
      </c>
      <c r="P518" s="67" t="str">
        <f t="shared" si="1"/>
        <v>53.6630195931945, 23.8366460480425</v>
      </c>
      <c r="Q518" s="67" t="str">
        <f t="shared" si="2"/>
        <v>53.662666, 23.836224</v>
      </c>
      <c r="R518" s="67">
        <f t="shared" si="3"/>
        <v>53.662666</v>
      </c>
      <c r="S518" s="67">
        <f t="shared" si="4"/>
        <v>23.836224</v>
      </c>
      <c r="T518" s="71" t="s">
        <v>5572</v>
      </c>
      <c r="U518" s="69"/>
      <c r="V518" s="65" t="s">
        <v>5583</v>
      </c>
      <c r="W518" s="71" t="s">
        <v>74</v>
      </c>
      <c r="X518" s="208"/>
      <c r="Y518" s="73"/>
      <c r="Z518" s="73"/>
      <c r="AA518" s="73"/>
      <c r="AB518" s="73"/>
      <c r="AC518" s="73"/>
      <c r="AD518" s="73"/>
      <c r="AE518" s="73"/>
      <c r="AF518" s="73"/>
      <c r="AG518" s="73"/>
      <c r="AH518" s="73"/>
      <c r="AI518" s="73"/>
      <c r="AJ518" s="75"/>
      <c r="AK518" s="76" t="s">
        <v>962</v>
      </c>
      <c r="AL518" s="83" t="s">
        <v>5574</v>
      </c>
      <c r="AM518" s="71" t="s">
        <v>5584</v>
      </c>
      <c r="AN518" s="84" t="s">
        <v>5585</v>
      </c>
      <c r="AO518" s="71" t="s">
        <v>5577</v>
      </c>
      <c r="AP518" s="161" t="str">
        <f t="shared" si="6"/>
        <v/>
      </c>
      <c r="AQ518" s="84" t="s">
        <v>5578</v>
      </c>
      <c r="AR518" s="71" t="s">
        <v>5579</v>
      </c>
      <c r="AS518" s="71" t="s">
        <v>5580</v>
      </c>
      <c r="AT518" s="71">
        <v>38.0</v>
      </c>
      <c r="AU518" s="89"/>
      <c r="AV518" s="80"/>
      <c r="AW518" s="81"/>
    </row>
    <row r="519" ht="15.75" customHeight="1">
      <c r="A519" s="95" t="s">
        <v>63</v>
      </c>
      <c r="B519" s="73"/>
      <c r="C519" s="101" t="s">
        <v>5586</v>
      </c>
      <c r="D519" s="104">
        <v>49.990083</v>
      </c>
      <c r="E519" s="104">
        <v>36.359339</v>
      </c>
      <c r="F519" s="59">
        <v>1.0</v>
      </c>
      <c r="G519" s="151" t="s">
        <v>5587</v>
      </c>
      <c r="H519" s="61" t="s">
        <v>5522</v>
      </c>
      <c r="I519" s="75"/>
      <c r="J519" s="76" t="s">
        <v>5588</v>
      </c>
      <c r="K519" s="152" t="s">
        <v>5589</v>
      </c>
      <c r="L519" s="110" t="s">
        <v>3542</v>
      </c>
      <c r="M519" s="92" t="s">
        <v>5590</v>
      </c>
      <c r="N519" s="111"/>
      <c r="O519" s="92" t="s">
        <v>5591</v>
      </c>
      <c r="P519" s="67" t="str">
        <f t="shared" si="1"/>
        <v>49.990083, 36.359339</v>
      </c>
      <c r="Q519" s="67" t="str">
        <f t="shared" si="2"/>
        <v>49.989873, 36.360445</v>
      </c>
      <c r="R519" s="67">
        <f t="shared" si="3"/>
        <v>49.989873</v>
      </c>
      <c r="S519" s="67">
        <f t="shared" si="4"/>
        <v>36.360445</v>
      </c>
      <c r="T519" s="161"/>
      <c r="U519" s="69"/>
      <c r="V519" s="65" t="s">
        <v>5592</v>
      </c>
      <c r="W519" s="71" t="s">
        <v>3546</v>
      </c>
      <c r="X519" s="72" t="s">
        <v>75</v>
      </c>
      <c r="Y519" s="73"/>
      <c r="Z519" s="73"/>
      <c r="AA519" s="73"/>
      <c r="AB519" s="73"/>
      <c r="AC519" s="73"/>
      <c r="AD519" s="73"/>
      <c r="AE519" s="73"/>
      <c r="AF519" s="73"/>
      <c r="AG519" s="73"/>
      <c r="AH519" s="73"/>
      <c r="AI519" s="73"/>
      <c r="AJ519" s="75"/>
      <c r="AK519" s="76" t="s">
        <v>798</v>
      </c>
      <c r="AL519" s="83" t="s">
        <v>5593</v>
      </c>
      <c r="AM519" s="71" t="s">
        <v>5594</v>
      </c>
      <c r="AN519" s="84" t="s">
        <v>5595</v>
      </c>
      <c r="AO519" s="71" t="s">
        <v>5596</v>
      </c>
      <c r="AP519" s="161" t="str">
        <f>IMAGE("https://bellingcat-archive.nyc3.cdn.digitaloceanspaces.com/Ukraine_Witness_Datasheet/Worksheet/youtube_dl_1496705653422895108/out2.jpg")</f>
        <v/>
      </c>
      <c r="AQ519" s="84" t="s">
        <v>5597</v>
      </c>
      <c r="AR519" s="71" t="s">
        <v>5598</v>
      </c>
      <c r="AS519" s="71" t="s">
        <v>5599</v>
      </c>
      <c r="AT519" s="71">
        <v>7.733</v>
      </c>
      <c r="AU519" s="89"/>
      <c r="AV519" s="162"/>
      <c r="AW519" s="81"/>
    </row>
    <row r="520" ht="15.75" customHeight="1">
      <c r="A520" s="87" t="s">
        <v>63</v>
      </c>
      <c r="B520" s="73"/>
      <c r="C520" s="101" t="s">
        <v>5586</v>
      </c>
      <c r="D520" s="104">
        <v>48.906787</v>
      </c>
      <c r="E520" s="74">
        <v>24.712699</v>
      </c>
      <c r="F520" s="59">
        <v>1.0</v>
      </c>
      <c r="G520" s="151" t="s">
        <v>5600</v>
      </c>
      <c r="H520" s="61" t="s">
        <v>5522</v>
      </c>
      <c r="I520" s="75"/>
      <c r="J520" s="76" t="s">
        <v>5601</v>
      </c>
      <c r="K520" s="153"/>
      <c r="L520" s="110" t="s">
        <v>3542</v>
      </c>
      <c r="M520" s="92" t="s">
        <v>5602</v>
      </c>
      <c r="N520" s="111"/>
      <c r="O520" s="92" t="s">
        <v>5603</v>
      </c>
      <c r="P520" s="67" t="str">
        <f t="shared" si="1"/>
        <v>48.906787, 24.712699</v>
      </c>
      <c r="Q520" s="67" t="str">
        <f t="shared" si="2"/>
        <v>48.906561, 24.711626</v>
      </c>
      <c r="R520" s="67">
        <f t="shared" si="3"/>
        <v>48.906561</v>
      </c>
      <c r="S520" s="67">
        <f t="shared" si="4"/>
        <v>24.711626</v>
      </c>
      <c r="T520" s="161"/>
      <c r="U520" s="69"/>
      <c r="V520" s="65" t="s">
        <v>5604</v>
      </c>
      <c r="W520" s="71" t="s">
        <v>3546</v>
      </c>
      <c r="X520" s="72" t="s">
        <v>75</v>
      </c>
      <c r="Y520" s="73"/>
      <c r="Z520" s="73"/>
      <c r="AA520" s="73"/>
      <c r="AB520" s="73"/>
      <c r="AC520" s="73"/>
      <c r="AD520" s="73"/>
      <c r="AE520" s="73"/>
      <c r="AF520" s="73"/>
      <c r="AG520" s="73"/>
      <c r="AH520" s="73"/>
      <c r="AI520" s="73"/>
      <c r="AJ520" s="75"/>
      <c r="AK520" s="76" t="s">
        <v>798</v>
      </c>
      <c r="AL520" s="83" t="s">
        <v>5605</v>
      </c>
      <c r="AM520" s="71" t="s">
        <v>5606</v>
      </c>
      <c r="AN520" s="84" t="s">
        <v>5607</v>
      </c>
      <c r="AO520" s="71" t="s">
        <v>5608</v>
      </c>
      <c r="AP520" s="161" t="str">
        <f>IMAGE("https://bellingcat-archive.nyc3.cdn.digitaloceanspaces.com/Ukraine_Witness_Datasheet/Worksheet/youtube_dl_1496729252795928578/out2.jpg")</f>
        <v/>
      </c>
      <c r="AQ520" s="84" t="s">
        <v>5609</v>
      </c>
      <c r="AR520" s="71" t="s">
        <v>5610</v>
      </c>
      <c r="AS520" s="71" t="s">
        <v>5611</v>
      </c>
      <c r="AT520" s="71">
        <v>10.634</v>
      </c>
      <c r="AU520" s="89"/>
      <c r="AV520" s="162"/>
      <c r="AW520" s="81"/>
    </row>
    <row r="521" ht="15.75" customHeight="1">
      <c r="A521" s="87" t="s">
        <v>63</v>
      </c>
      <c r="B521" s="73"/>
      <c r="C521" s="101" t="s">
        <v>5586</v>
      </c>
      <c r="D521" s="149">
        <v>46.109509</v>
      </c>
      <c r="E521" s="149">
        <v>33.69071</v>
      </c>
      <c r="F521" s="59">
        <v>1.0</v>
      </c>
      <c r="G521" s="151" t="s">
        <v>5612</v>
      </c>
      <c r="H521" s="61" t="s">
        <v>5522</v>
      </c>
      <c r="I521" s="75"/>
      <c r="J521" s="76" t="s">
        <v>3049</v>
      </c>
      <c r="K521" s="152" t="s">
        <v>5613</v>
      </c>
      <c r="L521" s="134"/>
      <c r="M521" s="92" t="s">
        <v>407</v>
      </c>
      <c r="N521" s="111"/>
      <c r="O521" s="92" t="s">
        <v>5614</v>
      </c>
      <c r="P521" s="67" t="str">
        <f t="shared" si="1"/>
        <v>46.109509, 33.69071</v>
      </c>
      <c r="Q521" s="67" t="str">
        <f t="shared" si="2"/>
        <v>46.10893, 33.690401</v>
      </c>
      <c r="R521" s="67">
        <f t="shared" si="3"/>
        <v>46.10893</v>
      </c>
      <c r="S521" s="67">
        <f t="shared" si="4"/>
        <v>33.690401</v>
      </c>
      <c r="T521" s="161"/>
      <c r="U521" s="69"/>
      <c r="V521" s="65" t="s">
        <v>5615</v>
      </c>
      <c r="W521" s="71" t="s">
        <v>74</v>
      </c>
      <c r="X521" s="72" t="s">
        <v>75</v>
      </c>
      <c r="Y521" s="73"/>
      <c r="Z521" s="73"/>
      <c r="AA521" s="73"/>
      <c r="AB521" s="73"/>
      <c r="AC521" s="73"/>
      <c r="AD521" s="73"/>
      <c r="AE521" s="73"/>
      <c r="AF521" s="73"/>
      <c r="AG521" s="73"/>
      <c r="AH521" s="73"/>
      <c r="AI521" s="73"/>
      <c r="AJ521" s="75"/>
      <c r="AK521" s="76" t="s">
        <v>798</v>
      </c>
      <c r="AL521" s="83" t="s">
        <v>5616</v>
      </c>
      <c r="AM521" s="71" t="s">
        <v>5617</v>
      </c>
      <c r="AN521" s="84" t="s">
        <v>5618</v>
      </c>
      <c r="AO521" s="71" t="s">
        <v>5619</v>
      </c>
      <c r="AP521" s="161" t="str">
        <f>IMAGE("https://bellingcat-archive.nyc3.cdn.digitaloceanspaces.com/Ukraine_Witness_Datasheet/Worksheet/youtube_dl_1496732785771483143/out2.jpg")</f>
        <v/>
      </c>
      <c r="AQ521" s="84" t="s">
        <v>5620</v>
      </c>
      <c r="AR521" s="71" t="s">
        <v>5621</v>
      </c>
      <c r="AS521" s="71" t="s">
        <v>5622</v>
      </c>
      <c r="AT521" s="71">
        <v>4.1</v>
      </c>
      <c r="AU521" s="89"/>
      <c r="AV521" s="162"/>
      <c r="AW521" s="81"/>
    </row>
    <row r="522" ht="15.75" customHeight="1">
      <c r="A522" s="87" t="s">
        <v>63</v>
      </c>
      <c r="B522" s="73"/>
      <c r="C522" s="101" t="s">
        <v>5586</v>
      </c>
      <c r="D522" s="74">
        <v>50.054719</v>
      </c>
      <c r="E522" s="74">
        <v>36.360583</v>
      </c>
      <c r="F522" s="59">
        <v>1.0</v>
      </c>
      <c r="G522" s="151" t="s">
        <v>5623</v>
      </c>
      <c r="H522" s="61" t="s">
        <v>91</v>
      </c>
      <c r="I522" s="75"/>
      <c r="J522" s="76" t="s">
        <v>5624</v>
      </c>
      <c r="K522" s="152" t="s">
        <v>5625</v>
      </c>
      <c r="L522" s="110" t="s">
        <v>3542</v>
      </c>
      <c r="M522" s="92" t="s">
        <v>5590</v>
      </c>
      <c r="N522" s="111"/>
      <c r="O522" s="92" t="s">
        <v>5626</v>
      </c>
      <c r="P522" s="67" t="str">
        <f t="shared" si="1"/>
        <v>50.054719, 36.360583</v>
      </c>
      <c r="Q522" s="67" t="str">
        <f t="shared" si="2"/>
        <v>50.054217, 36.36016</v>
      </c>
      <c r="R522" s="67">
        <f t="shared" si="3"/>
        <v>50.054217</v>
      </c>
      <c r="S522" s="67">
        <f t="shared" si="4"/>
        <v>36.36016</v>
      </c>
      <c r="T522" s="161"/>
      <c r="U522" s="69"/>
      <c r="V522" s="169" t="s">
        <v>5627</v>
      </c>
      <c r="W522" s="71" t="s">
        <v>5628</v>
      </c>
      <c r="X522" s="72" t="s">
        <v>75</v>
      </c>
      <c r="Y522" s="73"/>
      <c r="Z522" s="73"/>
      <c r="AA522" s="73"/>
      <c r="AB522" s="73"/>
      <c r="AC522" s="73"/>
      <c r="AD522" s="73"/>
      <c r="AE522" s="73"/>
      <c r="AF522" s="73"/>
      <c r="AG522" s="73"/>
      <c r="AH522" s="73"/>
      <c r="AI522" s="73"/>
      <c r="AJ522" s="75"/>
      <c r="AK522" s="76" t="s">
        <v>2108</v>
      </c>
      <c r="AL522" s="83" t="s">
        <v>5629</v>
      </c>
      <c r="AM522" s="71" t="s">
        <v>5630</v>
      </c>
      <c r="AN522" s="84" t="s">
        <v>5631</v>
      </c>
      <c r="AO522" s="71" t="s">
        <v>5632</v>
      </c>
      <c r="AP522" s="161" t="str">
        <f>IMAGE("https://bellingcat-archive.nyc3.cdn.digitaloceanspaces.com/Ukraine_Witness_Datasheet/Worksheet/twitter__media_FMV_gJPXsAQz_Hy.jpg")</f>
        <v/>
      </c>
      <c r="AQ522" s="161"/>
      <c r="AR522" s="161"/>
      <c r="AS522" s="161"/>
      <c r="AT522" s="161"/>
      <c r="AU522" s="89"/>
      <c r="AV522" s="162"/>
      <c r="AW522" s="81"/>
    </row>
    <row r="523" ht="15.75" customHeight="1">
      <c r="A523" s="55" t="s">
        <v>63</v>
      </c>
      <c r="B523" s="73"/>
      <c r="C523" s="101" t="s">
        <v>5586</v>
      </c>
      <c r="D523" s="74">
        <v>48.748716</v>
      </c>
      <c r="E523" s="74">
        <v>30.218705</v>
      </c>
      <c r="F523" s="209">
        <v>4.0</v>
      </c>
      <c r="G523" s="151" t="s">
        <v>5633</v>
      </c>
      <c r="H523" s="61" t="s">
        <v>5522</v>
      </c>
      <c r="I523" s="75"/>
      <c r="J523" s="76" t="s">
        <v>5634</v>
      </c>
      <c r="K523" s="153"/>
      <c r="L523" s="110" t="s">
        <v>3542</v>
      </c>
      <c r="M523" s="92" t="s">
        <v>5635</v>
      </c>
      <c r="N523" s="111"/>
      <c r="O523" s="92" t="s">
        <v>5636</v>
      </c>
      <c r="P523" s="67" t="str">
        <f t="shared" si="1"/>
        <v>48.748716, 30.218705</v>
      </c>
      <c r="Q523" s="67" t="str">
        <f t="shared" si="2"/>
        <v>48.748363, 30.218662</v>
      </c>
      <c r="R523" s="67">
        <f t="shared" si="3"/>
        <v>48.748363</v>
      </c>
      <c r="S523" s="67">
        <f t="shared" si="4"/>
        <v>30.218662</v>
      </c>
      <c r="T523" s="161"/>
      <c r="U523" s="69"/>
      <c r="V523" s="65" t="s">
        <v>5637</v>
      </c>
      <c r="W523" s="71"/>
      <c r="X523" s="72" t="s">
        <v>75</v>
      </c>
      <c r="Y523" s="73"/>
      <c r="Z523" s="73"/>
      <c r="AA523" s="73"/>
      <c r="AB523" s="73"/>
      <c r="AC523" s="73"/>
      <c r="AD523" s="73"/>
      <c r="AE523" s="73"/>
      <c r="AF523" s="73"/>
      <c r="AG523" s="73"/>
      <c r="AH523" s="73"/>
      <c r="AI523" s="73"/>
      <c r="AJ523" s="75"/>
      <c r="AK523" s="76" t="s">
        <v>798</v>
      </c>
      <c r="AL523" s="83" t="s">
        <v>5638</v>
      </c>
      <c r="AM523" s="71" t="s">
        <v>5639</v>
      </c>
      <c r="AN523" s="84" t="s">
        <v>5640</v>
      </c>
      <c r="AO523" s="71" t="s">
        <v>5641</v>
      </c>
      <c r="AP523" s="161" t="str">
        <f>IMAGE("https://bellingcat-archive.nyc3.cdn.digitaloceanspaces.com/Ukraine_Witness_Datasheet/Worksheet/youtube_dl_1496735074720563203/out2.jpg")</f>
        <v/>
      </c>
      <c r="AQ523" s="84" t="s">
        <v>5642</v>
      </c>
      <c r="AR523" s="71" t="s">
        <v>5643</v>
      </c>
      <c r="AS523" s="71" t="s">
        <v>5644</v>
      </c>
      <c r="AT523" s="71">
        <v>24.613</v>
      </c>
      <c r="AU523" s="89"/>
      <c r="AV523" s="162"/>
      <c r="AW523" s="81"/>
    </row>
    <row r="524" ht="15.75" customHeight="1">
      <c r="A524" s="95" t="s">
        <v>3944</v>
      </c>
      <c r="B524" s="73"/>
      <c r="C524" s="101" t="s">
        <v>5586</v>
      </c>
      <c r="D524" s="104">
        <v>49.850806</v>
      </c>
      <c r="E524" s="210">
        <v>36.659778</v>
      </c>
      <c r="F524" s="205">
        <v>2.0</v>
      </c>
      <c r="G524" s="201" t="s">
        <v>5645</v>
      </c>
      <c r="H524" s="61" t="s">
        <v>5522</v>
      </c>
      <c r="I524" s="75"/>
      <c r="J524" s="76" t="s">
        <v>5646</v>
      </c>
      <c r="K524" s="153"/>
      <c r="L524" s="110" t="s">
        <v>3542</v>
      </c>
      <c r="M524" s="92" t="s">
        <v>5590</v>
      </c>
      <c r="N524" s="111"/>
      <c r="O524" s="92" t="s">
        <v>5647</v>
      </c>
      <c r="P524" s="67" t="str">
        <f t="shared" si="1"/>
        <v>49.850806, 36.659778</v>
      </c>
      <c r="Q524" s="67" t="str">
        <f t="shared" si="2"/>
        <v>49.850214, 36.659284</v>
      </c>
      <c r="R524" s="67">
        <f t="shared" si="3"/>
        <v>49.850214</v>
      </c>
      <c r="S524" s="67">
        <f t="shared" si="4"/>
        <v>36.659284</v>
      </c>
      <c r="T524" s="161"/>
      <c r="U524" s="69"/>
      <c r="V524" s="65" t="s">
        <v>5648</v>
      </c>
      <c r="W524" s="71" t="s">
        <v>3601</v>
      </c>
      <c r="X524" s="72" t="s">
        <v>75</v>
      </c>
      <c r="Y524" s="73"/>
      <c r="Z524" s="73"/>
      <c r="AA524" s="73"/>
      <c r="AB524" s="73"/>
      <c r="AC524" s="73"/>
      <c r="AD524" s="73"/>
      <c r="AE524" s="73"/>
      <c r="AF524" s="73"/>
      <c r="AG524" s="73"/>
      <c r="AH524" s="73"/>
      <c r="AI524" s="73"/>
      <c r="AJ524" s="75"/>
      <c r="AK524" s="76" t="s">
        <v>930</v>
      </c>
      <c r="AL524" s="83" t="s">
        <v>5649</v>
      </c>
      <c r="AM524" s="71" t="s">
        <v>5650</v>
      </c>
      <c r="AN524" s="84" t="s">
        <v>5651</v>
      </c>
      <c r="AO524" s="71" t="s">
        <v>5652</v>
      </c>
      <c r="AP524" s="161" t="str">
        <f t="shared" ref="AP524:AP525" si="7">IMAGE("https://bellingcat-archive.nyc3.cdn.digitaloceanspaces.com/Ukraine_Witness_Datasheet/Worksheet/youtube_dl_1496761690561683456/out2.jpg")</f>
        <v/>
      </c>
      <c r="AQ524" s="84" t="s">
        <v>5653</v>
      </c>
      <c r="AR524" s="71" t="s">
        <v>5654</v>
      </c>
      <c r="AS524" s="71" t="s">
        <v>5655</v>
      </c>
      <c r="AT524" s="71">
        <v>3.37</v>
      </c>
      <c r="AU524" s="89"/>
      <c r="AV524" s="162"/>
      <c r="AW524" s="81"/>
    </row>
    <row r="525" ht="15.75" customHeight="1">
      <c r="A525" s="95" t="s">
        <v>3944</v>
      </c>
      <c r="B525" s="73"/>
      <c r="C525" s="101" t="s">
        <v>5586</v>
      </c>
      <c r="D525" s="104">
        <v>49.850806</v>
      </c>
      <c r="E525" s="210">
        <v>36.659778</v>
      </c>
      <c r="F525" s="205">
        <v>2.0</v>
      </c>
      <c r="G525" s="154" t="s">
        <v>5656</v>
      </c>
      <c r="H525" s="61" t="s">
        <v>5522</v>
      </c>
      <c r="I525" s="75"/>
      <c r="J525" s="76" t="s">
        <v>5646</v>
      </c>
      <c r="K525" s="153"/>
      <c r="L525" s="110" t="s">
        <v>3542</v>
      </c>
      <c r="M525" s="92" t="s">
        <v>5590</v>
      </c>
      <c r="N525" s="111"/>
      <c r="O525" s="92" t="s">
        <v>5647</v>
      </c>
      <c r="P525" s="67" t="str">
        <f t="shared" si="1"/>
        <v>49.850806, 36.659778</v>
      </c>
      <c r="Q525" s="67" t="str">
        <f t="shared" si="2"/>
        <v>49.850036, 36.659629</v>
      </c>
      <c r="R525" s="67">
        <f t="shared" si="3"/>
        <v>49.850036</v>
      </c>
      <c r="S525" s="67">
        <f t="shared" si="4"/>
        <v>36.659629</v>
      </c>
      <c r="T525" s="161"/>
      <c r="U525" s="69"/>
      <c r="V525" s="65" t="s">
        <v>5648</v>
      </c>
      <c r="W525" s="71" t="s">
        <v>3601</v>
      </c>
      <c r="X525" s="72" t="s">
        <v>75</v>
      </c>
      <c r="Y525" s="73"/>
      <c r="Z525" s="73"/>
      <c r="AA525" s="73"/>
      <c r="AB525" s="73"/>
      <c r="AC525" s="73"/>
      <c r="AD525" s="73"/>
      <c r="AE525" s="73"/>
      <c r="AF525" s="73"/>
      <c r="AG525" s="73"/>
      <c r="AH525" s="73"/>
      <c r="AI525" s="73"/>
      <c r="AJ525" s="75"/>
      <c r="AK525" s="76" t="s">
        <v>798</v>
      </c>
      <c r="AL525" s="83" t="s">
        <v>5649</v>
      </c>
      <c r="AM525" s="71" t="s">
        <v>5657</v>
      </c>
      <c r="AN525" s="84" t="s">
        <v>5658</v>
      </c>
      <c r="AO525" s="71" t="s">
        <v>5652</v>
      </c>
      <c r="AP525" s="161" t="str">
        <f t="shared" si="7"/>
        <v/>
      </c>
      <c r="AQ525" s="84" t="s">
        <v>5653</v>
      </c>
      <c r="AR525" s="71" t="s">
        <v>5654</v>
      </c>
      <c r="AS525" s="71" t="s">
        <v>5655</v>
      </c>
      <c r="AT525" s="71">
        <v>3.37</v>
      </c>
      <c r="AU525" s="89"/>
      <c r="AV525" s="162"/>
      <c r="AW525" s="81"/>
    </row>
    <row r="526" ht="15.75" customHeight="1">
      <c r="A526" s="95" t="s">
        <v>3944</v>
      </c>
      <c r="B526" s="73"/>
      <c r="C526" s="101" t="s">
        <v>5586</v>
      </c>
      <c r="D526" s="104">
        <v>49.850806</v>
      </c>
      <c r="E526" s="210">
        <v>36.659778</v>
      </c>
      <c r="F526" s="205">
        <v>2.0</v>
      </c>
      <c r="G526" s="201" t="s">
        <v>5659</v>
      </c>
      <c r="H526" s="61" t="s">
        <v>5522</v>
      </c>
      <c r="I526" s="75"/>
      <c r="J526" s="76" t="s">
        <v>5646</v>
      </c>
      <c r="K526" s="153"/>
      <c r="L526" s="110" t="s">
        <v>3542</v>
      </c>
      <c r="M526" s="92" t="s">
        <v>5590</v>
      </c>
      <c r="N526" s="111"/>
      <c r="O526" s="92" t="s">
        <v>5647</v>
      </c>
      <c r="P526" s="67" t="str">
        <f t="shared" si="1"/>
        <v>49.850806, 36.659778</v>
      </c>
      <c r="Q526" s="67" t="str">
        <f t="shared" si="2"/>
        <v>49.850454, 36.659536</v>
      </c>
      <c r="R526" s="67">
        <f t="shared" si="3"/>
        <v>49.850454</v>
      </c>
      <c r="S526" s="67">
        <f t="shared" si="4"/>
        <v>36.659536</v>
      </c>
      <c r="T526" s="161"/>
      <c r="U526" s="69"/>
      <c r="V526" s="65" t="s">
        <v>5648</v>
      </c>
      <c r="W526" s="71" t="s">
        <v>3601</v>
      </c>
      <c r="X526" s="72" t="s">
        <v>75</v>
      </c>
      <c r="Y526" s="73"/>
      <c r="Z526" s="73"/>
      <c r="AA526" s="73"/>
      <c r="AB526" s="73"/>
      <c r="AC526" s="73"/>
      <c r="AD526" s="73"/>
      <c r="AE526" s="73"/>
      <c r="AF526" s="73"/>
      <c r="AG526" s="73"/>
      <c r="AH526" s="73"/>
      <c r="AI526" s="73"/>
      <c r="AJ526" s="75"/>
      <c r="AK526" s="76" t="s">
        <v>798</v>
      </c>
      <c r="AL526" s="83" t="s">
        <v>5660</v>
      </c>
      <c r="AM526" s="71" t="s">
        <v>5661</v>
      </c>
      <c r="AN526" s="84" t="s">
        <v>5662</v>
      </c>
      <c r="AO526" s="71" t="s">
        <v>5663</v>
      </c>
      <c r="AP526" s="161" t="str">
        <f>IMAGE("https://bellingcat-archive.nyc3.cdn.digitaloceanspaces.com/Ukraine_Witness_Datasheet/Worksheet/youtube_dl_1496754882002534400/out2.jpg")</f>
        <v/>
      </c>
      <c r="AQ526" s="84" t="s">
        <v>5664</v>
      </c>
      <c r="AR526" s="71" t="s">
        <v>5665</v>
      </c>
      <c r="AS526" s="71" t="s">
        <v>5666</v>
      </c>
      <c r="AT526" s="71">
        <v>20.266</v>
      </c>
      <c r="AU526" s="89"/>
      <c r="AV526" s="162"/>
      <c r="AW526" s="81"/>
    </row>
    <row r="527" ht="15.75" customHeight="1">
      <c r="A527" s="87" t="s">
        <v>2580</v>
      </c>
      <c r="B527" s="73"/>
      <c r="C527" s="101" t="s">
        <v>5586</v>
      </c>
      <c r="D527" s="74">
        <v>50.054029</v>
      </c>
      <c r="E527" s="74">
        <v>36.360422</v>
      </c>
      <c r="F527" s="59">
        <v>1.0</v>
      </c>
      <c r="G527" s="151" t="s">
        <v>5667</v>
      </c>
      <c r="H527" s="61" t="s">
        <v>5522</v>
      </c>
      <c r="I527" s="75"/>
      <c r="J527" s="76" t="s">
        <v>5668</v>
      </c>
      <c r="K527" s="152" t="s">
        <v>5669</v>
      </c>
      <c r="L527" s="110" t="s">
        <v>5670</v>
      </c>
      <c r="M527" s="92" t="s">
        <v>5590</v>
      </c>
      <c r="N527" s="111"/>
      <c r="O527" s="92" t="s">
        <v>5626</v>
      </c>
      <c r="P527" s="67" t="str">
        <f t="shared" si="1"/>
        <v>50.054029, 36.360422</v>
      </c>
      <c r="Q527" s="67" t="str">
        <f t="shared" si="2"/>
        <v>50.053297, 36.360676</v>
      </c>
      <c r="R527" s="67">
        <f t="shared" si="3"/>
        <v>50.053297</v>
      </c>
      <c r="S527" s="67">
        <f t="shared" si="4"/>
        <v>36.360676</v>
      </c>
      <c r="T527" s="161"/>
      <c r="U527" s="69"/>
      <c r="V527" s="65" t="s">
        <v>5671</v>
      </c>
      <c r="W527" s="71" t="s">
        <v>74</v>
      </c>
      <c r="X527" s="72" t="s">
        <v>75</v>
      </c>
      <c r="Y527" s="73"/>
      <c r="Z527" s="73"/>
      <c r="AA527" s="73"/>
      <c r="AB527" s="73"/>
      <c r="AC527" s="73"/>
      <c r="AD527" s="73"/>
      <c r="AE527" s="73"/>
      <c r="AF527" s="73"/>
      <c r="AG527" s="73"/>
      <c r="AH527" s="73"/>
      <c r="AI527" s="73"/>
      <c r="AJ527" s="75"/>
      <c r="AK527" s="76" t="s">
        <v>798</v>
      </c>
      <c r="AL527" s="83" t="s">
        <v>5672</v>
      </c>
      <c r="AM527" s="71" t="s">
        <v>5673</v>
      </c>
      <c r="AN527" s="84" t="s">
        <v>5674</v>
      </c>
      <c r="AO527" s="71" t="s">
        <v>5675</v>
      </c>
      <c r="AP527" s="161" t="str">
        <f>IMAGE("https://bellingcat-archive.nyc3.cdn.digitaloceanspaces.com/Ukraine_Witness_Datasheet/Worksheet/youtube_dl_1496742212947820545/out2.jpg")</f>
        <v/>
      </c>
      <c r="AQ527" s="84" t="s">
        <v>5676</v>
      </c>
      <c r="AR527" s="71" t="s">
        <v>5677</v>
      </c>
      <c r="AS527" s="71" t="s">
        <v>5678</v>
      </c>
      <c r="AT527" s="71">
        <v>28.166</v>
      </c>
      <c r="AU527" s="89"/>
      <c r="AV527" s="162"/>
      <c r="AW527" s="81"/>
    </row>
    <row r="528" ht="15.75" customHeight="1">
      <c r="A528" s="87" t="s">
        <v>2580</v>
      </c>
      <c r="B528" s="73"/>
      <c r="C528" s="101" t="s">
        <v>5586</v>
      </c>
      <c r="D528" s="74">
        <v>46.479627</v>
      </c>
      <c r="E528" s="74">
        <v>30.691307</v>
      </c>
      <c r="F528" s="211">
        <v>2.0</v>
      </c>
      <c r="G528" s="151" t="s">
        <v>5679</v>
      </c>
      <c r="H528" s="61" t="s">
        <v>5522</v>
      </c>
      <c r="I528" s="75"/>
      <c r="J528" s="76" t="s">
        <v>5680</v>
      </c>
      <c r="K528" s="152" t="s">
        <v>5681</v>
      </c>
      <c r="L528" s="110" t="s">
        <v>5670</v>
      </c>
      <c r="M528" s="92" t="s">
        <v>5560</v>
      </c>
      <c r="N528" s="111"/>
      <c r="O528" s="92" t="s">
        <v>5682</v>
      </c>
      <c r="P528" s="67" t="str">
        <f t="shared" si="1"/>
        <v>46.479627, 30.691307</v>
      </c>
      <c r="Q528" s="67" t="str">
        <f t="shared" si="2"/>
        <v>46.479043, 30.691604</v>
      </c>
      <c r="R528" s="67">
        <f t="shared" si="3"/>
        <v>46.479043</v>
      </c>
      <c r="S528" s="67">
        <f t="shared" si="4"/>
        <v>30.691604</v>
      </c>
      <c r="T528" s="161"/>
      <c r="U528" s="69"/>
      <c r="V528" s="65" t="s">
        <v>5683</v>
      </c>
      <c r="W528" s="71" t="s">
        <v>3546</v>
      </c>
      <c r="X528" s="72" t="s">
        <v>75</v>
      </c>
      <c r="Y528" s="73"/>
      <c r="Z528" s="73"/>
      <c r="AA528" s="73"/>
      <c r="AB528" s="73"/>
      <c r="AC528" s="73"/>
      <c r="AD528" s="73"/>
      <c r="AE528" s="73"/>
      <c r="AF528" s="73"/>
      <c r="AG528" s="73"/>
      <c r="AH528" s="73"/>
      <c r="AI528" s="73"/>
      <c r="AJ528" s="75"/>
      <c r="AK528" s="76" t="s">
        <v>798</v>
      </c>
      <c r="AL528" s="83" t="s">
        <v>5684</v>
      </c>
      <c r="AM528" s="71" t="s">
        <v>5685</v>
      </c>
      <c r="AN528" s="84" t="s">
        <v>5686</v>
      </c>
      <c r="AO528" s="71" t="s">
        <v>5687</v>
      </c>
      <c r="AP528" s="161" t="str">
        <f>IMAGE("https://bellingcat-archive.nyc3.cdn.digitaloceanspaces.com/Ukraine_Witness_Datasheet/Worksheet/youtube_dl_1496773833839230977/out2.jpg")</f>
        <v/>
      </c>
      <c r="AQ528" s="84" t="s">
        <v>5688</v>
      </c>
      <c r="AR528" s="71" t="s">
        <v>5689</v>
      </c>
      <c r="AS528" s="71" t="s">
        <v>5690</v>
      </c>
      <c r="AT528" s="71">
        <v>20.177</v>
      </c>
      <c r="AU528" s="89"/>
      <c r="AV528" s="162"/>
      <c r="AW528" s="81"/>
    </row>
    <row r="529" ht="15.75" customHeight="1">
      <c r="A529" s="87" t="s">
        <v>2580</v>
      </c>
      <c r="B529" s="73"/>
      <c r="C529" s="101" t="s">
        <v>5586</v>
      </c>
      <c r="D529" s="74">
        <v>47.184869</v>
      </c>
      <c r="E529" s="74">
        <v>37.303739</v>
      </c>
      <c r="F529" s="59">
        <v>1.0</v>
      </c>
      <c r="G529" s="151" t="s">
        <v>5691</v>
      </c>
      <c r="H529" s="61" t="s">
        <v>5522</v>
      </c>
      <c r="I529" s="75"/>
      <c r="J529" s="76" t="s">
        <v>4606</v>
      </c>
      <c r="K529" s="152" t="s">
        <v>5692</v>
      </c>
      <c r="L529" s="110" t="s">
        <v>5670</v>
      </c>
      <c r="M529" s="92" t="s">
        <v>3544</v>
      </c>
      <c r="N529" s="111"/>
      <c r="O529" s="92" t="s">
        <v>5693</v>
      </c>
      <c r="P529" s="67" t="str">
        <f t="shared" si="1"/>
        <v>47.184869, 37.303739</v>
      </c>
      <c r="Q529" s="67" t="str">
        <f t="shared" si="2"/>
        <v>47.184803, 37.304835</v>
      </c>
      <c r="R529" s="67">
        <f t="shared" si="3"/>
        <v>47.184803</v>
      </c>
      <c r="S529" s="67">
        <f t="shared" si="4"/>
        <v>37.304835</v>
      </c>
      <c r="T529" s="161"/>
      <c r="U529" s="69"/>
      <c r="V529" s="65" t="s">
        <v>5694</v>
      </c>
      <c r="W529" s="71" t="s">
        <v>74</v>
      </c>
      <c r="X529" s="72" t="s">
        <v>75</v>
      </c>
      <c r="Y529" s="73"/>
      <c r="Z529" s="73"/>
      <c r="AA529" s="73"/>
      <c r="AB529" s="73"/>
      <c r="AC529" s="73"/>
      <c r="AD529" s="73"/>
      <c r="AE529" s="73"/>
      <c r="AF529" s="73"/>
      <c r="AG529" s="73"/>
      <c r="AH529" s="73"/>
      <c r="AI529" s="73"/>
      <c r="AJ529" s="75"/>
      <c r="AK529" s="76" t="s">
        <v>2108</v>
      </c>
      <c r="AL529" s="83" t="s">
        <v>5695</v>
      </c>
      <c r="AM529" s="71" t="s">
        <v>5696</v>
      </c>
      <c r="AN529" s="84" t="s">
        <v>5697</v>
      </c>
      <c r="AO529" s="71" t="s">
        <v>5698</v>
      </c>
      <c r="AP529" s="161" t="str">
        <f>IMAGE("https://bellingcat-archive.nyc3.cdn.digitaloceanspaces.com/Ukraine_Witness_Datasheet/Worksheet/twitter__media_FMWZFPDX0AARbG2.jpg")</f>
        <v/>
      </c>
      <c r="AQ529" s="161"/>
      <c r="AR529" s="161"/>
      <c r="AS529" s="161"/>
      <c r="AT529" s="161"/>
      <c r="AU529" s="89"/>
      <c r="AV529" s="162"/>
      <c r="AW529" s="81"/>
    </row>
    <row r="530" ht="15.75" customHeight="1">
      <c r="A530" s="87" t="s">
        <v>2580</v>
      </c>
      <c r="B530" s="73"/>
      <c r="C530" s="101" t="s">
        <v>5586</v>
      </c>
      <c r="D530" s="74">
        <v>46.74794</v>
      </c>
      <c r="E530" s="123">
        <v>33.40203</v>
      </c>
      <c r="F530" s="59">
        <v>1.0</v>
      </c>
      <c r="G530" s="151" t="s">
        <v>5699</v>
      </c>
      <c r="H530" s="61" t="s">
        <v>91</v>
      </c>
      <c r="I530" s="75"/>
      <c r="J530" s="76" t="s">
        <v>5700</v>
      </c>
      <c r="K530" s="152" t="s">
        <v>5701</v>
      </c>
      <c r="L530" s="110" t="s">
        <v>5670</v>
      </c>
      <c r="M530" s="92" t="s">
        <v>5702</v>
      </c>
      <c r="N530" s="111"/>
      <c r="O530" s="92" t="s">
        <v>5703</v>
      </c>
      <c r="P530" s="67" t="str">
        <f t="shared" si="1"/>
        <v>46.74794, 33.40203</v>
      </c>
      <c r="Q530" s="67" t="str">
        <f t="shared" si="2"/>
        <v>46.747744, 33.401579</v>
      </c>
      <c r="R530" s="67">
        <f t="shared" si="3"/>
        <v>46.747744</v>
      </c>
      <c r="S530" s="67">
        <f t="shared" si="4"/>
        <v>33.401579</v>
      </c>
      <c r="T530" s="161"/>
      <c r="U530" s="69"/>
      <c r="V530" s="65" t="s">
        <v>5704</v>
      </c>
      <c r="W530" s="71" t="s">
        <v>5705</v>
      </c>
      <c r="X530" s="72" t="s">
        <v>75</v>
      </c>
      <c r="Y530" s="73"/>
      <c r="Z530" s="73"/>
      <c r="AA530" s="73"/>
      <c r="AB530" s="73"/>
      <c r="AC530" s="73"/>
      <c r="AD530" s="73"/>
      <c r="AE530" s="73"/>
      <c r="AF530" s="73"/>
      <c r="AG530" s="73"/>
      <c r="AH530" s="73"/>
      <c r="AI530" s="73"/>
      <c r="AJ530" s="75"/>
      <c r="AK530" s="76" t="s">
        <v>798</v>
      </c>
      <c r="AL530" s="83" t="s">
        <v>5706</v>
      </c>
      <c r="AM530" s="71" t="s">
        <v>5707</v>
      </c>
      <c r="AN530" s="84" t="s">
        <v>5708</v>
      </c>
      <c r="AO530" s="71" t="s">
        <v>5709</v>
      </c>
      <c r="AP530" s="161" t="str">
        <f>IMAGE("https://bellingcat-archive.nyc3.cdn.digitaloceanspaces.com/Ukraine_Witness_Datasheet/Worksheet/youtube_dl_-123538639_456275300/out5.jpg")</f>
        <v/>
      </c>
      <c r="AQ530" s="84" t="s">
        <v>5710</v>
      </c>
      <c r="AR530" s="71" t="s">
        <v>5711</v>
      </c>
      <c r="AS530" s="71" t="s">
        <v>5712</v>
      </c>
      <c r="AT530" s="71">
        <v>286.0</v>
      </c>
      <c r="AU530" s="89"/>
      <c r="AV530" s="162"/>
      <c r="AW530" s="81"/>
    </row>
    <row r="531" ht="15.75" customHeight="1">
      <c r="A531" s="95" t="s">
        <v>254</v>
      </c>
      <c r="B531" s="73"/>
      <c r="C531" s="101" t="s">
        <v>5586</v>
      </c>
      <c r="D531" s="74">
        <v>47.775501</v>
      </c>
      <c r="E531" s="74">
        <v>37.239502</v>
      </c>
      <c r="F531" s="59">
        <v>1.0</v>
      </c>
      <c r="G531" s="151" t="s">
        <v>5713</v>
      </c>
      <c r="H531" s="61" t="s">
        <v>91</v>
      </c>
      <c r="I531" s="62" t="s">
        <v>5714</v>
      </c>
      <c r="J531" s="76" t="s">
        <v>5715</v>
      </c>
      <c r="K531" s="153"/>
      <c r="L531" s="110" t="s">
        <v>5670</v>
      </c>
      <c r="M531" s="92" t="s">
        <v>3544</v>
      </c>
      <c r="N531" s="111"/>
      <c r="O531" s="92" t="s">
        <v>5716</v>
      </c>
      <c r="P531" s="67" t="str">
        <f t="shared" si="1"/>
        <v>47.775501, 37.239502</v>
      </c>
      <c r="Q531" s="67" t="str">
        <f t="shared" si="2"/>
        <v>47.77496, 37.240289</v>
      </c>
      <c r="R531" s="67">
        <f t="shared" si="3"/>
        <v>47.77496</v>
      </c>
      <c r="S531" s="67">
        <f t="shared" si="4"/>
        <v>37.240289</v>
      </c>
      <c r="T531" s="161"/>
      <c r="U531" s="69"/>
      <c r="V531" s="65" t="s">
        <v>5717</v>
      </c>
      <c r="W531" s="71" t="s">
        <v>3601</v>
      </c>
      <c r="X531" s="72" t="s">
        <v>75</v>
      </c>
      <c r="Y531" s="73"/>
      <c r="Z531" s="73"/>
      <c r="AA531" s="73"/>
      <c r="AB531" s="73"/>
      <c r="AC531" s="73"/>
      <c r="AD531" s="73"/>
      <c r="AE531" s="73"/>
      <c r="AF531" s="73"/>
      <c r="AG531" s="73"/>
      <c r="AH531" s="73"/>
      <c r="AI531" s="73"/>
      <c r="AJ531" s="75"/>
      <c r="AK531" s="76" t="s">
        <v>2108</v>
      </c>
      <c r="AL531" s="212" t="s">
        <v>5718</v>
      </c>
      <c r="AM531" s="71" t="s">
        <v>5719</v>
      </c>
      <c r="AN531" s="84" t="s">
        <v>5720</v>
      </c>
      <c r="AO531" s="71" t="s">
        <v>5721</v>
      </c>
      <c r="AP531" s="161" t="str">
        <f>IMAGE("https://bellingcat-archive.nyc3.cdn.digitaloceanspaces.com/Ukraine_Witness_Datasheet/Worksheet/twitter__media_FMWqDIMXMAUZPT2.jpg")</f>
        <v/>
      </c>
      <c r="AQ531" s="161"/>
      <c r="AR531" s="161"/>
      <c r="AS531" s="161"/>
      <c r="AT531" s="161"/>
      <c r="AU531" s="89"/>
      <c r="AV531" s="162"/>
      <c r="AW531" s="81"/>
    </row>
    <row r="532" ht="15.75" customHeight="1">
      <c r="A532" s="213" t="s">
        <v>2580</v>
      </c>
      <c r="B532" s="173"/>
      <c r="C532" s="214" t="s">
        <v>5586</v>
      </c>
      <c r="D532" s="123">
        <v>50.04205</v>
      </c>
      <c r="E532" s="123">
        <v>36.34127</v>
      </c>
      <c r="F532" s="211">
        <v>2.0</v>
      </c>
      <c r="G532" s="151" t="s">
        <v>5722</v>
      </c>
      <c r="H532" s="61" t="s">
        <v>5522</v>
      </c>
      <c r="I532" s="75"/>
      <c r="J532" s="76" t="s">
        <v>5723</v>
      </c>
      <c r="K532" s="152" t="s">
        <v>5724</v>
      </c>
      <c r="L532" s="110" t="s">
        <v>3542</v>
      </c>
      <c r="M532" s="92" t="s">
        <v>5590</v>
      </c>
      <c r="N532" s="111"/>
      <c r="O532" s="92" t="s">
        <v>5626</v>
      </c>
      <c r="P532" s="67" t="str">
        <f t="shared" si="1"/>
        <v>50.04205, 36.34127</v>
      </c>
      <c r="Q532" s="67" t="str">
        <f t="shared" si="2"/>
        <v>50.041727, 36.340363</v>
      </c>
      <c r="R532" s="67">
        <f t="shared" si="3"/>
        <v>50.041727</v>
      </c>
      <c r="S532" s="67">
        <f t="shared" si="4"/>
        <v>36.340363</v>
      </c>
      <c r="T532" s="161"/>
      <c r="U532" s="69"/>
      <c r="V532" s="65" t="s">
        <v>5725</v>
      </c>
      <c r="W532" s="71" t="s">
        <v>5726</v>
      </c>
      <c r="X532" s="72" t="s">
        <v>75</v>
      </c>
      <c r="Y532" s="73"/>
      <c r="Z532" s="73"/>
      <c r="AA532" s="73"/>
      <c r="AB532" s="73"/>
      <c r="AC532" s="73"/>
      <c r="AD532" s="73"/>
      <c r="AE532" s="73"/>
      <c r="AF532" s="73"/>
      <c r="AG532" s="73"/>
      <c r="AH532" s="73"/>
      <c r="AI532" s="73"/>
      <c r="AJ532" s="75"/>
      <c r="AK532" s="76" t="s">
        <v>798</v>
      </c>
      <c r="AL532" s="83" t="s">
        <v>5727</v>
      </c>
      <c r="AM532" s="71" t="s">
        <v>5728</v>
      </c>
      <c r="AN532" s="84" t="s">
        <v>5729</v>
      </c>
      <c r="AO532" s="71" t="s">
        <v>5730</v>
      </c>
      <c r="AP532" s="161" t="str">
        <f>IMAGE("https://bellingcat-archive.nyc3.cdn.digitaloceanspaces.com/Ukraine_Witness_Datasheet/Worksheet/youtube_dl_1496774496790929412/out2.jpg")</f>
        <v/>
      </c>
      <c r="AQ532" s="84" t="s">
        <v>5731</v>
      </c>
      <c r="AR532" s="71" t="s">
        <v>5732</v>
      </c>
      <c r="AS532" s="71" t="s">
        <v>5733</v>
      </c>
      <c r="AT532" s="71">
        <v>22.666</v>
      </c>
      <c r="AU532" s="89"/>
      <c r="AV532" s="162"/>
      <c r="AW532" s="81"/>
    </row>
    <row r="533" ht="15.75" customHeight="1">
      <c r="A533" s="87" t="s">
        <v>2580</v>
      </c>
      <c r="B533" s="73"/>
      <c r="C533" s="101" t="s">
        <v>5586</v>
      </c>
      <c r="D533" s="123">
        <v>50.269454</v>
      </c>
      <c r="E533" s="123">
        <v>36.285998</v>
      </c>
      <c r="F533" s="211">
        <v>2.0</v>
      </c>
      <c r="G533" s="151" t="s">
        <v>5734</v>
      </c>
      <c r="H533" s="61" t="s">
        <v>5522</v>
      </c>
      <c r="I533" s="75"/>
      <c r="J533" s="76" t="s">
        <v>5735</v>
      </c>
      <c r="K533" s="152" t="s">
        <v>5736</v>
      </c>
      <c r="L533" s="110" t="s">
        <v>3542</v>
      </c>
      <c r="M533" s="92" t="s">
        <v>5590</v>
      </c>
      <c r="N533" s="111"/>
      <c r="O533" s="92" t="s">
        <v>5737</v>
      </c>
      <c r="P533" s="67" t="str">
        <f t="shared" si="1"/>
        <v>50.269454, 36.285998</v>
      </c>
      <c r="Q533" s="67" t="str">
        <f t="shared" si="2"/>
        <v>50.26934, 36.28661</v>
      </c>
      <c r="R533" s="67">
        <f t="shared" si="3"/>
        <v>50.26934</v>
      </c>
      <c r="S533" s="67">
        <f t="shared" si="4"/>
        <v>36.28661</v>
      </c>
      <c r="T533" s="161"/>
      <c r="U533" s="69"/>
      <c r="V533" s="65" t="s">
        <v>5738</v>
      </c>
      <c r="W533" s="71" t="s">
        <v>5739</v>
      </c>
      <c r="X533" s="72" t="s">
        <v>75</v>
      </c>
      <c r="Y533" s="73"/>
      <c r="Z533" s="73"/>
      <c r="AA533" s="73"/>
      <c r="AB533" s="73"/>
      <c r="AC533" s="73"/>
      <c r="AD533" s="73"/>
      <c r="AE533" s="73"/>
      <c r="AF533" s="73"/>
      <c r="AG533" s="73"/>
      <c r="AH533" s="73"/>
      <c r="AI533" s="73"/>
      <c r="AJ533" s="75"/>
      <c r="AK533" s="76" t="s">
        <v>798</v>
      </c>
      <c r="AL533" s="83" t="s">
        <v>5740</v>
      </c>
      <c r="AM533" s="71" t="s">
        <v>5741</v>
      </c>
      <c r="AN533" s="84" t="s">
        <v>5742</v>
      </c>
      <c r="AO533" s="71" t="s">
        <v>5743</v>
      </c>
      <c r="AP533" s="161" t="str">
        <f>IMAGE("https://bellingcat-archive.nyc3.cdn.digitaloceanspaces.com/Ukraine_Witness_Datasheet/Worksheet/youtube_dl_1496788629527564293/out2.jpg")</f>
        <v/>
      </c>
      <c r="AQ533" s="84" t="s">
        <v>5744</v>
      </c>
      <c r="AR533" s="71" t="s">
        <v>5745</v>
      </c>
      <c r="AS533" s="71" t="s">
        <v>5746</v>
      </c>
      <c r="AT533" s="71">
        <v>14.101</v>
      </c>
      <c r="AU533" s="89"/>
      <c r="AV533" s="162"/>
      <c r="AW533" s="81"/>
    </row>
    <row r="534" ht="15.75" customHeight="1">
      <c r="A534" s="87" t="s">
        <v>2580</v>
      </c>
      <c r="B534" s="73"/>
      <c r="C534" s="101" t="s">
        <v>5586</v>
      </c>
      <c r="D534" s="104">
        <v>47.10064</v>
      </c>
      <c r="E534" s="74">
        <v>37.47667</v>
      </c>
      <c r="F534" s="211">
        <v>2.0</v>
      </c>
      <c r="G534" s="151" t="s">
        <v>5747</v>
      </c>
      <c r="H534" s="61" t="s">
        <v>5522</v>
      </c>
      <c r="I534" s="75"/>
      <c r="J534" s="76" t="s">
        <v>5748</v>
      </c>
      <c r="K534" s="152" t="s">
        <v>5749</v>
      </c>
      <c r="L534" s="110" t="s">
        <v>3542</v>
      </c>
      <c r="M534" s="92" t="s">
        <v>5750</v>
      </c>
      <c r="N534" s="111"/>
      <c r="O534" s="92" t="s">
        <v>5751</v>
      </c>
      <c r="P534" s="67" t="str">
        <f t="shared" si="1"/>
        <v>47.10064, 37.47667</v>
      </c>
      <c r="Q534" s="67" t="str">
        <f t="shared" si="2"/>
        <v>47.099894, 37.476697</v>
      </c>
      <c r="R534" s="67">
        <f t="shared" si="3"/>
        <v>47.099894</v>
      </c>
      <c r="S534" s="67">
        <f t="shared" si="4"/>
        <v>37.476697</v>
      </c>
      <c r="T534" s="161"/>
      <c r="U534" s="69"/>
      <c r="V534" s="65" t="s">
        <v>5752</v>
      </c>
      <c r="W534" s="71" t="s">
        <v>5753</v>
      </c>
      <c r="X534" s="72" t="s">
        <v>75</v>
      </c>
      <c r="Y534" s="73"/>
      <c r="Z534" s="73"/>
      <c r="AA534" s="73"/>
      <c r="AB534" s="73"/>
      <c r="AC534" s="73"/>
      <c r="AD534" s="73"/>
      <c r="AE534" s="73"/>
      <c r="AF534" s="73"/>
      <c r="AG534" s="73"/>
      <c r="AH534" s="73"/>
      <c r="AI534" s="73"/>
      <c r="AJ534" s="75"/>
      <c r="AK534" s="76" t="s">
        <v>798</v>
      </c>
      <c r="AL534" s="83" t="s">
        <v>5754</v>
      </c>
      <c r="AM534" s="71" t="s">
        <v>5755</v>
      </c>
      <c r="AN534" s="84" t="s">
        <v>5756</v>
      </c>
      <c r="AO534" s="71" t="s">
        <v>5757</v>
      </c>
      <c r="AP534" s="161" t="str">
        <f>IMAGE("https://bellingcat-archive.nyc3.cdn.digitaloceanspaces.com/Ukraine_Witness_Datasheet/Worksheet/youtube_dl_1496763694159695873/out2.jpg")</f>
        <v/>
      </c>
      <c r="AQ534" s="84" t="s">
        <v>5758</v>
      </c>
      <c r="AR534" s="71" t="s">
        <v>5759</v>
      </c>
      <c r="AS534" s="71" t="s">
        <v>5760</v>
      </c>
      <c r="AT534" s="71">
        <v>55.0</v>
      </c>
      <c r="AU534" s="89"/>
      <c r="AV534" s="162"/>
      <c r="AW534" s="81"/>
    </row>
    <row r="535" ht="15.0" customHeight="1">
      <c r="A535" s="87" t="s">
        <v>2580</v>
      </c>
      <c r="B535" s="73"/>
      <c r="C535" s="101" t="s">
        <v>5586</v>
      </c>
      <c r="D535" s="104">
        <v>48.89714</v>
      </c>
      <c r="E535" s="74">
        <v>24.71519</v>
      </c>
      <c r="F535" s="211">
        <v>2.0</v>
      </c>
      <c r="G535" s="151" t="s">
        <v>5761</v>
      </c>
      <c r="H535" s="61" t="s">
        <v>5522</v>
      </c>
      <c r="I535" s="75"/>
      <c r="J535" s="76" t="s">
        <v>5762</v>
      </c>
      <c r="K535" s="155" t="s">
        <v>5763</v>
      </c>
      <c r="L535" s="110" t="s">
        <v>3542</v>
      </c>
      <c r="M535" s="92" t="s">
        <v>5602</v>
      </c>
      <c r="N535" s="111"/>
      <c r="O535" s="92" t="s">
        <v>5603</v>
      </c>
      <c r="P535" s="67" t="str">
        <f t="shared" si="1"/>
        <v>48.89714, 24.71519</v>
      </c>
      <c r="Q535" s="67" t="str">
        <f t="shared" si="2"/>
        <v>48.896718, 24.715044</v>
      </c>
      <c r="R535" s="67">
        <f t="shared" si="3"/>
        <v>48.896718</v>
      </c>
      <c r="S535" s="67">
        <f t="shared" si="4"/>
        <v>24.715044</v>
      </c>
      <c r="T535" s="161"/>
      <c r="U535" s="69"/>
      <c r="V535" s="65" t="s">
        <v>5764</v>
      </c>
      <c r="W535" s="71" t="s">
        <v>3546</v>
      </c>
      <c r="X535" s="72" t="s">
        <v>75</v>
      </c>
      <c r="Y535" s="73"/>
      <c r="Z535" s="73"/>
      <c r="AA535" s="73"/>
      <c r="AB535" s="73"/>
      <c r="AC535" s="73"/>
      <c r="AD535" s="73"/>
      <c r="AE535" s="73"/>
      <c r="AF535" s="73"/>
      <c r="AG535" s="73"/>
      <c r="AH535" s="73"/>
      <c r="AI535" s="73"/>
      <c r="AJ535" s="75"/>
      <c r="AK535" s="76" t="s">
        <v>798</v>
      </c>
      <c r="AL535" s="83" t="s">
        <v>5765</v>
      </c>
      <c r="AM535" s="71" t="s">
        <v>5766</v>
      </c>
      <c r="AN535" s="84" t="s">
        <v>5767</v>
      </c>
      <c r="AO535" s="71" t="s">
        <v>5768</v>
      </c>
      <c r="AP535" s="161" t="str">
        <f>IMAGE("https://bellingcat-archive.nyc3.cdn.digitaloceanspaces.com/Ukraine_Witness_Datasheet/Worksheet/youtube_dl_1496719052592631809/out2.jpg")</f>
        <v/>
      </c>
      <c r="AQ535" s="84" t="s">
        <v>5769</v>
      </c>
      <c r="AR535" s="71" t="s">
        <v>5770</v>
      </c>
      <c r="AS535" s="71" t="s">
        <v>5771</v>
      </c>
      <c r="AT535" s="71">
        <v>9.238</v>
      </c>
      <c r="AU535" s="89"/>
      <c r="AV535" s="162"/>
      <c r="AW535" s="81"/>
    </row>
    <row r="536" ht="15.75" customHeight="1">
      <c r="A536" s="87" t="s">
        <v>2580</v>
      </c>
      <c r="B536" s="73"/>
      <c r="C536" s="101" t="s">
        <v>5586</v>
      </c>
      <c r="D536" s="123">
        <v>48.89714</v>
      </c>
      <c r="E536" s="123">
        <v>24.71519</v>
      </c>
      <c r="F536" s="211">
        <v>2.0</v>
      </c>
      <c r="G536" s="159" t="s">
        <v>5772</v>
      </c>
      <c r="H536" s="61" t="s">
        <v>5522</v>
      </c>
      <c r="I536" s="75"/>
      <c r="J536" s="76" t="s">
        <v>5773</v>
      </c>
      <c r="K536" s="152" t="s">
        <v>5774</v>
      </c>
      <c r="L536" s="110" t="s">
        <v>3542</v>
      </c>
      <c r="M536" s="92" t="s">
        <v>5602</v>
      </c>
      <c r="N536" s="111"/>
      <c r="O536" s="92" t="s">
        <v>5603</v>
      </c>
      <c r="P536" s="67" t="str">
        <f t="shared" si="1"/>
        <v>48.89714, 24.71519</v>
      </c>
      <c r="Q536" s="67" t="str">
        <f t="shared" si="2"/>
        <v>48.896775, 24.714174</v>
      </c>
      <c r="R536" s="67">
        <f t="shared" si="3"/>
        <v>48.896775</v>
      </c>
      <c r="S536" s="67">
        <f t="shared" si="4"/>
        <v>24.714174</v>
      </c>
      <c r="T536" s="161"/>
      <c r="U536" s="69"/>
      <c r="V536" s="65" t="s">
        <v>5775</v>
      </c>
      <c r="W536" s="71" t="s">
        <v>3601</v>
      </c>
      <c r="X536" s="72" t="s">
        <v>75</v>
      </c>
      <c r="Y536" s="73"/>
      <c r="Z536" s="73"/>
      <c r="AA536" s="73"/>
      <c r="AB536" s="73"/>
      <c r="AC536" s="73"/>
      <c r="AD536" s="73"/>
      <c r="AE536" s="73"/>
      <c r="AF536" s="73"/>
      <c r="AG536" s="73"/>
      <c r="AH536" s="73"/>
      <c r="AI536" s="73"/>
      <c r="AJ536" s="75"/>
      <c r="AK536" s="76" t="s">
        <v>798</v>
      </c>
      <c r="AL536" s="83" t="s">
        <v>5776</v>
      </c>
      <c r="AM536" s="71" t="s">
        <v>5777</v>
      </c>
      <c r="AN536" s="84" t="s">
        <v>5778</v>
      </c>
      <c r="AO536" s="71" t="s">
        <v>5779</v>
      </c>
      <c r="AP536" s="161" t="str">
        <f>IMAGE("https://bellingcat-archive.nyc3.cdn.digitaloceanspaces.com/Ukraine_Witness_Datasheet/Worksheet/youtube_dl_1496735344221470721/out2.jpg")</f>
        <v/>
      </c>
      <c r="AQ536" s="84" t="s">
        <v>5780</v>
      </c>
      <c r="AR536" s="71" t="s">
        <v>5781</v>
      </c>
      <c r="AS536" s="71" t="s">
        <v>5782</v>
      </c>
      <c r="AT536" s="71">
        <v>14.139</v>
      </c>
      <c r="AU536" s="89"/>
      <c r="AV536" s="162"/>
      <c r="AW536" s="81"/>
    </row>
    <row r="537" ht="15.75" customHeight="1">
      <c r="A537" s="87" t="s">
        <v>2580</v>
      </c>
      <c r="B537" s="73"/>
      <c r="C537" s="101" t="s">
        <v>5586</v>
      </c>
      <c r="D537" s="74">
        <v>50.43839</v>
      </c>
      <c r="E537" s="74">
        <v>36.576863</v>
      </c>
      <c r="F537" s="211">
        <v>2.0</v>
      </c>
      <c r="G537" s="151" t="s">
        <v>5783</v>
      </c>
      <c r="H537" s="61" t="s">
        <v>5522</v>
      </c>
      <c r="I537" s="75"/>
      <c r="J537" s="76" t="s">
        <v>5784</v>
      </c>
      <c r="K537" s="152" t="s">
        <v>5785</v>
      </c>
      <c r="L537" s="110" t="s">
        <v>79</v>
      </c>
      <c r="M537" s="92" t="s">
        <v>547</v>
      </c>
      <c r="N537" s="111"/>
      <c r="O537" s="92" t="s">
        <v>3060</v>
      </c>
      <c r="P537" s="67" t="str">
        <f t="shared" si="1"/>
        <v>50.43839, 36.576863</v>
      </c>
      <c r="Q537" s="67" t="str">
        <f t="shared" si="2"/>
        <v>50.438104, 36.576164</v>
      </c>
      <c r="R537" s="67">
        <f t="shared" si="3"/>
        <v>50.438104</v>
      </c>
      <c r="S537" s="67">
        <f t="shared" si="4"/>
        <v>36.576164</v>
      </c>
      <c r="T537" s="161"/>
      <c r="U537" s="69"/>
      <c r="V537" s="65" t="s">
        <v>5786</v>
      </c>
      <c r="W537" s="71" t="s">
        <v>5787</v>
      </c>
      <c r="X537" s="72" t="s">
        <v>75</v>
      </c>
      <c r="Y537" s="73"/>
      <c r="Z537" s="73"/>
      <c r="AA537" s="73"/>
      <c r="AB537" s="73"/>
      <c r="AC537" s="73"/>
      <c r="AD537" s="73"/>
      <c r="AE537" s="73"/>
      <c r="AF537" s="73"/>
      <c r="AG537" s="73"/>
      <c r="AH537" s="73"/>
      <c r="AI537" s="73"/>
      <c r="AJ537" s="75"/>
      <c r="AK537" s="76" t="s">
        <v>798</v>
      </c>
      <c r="AL537" s="83" t="s">
        <v>5788</v>
      </c>
      <c r="AM537" s="71" t="s">
        <v>5789</v>
      </c>
      <c r="AN537" s="84" t="s">
        <v>5790</v>
      </c>
      <c r="AO537" s="71" t="s">
        <v>5791</v>
      </c>
      <c r="AP537" s="161" t="str">
        <f>IMAGE("https://bellingcat-archive.nyc3.cdn.digitaloceanspaces.com/Ukraine_Witness_Datasheet/Worksheet/youtube_dl_1496807616605040647/out2.jpg")</f>
        <v/>
      </c>
      <c r="AQ537" s="84" t="s">
        <v>5792</v>
      </c>
      <c r="AR537" s="71" t="s">
        <v>5793</v>
      </c>
      <c r="AS537" s="71" t="s">
        <v>5794</v>
      </c>
      <c r="AT537" s="71">
        <v>20.7</v>
      </c>
      <c r="AU537" s="89"/>
      <c r="AV537" s="162"/>
      <c r="AW537" s="81"/>
    </row>
    <row r="538" ht="15.75" customHeight="1">
      <c r="A538" s="87" t="s">
        <v>2580</v>
      </c>
      <c r="B538" s="73"/>
      <c r="C538" s="101" t="s">
        <v>5586</v>
      </c>
      <c r="D538" s="74">
        <v>48.510217</v>
      </c>
      <c r="E538" s="74">
        <v>39.365389</v>
      </c>
      <c r="F538" s="59">
        <v>1.0</v>
      </c>
      <c r="G538" s="151" t="s">
        <v>5795</v>
      </c>
      <c r="H538" s="61" t="s">
        <v>5522</v>
      </c>
      <c r="I538" s="75"/>
      <c r="J538" s="76" t="s">
        <v>5796</v>
      </c>
      <c r="K538" s="152" t="s">
        <v>5797</v>
      </c>
      <c r="L538" s="110" t="s">
        <v>3542</v>
      </c>
      <c r="M538" s="92" t="s">
        <v>5524</v>
      </c>
      <c r="N538" s="111"/>
      <c r="O538" s="92" t="s">
        <v>3598</v>
      </c>
      <c r="P538" s="67" t="str">
        <f t="shared" si="1"/>
        <v>48.510217, 39.365389</v>
      </c>
      <c r="Q538" s="67" t="str">
        <f t="shared" si="2"/>
        <v>48.510141, 39.366222</v>
      </c>
      <c r="R538" s="67">
        <f t="shared" si="3"/>
        <v>48.510141</v>
      </c>
      <c r="S538" s="67">
        <f t="shared" si="4"/>
        <v>39.366222</v>
      </c>
      <c r="T538" s="161"/>
      <c r="U538" s="69"/>
      <c r="V538" s="65" t="s">
        <v>5798</v>
      </c>
      <c r="W538" s="71" t="s">
        <v>74</v>
      </c>
      <c r="X538" s="72" t="s">
        <v>75</v>
      </c>
      <c r="Y538" s="73"/>
      <c r="Z538" s="73"/>
      <c r="AA538" s="73"/>
      <c r="AB538" s="73"/>
      <c r="AC538" s="73"/>
      <c r="AD538" s="73"/>
      <c r="AE538" s="73"/>
      <c r="AF538" s="73"/>
      <c r="AG538" s="73"/>
      <c r="AH538" s="73"/>
      <c r="AI538" s="73"/>
      <c r="AJ538" s="75"/>
      <c r="AK538" s="76" t="s">
        <v>798</v>
      </c>
      <c r="AL538" s="83" t="s">
        <v>5799</v>
      </c>
      <c r="AM538" s="71" t="s">
        <v>5800</v>
      </c>
      <c r="AN538" s="84" t="s">
        <v>5801</v>
      </c>
      <c r="AO538" s="71" t="s">
        <v>5802</v>
      </c>
      <c r="AP538" s="161" t="str">
        <f>IMAGE("https://bellingcat-archive.nyc3.cdn.digitaloceanspaces.com/Ukraine_Witness_Datasheet/Worksheet/youtube_dl_1496731220138414082/out2.jpg")</f>
        <v/>
      </c>
      <c r="AQ538" s="84" t="s">
        <v>5803</v>
      </c>
      <c r="AR538" s="71" t="s">
        <v>5804</v>
      </c>
      <c r="AS538" s="71" t="s">
        <v>5805</v>
      </c>
      <c r="AT538" s="71">
        <v>11.566</v>
      </c>
      <c r="AU538" s="89"/>
      <c r="AV538" s="162"/>
      <c r="AW538" s="81"/>
    </row>
    <row r="539" ht="15.75" customHeight="1">
      <c r="A539" s="87" t="s">
        <v>2580</v>
      </c>
      <c r="B539" s="73"/>
      <c r="C539" s="101" t="s">
        <v>5586</v>
      </c>
      <c r="D539" s="74">
        <v>48.742085</v>
      </c>
      <c r="E539" s="74">
        <v>39.229677</v>
      </c>
      <c r="F539" s="211">
        <v>2.0</v>
      </c>
      <c r="G539" s="151" t="s">
        <v>5806</v>
      </c>
      <c r="H539" s="61" t="s">
        <v>5522</v>
      </c>
      <c r="I539" s="75"/>
      <c r="J539" s="76" t="s">
        <v>5807</v>
      </c>
      <c r="K539" s="152" t="s">
        <v>5808</v>
      </c>
      <c r="L539" s="110" t="s">
        <v>3542</v>
      </c>
      <c r="M539" s="92" t="s">
        <v>5524</v>
      </c>
      <c r="N539" s="111"/>
      <c r="O539" s="92" t="s">
        <v>5525</v>
      </c>
      <c r="P539" s="67" t="str">
        <f t="shared" si="1"/>
        <v>48.742085, 39.229677</v>
      </c>
      <c r="Q539" s="67" t="str">
        <f t="shared" si="2"/>
        <v>48.742033, 39.23059</v>
      </c>
      <c r="R539" s="67">
        <f t="shared" si="3"/>
        <v>48.742033</v>
      </c>
      <c r="S539" s="67">
        <f t="shared" si="4"/>
        <v>39.23059</v>
      </c>
      <c r="T539" s="161"/>
      <c r="U539" s="69"/>
      <c r="V539" s="65" t="s">
        <v>5809</v>
      </c>
      <c r="W539" s="71" t="s">
        <v>3546</v>
      </c>
      <c r="X539" s="72" t="s">
        <v>75</v>
      </c>
      <c r="Y539" s="73"/>
      <c r="Z539" s="73"/>
      <c r="AA539" s="73"/>
      <c r="AB539" s="73"/>
      <c r="AC539" s="73"/>
      <c r="AD539" s="73"/>
      <c r="AE539" s="73"/>
      <c r="AF539" s="73"/>
      <c r="AG539" s="73"/>
      <c r="AH539" s="73"/>
      <c r="AI539" s="73"/>
      <c r="AJ539" s="75"/>
      <c r="AK539" s="76" t="s">
        <v>798</v>
      </c>
      <c r="AL539" s="83" t="s">
        <v>5810</v>
      </c>
      <c r="AM539" s="71" t="s">
        <v>5811</v>
      </c>
      <c r="AN539" s="84" t="s">
        <v>5812</v>
      </c>
      <c r="AO539" s="71" t="s">
        <v>5813</v>
      </c>
      <c r="AP539" s="161" t="str">
        <f>IMAGE("https://bellingcat-archive.nyc3.cdn.digitaloceanspaces.com/Ukraine_Witness_Datasheet/Worksheet/youtube_dl_1496709775886884871/out2.jpg")</f>
        <v/>
      </c>
      <c r="AQ539" s="84" t="s">
        <v>5814</v>
      </c>
      <c r="AR539" s="71" t="s">
        <v>5815</v>
      </c>
      <c r="AS539" s="71" t="s">
        <v>5816</v>
      </c>
      <c r="AT539" s="71">
        <v>37.4</v>
      </c>
      <c r="AU539" s="89"/>
      <c r="AV539" s="162"/>
      <c r="AW539" s="81"/>
    </row>
    <row r="540" ht="15.75" customHeight="1">
      <c r="A540" s="87" t="s">
        <v>2580</v>
      </c>
      <c r="B540" s="73"/>
      <c r="C540" s="101" t="s">
        <v>5586</v>
      </c>
      <c r="D540" s="74">
        <v>49.829793</v>
      </c>
      <c r="E540" s="74">
        <v>36.681975</v>
      </c>
      <c r="F540" s="211">
        <v>2.0</v>
      </c>
      <c r="G540" s="151" t="s">
        <v>5817</v>
      </c>
      <c r="H540" s="61" t="s">
        <v>5522</v>
      </c>
      <c r="I540" s="215" t="s">
        <v>5818</v>
      </c>
      <c r="J540" s="76" t="s">
        <v>5601</v>
      </c>
      <c r="K540" s="152" t="s">
        <v>5817</v>
      </c>
      <c r="L540" s="110" t="s">
        <v>3542</v>
      </c>
      <c r="M540" s="92" t="s">
        <v>5590</v>
      </c>
      <c r="N540" s="111"/>
      <c r="O540" s="92" t="s">
        <v>5647</v>
      </c>
      <c r="P540" s="67" t="str">
        <f t="shared" si="1"/>
        <v>49.829793, 36.681975</v>
      </c>
      <c r="Q540" s="67" t="str">
        <f t="shared" si="2"/>
        <v>49.82938, 36.682401</v>
      </c>
      <c r="R540" s="67">
        <f t="shared" si="3"/>
        <v>49.82938</v>
      </c>
      <c r="S540" s="67">
        <f t="shared" si="4"/>
        <v>36.682401</v>
      </c>
      <c r="T540" s="161"/>
      <c r="U540" s="69"/>
      <c r="V540" s="65" t="s">
        <v>5819</v>
      </c>
      <c r="W540" s="71" t="s">
        <v>3546</v>
      </c>
      <c r="X540" s="72" t="s">
        <v>75</v>
      </c>
      <c r="Y540" s="216" t="s">
        <v>5820</v>
      </c>
      <c r="Z540" s="73"/>
      <c r="AA540" s="73"/>
      <c r="AB540" s="73"/>
      <c r="AC540" s="73"/>
      <c r="AD540" s="73"/>
      <c r="AE540" s="73"/>
      <c r="AF540" s="73"/>
      <c r="AG540" s="73"/>
      <c r="AH540" s="73"/>
      <c r="AI540" s="73"/>
      <c r="AJ540" s="75"/>
      <c r="AK540" s="76" t="s">
        <v>2108</v>
      </c>
      <c r="AL540" s="83" t="s">
        <v>5821</v>
      </c>
      <c r="AM540" s="71" t="s">
        <v>5822</v>
      </c>
      <c r="AN540" s="84" t="s">
        <v>5823</v>
      </c>
      <c r="AO540" s="71" t="s">
        <v>5824</v>
      </c>
      <c r="AP540" s="161" t="str">
        <f>IMAGE("https://bellingcat-archive.nyc3.cdn.digitaloceanspaces.com/Ukraine_Witness_Datasheet/Worksheet/twitter__media_FMVntiqXwAEF-p7.jpg")</f>
        <v/>
      </c>
      <c r="AQ540" s="161"/>
      <c r="AR540" s="161"/>
      <c r="AS540" s="161"/>
      <c r="AT540" s="161"/>
      <c r="AU540" s="89"/>
      <c r="AV540" s="162"/>
      <c r="AW540" s="81"/>
    </row>
    <row r="541" ht="15.75" customHeight="1">
      <c r="A541" s="95" t="s">
        <v>63</v>
      </c>
      <c r="B541" s="73"/>
      <c r="C541" s="101" t="s">
        <v>5586</v>
      </c>
      <c r="D541" s="74">
        <v>50.583768</v>
      </c>
      <c r="E541" s="74">
        <v>30.254727</v>
      </c>
      <c r="F541" s="59">
        <v>1.0</v>
      </c>
      <c r="G541" s="151" t="s">
        <v>5825</v>
      </c>
      <c r="H541" s="61" t="s">
        <v>66</v>
      </c>
      <c r="I541" s="75"/>
      <c r="J541" s="76" t="s">
        <v>5826</v>
      </c>
      <c r="K541" s="153"/>
      <c r="L541" s="110" t="s">
        <v>3542</v>
      </c>
      <c r="M541" s="92" t="s">
        <v>5827</v>
      </c>
      <c r="N541" s="111"/>
      <c r="O541" s="92" t="s">
        <v>5828</v>
      </c>
      <c r="P541" s="67" t="str">
        <f t="shared" si="1"/>
        <v>50.583768, 30.254727</v>
      </c>
      <c r="Q541" s="67" t="str">
        <f t="shared" si="2"/>
        <v>50.58324, 30.254917</v>
      </c>
      <c r="R541" s="67">
        <f t="shared" si="3"/>
        <v>50.58324</v>
      </c>
      <c r="S541" s="67">
        <f t="shared" si="4"/>
        <v>30.254917</v>
      </c>
      <c r="T541" s="161"/>
      <c r="U541" s="69"/>
      <c r="V541" s="65" t="s">
        <v>5829</v>
      </c>
      <c r="W541" s="71" t="s">
        <v>5705</v>
      </c>
      <c r="X541" s="72" t="s">
        <v>75</v>
      </c>
      <c r="Y541" s="73"/>
      <c r="Z541" s="73"/>
      <c r="AA541" s="73"/>
      <c r="AB541" s="73"/>
      <c r="AC541" s="73"/>
      <c r="AD541" s="73"/>
      <c r="AE541" s="73"/>
      <c r="AF541" s="73"/>
      <c r="AG541" s="73"/>
      <c r="AH541" s="73"/>
      <c r="AI541" s="73"/>
      <c r="AJ541" s="75"/>
      <c r="AK541" s="76" t="s">
        <v>798</v>
      </c>
      <c r="AL541" s="83" t="s">
        <v>5830</v>
      </c>
      <c r="AM541" s="71" t="s">
        <v>5831</v>
      </c>
      <c r="AN541" s="84" t="s">
        <v>5832</v>
      </c>
      <c r="AO541" s="71" t="s">
        <v>5833</v>
      </c>
      <c r="AP541" s="161" t="str">
        <f>IMAGE("https://bellingcat-archive.nyc3.cdn.digitaloceanspaces.com/Ukraine_Witness_Datasheet/Worksheet/youtube_dl_1496806993448902658/out2.jpg")</f>
        <v/>
      </c>
      <c r="AQ541" s="84" t="s">
        <v>5834</v>
      </c>
      <c r="AR541" s="71" t="s">
        <v>5835</v>
      </c>
      <c r="AS541" s="71" t="s">
        <v>5836</v>
      </c>
      <c r="AT541" s="71">
        <v>28.0</v>
      </c>
      <c r="AU541" s="89"/>
      <c r="AV541" s="162"/>
      <c r="AW541" s="81"/>
    </row>
    <row r="542" ht="15.75" customHeight="1">
      <c r="A542" s="87" t="s">
        <v>2580</v>
      </c>
      <c r="B542" s="73"/>
      <c r="C542" s="101" t="s">
        <v>5586</v>
      </c>
      <c r="D542" s="74">
        <v>50.054224</v>
      </c>
      <c r="E542" s="74">
        <v>36.360505</v>
      </c>
      <c r="F542" s="211">
        <v>2.0</v>
      </c>
      <c r="G542" s="151" t="s">
        <v>5837</v>
      </c>
      <c r="H542" s="61" t="s">
        <v>5522</v>
      </c>
      <c r="I542" s="75"/>
      <c r="J542" s="76" t="s">
        <v>5838</v>
      </c>
      <c r="K542" s="152" t="s">
        <v>5839</v>
      </c>
      <c r="L542" s="110" t="s">
        <v>3542</v>
      </c>
      <c r="M542" s="92" t="s">
        <v>5590</v>
      </c>
      <c r="N542" s="111"/>
      <c r="O542" s="92" t="s">
        <v>5626</v>
      </c>
      <c r="P542" s="67" t="str">
        <f t="shared" si="1"/>
        <v>50.054224, 36.360505</v>
      </c>
      <c r="Q542" s="67" t="str">
        <f t="shared" si="2"/>
        <v>50.054083, 36.359708</v>
      </c>
      <c r="R542" s="67">
        <f t="shared" si="3"/>
        <v>50.054083</v>
      </c>
      <c r="S542" s="67">
        <f t="shared" si="4"/>
        <v>36.359708</v>
      </c>
      <c r="T542" s="161"/>
      <c r="U542" s="69"/>
      <c r="V542" s="65" t="s">
        <v>5840</v>
      </c>
      <c r="W542" s="71" t="s">
        <v>5739</v>
      </c>
      <c r="X542" s="72" t="s">
        <v>75</v>
      </c>
      <c r="Y542" s="73"/>
      <c r="Z542" s="73"/>
      <c r="AA542" s="73"/>
      <c r="AB542" s="73"/>
      <c r="AC542" s="73"/>
      <c r="AD542" s="73"/>
      <c r="AE542" s="73"/>
      <c r="AF542" s="73"/>
      <c r="AG542" s="73"/>
      <c r="AH542" s="73"/>
      <c r="AI542" s="73"/>
      <c r="AJ542" s="75"/>
      <c r="AK542" s="76" t="s">
        <v>2108</v>
      </c>
      <c r="AL542" s="83" t="s">
        <v>5841</v>
      </c>
      <c r="AM542" s="71" t="s">
        <v>5842</v>
      </c>
      <c r="AN542" s="84" t="s">
        <v>5843</v>
      </c>
      <c r="AO542" s="71" t="s">
        <v>5844</v>
      </c>
      <c r="AP542" s="161" t="str">
        <f>IMAGE("https://bellingcat-archive.nyc3.cdn.digitaloceanspaces.com/Ukraine_Witness_Datasheet/Worksheet/twitter__media_FMW_qrJWYAYpeTr.jpg")</f>
        <v/>
      </c>
      <c r="AQ542" s="161"/>
      <c r="AR542" s="161"/>
      <c r="AS542" s="161"/>
      <c r="AT542" s="161"/>
      <c r="AU542" s="89"/>
      <c r="AV542" s="162"/>
      <c r="AW542" s="81"/>
    </row>
    <row r="543" ht="15.75" customHeight="1">
      <c r="A543" s="87" t="s">
        <v>2580</v>
      </c>
      <c r="B543" s="73"/>
      <c r="C543" s="101" t="s">
        <v>5586</v>
      </c>
      <c r="D543" s="74">
        <v>50.566944</v>
      </c>
      <c r="E543" s="74">
        <v>30.275</v>
      </c>
      <c r="F543" s="211">
        <v>2.0</v>
      </c>
      <c r="G543" s="151" t="s">
        <v>5845</v>
      </c>
      <c r="H543" s="61" t="s">
        <v>5522</v>
      </c>
      <c r="I543" s="75"/>
      <c r="J543" s="76" t="s">
        <v>5846</v>
      </c>
      <c r="K543" s="152" t="s">
        <v>5847</v>
      </c>
      <c r="L543" s="110" t="s">
        <v>3542</v>
      </c>
      <c r="M543" s="92" t="s">
        <v>5827</v>
      </c>
      <c r="N543" s="111"/>
      <c r="O543" s="92" t="s">
        <v>5848</v>
      </c>
      <c r="P543" s="67" t="str">
        <f t="shared" si="1"/>
        <v>50.566944, 30.275</v>
      </c>
      <c r="Q543" s="67" t="str">
        <f t="shared" si="2"/>
        <v>50.566219, 30.275637</v>
      </c>
      <c r="R543" s="67">
        <f t="shared" si="3"/>
        <v>50.566219</v>
      </c>
      <c r="S543" s="67">
        <f t="shared" si="4"/>
        <v>30.275637</v>
      </c>
      <c r="T543" s="161"/>
      <c r="U543" s="69"/>
      <c r="V543" s="65" t="s">
        <v>5849</v>
      </c>
      <c r="W543" s="71" t="s">
        <v>5753</v>
      </c>
      <c r="X543" s="72" t="s">
        <v>75</v>
      </c>
      <c r="Y543" s="73"/>
      <c r="Z543" s="73"/>
      <c r="AA543" s="73"/>
      <c r="AB543" s="73"/>
      <c r="AC543" s="73"/>
      <c r="AD543" s="73"/>
      <c r="AE543" s="73"/>
      <c r="AF543" s="73"/>
      <c r="AG543" s="73"/>
      <c r="AH543" s="73"/>
      <c r="AI543" s="73"/>
      <c r="AJ543" s="75"/>
      <c r="AK543" s="76" t="s">
        <v>798</v>
      </c>
      <c r="AL543" s="83" t="s">
        <v>5850</v>
      </c>
      <c r="AM543" s="71" t="s">
        <v>5851</v>
      </c>
      <c r="AN543" s="84" t="s">
        <v>5852</v>
      </c>
      <c r="AO543" s="71" t="s">
        <v>5853</v>
      </c>
      <c r="AP543" s="161" t="str">
        <f>IMAGE("https://bellingcat-archive.nyc3.cdn.digitaloceanspaces.com/Ukraine_Witness_Datasheet/Worksheet/youtube_dl_1496809383929524230/out5.jpg")</f>
        <v/>
      </c>
      <c r="AQ543" s="84" t="s">
        <v>5854</v>
      </c>
      <c r="AR543" s="71" t="s">
        <v>5855</v>
      </c>
      <c r="AS543" s="71" t="s">
        <v>5856</v>
      </c>
      <c r="AT543" s="71">
        <v>140.0</v>
      </c>
      <c r="AU543" s="89"/>
      <c r="AV543" s="162"/>
      <c r="AW543" s="81"/>
    </row>
    <row r="544" ht="15.75" customHeight="1">
      <c r="A544" s="95" t="s">
        <v>63</v>
      </c>
      <c r="B544" s="73"/>
      <c r="C544" s="101" t="s">
        <v>5586</v>
      </c>
      <c r="D544" s="74">
        <v>46.761023</v>
      </c>
      <c r="E544" s="74">
        <v>33.386847</v>
      </c>
      <c r="F544" s="59">
        <v>1.0</v>
      </c>
      <c r="G544" s="151" t="s">
        <v>5857</v>
      </c>
      <c r="H544" s="61" t="s">
        <v>91</v>
      </c>
      <c r="I544" s="75"/>
      <c r="J544" s="76" t="s">
        <v>5858</v>
      </c>
      <c r="K544" s="153"/>
      <c r="L544" s="110" t="s">
        <v>3542</v>
      </c>
      <c r="M544" s="92" t="s">
        <v>5702</v>
      </c>
      <c r="N544" s="111"/>
      <c r="O544" s="92" t="s">
        <v>5859</v>
      </c>
      <c r="P544" s="67" t="str">
        <f t="shared" si="1"/>
        <v>46.761023, 33.386847</v>
      </c>
      <c r="Q544" s="67" t="str">
        <f t="shared" si="2"/>
        <v>46.760561, 33.387709</v>
      </c>
      <c r="R544" s="67">
        <f t="shared" si="3"/>
        <v>46.760561</v>
      </c>
      <c r="S544" s="67">
        <f t="shared" si="4"/>
        <v>33.387709</v>
      </c>
      <c r="T544" s="161"/>
      <c r="U544" s="69"/>
      <c r="V544" s="65" t="s">
        <v>5860</v>
      </c>
      <c r="W544" s="158" t="s">
        <v>5705</v>
      </c>
      <c r="X544" s="72" t="s">
        <v>75</v>
      </c>
      <c r="Y544" s="73"/>
      <c r="Z544" s="73"/>
      <c r="AA544" s="73"/>
      <c r="AB544" s="73"/>
      <c r="AC544" s="73"/>
      <c r="AD544" s="73"/>
      <c r="AE544" s="73"/>
      <c r="AF544" s="73"/>
      <c r="AG544" s="73"/>
      <c r="AH544" s="73"/>
      <c r="AI544" s="73"/>
      <c r="AJ544" s="75"/>
      <c r="AK544" s="76" t="s">
        <v>2108</v>
      </c>
      <c r="AL544" s="83" t="s">
        <v>5861</v>
      </c>
      <c r="AM544" s="71" t="s">
        <v>5862</v>
      </c>
      <c r="AN544" s="84" t="s">
        <v>5863</v>
      </c>
      <c r="AO544" s="71" t="s">
        <v>5864</v>
      </c>
      <c r="AP544" s="161" t="str">
        <f>IMAGE("https://bellingcat-archive.nyc3.cdn.digitaloceanspaces.com/Ukraine_Witness_Datasheet/Worksheet/twitter__media_FMW3t30WYAU-zYq.jpg")</f>
        <v/>
      </c>
      <c r="AQ544" s="161"/>
      <c r="AR544" s="161"/>
      <c r="AS544" s="161"/>
      <c r="AT544" s="161"/>
      <c r="AU544" s="89"/>
      <c r="AV544" s="162"/>
      <c r="AW544" s="81"/>
    </row>
    <row r="545" ht="15.75" customHeight="1">
      <c r="A545" s="87" t="s">
        <v>2580</v>
      </c>
      <c r="B545" s="73"/>
      <c r="C545" s="101" t="s">
        <v>5586</v>
      </c>
      <c r="D545" s="74">
        <v>50.567716</v>
      </c>
      <c r="E545" s="74">
        <v>30.203996</v>
      </c>
      <c r="F545" s="211">
        <v>2.0</v>
      </c>
      <c r="G545" s="151" t="s">
        <v>5865</v>
      </c>
      <c r="H545" s="61" t="s">
        <v>5522</v>
      </c>
      <c r="I545" s="75"/>
      <c r="J545" s="76" t="s">
        <v>5866</v>
      </c>
      <c r="K545" s="152" t="s">
        <v>5867</v>
      </c>
      <c r="L545" s="110" t="s">
        <v>3542</v>
      </c>
      <c r="M545" s="92" t="s">
        <v>5827</v>
      </c>
      <c r="N545" s="111"/>
      <c r="O545" s="92" t="s">
        <v>5868</v>
      </c>
      <c r="P545" s="67" t="str">
        <f t="shared" si="1"/>
        <v>50.567716, 30.203996</v>
      </c>
      <c r="Q545" s="67" t="str">
        <f t="shared" si="2"/>
        <v>50.567501, 30.204788</v>
      </c>
      <c r="R545" s="67">
        <f t="shared" si="3"/>
        <v>50.567501</v>
      </c>
      <c r="S545" s="67">
        <f t="shared" si="4"/>
        <v>30.204788</v>
      </c>
      <c r="T545" s="161"/>
      <c r="U545" s="69"/>
      <c r="V545" s="65" t="s">
        <v>5869</v>
      </c>
      <c r="W545" s="158" t="s">
        <v>5739</v>
      </c>
      <c r="X545" s="72" t="s">
        <v>75</v>
      </c>
      <c r="Y545" s="73"/>
      <c r="Z545" s="73"/>
      <c r="AA545" s="73"/>
      <c r="AB545" s="73"/>
      <c r="AC545" s="73"/>
      <c r="AD545" s="73"/>
      <c r="AE545" s="73"/>
      <c r="AF545" s="73"/>
      <c r="AG545" s="73"/>
      <c r="AH545" s="73"/>
      <c r="AI545" s="73"/>
      <c r="AJ545" s="75"/>
      <c r="AK545" s="76" t="s">
        <v>798</v>
      </c>
      <c r="AL545" s="83" t="s">
        <v>5870</v>
      </c>
      <c r="AM545" s="71" t="s">
        <v>5871</v>
      </c>
      <c r="AN545" s="84" t="s">
        <v>5872</v>
      </c>
      <c r="AO545" s="71" t="s">
        <v>5873</v>
      </c>
      <c r="AP545" s="161" t="str">
        <f>IMAGE("https://bellingcat-archive.nyc3.cdn.digitaloceanspaces.com/Ukraine_Witness_Datasheet/Worksheet/youtube_dl_1496818023306567681/out2.jpg")</f>
        <v/>
      </c>
      <c r="AQ545" s="84" t="s">
        <v>5874</v>
      </c>
      <c r="AR545" s="71" t="s">
        <v>5875</v>
      </c>
      <c r="AS545" s="71" t="s">
        <v>5876</v>
      </c>
      <c r="AT545" s="71">
        <v>31.555</v>
      </c>
      <c r="AU545" s="89"/>
      <c r="AV545" s="162"/>
      <c r="AW545" s="81"/>
    </row>
    <row r="546" ht="15.75" customHeight="1">
      <c r="A546" s="87" t="s">
        <v>2580</v>
      </c>
      <c r="B546" s="73"/>
      <c r="C546" s="101" t="s">
        <v>5586</v>
      </c>
      <c r="D546" s="74">
        <v>52.10532</v>
      </c>
      <c r="E546" s="74">
        <v>31.780053</v>
      </c>
      <c r="F546" s="59">
        <v>1.0</v>
      </c>
      <c r="G546" s="151" t="s">
        <v>5877</v>
      </c>
      <c r="H546" s="61" t="s">
        <v>5522</v>
      </c>
      <c r="I546" s="75"/>
      <c r="J546" s="76" t="s">
        <v>5878</v>
      </c>
      <c r="K546" s="152" t="s">
        <v>5879</v>
      </c>
      <c r="L546" s="110" t="s">
        <v>3542</v>
      </c>
      <c r="M546" s="92" t="s">
        <v>5880</v>
      </c>
      <c r="N546" s="92" t="s">
        <v>5881</v>
      </c>
      <c r="O546" s="111"/>
      <c r="P546" s="67" t="str">
        <f t="shared" si="1"/>
        <v>52.10532, 31.780053</v>
      </c>
      <c r="Q546" s="67" t="str">
        <f t="shared" si="2"/>
        <v>52.104689, 31.779709</v>
      </c>
      <c r="R546" s="67">
        <f t="shared" si="3"/>
        <v>52.104689</v>
      </c>
      <c r="S546" s="67">
        <f t="shared" si="4"/>
        <v>31.779709</v>
      </c>
      <c r="T546" s="161"/>
      <c r="U546" s="69"/>
      <c r="V546" s="65" t="s">
        <v>5882</v>
      </c>
      <c r="W546" s="158" t="s">
        <v>5628</v>
      </c>
      <c r="X546" s="72" t="s">
        <v>75</v>
      </c>
      <c r="Y546" s="73"/>
      <c r="Z546" s="73"/>
      <c r="AA546" s="73"/>
      <c r="AB546" s="73"/>
      <c r="AC546" s="73"/>
      <c r="AD546" s="73"/>
      <c r="AE546" s="73"/>
      <c r="AF546" s="73"/>
      <c r="AG546" s="73"/>
      <c r="AH546" s="73"/>
      <c r="AI546" s="73"/>
      <c r="AJ546" s="75"/>
      <c r="AK546" s="76" t="s">
        <v>798</v>
      </c>
      <c r="AL546" s="83" t="s">
        <v>5883</v>
      </c>
      <c r="AM546" s="71" t="s">
        <v>5884</v>
      </c>
      <c r="AN546" s="84" t="s">
        <v>5885</v>
      </c>
      <c r="AO546" s="71" t="s">
        <v>5886</v>
      </c>
      <c r="AP546" s="161" t="str">
        <f>IMAGE("https://bellingcat-archive.nyc3.cdn.digitaloceanspaces.com/Ukraine_Witness_Datasheet/Worksheet/youtube_dl_1496758908769161216/out3.jpg")</f>
        <v/>
      </c>
      <c r="AQ546" s="84" t="s">
        <v>5887</v>
      </c>
      <c r="AR546" s="71" t="s">
        <v>5888</v>
      </c>
      <c r="AS546" s="71" t="s">
        <v>5889</v>
      </c>
      <c r="AT546" s="71">
        <v>61.833</v>
      </c>
      <c r="AU546" s="89"/>
      <c r="AV546" s="162"/>
      <c r="AW546" s="81"/>
    </row>
    <row r="547" ht="15.75" customHeight="1">
      <c r="A547" s="95" t="s">
        <v>2580</v>
      </c>
      <c r="B547" s="73"/>
      <c r="C547" s="101" t="s">
        <v>5586</v>
      </c>
      <c r="D547" s="74">
        <v>46.773653</v>
      </c>
      <c r="E547" s="74">
        <v>33.374388</v>
      </c>
      <c r="F547" s="59">
        <v>1.0</v>
      </c>
      <c r="G547" s="84" t="s">
        <v>5890</v>
      </c>
      <c r="H547" s="61" t="s">
        <v>5522</v>
      </c>
      <c r="I547" s="75"/>
      <c r="J547" s="76" t="s">
        <v>5891</v>
      </c>
      <c r="K547" s="69"/>
      <c r="L547" s="110" t="s">
        <v>3542</v>
      </c>
      <c r="M547" s="92" t="s">
        <v>5702</v>
      </c>
      <c r="N547" s="92" t="s">
        <v>5859</v>
      </c>
      <c r="O547" s="111"/>
      <c r="P547" s="67" t="str">
        <f t="shared" si="1"/>
        <v>46.773653, 33.374388</v>
      </c>
      <c r="Q547" s="67" t="str">
        <f t="shared" si="2"/>
        <v>46.773393, 33.374801</v>
      </c>
      <c r="R547" s="67">
        <f t="shared" si="3"/>
        <v>46.773393</v>
      </c>
      <c r="S547" s="67">
        <f t="shared" si="4"/>
        <v>33.374801</v>
      </c>
      <c r="T547" s="161"/>
      <c r="U547" s="69"/>
      <c r="V547" s="65" t="s">
        <v>5892</v>
      </c>
      <c r="W547" s="158" t="s">
        <v>5705</v>
      </c>
      <c r="X547" s="72" t="s">
        <v>75</v>
      </c>
      <c r="Y547" s="73"/>
      <c r="Z547" s="73"/>
      <c r="AA547" s="73"/>
      <c r="AB547" s="73"/>
      <c r="AC547" s="73"/>
      <c r="AD547" s="73"/>
      <c r="AE547" s="73"/>
      <c r="AF547" s="73"/>
      <c r="AG547" s="73"/>
      <c r="AH547" s="73"/>
      <c r="AI547" s="73"/>
      <c r="AJ547" s="75"/>
      <c r="AK547" s="76" t="s">
        <v>798</v>
      </c>
      <c r="AL547" s="83" t="s">
        <v>5893</v>
      </c>
      <c r="AM547" s="71" t="s">
        <v>5894</v>
      </c>
      <c r="AN547" s="84" t="s">
        <v>5895</v>
      </c>
      <c r="AO547" s="71" t="s">
        <v>5896</v>
      </c>
      <c r="AP547" s="161" t="str">
        <f>IMAGE("https://bellingcat-archive.nyc3.cdn.digitaloceanspaces.com/Ukraine_Witness_Datasheet/Worksheet/youtube_dl_1496801532066635779/out3.jpg")</f>
        <v/>
      </c>
      <c r="AQ547" s="84" t="s">
        <v>5897</v>
      </c>
      <c r="AR547" s="71" t="s">
        <v>5898</v>
      </c>
      <c r="AS547" s="71" t="s">
        <v>5899</v>
      </c>
      <c r="AT547" s="71">
        <v>86.0</v>
      </c>
      <c r="AU547" s="89"/>
      <c r="AV547" s="162"/>
      <c r="AW547" s="81"/>
    </row>
    <row r="548" ht="15.75" customHeight="1">
      <c r="A548" s="55" t="s">
        <v>63</v>
      </c>
      <c r="B548" s="73"/>
      <c r="C548" s="101" t="s">
        <v>5586</v>
      </c>
      <c r="D548" s="74">
        <v>50.604956</v>
      </c>
      <c r="E548" s="74">
        <v>30.494393</v>
      </c>
      <c r="F548" s="211">
        <v>2.0</v>
      </c>
      <c r="G548" s="84" t="s">
        <v>5900</v>
      </c>
      <c r="H548" s="61" t="s">
        <v>5522</v>
      </c>
      <c r="I548" s="75"/>
      <c r="J548" s="76" t="s">
        <v>5901</v>
      </c>
      <c r="K548" s="69"/>
      <c r="L548" s="110" t="s">
        <v>3542</v>
      </c>
      <c r="M548" s="92" t="s">
        <v>5827</v>
      </c>
      <c r="N548" s="111"/>
      <c r="O548" s="92" t="s">
        <v>5902</v>
      </c>
      <c r="P548" s="67" t="str">
        <f t="shared" si="1"/>
        <v>50.604956, 30.494393</v>
      </c>
      <c r="Q548" s="67" t="str">
        <f t="shared" si="2"/>
        <v>50.604439, 30.494201</v>
      </c>
      <c r="R548" s="67">
        <f t="shared" si="3"/>
        <v>50.604439</v>
      </c>
      <c r="S548" s="67">
        <f t="shared" si="4"/>
        <v>30.494201</v>
      </c>
      <c r="T548" s="161"/>
      <c r="U548" s="69"/>
      <c r="V548" s="65" t="s">
        <v>5903</v>
      </c>
      <c r="W548" s="158" t="s">
        <v>5904</v>
      </c>
      <c r="X548" s="72" t="s">
        <v>75</v>
      </c>
      <c r="Y548" s="73"/>
      <c r="Z548" s="73"/>
      <c r="AA548" s="73"/>
      <c r="AB548" s="73"/>
      <c r="AC548" s="73"/>
      <c r="AD548" s="73"/>
      <c r="AE548" s="73"/>
      <c r="AF548" s="73"/>
      <c r="AG548" s="73"/>
      <c r="AH548" s="73"/>
      <c r="AI548" s="73"/>
      <c r="AJ548" s="75"/>
      <c r="AK548" s="76" t="s">
        <v>798</v>
      </c>
      <c r="AL548" s="83" t="s">
        <v>5905</v>
      </c>
      <c r="AM548" s="71" t="s">
        <v>5906</v>
      </c>
      <c r="AN548" s="84" t="s">
        <v>5907</v>
      </c>
      <c r="AO548" s="71" t="s">
        <v>5908</v>
      </c>
      <c r="AP548" s="161" t="str">
        <f>IMAGE("https://bellingcat-archive.nyc3.cdn.digitaloceanspaces.com/Ukraine_Witness_Datasheet/Worksheet/youtube_dl_1496821978669502471/out2.jpg")</f>
        <v/>
      </c>
      <c r="AQ548" s="84" t="s">
        <v>5909</v>
      </c>
      <c r="AR548" s="71" t="s">
        <v>5910</v>
      </c>
      <c r="AS548" s="71" t="s">
        <v>5911</v>
      </c>
      <c r="AT548" s="71">
        <v>35.3</v>
      </c>
      <c r="AU548" s="89"/>
      <c r="AV548" s="162"/>
      <c r="AW548" s="81"/>
    </row>
    <row r="549" ht="15.75" customHeight="1">
      <c r="A549" s="87" t="s">
        <v>2580</v>
      </c>
      <c r="B549" s="73"/>
      <c r="C549" s="101" t="s">
        <v>5586</v>
      </c>
      <c r="D549" s="104">
        <v>50.136475</v>
      </c>
      <c r="E549" s="74">
        <v>30.75581</v>
      </c>
      <c r="F549" s="211">
        <v>2.0</v>
      </c>
      <c r="G549" s="84" t="s">
        <v>5912</v>
      </c>
      <c r="H549" s="61" t="s">
        <v>5522</v>
      </c>
      <c r="I549" s="75"/>
      <c r="J549" s="76" t="s">
        <v>5846</v>
      </c>
      <c r="K549" s="88" t="s">
        <v>5912</v>
      </c>
      <c r="L549" s="110" t="s">
        <v>3542</v>
      </c>
      <c r="M549" s="92" t="s">
        <v>5827</v>
      </c>
      <c r="N549" s="92"/>
      <c r="O549" s="92" t="s">
        <v>5913</v>
      </c>
      <c r="P549" s="67" t="str">
        <f t="shared" si="1"/>
        <v>50.136475, 30.75581</v>
      </c>
      <c r="Q549" s="67" t="str">
        <f t="shared" si="2"/>
        <v>50.136205, 30.756409</v>
      </c>
      <c r="R549" s="67">
        <f t="shared" si="3"/>
        <v>50.136205</v>
      </c>
      <c r="S549" s="67">
        <f t="shared" si="4"/>
        <v>30.756409</v>
      </c>
      <c r="T549" s="161"/>
      <c r="U549" s="69"/>
      <c r="V549" s="65" t="s">
        <v>5914</v>
      </c>
      <c r="W549" s="158" t="s">
        <v>3601</v>
      </c>
      <c r="X549" s="72" t="s">
        <v>75</v>
      </c>
      <c r="Y549" s="73"/>
      <c r="Z549" s="73"/>
      <c r="AA549" s="73"/>
      <c r="AB549" s="73"/>
      <c r="AC549" s="73"/>
      <c r="AD549" s="73"/>
      <c r="AE549" s="73"/>
      <c r="AF549" s="73"/>
      <c r="AG549" s="73"/>
      <c r="AH549" s="73"/>
      <c r="AI549" s="73"/>
      <c r="AJ549" s="75"/>
      <c r="AK549" s="76" t="s">
        <v>798</v>
      </c>
      <c r="AL549" s="83" t="s">
        <v>5915</v>
      </c>
      <c r="AM549" s="71" t="s">
        <v>5916</v>
      </c>
      <c r="AN549" s="84" t="s">
        <v>5917</v>
      </c>
      <c r="AO549" s="71" t="s">
        <v>5918</v>
      </c>
      <c r="AP549" s="161" t="str">
        <f>IMAGE("https://bellingcat-archive.nyc3.cdn.digitaloceanspaces.com/Ukraine_Witness_Datasheet/Worksheet/youtube_dl_1496828953515937794/out2.jpg")</f>
        <v/>
      </c>
      <c r="AQ549" s="84" t="s">
        <v>5919</v>
      </c>
      <c r="AR549" s="71" t="s">
        <v>5920</v>
      </c>
      <c r="AS549" s="71" t="s">
        <v>5921</v>
      </c>
      <c r="AT549" s="71">
        <v>7.266</v>
      </c>
      <c r="AU549" s="89"/>
      <c r="AV549" s="162"/>
      <c r="AW549" s="81"/>
    </row>
    <row r="550" ht="15.75" customHeight="1">
      <c r="A550" s="95" t="s">
        <v>3259</v>
      </c>
      <c r="B550" s="73"/>
      <c r="C550" s="101" t="s">
        <v>5586</v>
      </c>
      <c r="D550" s="104">
        <v>48.6475278342127</v>
      </c>
      <c r="E550" s="104">
        <v>39.0386077609903</v>
      </c>
      <c r="F550" s="59">
        <v>1.0</v>
      </c>
      <c r="G550" s="84" t="s">
        <v>5922</v>
      </c>
      <c r="H550" s="61" t="s">
        <v>5522</v>
      </c>
      <c r="I550" s="75"/>
      <c r="J550" s="76" t="s">
        <v>5923</v>
      </c>
      <c r="K550" s="69"/>
      <c r="L550" s="110" t="s">
        <v>3542</v>
      </c>
      <c r="M550" s="92" t="s">
        <v>5524</v>
      </c>
      <c r="N550" s="92" t="s">
        <v>5924</v>
      </c>
      <c r="O550" s="92" t="s">
        <v>5925</v>
      </c>
      <c r="P550" s="67" t="str">
        <f t="shared" si="1"/>
        <v>48.6475278342127, 39.0386077609903</v>
      </c>
      <c r="Q550" s="67" t="str">
        <f t="shared" si="2"/>
        <v>48.647015, 39.038217</v>
      </c>
      <c r="R550" s="67">
        <f t="shared" si="3"/>
        <v>48.647015</v>
      </c>
      <c r="S550" s="67">
        <f t="shared" si="4"/>
        <v>39.038217</v>
      </c>
      <c r="T550" s="161"/>
      <c r="U550" s="69"/>
      <c r="V550" s="65" t="s">
        <v>5926</v>
      </c>
      <c r="W550" s="158" t="s">
        <v>74</v>
      </c>
      <c r="X550" s="72" t="s">
        <v>75</v>
      </c>
      <c r="Y550" s="73"/>
      <c r="Z550" s="73"/>
      <c r="AA550" s="73"/>
      <c r="AB550" s="73"/>
      <c r="AC550" s="73"/>
      <c r="AD550" s="73"/>
      <c r="AE550" s="73"/>
      <c r="AF550" s="73"/>
      <c r="AG550" s="73"/>
      <c r="AH550" s="73"/>
      <c r="AI550" s="73"/>
      <c r="AJ550" s="75"/>
      <c r="AK550" s="76" t="s">
        <v>4410</v>
      </c>
      <c r="AL550" s="83" t="s">
        <v>5927</v>
      </c>
      <c r="AM550" s="71" t="s">
        <v>5928</v>
      </c>
      <c r="AN550" s="84" t="s">
        <v>5929</v>
      </c>
      <c r="AO550" s="71" t="s">
        <v>5930</v>
      </c>
      <c r="AP550" s="161" t="str">
        <f>IMAGE("https://bellingcat-archive.nyc3.cdn.digitaloceanspaces.com/Ukraine_Witness_Datasheet/Worksheet/telegram_0125326f11/out2.jpg")</f>
        <v/>
      </c>
      <c r="AQ550" s="84" t="s">
        <v>5931</v>
      </c>
      <c r="AR550" s="84" t="s">
        <v>5922</v>
      </c>
      <c r="AS550" s="71" t="s">
        <v>5932</v>
      </c>
      <c r="AT550" s="71">
        <v>54.0</v>
      </c>
      <c r="AU550" s="89"/>
      <c r="AV550" s="162"/>
      <c r="AW550" s="81"/>
    </row>
    <row r="551" ht="15.75" customHeight="1">
      <c r="A551" s="55" t="s">
        <v>63</v>
      </c>
      <c r="B551" s="73"/>
      <c r="C551" s="101" t="s">
        <v>5586</v>
      </c>
      <c r="D551" s="58">
        <v>50.5977</v>
      </c>
      <c r="E551" s="58">
        <v>30.477811</v>
      </c>
      <c r="F551" s="59">
        <v>1.0</v>
      </c>
      <c r="G551" s="84" t="s">
        <v>5933</v>
      </c>
      <c r="H551" s="61" t="s">
        <v>5522</v>
      </c>
      <c r="I551" s="75"/>
      <c r="J551" s="76" t="s">
        <v>5826</v>
      </c>
      <c r="K551" s="69"/>
      <c r="L551" s="110" t="s">
        <v>3542</v>
      </c>
      <c r="M551" s="92" t="s">
        <v>5827</v>
      </c>
      <c r="N551" s="111"/>
      <c r="O551" s="92" t="s">
        <v>5902</v>
      </c>
      <c r="P551" s="67" t="str">
        <f t="shared" si="1"/>
        <v>50.5977, 30.477811</v>
      </c>
      <c r="Q551" s="67" t="str">
        <f t="shared" si="2"/>
        <v>50.597035, 30.4777</v>
      </c>
      <c r="R551" s="67">
        <f t="shared" si="3"/>
        <v>50.597035</v>
      </c>
      <c r="S551" s="67">
        <f t="shared" si="4"/>
        <v>30.4777</v>
      </c>
      <c r="T551" s="161"/>
      <c r="U551" s="69"/>
      <c r="V551" s="65" t="s">
        <v>5934</v>
      </c>
      <c r="W551" s="158" t="s">
        <v>5705</v>
      </c>
      <c r="X551" s="72" t="s">
        <v>75</v>
      </c>
      <c r="Y551" s="73"/>
      <c r="Z551" s="73"/>
      <c r="AA551" s="73"/>
      <c r="AB551" s="73"/>
      <c r="AC551" s="73"/>
      <c r="AD551" s="73"/>
      <c r="AE551" s="73"/>
      <c r="AF551" s="73"/>
      <c r="AG551" s="73"/>
      <c r="AH551" s="73"/>
      <c r="AI551" s="73"/>
      <c r="AJ551" s="75"/>
      <c r="AK551" s="76" t="s">
        <v>798</v>
      </c>
      <c r="AL551" s="83" t="s">
        <v>5935</v>
      </c>
      <c r="AM551" s="71" t="s">
        <v>5936</v>
      </c>
      <c r="AN551" s="84" t="s">
        <v>5937</v>
      </c>
      <c r="AO551" s="71" t="s">
        <v>5938</v>
      </c>
      <c r="AP551" s="161" t="str">
        <f>IMAGE("https://bellingcat-archive.nyc3.cdn.digitaloceanspaces.com/Ukraine_Witness_Datasheet/Worksheet/youtube_dl_1496814717964324865/out2.jpg")</f>
        <v/>
      </c>
      <c r="AQ551" s="84" t="s">
        <v>5939</v>
      </c>
      <c r="AR551" s="71" t="s">
        <v>5940</v>
      </c>
      <c r="AS551" s="71" t="s">
        <v>5941</v>
      </c>
      <c r="AT551" s="71">
        <v>38.868</v>
      </c>
      <c r="AU551" s="89"/>
      <c r="AV551" s="162"/>
      <c r="AW551" s="81"/>
    </row>
    <row r="552" ht="15.75" customHeight="1">
      <c r="A552" s="95" t="s">
        <v>63</v>
      </c>
      <c r="B552" s="73"/>
      <c r="C552" s="101" t="s">
        <v>5586</v>
      </c>
      <c r="D552" s="74">
        <v>46.678419</v>
      </c>
      <c r="E552" s="74">
        <v>32.719509</v>
      </c>
      <c r="F552" s="59">
        <v>1.0</v>
      </c>
      <c r="G552" s="84" t="s">
        <v>5942</v>
      </c>
      <c r="H552" s="61" t="s">
        <v>5522</v>
      </c>
      <c r="I552" s="75"/>
      <c r="J552" s="76" t="s">
        <v>5943</v>
      </c>
      <c r="K552" s="69"/>
      <c r="L552" s="110" t="s">
        <v>3542</v>
      </c>
      <c r="M552" s="92" t="s">
        <v>5702</v>
      </c>
      <c r="N552" s="111"/>
      <c r="O552" s="92" t="s">
        <v>5944</v>
      </c>
      <c r="P552" s="67" t="str">
        <f t="shared" si="1"/>
        <v>46.678419, 32.719509</v>
      </c>
      <c r="Q552" s="67" t="str">
        <f t="shared" si="2"/>
        <v>46.677812, 32.719722</v>
      </c>
      <c r="R552" s="67">
        <f t="shared" si="3"/>
        <v>46.677812</v>
      </c>
      <c r="S552" s="67">
        <f t="shared" si="4"/>
        <v>32.719722</v>
      </c>
      <c r="T552" s="161"/>
      <c r="U552" s="69"/>
      <c r="V552" s="65" t="s">
        <v>5945</v>
      </c>
      <c r="W552" s="158" t="s">
        <v>5705</v>
      </c>
      <c r="X552" s="72" t="s">
        <v>75</v>
      </c>
      <c r="Y552" s="73"/>
      <c r="Z552" s="73"/>
      <c r="AA552" s="73"/>
      <c r="AB552" s="73"/>
      <c r="AC552" s="73"/>
      <c r="AD552" s="73"/>
      <c r="AE552" s="73"/>
      <c r="AF552" s="73"/>
      <c r="AG552" s="73"/>
      <c r="AH552" s="73"/>
      <c r="AI552" s="73"/>
      <c r="AJ552" s="75"/>
      <c r="AK552" s="76" t="s">
        <v>798</v>
      </c>
      <c r="AL552" s="83" t="s">
        <v>5946</v>
      </c>
      <c r="AM552" s="71" t="s">
        <v>5947</v>
      </c>
      <c r="AN552" s="84" t="s">
        <v>5948</v>
      </c>
      <c r="AO552" s="71" t="s">
        <v>5949</v>
      </c>
      <c r="AP552" s="161" t="str">
        <f>IMAGE("https://bellingcat-archive.nyc3.cdn.digitaloceanspaces.com/Ukraine_Witness_Datasheet/Worksheet/youtube_dl_1496853954558320642/out2.jpg")</f>
        <v/>
      </c>
      <c r="AQ552" s="84" t="s">
        <v>5950</v>
      </c>
      <c r="AR552" s="71" t="s">
        <v>5951</v>
      </c>
      <c r="AS552" s="71" t="s">
        <v>5952</v>
      </c>
      <c r="AT552" s="71">
        <v>11.669</v>
      </c>
      <c r="AU552" s="89"/>
      <c r="AV552" s="162"/>
      <c r="AW552" s="81"/>
    </row>
    <row r="553" ht="15.75" customHeight="1">
      <c r="A553" s="87" t="s">
        <v>5457</v>
      </c>
      <c r="B553" s="73"/>
      <c r="C553" s="101" t="s">
        <v>5586</v>
      </c>
      <c r="D553" s="74">
        <v>50.27814</v>
      </c>
      <c r="E553" s="74">
        <v>36.949915</v>
      </c>
      <c r="F553" s="59">
        <v>1.0</v>
      </c>
      <c r="G553" s="84" t="s">
        <v>5953</v>
      </c>
      <c r="H553" s="61" t="s">
        <v>5522</v>
      </c>
      <c r="I553" s="75"/>
      <c r="J553" s="76" t="s">
        <v>2123</v>
      </c>
      <c r="K553" s="88" t="s">
        <v>5954</v>
      </c>
      <c r="L553" s="110" t="s">
        <v>3542</v>
      </c>
      <c r="M553" s="92" t="s">
        <v>5590</v>
      </c>
      <c r="N553" s="111"/>
      <c r="O553" s="92" t="s">
        <v>5955</v>
      </c>
      <c r="P553" s="67" t="str">
        <f t="shared" si="1"/>
        <v>50.27814, 36.949915</v>
      </c>
      <c r="Q553" s="67" t="str">
        <f t="shared" si="2"/>
        <v>50.277913, 36.94876</v>
      </c>
      <c r="R553" s="67">
        <f t="shared" si="3"/>
        <v>50.277913</v>
      </c>
      <c r="S553" s="67">
        <f t="shared" si="4"/>
        <v>36.94876</v>
      </c>
      <c r="T553" s="161"/>
      <c r="U553" s="69"/>
      <c r="V553" s="65" t="s">
        <v>5956</v>
      </c>
      <c r="W553" s="158" t="s">
        <v>74</v>
      </c>
      <c r="X553" s="72" t="s">
        <v>75</v>
      </c>
      <c r="Y553" s="73"/>
      <c r="Z553" s="73"/>
      <c r="AA553" s="73"/>
      <c r="AB553" s="73"/>
      <c r="AC553" s="73"/>
      <c r="AD553" s="73"/>
      <c r="AE553" s="73"/>
      <c r="AF553" s="73"/>
      <c r="AG553" s="73"/>
      <c r="AH553" s="73"/>
      <c r="AI553" s="73"/>
      <c r="AJ553" s="75"/>
      <c r="AK553" s="76" t="s">
        <v>798</v>
      </c>
      <c r="AL553" s="83" t="s">
        <v>5957</v>
      </c>
      <c r="AM553" s="71" t="s">
        <v>5958</v>
      </c>
      <c r="AN553" s="84" t="s">
        <v>5959</v>
      </c>
      <c r="AO553" s="71" t="s">
        <v>5960</v>
      </c>
      <c r="AP553" s="161" t="str">
        <f>IMAGE("https://bellingcat-archive.nyc3.cdn.digitaloceanspaces.com/Ukraine_Witness_Datasheet/Worksheet/youtube_dl_1496841037360340993/out3.jpg")</f>
        <v/>
      </c>
      <c r="AQ553" s="84" t="s">
        <v>5961</v>
      </c>
      <c r="AR553" s="71" t="s">
        <v>5962</v>
      </c>
      <c r="AS553" s="71" t="s">
        <v>5963</v>
      </c>
      <c r="AT553" s="71">
        <v>83.866</v>
      </c>
      <c r="AU553" s="89"/>
      <c r="AV553" s="162"/>
      <c r="AW553" s="81"/>
    </row>
    <row r="554" ht="15.75" customHeight="1">
      <c r="A554" s="87" t="s">
        <v>2580</v>
      </c>
      <c r="B554" s="73"/>
      <c r="C554" s="101" t="s">
        <v>5586</v>
      </c>
      <c r="D554" s="74">
        <v>50.238472</v>
      </c>
      <c r="E554" s="74">
        <v>30.725583</v>
      </c>
      <c r="F554" s="211">
        <v>2.0</v>
      </c>
      <c r="G554" s="60" t="s">
        <v>5964</v>
      </c>
      <c r="H554" s="61" t="s">
        <v>5522</v>
      </c>
      <c r="I554" s="75"/>
      <c r="J554" s="76" t="s">
        <v>5965</v>
      </c>
      <c r="K554" s="88" t="s">
        <v>5966</v>
      </c>
      <c r="L554" s="110" t="s">
        <v>3542</v>
      </c>
      <c r="M554" s="92" t="s">
        <v>5827</v>
      </c>
      <c r="N554" s="111"/>
      <c r="O554" s="92" t="s">
        <v>5967</v>
      </c>
      <c r="P554" s="67" t="str">
        <f t="shared" si="1"/>
        <v>50.238472, 30.725583</v>
      </c>
      <c r="Q554" s="67" t="str">
        <f t="shared" si="2"/>
        <v>50.23791, 30.725396</v>
      </c>
      <c r="R554" s="67">
        <f t="shared" si="3"/>
        <v>50.23791</v>
      </c>
      <c r="S554" s="67">
        <f t="shared" si="4"/>
        <v>30.725396</v>
      </c>
      <c r="T554" s="161"/>
      <c r="U554" s="69"/>
      <c r="V554" s="65" t="s">
        <v>5968</v>
      </c>
      <c r="W554" s="158" t="s">
        <v>5739</v>
      </c>
      <c r="X554" s="72" t="s">
        <v>75</v>
      </c>
      <c r="Y554" s="73"/>
      <c r="Z554" s="73"/>
      <c r="AA554" s="73"/>
      <c r="AB554" s="73"/>
      <c r="AC554" s="73"/>
      <c r="AD554" s="73"/>
      <c r="AE554" s="73"/>
      <c r="AF554" s="73"/>
      <c r="AG554" s="73"/>
      <c r="AH554" s="73"/>
      <c r="AI554" s="73"/>
      <c r="AJ554" s="75"/>
      <c r="AK554" s="76" t="s">
        <v>798</v>
      </c>
      <c r="AL554" s="83" t="s">
        <v>5969</v>
      </c>
      <c r="AM554" s="71" t="s">
        <v>5970</v>
      </c>
      <c r="AN554" s="84" t="s">
        <v>5971</v>
      </c>
      <c r="AO554" s="71" t="s">
        <v>5972</v>
      </c>
      <c r="AP554" s="161" t="str">
        <f>IMAGE("https://bellingcat-archive.nyc3.cdn.digitaloceanspaces.com/Ukraine_Witness_Datasheet/Worksheet/youtube_dl_1496838814324641792/out2.jpg")</f>
        <v/>
      </c>
      <c r="AQ554" s="84" t="s">
        <v>5973</v>
      </c>
      <c r="AR554" s="71" t="s">
        <v>5974</v>
      </c>
      <c r="AS554" s="71" t="s">
        <v>5975</v>
      </c>
      <c r="AT554" s="71">
        <v>22.455</v>
      </c>
      <c r="AU554" s="89"/>
      <c r="AV554" s="162"/>
      <c r="AW554" s="81"/>
    </row>
    <row r="555" ht="15.75" customHeight="1">
      <c r="A555" s="95" t="s">
        <v>5457</v>
      </c>
      <c r="B555" s="73"/>
      <c r="C555" s="101" t="s">
        <v>5586</v>
      </c>
      <c r="D555" s="104">
        <v>50.9049091043245</v>
      </c>
      <c r="E555" s="104">
        <v>34.807646723109</v>
      </c>
      <c r="F555" s="59">
        <v>1.0</v>
      </c>
      <c r="G555" s="130" t="s">
        <v>5976</v>
      </c>
      <c r="H555" s="61" t="s">
        <v>5522</v>
      </c>
      <c r="I555" s="75"/>
      <c r="J555" s="76" t="s">
        <v>5977</v>
      </c>
      <c r="K555" s="69"/>
      <c r="L555" s="110" t="s">
        <v>3542</v>
      </c>
      <c r="M555" s="92" t="s">
        <v>5978</v>
      </c>
      <c r="N555" s="111"/>
      <c r="O555" s="92" t="s">
        <v>5979</v>
      </c>
      <c r="P555" s="67" t="str">
        <f t="shared" si="1"/>
        <v>50.9049091043245, 34.807646723109</v>
      </c>
      <c r="Q555" s="67" t="str">
        <f t="shared" si="2"/>
        <v>50.904907, 34.80887</v>
      </c>
      <c r="R555" s="67">
        <f t="shared" si="3"/>
        <v>50.904907</v>
      </c>
      <c r="S555" s="67">
        <f t="shared" si="4"/>
        <v>34.80887</v>
      </c>
      <c r="T555" s="161"/>
      <c r="U555" s="172"/>
      <c r="V555" s="65" t="s">
        <v>5980</v>
      </c>
      <c r="W555" s="158" t="s">
        <v>5981</v>
      </c>
      <c r="X555" s="72" t="s">
        <v>75</v>
      </c>
      <c r="Y555" s="73"/>
      <c r="Z555" s="73"/>
      <c r="AA555" s="73"/>
      <c r="AB555" s="73"/>
      <c r="AC555" s="73"/>
      <c r="AD555" s="73"/>
      <c r="AE555" s="73"/>
      <c r="AF555" s="73"/>
      <c r="AG555" s="73"/>
      <c r="AH555" s="73"/>
      <c r="AI555" s="73"/>
      <c r="AJ555" s="75"/>
      <c r="AK555" s="76" t="s">
        <v>798</v>
      </c>
      <c r="AL555" s="83" t="s">
        <v>5982</v>
      </c>
      <c r="AM555" s="71" t="s">
        <v>5983</v>
      </c>
      <c r="AN555" s="84" t="s">
        <v>5984</v>
      </c>
      <c r="AO555" s="71" t="s">
        <v>5985</v>
      </c>
      <c r="AP555" s="161" t="str">
        <f>IMAGE("https://bellingcat-archive.nyc3.cdn.digitaloceanspaces.com/Ukraine_Witness_Datasheet/Worksheet/youtube_dl_1496875924779937793/out2.jpg")</f>
        <v/>
      </c>
      <c r="AQ555" s="84" t="s">
        <v>5986</v>
      </c>
      <c r="AR555" s="71" t="s">
        <v>5987</v>
      </c>
      <c r="AS555" s="71" t="s">
        <v>5988</v>
      </c>
      <c r="AT555" s="71">
        <v>20.986</v>
      </c>
      <c r="AU555" s="89"/>
      <c r="AV555" s="162"/>
      <c r="AW555" s="81"/>
    </row>
    <row r="556" ht="15.75" customHeight="1">
      <c r="A556" s="217" t="s">
        <v>5457</v>
      </c>
      <c r="B556" s="73"/>
      <c r="C556" s="101" t="s">
        <v>5586</v>
      </c>
      <c r="D556" s="74">
        <v>50.553249</v>
      </c>
      <c r="E556" s="74">
        <v>30.254064</v>
      </c>
      <c r="F556" s="59">
        <v>1.0</v>
      </c>
      <c r="G556" s="130" t="s">
        <v>5989</v>
      </c>
      <c r="H556" s="104" t="s">
        <v>5522</v>
      </c>
      <c r="I556" s="218"/>
      <c r="J556" s="76" t="s">
        <v>5990</v>
      </c>
      <c r="K556" s="219" t="s">
        <v>870</v>
      </c>
      <c r="L556" s="110" t="s">
        <v>3542</v>
      </c>
      <c r="M556" s="92" t="s">
        <v>5827</v>
      </c>
      <c r="N556" s="111"/>
      <c r="O556" s="92" t="s">
        <v>5868</v>
      </c>
      <c r="P556" s="67" t="str">
        <f t="shared" si="1"/>
        <v>50.553249, 30.254064</v>
      </c>
      <c r="Q556" s="67" t="str">
        <f t="shared" si="2"/>
        <v>50.553013, 30.253579</v>
      </c>
      <c r="R556" s="67">
        <f t="shared" si="3"/>
        <v>50.553013</v>
      </c>
      <c r="S556" s="67">
        <f t="shared" si="4"/>
        <v>30.253579</v>
      </c>
      <c r="T556" s="161"/>
      <c r="U556" s="69"/>
      <c r="V556" s="65" t="s">
        <v>5991</v>
      </c>
      <c r="W556" s="158" t="s">
        <v>5904</v>
      </c>
      <c r="X556" s="72" t="s">
        <v>5504</v>
      </c>
      <c r="Y556" s="73"/>
      <c r="Z556" s="73"/>
      <c r="AA556" s="73"/>
      <c r="AB556" s="73"/>
      <c r="AC556" s="73"/>
      <c r="AD556" s="73"/>
      <c r="AE556" s="73"/>
      <c r="AF556" s="73"/>
      <c r="AG556" s="73"/>
      <c r="AH556" s="73"/>
      <c r="AI556" s="73"/>
      <c r="AJ556" s="75"/>
      <c r="AK556" s="76" t="s">
        <v>798</v>
      </c>
      <c r="AL556" s="77" t="s">
        <v>5992</v>
      </c>
      <c r="AM556" s="71" t="s">
        <v>5993</v>
      </c>
      <c r="AN556" s="220" t="s">
        <v>5994</v>
      </c>
      <c r="AO556" s="71" t="s">
        <v>5995</v>
      </c>
      <c r="AP556" s="161" t="str">
        <f>IMAGE("https://bellingcat-archive.nyc3.cdn.digitaloceanspaces.com/ukraine_witness_test/Worksheet/yotube_dl_1496890420260974596/out2.jpg")</f>
        <v/>
      </c>
      <c r="AQ556" s="220" t="s">
        <v>5996</v>
      </c>
      <c r="AR556" s="71" t="s">
        <v>5997</v>
      </c>
      <c r="AS556" s="71" t="s">
        <v>5998</v>
      </c>
      <c r="AT556" s="71">
        <v>10.17</v>
      </c>
      <c r="AU556" s="89"/>
      <c r="AV556" s="80" t="s">
        <v>88</v>
      </c>
      <c r="AW556" s="203"/>
    </row>
    <row r="557" ht="15.75" customHeight="1">
      <c r="A557" s="95" t="s">
        <v>63</v>
      </c>
      <c r="B557" s="73"/>
      <c r="C557" s="101" t="s">
        <v>5586</v>
      </c>
      <c r="D557" s="74">
        <v>50.30907</v>
      </c>
      <c r="E557" s="74">
        <v>34.878152</v>
      </c>
      <c r="F557" s="211">
        <v>2.0</v>
      </c>
      <c r="G557" s="84" t="s">
        <v>5999</v>
      </c>
      <c r="H557" s="61" t="s">
        <v>5522</v>
      </c>
      <c r="I557" s="75"/>
      <c r="J557" s="76" t="s">
        <v>6000</v>
      </c>
      <c r="K557" s="69"/>
      <c r="L557" s="110" t="s">
        <v>3542</v>
      </c>
      <c r="M557" s="92" t="s">
        <v>5978</v>
      </c>
      <c r="N557" s="111"/>
      <c r="O557" s="92" t="s">
        <v>6001</v>
      </c>
      <c r="P557" s="67" t="str">
        <f t="shared" si="1"/>
        <v>50.30907, 34.878152</v>
      </c>
      <c r="Q557" s="67" t="str">
        <f t="shared" si="2"/>
        <v>50.308373, 34.877938</v>
      </c>
      <c r="R557" s="67">
        <f t="shared" si="3"/>
        <v>50.308373</v>
      </c>
      <c r="S557" s="67">
        <f t="shared" si="4"/>
        <v>34.877938</v>
      </c>
      <c r="T557" s="161"/>
      <c r="U557" s="221"/>
      <c r="V557" s="65" t="s">
        <v>6002</v>
      </c>
      <c r="W557" s="158" t="s">
        <v>6003</v>
      </c>
      <c r="X557" s="72" t="s">
        <v>75</v>
      </c>
      <c r="Y557" s="73"/>
      <c r="Z557" s="73"/>
      <c r="AA557" s="73"/>
      <c r="AB557" s="73"/>
      <c r="AC557" s="73"/>
      <c r="AD557" s="73"/>
      <c r="AE557" s="73"/>
      <c r="AF557" s="73"/>
      <c r="AG557" s="73"/>
      <c r="AH557" s="73"/>
      <c r="AI557" s="73"/>
      <c r="AJ557" s="75"/>
      <c r="AK557" s="76" t="s">
        <v>798</v>
      </c>
      <c r="AL557" s="77" t="s">
        <v>6004</v>
      </c>
      <c r="AM557" s="71" t="s">
        <v>6005</v>
      </c>
      <c r="AN557" s="220" t="s">
        <v>6006</v>
      </c>
      <c r="AO557" s="71" t="s">
        <v>6007</v>
      </c>
      <c r="AP557" s="161" t="str">
        <f>IMAGE("https://bellingcat-archive.nyc3.cdn.digitaloceanspaces.com/ukraine_witness_test/Worksheet/yotube_dl_1496882689261068296/out2.jpg")</f>
        <v/>
      </c>
      <c r="AQ557" s="220" t="s">
        <v>6008</v>
      </c>
      <c r="AR557" s="71" t="s">
        <v>6009</v>
      </c>
      <c r="AS557" s="71" t="s">
        <v>6010</v>
      </c>
      <c r="AT557" s="71">
        <v>9.142</v>
      </c>
      <c r="AU557" s="89"/>
      <c r="AV557" s="162"/>
      <c r="AW557" s="81"/>
    </row>
    <row r="558" ht="15.75" customHeight="1">
      <c r="A558" s="95" t="s">
        <v>3944</v>
      </c>
      <c r="B558" s="73"/>
      <c r="C558" s="222" t="s">
        <v>5586</v>
      </c>
      <c r="D558" s="92">
        <v>49.831973</v>
      </c>
      <c r="E558" s="149">
        <v>36.650591</v>
      </c>
      <c r="F558" s="59">
        <v>1.0</v>
      </c>
      <c r="G558" s="223" t="s">
        <v>6011</v>
      </c>
      <c r="H558" s="93" t="s">
        <v>91</v>
      </c>
      <c r="I558" s="75"/>
      <c r="J558" s="206" t="s">
        <v>6012</v>
      </c>
      <c r="K558" s="224"/>
      <c r="L558" s="110" t="s">
        <v>3542</v>
      </c>
      <c r="M558" s="92" t="s">
        <v>5590</v>
      </c>
      <c r="N558" s="111"/>
      <c r="O558" s="225" t="s">
        <v>5647</v>
      </c>
      <c r="P558" s="67" t="str">
        <f t="shared" si="1"/>
        <v>49.831973, 36.650591</v>
      </c>
      <c r="Q558" s="67" t="str">
        <f t="shared" si="2"/>
        <v>49.831775, 36.649684</v>
      </c>
      <c r="R558" s="67">
        <f t="shared" si="3"/>
        <v>49.831775</v>
      </c>
      <c r="S558" s="67">
        <f t="shared" si="4"/>
        <v>36.649684</v>
      </c>
      <c r="T558" s="161"/>
      <c r="U558" s="224"/>
      <c r="V558" s="169" t="s">
        <v>6013</v>
      </c>
      <c r="W558" s="91" t="s">
        <v>6014</v>
      </c>
      <c r="X558" s="72" t="s">
        <v>75</v>
      </c>
      <c r="Y558" s="73"/>
      <c r="Z558" s="73"/>
      <c r="AA558" s="73"/>
      <c r="AB558" s="73"/>
      <c r="AC558" s="73"/>
      <c r="AD558" s="73"/>
      <c r="AE558" s="73"/>
      <c r="AF558" s="73"/>
      <c r="AG558" s="73"/>
      <c r="AH558" s="73"/>
      <c r="AI558" s="73"/>
      <c r="AJ558" s="75"/>
      <c r="AK558" s="76" t="s">
        <v>2108</v>
      </c>
      <c r="AL558" s="83" t="s">
        <v>6015</v>
      </c>
      <c r="AM558" s="71" t="s">
        <v>6016</v>
      </c>
      <c r="AN558" s="84" t="s">
        <v>6017</v>
      </c>
      <c r="AO558" s="71" t="s">
        <v>6018</v>
      </c>
      <c r="AP558" s="161" t="str">
        <f>IMAGE("https://bellingcat-archive.nyc3.cdn.digitaloceanspaces.com/Ukraine_Witness_Datasheet/Worksheet/twitter__media_FMYMwgHVIAYZkqm.jpg")</f>
        <v/>
      </c>
      <c r="AQ558" s="161"/>
      <c r="AR558" s="71"/>
      <c r="AS558" s="161"/>
      <c r="AT558" s="161"/>
      <c r="AU558" s="89"/>
      <c r="AV558" s="162"/>
      <c r="AW558" s="81"/>
    </row>
    <row r="559" ht="15.75" customHeight="1">
      <c r="A559" s="95" t="s">
        <v>5457</v>
      </c>
      <c r="B559" s="73"/>
      <c r="C559" s="222" t="s">
        <v>5586</v>
      </c>
      <c r="D559" s="149">
        <v>46.762033</v>
      </c>
      <c r="E559" s="92">
        <v>33.385764</v>
      </c>
      <c r="F559" s="59">
        <v>1.0</v>
      </c>
      <c r="G559" s="166" t="s">
        <v>6019</v>
      </c>
      <c r="H559" s="93" t="s">
        <v>91</v>
      </c>
      <c r="I559" s="75"/>
      <c r="J559" s="206" t="s">
        <v>6020</v>
      </c>
      <c r="K559" s="156"/>
      <c r="L559" s="110" t="s">
        <v>3542</v>
      </c>
      <c r="M559" s="92" t="s">
        <v>5702</v>
      </c>
      <c r="N559" s="111"/>
      <c r="O559" s="92" t="s">
        <v>5859</v>
      </c>
      <c r="P559" s="67" t="str">
        <f t="shared" si="1"/>
        <v>46.762033, 33.385764</v>
      </c>
      <c r="Q559" s="67" t="str">
        <f t="shared" si="2"/>
        <v>46.76149, 33.385995</v>
      </c>
      <c r="R559" s="67">
        <f t="shared" si="3"/>
        <v>46.76149</v>
      </c>
      <c r="S559" s="67">
        <f t="shared" si="4"/>
        <v>33.385995</v>
      </c>
      <c r="T559" s="161"/>
      <c r="U559" s="224"/>
      <c r="V559" s="169" t="s">
        <v>6021</v>
      </c>
      <c r="W559" s="140" t="s">
        <v>74</v>
      </c>
      <c r="X559" s="72" t="s">
        <v>75</v>
      </c>
      <c r="Y559" s="73"/>
      <c r="Z559" s="73"/>
      <c r="AA559" s="73"/>
      <c r="AB559" s="73"/>
      <c r="AC559" s="73"/>
      <c r="AD559" s="73"/>
      <c r="AE559" s="73"/>
      <c r="AF559" s="73"/>
      <c r="AG559" s="73"/>
      <c r="AH559" s="73"/>
      <c r="AI559" s="73"/>
      <c r="AJ559" s="75"/>
      <c r="AK559" s="76" t="s">
        <v>2108</v>
      </c>
      <c r="AL559" s="83" t="s">
        <v>6022</v>
      </c>
      <c r="AM559" s="71" t="s">
        <v>6023</v>
      </c>
      <c r="AN559" s="84" t="s">
        <v>6024</v>
      </c>
      <c r="AO559" s="71" t="s">
        <v>6025</v>
      </c>
      <c r="AP559" s="161" t="str">
        <f>IMAGE("https://bellingcat-archive.nyc3.cdn.digitaloceanspaces.com/Ukraine_Witness_Datasheet/Worksheet/twitter__media_FMYRxYRXEAcY1pL.jpg")</f>
        <v/>
      </c>
      <c r="AQ559" s="161"/>
      <c r="AR559" s="71"/>
      <c r="AS559" s="161"/>
      <c r="AT559" s="161"/>
      <c r="AU559" s="89"/>
      <c r="AV559" s="162"/>
      <c r="AW559" s="81"/>
    </row>
    <row r="560" ht="15.75" customHeight="1">
      <c r="A560" s="95" t="s">
        <v>5457</v>
      </c>
      <c r="B560" s="73"/>
      <c r="C560" s="222" t="s">
        <v>5586</v>
      </c>
      <c r="D560" s="92">
        <v>51.388659</v>
      </c>
      <c r="E560" s="92">
        <v>30.110564</v>
      </c>
      <c r="F560" s="59">
        <v>1.0</v>
      </c>
      <c r="G560" s="166" t="s">
        <v>6026</v>
      </c>
      <c r="H560" s="93" t="s">
        <v>66</v>
      </c>
      <c r="I560" s="75"/>
      <c r="J560" s="206" t="s">
        <v>6027</v>
      </c>
      <c r="K560" s="156"/>
      <c r="L560" s="110" t="s">
        <v>3542</v>
      </c>
      <c r="M560" s="92" t="s">
        <v>5827</v>
      </c>
      <c r="N560" s="111"/>
      <c r="O560" s="92" t="s">
        <v>6028</v>
      </c>
      <c r="P560" s="67" t="str">
        <f t="shared" si="1"/>
        <v>51.388659, 30.110564</v>
      </c>
      <c r="Q560" s="67" t="str">
        <f t="shared" si="2"/>
        <v>51.388352, 30.110199</v>
      </c>
      <c r="R560" s="67">
        <f t="shared" si="3"/>
        <v>51.388352</v>
      </c>
      <c r="S560" s="67">
        <f t="shared" si="4"/>
        <v>30.110199</v>
      </c>
      <c r="T560" s="161"/>
      <c r="U560" s="224"/>
      <c r="V560" s="169" t="s">
        <v>6029</v>
      </c>
      <c r="W560" s="140" t="s">
        <v>74</v>
      </c>
      <c r="X560" s="72" t="s">
        <v>75</v>
      </c>
      <c r="Y560" s="73"/>
      <c r="Z560" s="73"/>
      <c r="AA560" s="73"/>
      <c r="AB560" s="73"/>
      <c r="AC560" s="73"/>
      <c r="AD560" s="73"/>
      <c r="AE560" s="73"/>
      <c r="AF560" s="73"/>
      <c r="AG560" s="73"/>
      <c r="AH560" s="73"/>
      <c r="AI560" s="73"/>
      <c r="AJ560" s="75"/>
      <c r="AK560" s="76" t="s">
        <v>798</v>
      </c>
      <c r="AL560" s="77" t="s">
        <v>6030</v>
      </c>
      <c r="AM560" s="71" t="s">
        <v>6031</v>
      </c>
      <c r="AN560" s="220" t="s">
        <v>6032</v>
      </c>
      <c r="AO560" s="71" t="s">
        <v>6033</v>
      </c>
      <c r="AP560" s="161" t="str">
        <f>IMAGE("https://bellingcat-archive.nyc3.cdn.digitaloceanspaces.com/ukraine_witness_test/Worksheet/yotube_dl_1496907711602204673/out2.jpg")</f>
        <v/>
      </c>
      <c r="AQ560" s="220" t="s">
        <v>6034</v>
      </c>
      <c r="AR560" s="71" t="s">
        <v>6035</v>
      </c>
      <c r="AS560" s="71" t="s">
        <v>6036</v>
      </c>
      <c r="AT560" s="71">
        <v>9.427</v>
      </c>
      <c r="AU560" s="89"/>
      <c r="AV560" s="162"/>
      <c r="AW560" s="81"/>
    </row>
    <row r="561" ht="15.75" customHeight="1">
      <c r="A561" s="95" t="s">
        <v>63</v>
      </c>
      <c r="B561" s="73"/>
      <c r="C561" s="222" t="s">
        <v>5586</v>
      </c>
      <c r="D561" s="149">
        <v>51.19601</v>
      </c>
      <c r="E561" s="149">
        <v>33.828731</v>
      </c>
      <c r="F561" s="59">
        <v>1.0</v>
      </c>
      <c r="G561" s="226" t="s">
        <v>6037</v>
      </c>
      <c r="H561" s="93" t="s">
        <v>66</v>
      </c>
      <c r="I561" s="75"/>
      <c r="J561" s="206" t="s">
        <v>6038</v>
      </c>
      <c r="K561" s="224"/>
      <c r="L561" s="110" t="s">
        <v>3542</v>
      </c>
      <c r="M561" s="92" t="s">
        <v>5978</v>
      </c>
      <c r="N561" s="111"/>
      <c r="O561" s="92" t="s">
        <v>6039</v>
      </c>
      <c r="P561" s="67" t="str">
        <f t="shared" si="1"/>
        <v>51.19601, 33.828731</v>
      </c>
      <c r="Q561" s="67" t="str">
        <f t="shared" si="2"/>
        <v>51.19551, 33.828931</v>
      </c>
      <c r="R561" s="67">
        <f t="shared" si="3"/>
        <v>51.19551</v>
      </c>
      <c r="S561" s="67">
        <f t="shared" si="4"/>
        <v>33.828931</v>
      </c>
      <c r="T561" s="161"/>
      <c r="U561" s="224"/>
      <c r="V561" s="169" t="s">
        <v>6040</v>
      </c>
      <c r="W561" s="140" t="s">
        <v>74</v>
      </c>
      <c r="X561" s="72" t="s">
        <v>75</v>
      </c>
      <c r="Y561" s="73"/>
      <c r="Z561" s="73"/>
      <c r="AA561" s="73"/>
      <c r="AB561" s="73"/>
      <c r="AC561" s="73"/>
      <c r="AD561" s="73"/>
      <c r="AE561" s="73"/>
      <c r="AF561" s="73"/>
      <c r="AG561" s="73"/>
      <c r="AH561" s="73"/>
      <c r="AI561" s="73"/>
      <c r="AJ561" s="75"/>
      <c r="AK561" s="76" t="s">
        <v>798</v>
      </c>
      <c r="AL561" s="77" t="s">
        <v>6041</v>
      </c>
      <c r="AM561" s="71" t="s">
        <v>6042</v>
      </c>
      <c r="AN561" s="220" t="s">
        <v>6043</v>
      </c>
      <c r="AO561" s="71" t="s">
        <v>6044</v>
      </c>
      <c r="AP561" s="161" t="str">
        <f>IMAGE("https://bellingcat-archive.nyc3.cdn.digitaloceanspaces.com/ukraine_witness_test/Worksheet/yotube_dl_1496851744227303425/out2.jpg")</f>
        <v/>
      </c>
      <c r="AQ561" s="220" t="s">
        <v>6045</v>
      </c>
      <c r="AR561" s="71" t="s">
        <v>6046</v>
      </c>
      <c r="AS561" s="71" t="s">
        <v>6047</v>
      </c>
      <c r="AT561" s="71">
        <v>12.833</v>
      </c>
      <c r="AU561" s="89"/>
      <c r="AV561" s="162"/>
      <c r="AW561" s="81"/>
    </row>
    <row r="562" ht="15.75" customHeight="1">
      <c r="A562" s="95" t="s">
        <v>63</v>
      </c>
      <c r="B562" s="73"/>
      <c r="C562" s="222" t="s">
        <v>5586</v>
      </c>
      <c r="D562" s="149">
        <v>51.227334</v>
      </c>
      <c r="E562" s="149">
        <v>24.032385</v>
      </c>
      <c r="F562" s="59">
        <v>1.0</v>
      </c>
      <c r="G562" s="226" t="s">
        <v>6048</v>
      </c>
      <c r="H562" s="227" t="s">
        <v>66</v>
      </c>
      <c r="I562" s="109"/>
      <c r="J562" s="206" t="s">
        <v>6049</v>
      </c>
      <c r="K562" s="224"/>
      <c r="L562" s="206" t="s">
        <v>3542</v>
      </c>
      <c r="M562" s="140" t="s">
        <v>6050</v>
      </c>
      <c r="N562" s="228"/>
      <c r="O562" s="140" t="s">
        <v>6051</v>
      </c>
      <c r="P562" s="67" t="str">
        <f t="shared" si="1"/>
        <v>51.227334, 24.032385</v>
      </c>
      <c r="Q562" s="67" t="str">
        <f t="shared" si="2"/>
        <v>51.226967, 24.033527</v>
      </c>
      <c r="R562" s="67">
        <f t="shared" si="3"/>
        <v>51.226967</v>
      </c>
      <c r="S562" s="67">
        <f t="shared" si="4"/>
        <v>24.033527</v>
      </c>
      <c r="T562" s="161"/>
      <c r="U562" s="224"/>
      <c r="V562" s="169" t="s">
        <v>6052</v>
      </c>
      <c r="W562" s="140" t="s">
        <v>6053</v>
      </c>
      <c r="X562" s="229" t="s">
        <v>6054</v>
      </c>
      <c r="Y562" s="61" t="s">
        <v>551</v>
      </c>
      <c r="Z562" s="61" t="s">
        <v>6055</v>
      </c>
      <c r="AA562" s="73"/>
      <c r="AB562" s="73"/>
      <c r="AC562" s="73"/>
      <c r="AD562" s="73"/>
      <c r="AE562" s="73"/>
      <c r="AF562" s="73"/>
      <c r="AG562" s="73"/>
      <c r="AH562" s="73"/>
      <c r="AI562" s="73"/>
      <c r="AJ562" s="75"/>
      <c r="AK562" s="76" t="s">
        <v>798</v>
      </c>
      <c r="AL562" s="77" t="s">
        <v>6056</v>
      </c>
      <c r="AM562" s="71" t="s">
        <v>6057</v>
      </c>
      <c r="AN562" s="220" t="s">
        <v>6058</v>
      </c>
      <c r="AO562" s="71" t="s">
        <v>6059</v>
      </c>
      <c r="AP562" s="161" t="str">
        <f>IMAGE("https://bellingcat-archive.nyc3.cdn.digitaloceanspaces.com/ukraine_witness_test/Worksheet/yotube_dl_1496837191183577097/out2.jpg")</f>
        <v/>
      </c>
      <c r="AQ562" s="220" t="s">
        <v>6060</v>
      </c>
      <c r="AR562" s="71" t="s">
        <v>6061</v>
      </c>
      <c r="AS562" s="71" t="s">
        <v>6062</v>
      </c>
      <c r="AT562" s="71">
        <v>37.2</v>
      </c>
      <c r="AU562" s="89"/>
      <c r="AV562" s="162"/>
      <c r="AW562" s="81"/>
    </row>
    <row r="563" ht="15.75" customHeight="1">
      <c r="A563" s="95" t="s">
        <v>63</v>
      </c>
      <c r="B563" s="73"/>
      <c r="C563" s="222" t="s">
        <v>5586</v>
      </c>
      <c r="D563" s="149">
        <v>50.881845</v>
      </c>
      <c r="E563" s="149">
        <v>34.784687</v>
      </c>
      <c r="F563" s="59">
        <v>1.0</v>
      </c>
      <c r="G563" s="226" t="s">
        <v>6063</v>
      </c>
      <c r="H563" s="227" t="s">
        <v>66</v>
      </c>
      <c r="I563" s="109"/>
      <c r="J563" s="206" t="s">
        <v>6064</v>
      </c>
      <c r="K563" s="224"/>
      <c r="L563" s="206" t="s">
        <v>3542</v>
      </c>
      <c r="M563" s="140" t="s">
        <v>5978</v>
      </c>
      <c r="N563" s="228"/>
      <c r="O563" s="140" t="s">
        <v>5979</v>
      </c>
      <c r="P563" s="67" t="str">
        <f t="shared" si="1"/>
        <v>50.881845, 34.784687</v>
      </c>
      <c r="Q563" s="67" t="str">
        <f t="shared" si="2"/>
        <v>50.881063, 34.78464</v>
      </c>
      <c r="R563" s="67">
        <f t="shared" si="3"/>
        <v>50.881063</v>
      </c>
      <c r="S563" s="67">
        <f t="shared" si="4"/>
        <v>34.78464</v>
      </c>
      <c r="T563" s="161"/>
      <c r="U563" s="224"/>
      <c r="V563" s="169" t="s">
        <v>6065</v>
      </c>
      <c r="W563" s="227" t="s">
        <v>5739</v>
      </c>
      <c r="X563" s="72" t="s">
        <v>75</v>
      </c>
      <c r="Y563" s="73"/>
      <c r="Z563" s="73"/>
      <c r="AA563" s="73"/>
      <c r="AB563" s="73"/>
      <c r="AC563" s="73"/>
      <c r="AD563" s="73"/>
      <c r="AE563" s="73"/>
      <c r="AF563" s="73"/>
      <c r="AG563" s="73"/>
      <c r="AH563" s="73"/>
      <c r="AI563" s="73"/>
      <c r="AJ563" s="75"/>
      <c r="AK563" s="76" t="s">
        <v>798</v>
      </c>
      <c r="AL563" s="77" t="s">
        <v>6066</v>
      </c>
      <c r="AM563" s="71" t="s">
        <v>6067</v>
      </c>
      <c r="AN563" s="220" t="s">
        <v>6068</v>
      </c>
      <c r="AO563" s="71" t="s">
        <v>6069</v>
      </c>
      <c r="AP563" s="161" t="str">
        <f>IMAGE("https://bellingcat-archive.nyc3.cdn.digitaloceanspaces.com/ukraine_witness_test/Worksheet/yotube_dl_1496892418066690049/out2.jpg")</f>
        <v/>
      </c>
      <c r="AQ563" s="220" t="s">
        <v>6070</v>
      </c>
      <c r="AR563" s="71" t="s">
        <v>6071</v>
      </c>
      <c r="AS563" s="71" t="s">
        <v>6072</v>
      </c>
      <c r="AT563" s="71">
        <v>28.5</v>
      </c>
      <c r="AU563" s="89"/>
      <c r="AV563" s="162"/>
      <c r="AW563" s="81"/>
    </row>
    <row r="564" ht="15.75" customHeight="1">
      <c r="A564" s="95" t="s">
        <v>63</v>
      </c>
      <c r="B564" s="73"/>
      <c r="C564" s="101" t="s">
        <v>5586</v>
      </c>
      <c r="D564" s="74">
        <v>51.789645</v>
      </c>
      <c r="E564" s="74">
        <v>23.655737</v>
      </c>
      <c r="F564" s="59">
        <v>1.0</v>
      </c>
      <c r="G564" s="226" t="s">
        <v>6073</v>
      </c>
      <c r="H564" s="227" t="s">
        <v>66</v>
      </c>
      <c r="I564" s="109"/>
      <c r="J564" s="206" t="s">
        <v>6074</v>
      </c>
      <c r="K564" s="224"/>
      <c r="L564" s="206" t="s">
        <v>69</v>
      </c>
      <c r="M564" s="140" t="s">
        <v>3680</v>
      </c>
      <c r="N564" s="228"/>
      <c r="O564" s="140" t="s">
        <v>6075</v>
      </c>
      <c r="P564" s="67" t="str">
        <f t="shared" si="1"/>
        <v>51.789645, 23.655737</v>
      </c>
      <c r="Q564" s="67" t="str">
        <f t="shared" si="2"/>
        <v>51.789304, 23.656727</v>
      </c>
      <c r="R564" s="67">
        <f t="shared" si="3"/>
        <v>51.789304</v>
      </c>
      <c r="S564" s="67">
        <f t="shared" si="4"/>
        <v>23.656727</v>
      </c>
      <c r="T564" s="161"/>
      <c r="U564" s="69"/>
      <c r="V564" s="169" t="s">
        <v>6076</v>
      </c>
      <c r="W564" s="140" t="s">
        <v>74</v>
      </c>
      <c r="X564" s="72" t="s">
        <v>75</v>
      </c>
      <c r="Y564" s="73"/>
      <c r="Z564" s="73"/>
      <c r="AA564" s="73"/>
      <c r="AB564" s="73"/>
      <c r="AC564" s="73"/>
      <c r="AD564" s="73"/>
      <c r="AE564" s="73"/>
      <c r="AF564" s="73"/>
      <c r="AG564" s="73"/>
      <c r="AH564" s="73"/>
      <c r="AI564" s="73"/>
      <c r="AJ564" s="75"/>
      <c r="AK564" s="76" t="s">
        <v>798</v>
      </c>
      <c r="AL564" s="77" t="s">
        <v>6077</v>
      </c>
      <c r="AM564" s="71" t="s">
        <v>6078</v>
      </c>
      <c r="AN564" s="220" t="s">
        <v>6079</v>
      </c>
      <c r="AO564" s="71" t="s">
        <v>6080</v>
      </c>
      <c r="AP564" s="161" t="str">
        <f>IMAGE("https://bellingcat-archive.nyc3.cdn.digitaloceanspaces.com/ukraine_witness_test/Worksheet/yotube_dl_1496937266668883974/out5.jpg")</f>
        <v/>
      </c>
      <c r="AQ564" s="220" t="s">
        <v>6081</v>
      </c>
      <c r="AR564" s="71" t="s">
        <v>6082</v>
      </c>
      <c r="AS564" s="71" t="s">
        <v>6083</v>
      </c>
      <c r="AT564" s="71">
        <v>129.1</v>
      </c>
      <c r="AU564" s="89"/>
      <c r="AV564" s="162"/>
      <c r="AW564" s="81"/>
    </row>
    <row r="565" ht="15.75" customHeight="1">
      <c r="A565" s="87" t="s">
        <v>63</v>
      </c>
      <c r="B565" s="73"/>
      <c r="C565" s="101" t="s">
        <v>5586</v>
      </c>
      <c r="D565" s="74">
        <v>46.19139</v>
      </c>
      <c r="E565" s="74">
        <v>33.65386</v>
      </c>
      <c r="F565" s="59">
        <v>1.0</v>
      </c>
      <c r="G565" s="226" t="s">
        <v>6084</v>
      </c>
      <c r="H565" s="227" t="s">
        <v>66</v>
      </c>
      <c r="I565" s="109"/>
      <c r="J565" s="206" t="s">
        <v>6085</v>
      </c>
      <c r="K565" s="230" t="s">
        <v>6086</v>
      </c>
      <c r="L565" s="206"/>
      <c r="M565" s="140" t="s">
        <v>407</v>
      </c>
      <c r="N565" s="228"/>
      <c r="O565" s="140" t="s">
        <v>6087</v>
      </c>
      <c r="P565" s="67" t="str">
        <f t="shared" si="1"/>
        <v>46.19139, 33.65386</v>
      </c>
      <c r="Q565" s="67" t="str">
        <f t="shared" si="2"/>
        <v>46.19086, 33.653319</v>
      </c>
      <c r="R565" s="67">
        <f t="shared" si="3"/>
        <v>46.19086</v>
      </c>
      <c r="S565" s="67">
        <f t="shared" si="4"/>
        <v>33.653319</v>
      </c>
      <c r="T565" s="161"/>
      <c r="U565" s="69"/>
      <c r="V565" s="169" t="s">
        <v>6088</v>
      </c>
      <c r="W565" s="227" t="s">
        <v>5739</v>
      </c>
      <c r="X565" s="72" t="s">
        <v>75</v>
      </c>
      <c r="Y565" s="73"/>
      <c r="Z565" s="73"/>
      <c r="AA565" s="73"/>
      <c r="AB565" s="73"/>
      <c r="AC565" s="73"/>
      <c r="AD565" s="73"/>
      <c r="AE565" s="73"/>
      <c r="AF565" s="73"/>
      <c r="AG565" s="73"/>
      <c r="AH565" s="73"/>
      <c r="AI565" s="73"/>
      <c r="AJ565" s="75"/>
      <c r="AK565" s="76" t="s">
        <v>798</v>
      </c>
      <c r="AL565" s="77" t="s">
        <v>6089</v>
      </c>
      <c r="AM565" s="71" t="s">
        <v>6090</v>
      </c>
      <c r="AN565" s="220" t="s">
        <v>6091</v>
      </c>
      <c r="AO565" s="71" t="s">
        <v>6092</v>
      </c>
      <c r="AP565" s="161" t="str">
        <f>IMAGE("https://bellingcat-archive.nyc3.cdn.digitaloceanspaces.com/ukraine_witness_test/Worksheet/yotube_dl_1496962298342109195/out2.jpg")</f>
        <v/>
      </c>
      <c r="AQ565" s="220" t="s">
        <v>6093</v>
      </c>
      <c r="AR565" s="71" t="s">
        <v>6094</v>
      </c>
      <c r="AS565" s="71" t="s">
        <v>6095</v>
      </c>
      <c r="AT565" s="71">
        <v>28.32</v>
      </c>
      <c r="AU565" s="89"/>
      <c r="AV565" s="162"/>
      <c r="AW565" s="81"/>
    </row>
    <row r="566" ht="15.75" customHeight="1">
      <c r="A566" s="87" t="s">
        <v>63</v>
      </c>
      <c r="B566" s="73"/>
      <c r="C566" s="101" t="s">
        <v>5586</v>
      </c>
      <c r="D566" s="74">
        <v>50.308332</v>
      </c>
      <c r="E566" s="74">
        <v>34.880522</v>
      </c>
      <c r="F566" s="59">
        <v>1.0</v>
      </c>
      <c r="G566" s="226" t="s">
        <v>6096</v>
      </c>
      <c r="H566" s="227" t="s">
        <v>66</v>
      </c>
      <c r="I566" s="109"/>
      <c r="J566" s="206" t="s">
        <v>6097</v>
      </c>
      <c r="K566" s="230" t="s">
        <v>6098</v>
      </c>
      <c r="L566" s="206" t="s">
        <v>3542</v>
      </c>
      <c r="M566" s="140" t="s">
        <v>5978</v>
      </c>
      <c r="N566" s="228"/>
      <c r="O566" s="140" t="s">
        <v>6001</v>
      </c>
      <c r="P566" s="67" t="str">
        <f t="shared" si="1"/>
        <v>50.308332, 34.880522</v>
      </c>
      <c r="Q566" s="67" t="str">
        <f t="shared" si="2"/>
        <v>50.30806, 34.880086</v>
      </c>
      <c r="R566" s="67">
        <f t="shared" si="3"/>
        <v>50.30806</v>
      </c>
      <c r="S566" s="67">
        <f t="shared" si="4"/>
        <v>34.880086</v>
      </c>
      <c r="T566" s="161"/>
      <c r="U566" s="69"/>
      <c r="V566" s="169" t="s">
        <v>6099</v>
      </c>
      <c r="W566" s="71" t="s">
        <v>3601</v>
      </c>
      <c r="X566" s="72" t="s">
        <v>75</v>
      </c>
      <c r="Y566" s="73"/>
      <c r="Z566" s="73"/>
      <c r="AA566" s="73"/>
      <c r="AB566" s="73"/>
      <c r="AC566" s="73"/>
      <c r="AD566" s="73"/>
      <c r="AE566" s="73"/>
      <c r="AF566" s="73"/>
      <c r="AG566" s="73"/>
      <c r="AH566" s="73"/>
      <c r="AI566" s="73"/>
      <c r="AJ566" s="75"/>
      <c r="AK566" s="76" t="s">
        <v>798</v>
      </c>
      <c r="AL566" s="77" t="s">
        <v>6100</v>
      </c>
      <c r="AM566" s="71" t="s">
        <v>6101</v>
      </c>
      <c r="AN566" s="220" t="s">
        <v>6102</v>
      </c>
      <c r="AO566" s="71" t="s">
        <v>6103</v>
      </c>
      <c r="AP566" s="161" t="str">
        <f>IMAGE("https://bellingcat-archive.nyc3.cdn.digitaloceanspaces.com/ukraine_witness_test/Worksheet/yotube_dl_ywUryvex00w/out2.jpg")</f>
        <v/>
      </c>
      <c r="AQ566" s="220" t="s">
        <v>6104</v>
      </c>
      <c r="AR566" s="71" t="s">
        <v>6105</v>
      </c>
      <c r="AS566" s="71" t="s">
        <v>6106</v>
      </c>
      <c r="AT566" s="71">
        <v>10.0</v>
      </c>
      <c r="AU566" s="89"/>
      <c r="AV566" s="162"/>
      <c r="AW566" s="81"/>
    </row>
    <row r="567" ht="15.75" customHeight="1">
      <c r="A567" s="87" t="s">
        <v>63</v>
      </c>
      <c r="B567" s="73"/>
      <c r="C567" s="101" t="s">
        <v>5586</v>
      </c>
      <c r="D567" s="74">
        <v>47.120915</v>
      </c>
      <c r="E567" s="74">
        <v>37.680973</v>
      </c>
      <c r="F567" s="209">
        <v>4.0</v>
      </c>
      <c r="G567" s="226" t="s">
        <v>6107</v>
      </c>
      <c r="H567" s="227" t="s">
        <v>66</v>
      </c>
      <c r="I567" s="109"/>
      <c r="J567" s="206" t="s">
        <v>6108</v>
      </c>
      <c r="K567" s="224"/>
      <c r="L567" s="206" t="s">
        <v>3542</v>
      </c>
      <c r="M567" s="140" t="s">
        <v>5750</v>
      </c>
      <c r="N567" s="228"/>
      <c r="O567" s="140" t="s">
        <v>6109</v>
      </c>
      <c r="P567" s="67" t="str">
        <f t="shared" si="1"/>
        <v>47.120915, 37.680973</v>
      </c>
      <c r="Q567" s="67" t="str">
        <f t="shared" si="2"/>
        <v>47.120915, 37.681632</v>
      </c>
      <c r="R567" s="67">
        <f t="shared" si="3"/>
        <v>47.120915</v>
      </c>
      <c r="S567" s="67">
        <f t="shared" si="4"/>
        <v>37.681632</v>
      </c>
      <c r="T567" s="231"/>
      <c r="U567" s="69"/>
      <c r="V567" s="169" t="s">
        <v>6110</v>
      </c>
      <c r="W567" s="71" t="s">
        <v>6108</v>
      </c>
      <c r="X567" s="72" t="s">
        <v>75</v>
      </c>
      <c r="Y567" s="73"/>
      <c r="Z567" s="73"/>
      <c r="AA567" s="73"/>
      <c r="AB567" s="73"/>
      <c r="AC567" s="73"/>
      <c r="AD567" s="73"/>
      <c r="AE567" s="73"/>
      <c r="AF567" s="73"/>
      <c r="AG567" s="73"/>
      <c r="AH567" s="73"/>
      <c r="AI567" s="73"/>
      <c r="AJ567" s="75"/>
      <c r="AK567" s="76" t="s">
        <v>798</v>
      </c>
      <c r="AL567" s="77" t="s">
        <v>6111</v>
      </c>
      <c r="AM567" s="71" t="s">
        <v>6112</v>
      </c>
      <c r="AN567" s="220" t="s">
        <v>6113</v>
      </c>
      <c r="AO567" s="71" t="s">
        <v>6114</v>
      </c>
      <c r="AP567" s="161" t="str">
        <f>IMAGE("https://bellingcat-archive.nyc3.cdn.digitaloceanspaces.com/ukraine_witness_test/Worksheet/yotube_dl_1496846533085564929/out2.jpg")</f>
        <v/>
      </c>
      <c r="AQ567" s="220" t="s">
        <v>6115</v>
      </c>
      <c r="AR567" s="71" t="s">
        <v>6116</v>
      </c>
      <c r="AS567" s="71" t="s">
        <v>6117</v>
      </c>
      <c r="AT567" s="71">
        <v>5.3</v>
      </c>
      <c r="AU567" s="89"/>
      <c r="AV567" s="162"/>
      <c r="AW567" s="81"/>
    </row>
    <row r="568" ht="15.75" customHeight="1">
      <c r="A568" s="95" t="s">
        <v>63</v>
      </c>
      <c r="B568" s="73"/>
      <c r="C568" s="232" t="s">
        <v>6118</v>
      </c>
      <c r="D568" s="233">
        <v>50.518652</v>
      </c>
      <c r="E568" s="233">
        <v>30.490107</v>
      </c>
      <c r="F568" s="211">
        <v>2.0</v>
      </c>
      <c r="G568" s="226" t="s">
        <v>6119</v>
      </c>
      <c r="H568" s="227" t="s">
        <v>66</v>
      </c>
      <c r="I568" s="109"/>
      <c r="J568" s="206" t="s">
        <v>6120</v>
      </c>
      <c r="K568" s="224"/>
      <c r="L568" s="206" t="s">
        <v>3542</v>
      </c>
      <c r="M568" s="228"/>
      <c r="N568" s="228"/>
      <c r="O568" s="140" t="s">
        <v>6121</v>
      </c>
      <c r="P568" s="67" t="str">
        <f t="shared" si="1"/>
        <v>50.518652, 30.490107</v>
      </c>
      <c r="Q568" s="67" t="str">
        <f t="shared" si="2"/>
        <v>50.518546, 30.491134</v>
      </c>
      <c r="R568" s="67">
        <f t="shared" si="3"/>
        <v>50.518546</v>
      </c>
      <c r="S568" s="67">
        <f t="shared" si="4"/>
        <v>30.491134</v>
      </c>
      <c r="T568" s="161"/>
      <c r="U568" s="69"/>
      <c r="V568" s="169" t="s">
        <v>6122</v>
      </c>
      <c r="W568" s="71" t="s">
        <v>3601</v>
      </c>
      <c r="X568" s="72" t="s">
        <v>75</v>
      </c>
      <c r="Y568" s="73"/>
      <c r="Z568" s="73"/>
      <c r="AA568" s="73"/>
      <c r="AB568" s="73"/>
      <c r="AC568" s="73"/>
      <c r="AD568" s="73"/>
      <c r="AE568" s="73"/>
      <c r="AF568" s="73"/>
      <c r="AG568" s="73"/>
      <c r="AH568" s="73"/>
      <c r="AI568" s="73"/>
      <c r="AJ568" s="75"/>
      <c r="AK568" s="76" t="s">
        <v>798</v>
      </c>
      <c r="AL568" s="77" t="s">
        <v>6123</v>
      </c>
      <c r="AM568" s="71" t="s">
        <v>6124</v>
      </c>
      <c r="AN568" s="220" t="s">
        <v>6125</v>
      </c>
      <c r="AO568" s="71" t="s">
        <v>6126</v>
      </c>
      <c r="AP568" s="161" t="str">
        <f>IMAGE("https://bellingcat-archive.nyc3.cdn.digitaloceanspaces.com/ukraine_witness_test/Worksheet/yotube_dl_1497123956318523392/out2.jpg")</f>
        <v/>
      </c>
      <c r="AQ568" s="220" t="s">
        <v>6127</v>
      </c>
      <c r="AR568" s="71" t="s">
        <v>6128</v>
      </c>
      <c r="AS568" s="71" t="s">
        <v>6129</v>
      </c>
      <c r="AT568" s="71">
        <v>15.466</v>
      </c>
      <c r="AU568" s="89"/>
      <c r="AV568" s="162"/>
      <c r="AW568" s="81"/>
    </row>
    <row r="569" ht="15.75" customHeight="1">
      <c r="A569" s="87" t="s">
        <v>63</v>
      </c>
      <c r="B569" s="73"/>
      <c r="C569" s="232" t="s">
        <v>5586</v>
      </c>
      <c r="D569" s="233">
        <v>50.593667</v>
      </c>
      <c r="E569" s="233">
        <v>30.221417</v>
      </c>
      <c r="F569" s="211">
        <v>2.0</v>
      </c>
      <c r="G569" s="226" t="s">
        <v>6130</v>
      </c>
      <c r="H569" s="227" t="s">
        <v>66</v>
      </c>
      <c r="I569" s="109"/>
      <c r="J569" s="206" t="s">
        <v>6131</v>
      </c>
      <c r="K569" s="230" t="s">
        <v>6132</v>
      </c>
      <c r="L569" s="206" t="s">
        <v>3542</v>
      </c>
      <c r="M569" s="140" t="s">
        <v>6133</v>
      </c>
      <c r="N569" s="228"/>
      <c r="O569" s="140" t="s">
        <v>5828</v>
      </c>
      <c r="P569" s="67" t="str">
        <f t="shared" si="1"/>
        <v>50.593667, 30.221417</v>
      </c>
      <c r="Q569" s="67" t="str">
        <f t="shared" si="2"/>
        <v>50.593082, 30.221276</v>
      </c>
      <c r="R569" s="67">
        <f t="shared" si="3"/>
        <v>50.593082</v>
      </c>
      <c r="S569" s="67">
        <f t="shared" si="4"/>
        <v>30.221276</v>
      </c>
      <c r="T569" s="161"/>
      <c r="U569" s="69"/>
      <c r="V569" s="169" t="s">
        <v>6134</v>
      </c>
      <c r="W569" s="140" t="s">
        <v>74</v>
      </c>
      <c r="X569" s="72" t="s">
        <v>75</v>
      </c>
      <c r="Y569" s="73"/>
      <c r="Z569" s="73"/>
      <c r="AA569" s="73"/>
      <c r="AB569" s="73"/>
      <c r="AC569" s="73"/>
      <c r="AD569" s="73"/>
      <c r="AE569" s="73"/>
      <c r="AF569" s="73"/>
      <c r="AG569" s="73"/>
      <c r="AH569" s="73"/>
      <c r="AI569" s="73"/>
      <c r="AJ569" s="75"/>
      <c r="AK569" s="76" t="s">
        <v>798</v>
      </c>
      <c r="AL569" s="77" t="s">
        <v>6135</v>
      </c>
      <c r="AM569" s="71" t="s">
        <v>6136</v>
      </c>
      <c r="AN569" s="220" t="s">
        <v>6137</v>
      </c>
      <c r="AO569" s="71" t="s">
        <v>6138</v>
      </c>
      <c r="AP569" s="161" t="str">
        <f>IMAGE("https://bellingcat-archive.nyc3.cdn.digitaloceanspaces.com/ukraine_witness_test/Worksheet/yotube_dl_1496849053824471041/out3.jpg")</f>
        <v/>
      </c>
      <c r="AQ569" s="220" t="s">
        <v>6139</v>
      </c>
      <c r="AR569" s="71" t="s">
        <v>6140</v>
      </c>
      <c r="AS569" s="71" t="s">
        <v>6141</v>
      </c>
      <c r="AT569" s="71">
        <v>71.771</v>
      </c>
      <c r="AU569" s="89"/>
      <c r="AV569" s="162"/>
      <c r="AW569" s="81"/>
    </row>
    <row r="570" ht="15.75" customHeight="1">
      <c r="A570" s="87" t="s">
        <v>63</v>
      </c>
      <c r="B570" s="73"/>
      <c r="C570" s="232" t="s">
        <v>5586</v>
      </c>
      <c r="D570" s="233">
        <v>51.014557</v>
      </c>
      <c r="E570" s="233">
        <v>34.584061</v>
      </c>
      <c r="F570" s="59">
        <v>1.0</v>
      </c>
      <c r="G570" s="226" t="s">
        <v>6142</v>
      </c>
      <c r="H570" s="227" t="s">
        <v>66</v>
      </c>
      <c r="I570" s="109"/>
      <c r="J570" s="206" t="s">
        <v>5858</v>
      </c>
      <c r="K570" s="230" t="s">
        <v>6143</v>
      </c>
      <c r="L570" s="206" t="s">
        <v>3542</v>
      </c>
      <c r="M570" s="140" t="s">
        <v>6144</v>
      </c>
      <c r="N570" s="228"/>
      <c r="O570" s="140" t="s">
        <v>6145</v>
      </c>
      <c r="P570" s="67" t="str">
        <f t="shared" si="1"/>
        <v>51.014557, 34.584061</v>
      </c>
      <c r="Q570" s="67" t="str">
        <f t="shared" si="2"/>
        <v>51.01429, 34.584826</v>
      </c>
      <c r="R570" s="67">
        <f t="shared" si="3"/>
        <v>51.01429</v>
      </c>
      <c r="S570" s="67">
        <f t="shared" si="4"/>
        <v>34.584826</v>
      </c>
      <c r="T570" s="161"/>
      <c r="U570" s="69"/>
      <c r="V570" s="169" t="s">
        <v>6146</v>
      </c>
      <c r="W570" s="140" t="s">
        <v>74</v>
      </c>
      <c r="X570" s="72" t="s">
        <v>75</v>
      </c>
      <c r="Y570" s="73"/>
      <c r="Z570" s="73"/>
      <c r="AA570" s="73"/>
      <c r="AB570" s="73"/>
      <c r="AC570" s="73"/>
      <c r="AD570" s="73"/>
      <c r="AE570" s="73"/>
      <c r="AF570" s="73"/>
      <c r="AG570" s="73"/>
      <c r="AH570" s="73"/>
      <c r="AI570" s="73"/>
      <c r="AJ570" s="75"/>
      <c r="AK570" s="76" t="s">
        <v>798</v>
      </c>
      <c r="AL570" s="77" t="s">
        <v>6147</v>
      </c>
      <c r="AM570" s="71" t="s">
        <v>6148</v>
      </c>
      <c r="AN570" s="220" t="s">
        <v>6149</v>
      </c>
      <c r="AO570" s="71" t="s">
        <v>6150</v>
      </c>
      <c r="AP570" s="161" t="str">
        <f>IMAGE("https://bellingcat-archive.nyc3.cdn.digitaloceanspaces.com/ukraine_witness_test/Worksheet/yotube_dl_1496819885539831810/out2.jpg")</f>
        <v/>
      </c>
      <c r="AQ570" s="220" t="s">
        <v>6151</v>
      </c>
      <c r="AR570" s="71" t="s">
        <v>6152</v>
      </c>
      <c r="AS570" s="71" t="s">
        <v>6153</v>
      </c>
      <c r="AT570" s="71">
        <v>49.801</v>
      </c>
      <c r="AU570" s="89"/>
      <c r="AV570" s="162"/>
      <c r="AW570" s="81"/>
    </row>
    <row r="571" ht="15.75" customHeight="1">
      <c r="A571" s="87" t="s">
        <v>170</v>
      </c>
      <c r="B571" s="73"/>
      <c r="C571" s="232" t="s">
        <v>6118</v>
      </c>
      <c r="D571" s="234">
        <v>50.312331</v>
      </c>
      <c r="E571" s="234">
        <v>34.865166</v>
      </c>
      <c r="F571" s="59">
        <v>1.0</v>
      </c>
      <c r="G571" s="226" t="s">
        <v>6154</v>
      </c>
      <c r="H571" s="227" t="s">
        <v>66</v>
      </c>
      <c r="I571" s="109"/>
      <c r="J571" s="206" t="s">
        <v>6155</v>
      </c>
      <c r="K571" s="230" t="s">
        <v>6156</v>
      </c>
      <c r="L571" s="206" t="s">
        <v>3542</v>
      </c>
      <c r="M571" s="140" t="s">
        <v>6144</v>
      </c>
      <c r="N571" s="228"/>
      <c r="O571" s="140" t="s">
        <v>6001</v>
      </c>
      <c r="P571" s="67" t="str">
        <f t="shared" si="1"/>
        <v>50.312331, 34.865166</v>
      </c>
      <c r="Q571" s="67" t="str">
        <f t="shared" si="2"/>
        <v>50.311748, 34.865145</v>
      </c>
      <c r="R571" s="67">
        <f t="shared" si="3"/>
        <v>50.311748</v>
      </c>
      <c r="S571" s="67">
        <f t="shared" si="4"/>
        <v>34.865145</v>
      </c>
      <c r="T571" s="161"/>
      <c r="U571" s="69"/>
      <c r="V571" s="65" t="s">
        <v>6157</v>
      </c>
      <c r="W571" s="71" t="s">
        <v>5739</v>
      </c>
      <c r="X571" s="72" t="s">
        <v>75</v>
      </c>
      <c r="Y571" s="73"/>
      <c r="Z571" s="73"/>
      <c r="AA571" s="73"/>
      <c r="AB571" s="73"/>
      <c r="AC571" s="73"/>
      <c r="AD571" s="73"/>
      <c r="AE571" s="73"/>
      <c r="AF571" s="73"/>
      <c r="AG571" s="73"/>
      <c r="AH571" s="73"/>
      <c r="AI571" s="73"/>
      <c r="AJ571" s="75"/>
      <c r="AK571" s="76" t="s">
        <v>798</v>
      </c>
      <c r="AL571" s="77" t="s">
        <v>6158</v>
      </c>
      <c r="AM571" s="71" t="s">
        <v>6159</v>
      </c>
      <c r="AN571" s="220" t="s">
        <v>6160</v>
      </c>
      <c r="AO571" s="71" t="s">
        <v>6161</v>
      </c>
      <c r="AP571" s="161" t="str">
        <f>IMAGE("https://bellingcat-archive.nyc3.cdn.digitaloceanspaces.com/ukraine_witness_test/Worksheet/yotube_dl_1497004870112452613/out3.jpg")</f>
        <v/>
      </c>
      <c r="AQ571" s="220" t="s">
        <v>6162</v>
      </c>
      <c r="AR571" s="71" t="s">
        <v>6163</v>
      </c>
      <c r="AS571" s="71" t="s">
        <v>6164</v>
      </c>
      <c r="AT571" s="71">
        <v>113.8</v>
      </c>
      <c r="AU571" s="89"/>
      <c r="AV571" s="162"/>
      <c r="AW571" s="81"/>
    </row>
    <row r="572" ht="15.75" customHeight="1">
      <c r="A572" s="95" t="s">
        <v>3944</v>
      </c>
      <c r="B572" s="73"/>
      <c r="C572" s="232" t="s">
        <v>6118</v>
      </c>
      <c r="D572" s="140">
        <v>46.839778</v>
      </c>
      <c r="E572" s="140">
        <v>35.37275</v>
      </c>
      <c r="F572" s="59">
        <v>1.0</v>
      </c>
      <c r="G572" s="166" t="s">
        <v>6165</v>
      </c>
      <c r="H572" s="227" t="s">
        <v>5522</v>
      </c>
      <c r="I572" s="109"/>
      <c r="J572" s="206" t="s">
        <v>6166</v>
      </c>
      <c r="K572" s="224"/>
      <c r="L572" s="206" t="s">
        <v>3542</v>
      </c>
      <c r="M572" s="140" t="s">
        <v>6167</v>
      </c>
      <c r="N572" s="228"/>
      <c r="O572" s="140" t="s">
        <v>6168</v>
      </c>
      <c r="P572" s="67" t="str">
        <f t="shared" si="1"/>
        <v>46.839778, 35.37275</v>
      </c>
      <c r="Q572" s="67" t="str">
        <f t="shared" si="2"/>
        <v>46.839359, 35.373309</v>
      </c>
      <c r="R572" s="67">
        <f t="shared" si="3"/>
        <v>46.839359</v>
      </c>
      <c r="S572" s="67">
        <f t="shared" si="4"/>
        <v>35.373309</v>
      </c>
      <c r="T572" s="161"/>
      <c r="U572" s="69"/>
      <c r="V572" s="65" t="s">
        <v>6169</v>
      </c>
      <c r="W572" s="140" t="s">
        <v>74</v>
      </c>
      <c r="X572" s="72" t="s">
        <v>75</v>
      </c>
      <c r="Y572" s="73"/>
      <c r="Z572" s="73"/>
      <c r="AA572" s="73"/>
      <c r="AB572" s="73"/>
      <c r="AC572" s="73"/>
      <c r="AD572" s="73"/>
      <c r="AE572" s="73"/>
      <c r="AF572" s="73"/>
      <c r="AG572" s="73"/>
      <c r="AH572" s="73"/>
      <c r="AI572" s="73"/>
      <c r="AJ572" s="75"/>
      <c r="AK572" s="76" t="s">
        <v>798</v>
      </c>
      <c r="AL572" s="77" t="s">
        <v>6170</v>
      </c>
      <c r="AM572" s="71" t="s">
        <v>6171</v>
      </c>
      <c r="AN572" s="220" t="s">
        <v>6172</v>
      </c>
      <c r="AO572" s="71" t="s">
        <v>6173</v>
      </c>
      <c r="AP572" s="161" t="str">
        <f>IMAGE("https://bellingcat-archive.nyc3.cdn.digitaloceanspaces.com/ukraine_witness_test/Worksheet/yotube_dl_1497135346387148820/out3.jpg")</f>
        <v/>
      </c>
      <c r="AQ572" s="220" t="s">
        <v>6174</v>
      </c>
      <c r="AR572" s="71" t="s">
        <v>6175</v>
      </c>
      <c r="AS572" s="71" t="s">
        <v>6176</v>
      </c>
      <c r="AT572" s="71">
        <v>84.566</v>
      </c>
      <c r="AU572" s="89"/>
      <c r="AV572" s="162"/>
      <c r="AW572" s="81"/>
    </row>
    <row r="573" ht="15.75" customHeight="1">
      <c r="A573" s="87" t="s">
        <v>2580</v>
      </c>
      <c r="B573" s="73"/>
      <c r="C573" s="232" t="s">
        <v>6118</v>
      </c>
      <c r="D573" s="233">
        <v>50.405042</v>
      </c>
      <c r="E573" s="233">
        <v>30.645057</v>
      </c>
      <c r="F573" s="211">
        <v>2.0</v>
      </c>
      <c r="G573" s="226" t="s">
        <v>6177</v>
      </c>
      <c r="H573" s="227" t="s">
        <v>5522</v>
      </c>
      <c r="I573" s="109"/>
      <c r="J573" s="206" t="s">
        <v>6178</v>
      </c>
      <c r="K573" s="230" t="s">
        <v>6179</v>
      </c>
      <c r="L573" s="206" t="s">
        <v>3542</v>
      </c>
      <c r="M573" s="228"/>
      <c r="N573" s="228"/>
      <c r="O573" s="140" t="s">
        <v>6121</v>
      </c>
      <c r="P573" s="67" t="str">
        <f t="shared" si="1"/>
        <v>50.405042, 30.645057</v>
      </c>
      <c r="Q573" s="67" t="str">
        <f t="shared" si="2"/>
        <v>50.404909, 30.645713</v>
      </c>
      <c r="R573" s="67">
        <f t="shared" si="3"/>
        <v>50.404909</v>
      </c>
      <c r="S573" s="67">
        <f t="shared" si="4"/>
        <v>30.645713</v>
      </c>
      <c r="T573" s="161"/>
      <c r="U573" s="69"/>
      <c r="V573" s="65" t="s">
        <v>6180</v>
      </c>
      <c r="W573" s="71" t="s">
        <v>3601</v>
      </c>
      <c r="X573" s="72" t="s">
        <v>75</v>
      </c>
      <c r="Y573" s="73"/>
      <c r="Z573" s="73"/>
      <c r="AA573" s="73"/>
      <c r="AB573" s="73"/>
      <c r="AC573" s="73"/>
      <c r="AD573" s="73"/>
      <c r="AE573" s="73"/>
      <c r="AF573" s="73"/>
      <c r="AG573" s="73"/>
      <c r="AH573" s="73"/>
      <c r="AI573" s="73"/>
      <c r="AJ573" s="75"/>
      <c r="AK573" s="76" t="s">
        <v>2108</v>
      </c>
      <c r="AL573" s="83" t="s">
        <v>6181</v>
      </c>
      <c r="AM573" s="71" t="s">
        <v>6182</v>
      </c>
      <c r="AN573" s="84" t="s">
        <v>6183</v>
      </c>
      <c r="AO573" s="71" t="s">
        <v>6184</v>
      </c>
      <c r="AP573" s="161" t="str">
        <f>IMAGE("https://bellingcat-archive.nyc3.cdn.digitaloceanspaces.com/ukraine_witness_test/Worksheet/twitter__media_FMaTIFIXsAk0i0x.jpg")</f>
        <v/>
      </c>
      <c r="AQ573" s="161"/>
      <c r="AR573" s="161"/>
      <c r="AS573" s="161"/>
      <c r="AT573" s="161"/>
      <c r="AU573" s="89"/>
      <c r="AV573" s="162"/>
      <c r="AW573" s="81"/>
    </row>
    <row r="574" ht="15.75" customHeight="1">
      <c r="A574" s="87" t="s">
        <v>2580</v>
      </c>
      <c r="B574" s="73"/>
      <c r="C574" s="232" t="s">
        <v>6118</v>
      </c>
      <c r="D574" s="233">
        <v>50.40597</v>
      </c>
      <c r="E574" s="233">
        <v>30.6145</v>
      </c>
      <c r="F574" s="211">
        <v>2.0</v>
      </c>
      <c r="G574" s="226" t="s">
        <v>6185</v>
      </c>
      <c r="H574" s="227" t="s">
        <v>5522</v>
      </c>
      <c r="I574" s="109"/>
      <c r="J574" s="206" t="s">
        <v>6186</v>
      </c>
      <c r="K574" s="230" t="s">
        <v>6187</v>
      </c>
      <c r="L574" s="206" t="s">
        <v>3542</v>
      </c>
      <c r="M574" s="228"/>
      <c r="N574" s="228"/>
      <c r="O574" s="140" t="s">
        <v>6121</v>
      </c>
      <c r="P574" s="67" t="str">
        <f t="shared" si="1"/>
        <v>50.40597, 30.6145</v>
      </c>
      <c r="Q574" s="67" t="str">
        <f t="shared" si="2"/>
        <v>50.405318, 30.614019</v>
      </c>
      <c r="R574" s="67">
        <f t="shared" si="3"/>
        <v>50.405318</v>
      </c>
      <c r="S574" s="67">
        <f t="shared" si="4"/>
        <v>30.614019</v>
      </c>
      <c r="T574" s="161"/>
      <c r="U574" s="69"/>
      <c r="V574" s="65" t="s">
        <v>6188</v>
      </c>
      <c r="W574" s="71" t="s">
        <v>6189</v>
      </c>
      <c r="X574" s="72" t="s">
        <v>75</v>
      </c>
      <c r="Y574" s="73"/>
      <c r="Z574" s="73"/>
      <c r="AA574" s="73"/>
      <c r="AB574" s="73"/>
      <c r="AC574" s="73"/>
      <c r="AD574" s="73"/>
      <c r="AE574" s="73"/>
      <c r="AF574" s="73"/>
      <c r="AG574" s="73"/>
      <c r="AH574" s="73"/>
      <c r="AI574" s="73"/>
      <c r="AJ574" s="75"/>
      <c r="AK574" s="76" t="s">
        <v>798</v>
      </c>
      <c r="AL574" s="77" t="s">
        <v>6190</v>
      </c>
      <c r="AM574" s="71" t="s">
        <v>6191</v>
      </c>
      <c r="AN574" s="220" t="s">
        <v>6192</v>
      </c>
      <c r="AO574" s="71" t="s">
        <v>6193</v>
      </c>
      <c r="AP574" s="161" t="str">
        <f>IMAGE("https://bellingcat-archive.nyc3.cdn.digitaloceanspaces.com/ukraine_witness_test/Worksheet/yotube_dl_1497038963067875328/out2.jpg")</f>
        <v/>
      </c>
      <c r="AQ574" s="220" t="s">
        <v>6194</v>
      </c>
      <c r="AR574" s="71" t="s">
        <v>6195</v>
      </c>
      <c r="AS574" s="71" t="s">
        <v>6196</v>
      </c>
      <c r="AT574" s="71">
        <v>6.266</v>
      </c>
      <c r="AU574" s="89"/>
      <c r="AV574" s="162"/>
      <c r="AW574" s="81"/>
    </row>
    <row r="575" ht="15.75" customHeight="1">
      <c r="A575" s="87" t="s">
        <v>2580</v>
      </c>
      <c r="B575" s="73"/>
      <c r="C575" s="232" t="s">
        <v>6118</v>
      </c>
      <c r="D575" s="233">
        <v>50.395965</v>
      </c>
      <c r="E575" s="233">
        <v>30.599661</v>
      </c>
      <c r="F575" s="211">
        <v>2.0</v>
      </c>
      <c r="G575" s="226" t="s">
        <v>6197</v>
      </c>
      <c r="H575" s="227" t="s">
        <v>5522</v>
      </c>
      <c r="I575" s="109"/>
      <c r="J575" s="206" t="s">
        <v>6186</v>
      </c>
      <c r="K575" s="230" t="s">
        <v>6198</v>
      </c>
      <c r="L575" s="206" t="s">
        <v>3542</v>
      </c>
      <c r="M575" s="228"/>
      <c r="N575" s="228"/>
      <c r="O575" s="140" t="s">
        <v>6121</v>
      </c>
      <c r="P575" s="67" t="str">
        <f t="shared" si="1"/>
        <v>50.395965, 30.599661</v>
      </c>
      <c r="Q575" s="67" t="str">
        <f t="shared" si="2"/>
        <v>50.39517, 30.599321</v>
      </c>
      <c r="R575" s="67">
        <f t="shared" si="3"/>
        <v>50.39517</v>
      </c>
      <c r="S575" s="67">
        <f t="shared" si="4"/>
        <v>30.599321</v>
      </c>
      <c r="T575" s="161"/>
      <c r="U575" s="69"/>
      <c r="V575" s="65" t="s">
        <v>6199</v>
      </c>
      <c r="W575" s="71" t="s">
        <v>5904</v>
      </c>
      <c r="X575" s="72" t="s">
        <v>75</v>
      </c>
      <c r="Y575" s="73"/>
      <c r="Z575" s="73"/>
      <c r="AA575" s="73"/>
      <c r="AB575" s="73"/>
      <c r="AC575" s="73"/>
      <c r="AD575" s="73"/>
      <c r="AE575" s="73"/>
      <c r="AF575" s="73"/>
      <c r="AG575" s="73"/>
      <c r="AH575" s="73"/>
      <c r="AI575" s="73"/>
      <c r="AJ575" s="75"/>
      <c r="AK575" s="76" t="s">
        <v>2108</v>
      </c>
      <c r="AL575" s="83" t="s">
        <v>6200</v>
      </c>
      <c r="AM575" s="71" t="s">
        <v>6201</v>
      </c>
      <c r="AN575" s="84" t="s">
        <v>6202</v>
      </c>
      <c r="AO575" s="71" t="s">
        <v>6203</v>
      </c>
      <c r="AP575" s="161" t="str">
        <f>IMAGE("https://bellingcat-archive.nyc3.cdn.digitaloceanspaces.com/ukraine_witness_test/Worksheet/twitter__media_FMaNMP3XsAIZNAb.jpg")</f>
        <v/>
      </c>
      <c r="AQ575" s="161"/>
      <c r="AR575" s="161"/>
      <c r="AS575" s="161"/>
      <c r="AT575" s="161"/>
      <c r="AU575" s="89"/>
      <c r="AV575" s="162"/>
      <c r="AW575" s="81"/>
    </row>
    <row r="576" ht="15.75" customHeight="1">
      <c r="A576" s="87" t="s">
        <v>2580</v>
      </c>
      <c r="B576" s="73"/>
      <c r="C576" s="232" t="s">
        <v>5586</v>
      </c>
      <c r="D576" s="233">
        <v>50.593662</v>
      </c>
      <c r="E576" s="233">
        <v>30.221412</v>
      </c>
      <c r="F576" s="211">
        <v>2.0</v>
      </c>
      <c r="G576" s="226" t="s">
        <v>6204</v>
      </c>
      <c r="H576" s="227" t="s">
        <v>91</v>
      </c>
      <c r="I576" s="109"/>
      <c r="J576" s="206" t="s">
        <v>6205</v>
      </c>
      <c r="K576" s="230" t="s">
        <v>6206</v>
      </c>
      <c r="L576" s="206" t="s">
        <v>3542</v>
      </c>
      <c r="M576" s="140" t="s">
        <v>5827</v>
      </c>
      <c r="N576" s="228"/>
      <c r="O576" s="140" t="s">
        <v>5848</v>
      </c>
      <c r="P576" s="67" t="str">
        <f t="shared" si="1"/>
        <v>50.593662, 30.221412</v>
      </c>
      <c r="Q576" s="67" t="str">
        <f t="shared" si="2"/>
        <v>50.592972, 30.221106</v>
      </c>
      <c r="R576" s="67">
        <f t="shared" si="3"/>
        <v>50.592972</v>
      </c>
      <c r="S576" s="67">
        <f t="shared" si="4"/>
        <v>30.221106</v>
      </c>
      <c r="T576" s="161"/>
      <c r="U576" s="69"/>
      <c r="V576" s="169" t="s">
        <v>6207</v>
      </c>
      <c r="W576" s="71" t="s">
        <v>74</v>
      </c>
      <c r="X576" s="72" t="s">
        <v>75</v>
      </c>
      <c r="Y576" s="73"/>
      <c r="Z576" s="73"/>
      <c r="AA576" s="73"/>
      <c r="AB576" s="73"/>
      <c r="AC576" s="73"/>
      <c r="AD576" s="73"/>
      <c r="AE576" s="73"/>
      <c r="AF576" s="73"/>
      <c r="AG576" s="73"/>
      <c r="AH576" s="73"/>
      <c r="AI576" s="73"/>
      <c r="AJ576" s="75"/>
      <c r="AK576" s="76" t="s">
        <v>798</v>
      </c>
      <c r="AL576" s="77" t="s">
        <v>6208</v>
      </c>
      <c r="AM576" s="71" t="s">
        <v>6209</v>
      </c>
      <c r="AN576" s="220" t="s">
        <v>6210</v>
      </c>
      <c r="AO576" s="71" t="s">
        <v>6211</v>
      </c>
      <c r="AP576" s="161" t="str">
        <f>IMAGE("https://bellingcat-archive.nyc3.cdn.digitaloceanspaces.com/ukraine_witness_test/Worksheet/yotube_dl_1496975560634945537/out3.jpg")</f>
        <v/>
      </c>
      <c r="AQ576" s="220" t="s">
        <v>6212</v>
      </c>
      <c r="AR576" s="71" t="s">
        <v>6213</v>
      </c>
      <c r="AS576" s="71" t="s">
        <v>6214</v>
      </c>
      <c r="AT576" s="71">
        <v>79.68</v>
      </c>
      <c r="AU576" s="89"/>
      <c r="AV576" s="162"/>
      <c r="AW576" s="81"/>
    </row>
    <row r="577" ht="15.75" customHeight="1">
      <c r="A577" s="87" t="s">
        <v>2580</v>
      </c>
      <c r="B577" s="73"/>
      <c r="C577" s="232" t="s">
        <v>5586</v>
      </c>
      <c r="D577" s="233">
        <v>50.57727</v>
      </c>
      <c r="E577" s="233">
        <v>30.2659</v>
      </c>
      <c r="F577" s="59">
        <v>1.0</v>
      </c>
      <c r="G577" s="226" t="s">
        <v>6215</v>
      </c>
      <c r="H577" s="227" t="s">
        <v>5522</v>
      </c>
      <c r="I577" s="109"/>
      <c r="J577" s="206" t="s">
        <v>6216</v>
      </c>
      <c r="K577" s="230" t="s">
        <v>6217</v>
      </c>
      <c r="L577" s="206" t="s">
        <v>3542</v>
      </c>
      <c r="M577" s="140" t="s">
        <v>5827</v>
      </c>
      <c r="N577" s="228"/>
      <c r="O577" s="140" t="s">
        <v>5848</v>
      </c>
      <c r="P577" s="67" t="str">
        <f t="shared" si="1"/>
        <v>50.57727, 30.2659</v>
      </c>
      <c r="Q577" s="67" t="str">
        <f t="shared" si="2"/>
        <v>50.576953, 30.266188</v>
      </c>
      <c r="R577" s="67">
        <f t="shared" si="3"/>
        <v>50.576953</v>
      </c>
      <c r="S577" s="67">
        <f t="shared" si="4"/>
        <v>30.266188</v>
      </c>
      <c r="T577" s="161"/>
      <c r="U577" s="69"/>
      <c r="V577" s="65" t="s">
        <v>6218</v>
      </c>
      <c r="W577" s="71" t="s">
        <v>74</v>
      </c>
      <c r="X577" s="72" t="s">
        <v>75</v>
      </c>
      <c r="Y577" s="73"/>
      <c r="Z577" s="73"/>
      <c r="AA577" s="73"/>
      <c r="AB577" s="73"/>
      <c r="AC577" s="73"/>
      <c r="AD577" s="73"/>
      <c r="AE577" s="73"/>
      <c r="AF577" s="73"/>
      <c r="AG577" s="73"/>
      <c r="AH577" s="73"/>
      <c r="AI577" s="73"/>
      <c r="AJ577" s="75"/>
      <c r="AK577" s="76" t="s">
        <v>798</v>
      </c>
      <c r="AL577" s="77" t="s">
        <v>6219</v>
      </c>
      <c r="AM577" s="71" t="s">
        <v>6220</v>
      </c>
      <c r="AN577" s="220" t="s">
        <v>6221</v>
      </c>
      <c r="AO577" s="71" t="s">
        <v>6222</v>
      </c>
      <c r="AP577" s="161" t="str">
        <f>IMAGE("https://bellingcat-archive.nyc3.cdn.digitaloceanspaces.com/ukraine_witness_test/Worksheet/yotube_dl_1496933410950025217/out3.jpg")</f>
        <v/>
      </c>
      <c r="AQ577" s="220" t="s">
        <v>6223</v>
      </c>
      <c r="AR577" s="71" t="s">
        <v>6224</v>
      </c>
      <c r="AS577" s="71" t="s">
        <v>6225</v>
      </c>
      <c r="AT577" s="71">
        <v>82.406</v>
      </c>
      <c r="AU577" s="89"/>
      <c r="AV577" s="162"/>
      <c r="AW577" s="81"/>
    </row>
    <row r="578" ht="15.75" customHeight="1">
      <c r="A578" s="95" t="s">
        <v>63</v>
      </c>
      <c r="B578" s="73"/>
      <c r="C578" s="232" t="s">
        <v>6118</v>
      </c>
      <c r="D578" s="233">
        <v>50.518781</v>
      </c>
      <c r="E578" s="233">
        <v>30.490194</v>
      </c>
      <c r="F578" s="211">
        <v>2.0</v>
      </c>
      <c r="G578" s="226" t="s">
        <v>6226</v>
      </c>
      <c r="H578" s="227" t="s">
        <v>5522</v>
      </c>
      <c r="I578" s="109"/>
      <c r="J578" s="206" t="s">
        <v>6227</v>
      </c>
      <c r="K578" s="224"/>
      <c r="L578" s="206" t="s">
        <v>3542</v>
      </c>
      <c r="M578" s="140" t="s">
        <v>6133</v>
      </c>
      <c r="N578" s="228"/>
      <c r="O578" s="140" t="s">
        <v>6121</v>
      </c>
      <c r="P578" s="67" t="str">
        <f t="shared" si="1"/>
        <v>50.518781, 30.490194</v>
      </c>
      <c r="Q578" s="67" t="str">
        <f t="shared" si="2"/>
        <v>50.518036, 30.490302</v>
      </c>
      <c r="R578" s="67">
        <f t="shared" si="3"/>
        <v>50.518036</v>
      </c>
      <c r="S578" s="67">
        <f t="shared" si="4"/>
        <v>30.490302</v>
      </c>
      <c r="T578" s="161"/>
      <c r="U578" s="69"/>
      <c r="V578" s="65" t="s">
        <v>6228</v>
      </c>
      <c r="W578" s="71" t="s">
        <v>3601</v>
      </c>
      <c r="X578" s="72" t="s">
        <v>75</v>
      </c>
      <c r="Y578" s="73"/>
      <c r="Z578" s="73"/>
      <c r="AA578" s="73"/>
      <c r="AB578" s="73"/>
      <c r="AC578" s="73"/>
      <c r="AD578" s="73"/>
      <c r="AE578" s="73"/>
      <c r="AF578" s="73"/>
      <c r="AG578" s="73"/>
      <c r="AH578" s="73"/>
      <c r="AI578" s="73"/>
      <c r="AJ578" s="75"/>
      <c r="AK578" s="76" t="s">
        <v>798</v>
      </c>
      <c r="AL578" s="77" t="s">
        <v>6229</v>
      </c>
      <c r="AM578" s="71" t="s">
        <v>6230</v>
      </c>
      <c r="AN578" s="220" t="s">
        <v>6231</v>
      </c>
      <c r="AO578" s="71" t="s">
        <v>6232</v>
      </c>
      <c r="AP578" s="161" t="str">
        <f>IMAGE("https://bellingcat-archive.nyc3.cdn.digitaloceanspaces.com/ukraine_witness_test/Worksheet/yotube_dl_1497140092896432129/out2.jpg")</f>
        <v/>
      </c>
      <c r="AQ578" s="220" t="s">
        <v>6233</v>
      </c>
      <c r="AR578" s="71" t="s">
        <v>6234</v>
      </c>
      <c r="AS578" s="71" t="s">
        <v>6235</v>
      </c>
      <c r="AT578" s="71">
        <v>6.266</v>
      </c>
      <c r="AU578" s="89"/>
      <c r="AV578" s="162"/>
      <c r="AW578" s="81"/>
    </row>
    <row r="579" ht="15.75" customHeight="1">
      <c r="A579" s="95" t="s">
        <v>63</v>
      </c>
      <c r="B579" s="73"/>
      <c r="C579" s="232" t="s">
        <v>6118</v>
      </c>
      <c r="D579" s="233">
        <v>50.518715</v>
      </c>
      <c r="E579" s="233">
        <v>30.490184</v>
      </c>
      <c r="F579" s="235">
        <v>3.0</v>
      </c>
      <c r="G579" s="226" t="s">
        <v>6236</v>
      </c>
      <c r="H579" s="227" t="s">
        <v>5522</v>
      </c>
      <c r="I579" s="109"/>
      <c r="J579" s="206" t="s">
        <v>6237</v>
      </c>
      <c r="K579" s="224"/>
      <c r="L579" s="206" t="s">
        <v>3542</v>
      </c>
      <c r="M579" s="140" t="s">
        <v>6133</v>
      </c>
      <c r="N579" s="228"/>
      <c r="O579" s="140" t="s">
        <v>6121</v>
      </c>
      <c r="P579" s="67" t="str">
        <f t="shared" si="1"/>
        <v>50.518715, 30.490184</v>
      </c>
      <c r="Q579" s="67" t="str">
        <f t="shared" si="2"/>
        <v>50.518044, 30.489457</v>
      </c>
      <c r="R579" s="67">
        <f t="shared" si="3"/>
        <v>50.518044</v>
      </c>
      <c r="S579" s="67">
        <f t="shared" si="4"/>
        <v>30.489457</v>
      </c>
      <c r="T579" s="161"/>
      <c r="U579" s="69"/>
      <c r="V579" s="65" t="s">
        <v>6238</v>
      </c>
      <c r="W579" s="71" t="s">
        <v>3601</v>
      </c>
      <c r="X579" s="72" t="s">
        <v>75</v>
      </c>
      <c r="Y579" s="73"/>
      <c r="Z579" s="73"/>
      <c r="AA579" s="73"/>
      <c r="AB579" s="73"/>
      <c r="AC579" s="73"/>
      <c r="AD579" s="73"/>
      <c r="AE579" s="73"/>
      <c r="AF579" s="73"/>
      <c r="AG579" s="73"/>
      <c r="AH579" s="73"/>
      <c r="AI579" s="73"/>
      <c r="AJ579" s="75"/>
      <c r="AK579" s="76" t="s">
        <v>798</v>
      </c>
      <c r="AL579" s="77" t="s">
        <v>6239</v>
      </c>
      <c r="AM579" s="71" t="s">
        <v>6240</v>
      </c>
      <c r="AN579" s="220" t="s">
        <v>6241</v>
      </c>
      <c r="AO579" s="71" t="s">
        <v>6242</v>
      </c>
      <c r="AP579" s="161" t="str">
        <f>IMAGE("https://bellingcat-archive.nyc3.cdn.digitaloceanspaces.com/ukraine_witness_test/Worksheet/yotube_dl_1497136412046544896/out3.jpg")</f>
        <v/>
      </c>
      <c r="AQ579" s="220" t="s">
        <v>6243</v>
      </c>
      <c r="AR579" s="71" t="s">
        <v>6244</v>
      </c>
      <c r="AS579" s="71" t="s">
        <v>6245</v>
      </c>
      <c r="AT579" s="71">
        <v>90.965</v>
      </c>
      <c r="AU579" s="89"/>
      <c r="AV579" s="162"/>
      <c r="AW579" s="81"/>
    </row>
    <row r="580" ht="15.75" customHeight="1">
      <c r="A580" s="87" t="s">
        <v>2580</v>
      </c>
      <c r="B580" s="73"/>
      <c r="C580" s="232" t="s">
        <v>6118</v>
      </c>
      <c r="D580" s="140">
        <v>46.676</v>
      </c>
      <c r="E580" s="233">
        <v>32.719</v>
      </c>
      <c r="F580" s="211">
        <v>2.0</v>
      </c>
      <c r="G580" s="226" t="s">
        <v>6246</v>
      </c>
      <c r="H580" s="227" t="s">
        <v>5522</v>
      </c>
      <c r="I580" s="109"/>
      <c r="J580" s="206" t="s">
        <v>5838</v>
      </c>
      <c r="K580" s="230" t="s">
        <v>6247</v>
      </c>
      <c r="L580" s="206" t="s">
        <v>3542</v>
      </c>
      <c r="M580" s="140" t="s">
        <v>5702</v>
      </c>
      <c r="N580" s="228"/>
      <c r="O580" s="140" t="s">
        <v>5944</v>
      </c>
      <c r="P580" s="67" t="str">
        <f t="shared" si="1"/>
        <v>46.676, 32.719</v>
      </c>
      <c r="Q580" s="67" t="str">
        <f t="shared" si="2"/>
        <v>46.675523, 32.718488</v>
      </c>
      <c r="R580" s="67">
        <f t="shared" si="3"/>
        <v>46.675523</v>
      </c>
      <c r="S580" s="67">
        <f t="shared" si="4"/>
        <v>32.718488</v>
      </c>
      <c r="T580" s="161"/>
      <c r="U580" s="69"/>
      <c r="V580" s="65" t="s">
        <v>6248</v>
      </c>
      <c r="W580" s="71" t="s">
        <v>6249</v>
      </c>
      <c r="X580" s="72" t="s">
        <v>75</v>
      </c>
      <c r="Y580" s="73"/>
      <c r="Z580" s="73"/>
      <c r="AA580" s="73"/>
      <c r="AB580" s="73"/>
      <c r="AC580" s="73"/>
      <c r="AD580" s="73"/>
      <c r="AE580" s="73"/>
      <c r="AF580" s="73"/>
      <c r="AG580" s="73"/>
      <c r="AH580" s="73"/>
      <c r="AI580" s="73"/>
      <c r="AJ580" s="75"/>
      <c r="AK580" s="76" t="s">
        <v>798</v>
      </c>
      <c r="AL580" s="77" t="s">
        <v>6250</v>
      </c>
      <c r="AM580" s="71" t="s">
        <v>6251</v>
      </c>
      <c r="AN580" s="220" t="s">
        <v>6252</v>
      </c>
      <c r="AO580" s="71" t="s">
        <v>6253</v>
      </c>
      <c r="AP580" s="161" t="str">
        <f>IMAGE("https://bellingcat-archive.nyc3.cdn.digitaloceanspaces.com/ukraine_witness_test/Worksheet/yotube_dl_1497112867618889728/out5.jpg")</f>
        <v/>
      </c>
      <c r="AQ580" s="220" t="s">
        <v>6254</v>
      </c>
      <c r="AR580" s="71" t="s">
        <v>6255</v>
      </c>
      <c r="AS580" s="71" t="s">
        <v>6256</v>
      </c>
      <c r="AT580" s="71">
        <v>130.681</v>
      </c>
      <c r="AU580" s="89"/>
      <c r="AV580" s="162"/>
      <c r="AW580" s="81"/>
    </row>
    <row r="581" ht="15.75" customHeight="1">
      <c r="A581" s="87" t="s">
        <v>2580</v>
      </c>
      <c r="B581" s="73"/>
      <c r="C581" s="101" t="s">
        <v>5586</v>
      </c>
      <c r="D581" s="74">
        <v>48.520656</v>
      </c>
      <c r="E581" s="74">
        <v>39.278686</v>
      </c>
      <c r="F581" s="59">
        <v>1.0</v>
      </c>
      <c r="G581" s="84" t="s">
        <v>6257</v>
      </c>
      <c r="H581" s="61" t="s">
        <v>5522</v>
      </c>
      <c r="I581" s="75"/>
      <c r="J581" s="76" t="s">
        <v>6258</v>
      </c>
      <c r="K581" s="88" t="s">
        <v>6259</v>
      </c>
      <c r="L581" s="110" t="s">
        <v>3542</v>
      </c>
      <c r="M581" s="92" t="s">
        <v>5524</v>
      </c>
      <c r="N581" s="111"/>
      <c r="O581" s="92" t="s">
        <v>6260</v>
      </c>
      <c r="P581" s="67" t="str">
        <f t="shared" si="1"/>
        <v>48.520656, 39.278686</v>
      </c>
      <c r="Q581" s="67" t="str">
        <f t="shared" si="2"/>
        <v>48.520425, 39.279359</v>
      </c>
      <c r="R581" s="67">
        <f t="shared" si="3"/>
        <v>48.520425</v>
      </c>
      <c r="S581" s="67">
        <f t="shared" si="4"/>
        <v>39.279359</v>
      </c>
      <c r="T581" s="161"/>
      <c r="U581" s="69"/>
      <c r="V581" s="65" t="s">
        <v>6261</v>
      </c>
      <c r="W581" s="71" t="s">
        <v>6262</v>
      </c>
      <c r="X581" s="72" t="s">
        <v>75</v>
      </c>
      <c r="Y581" s="73"/>
      <c r="Z581" s="73"/>
      <c r="AA581" s="73"/>
      <c r="AB581" s="73"/>
      <c r="AC581" s="73"/>
      <c r="AD581" s="73"/>
      <c r="AE581" s="73"/>
      <c r="AF581" s="73"/>
      <c r="AG581" s="73"/>
      <c r="AH581" s="73"/>
      <c r="AI581" s="73"/>
      <c r="AJ581" s="75"/>
      <c r="AK581" s="76" t="s">
        <v>798</v>
      </c>
      <c r="AL581" s="77" t="s">
        <v>6263</v>
      </c>
      <c r="AM581" s="71" t="s">
        <v>6264</v>
      </c>
      <c r="AN581" s="220" t="s">
        <v>6265</v>
      </c>
      <c r="AO581" s="71" t="s">
        <v>6266</v>
      </c>
      <c r="AP581" s="161" t="str">
        <f>IMAGE("https://bellingcat-archive.nyc3.cdn.digitaloceanspaces.com/ukraine_witness_test/Worksheet/yotube_dl_1496992981349453829/out2.jpg")</f>
        <v/>
      </c>
      <c r="AQ581" s="220" t="s">
        <v>6267</v>
      </c>
      <c r="AR581" s="71" t="s">
        <v>6268</v>
      </c>
      <c r="AS581" s="71" t="s">
        <v>6269</v>
      </c>
      <c r="AT581" s="71">
        <v>10.356</v>
      </c>
      <c r="AU581" s="89"/>
      <c r="AV581" s="162"/>
      <c r="AW581" s="81"/>
    </row>
    <row r="582" ht="15.75" customHeight="1">
      <c r="A582" s="95" t="s">
        <v>6270</v>
      </c>
      <c r="B582" s="73"/>
      <c r="C582" s="101" t="s">
        <v>6118</v>
      </c>
      <c r="D582" s="74">
        <v>49.987324</v>
      </c>
      <c r="E582" s="74">
        <v>36.261205</v>
      </c>
      <c r="F582" s="59">
        <v>1.0</v>
      </c>
      <c r="G582" s="60" t="s">
        <v>6271</v>
      </c>
      <c r="H582" s="61" t="s">
        <v>5368</v>
      </c>
      <c r="I582" s="215" t="s">
        <v>6272</v>
      </c>
      <c r="J582" s="76" t="s">
        <v>6273</v>
      </c>
      <c r="K582" s="69"/>
      <c r="L582" s="110" t="s">
        <v>3542</v>
      </c>
      <c r="M582" s="92" t="s">
        <v>5590</v>
      </c>
      <c r="N582" s="111"/>
      <c r="O582" s="92" t="s">
        <v>5626</v>
      </c>
      <c r="P582" s="67" t="str">
        <f t="shared" si="1"/>
        <v>49.987324, 36.261205</v>
      </c>
      <c r="Q582" s="67" t="str">
        <f t="shared" si="2"/>
        <v>49.986921, 36.260603</v>
      </c>
      <c r="R582" s="67">
        <f t="shared" si="3"/>
        <v>49.986921</v>
      </c>
      <c r="S582" s="67">
        <f t="shared" si="4"/>
        <v>36.260603</v>
      </c>
      <c r="T582" s="161"/>
      <c r="U582" s="64" t="s">
        <v>6274</v>
      </c>
      <c r="V582" s="65" t="s">
        <v>6275</v>
      </c>
      <c r="W582" s="71" t="s">
        <v>5904</v>
      </c>
      <c r="X582" s="72" t="s">
        <v>75</v>
      </c>
      <c r="Y582" s="216" t="s">
        <v>5820</v>
      </c>
      <c r="Z582" s="73"/>
      <c r="AA582" s="73"/>
      <c r="AB582" s="73"/>
      <c r="AC582" s="73"/>
      <c r="AD582" s="73"/>
      <c r="AE582" s="73"/>
      <c r="AF582" s="73"/>
      <c r="AG582" s="73"/>
      <c r="AH582" s="73"/>
      <c r="AI582" s="73"/>
      <c r="AJ582" s="75"/>
      <c r="AK582" s="76" t="s">
        <v>6276</v>
      </c>
      <c r="AL582" s="83" t="s">
        <v>6277</v>
      </c>
      <c r="AM582" s="71" t="s">
        <v>6278</v>
      </c>
      <c r="AN582" s="84" t="s">
        <v>6279</v>
      </c>
      <c r="AO582" s="71" t="s">
        <v>6280</v>
      </c>
      <c r="AP582" s="161" t="str">
        <f>IMAGE("https://bellingcat-archive.nyc3.cdn.digitaloceanspaces.com/Ukraine_Witness_Datasheet/Worksheet/telegram_yPP3ej5E1FQBpNa2X71ZaUWuKKHjiWGhJCmxwKsf-2E3gOTraZiPxkB_rJ8giV17iHPUvG3se7Af4Ua5UPbTpqDR1_YwN-o9VuPv8Lqb3nP0Wl0sJCv7wnoBp-cWE8MA.jpg")</f>
        <v/>
      </c>
      <c r="AQ582" s="161"/>
      <c r="AR582" s="161"/>
      <c r="AS582" s="161"/>
      <c r="AT582" s="161"/>
      <c r="AU582" s="89"/>
      <c r="AV582" s="162"/>
      <c r="AW582" s="81"/>
    </row>
    <row r="583" ht="15.75" customHeight="1">
      <c r="A583" s="165"/>
      <c r="B583" s="73"/>
      <c r="C583" s="101" t="s">
        <v>5586</v>
      </c>
      <c r="D583" s="121"/>
      <c r="E583" s="121"/>
      <c r="F583" s="89"/>
      <c r="G583" s="60" t="s">
        <v>6281</v>
      </c>
      <c r="H583" s="61" t="s">
        <v>5368</v>
      </c>
      <c r="I583" s="75"/>
      <c r="J583" s="76" t="s">
        <v>6282</v>
      </c>
      <c r="K583" s="69"/>
      <c r="L583" s="134"/>
      <c r="M583" s="111"/>
      <c r="N583" s="111"/>
      <c r="O583" s="111"/>
      <c r="P583" s="67" t="str">
        <f t="shared" si="1"/>
        <v/>
      </c>
      <c r="Q583" s="67" t="str">
        <f t="shared" si="2"/>
        <v/>
      </c>
      <c r="R583" s="67" t="str">
        <f t="shared" si="3"/>
        <v/>
      </c>
      <c r="S583" s="67" t="str">
        <f t="shared" si="4"/>
        <v/>
      </c>
      <c r="T583" s="161"/>
      <c r="U583" s="69"/>
      <c r="V583" s="169" t="s">
        <v>6283</v>
      </c>
      <c r="W583" s="161"/>
      <c r="X583" s="194"/>
      <c r="Y583" s="73"/>
      <c r="Z583" s="73"/>
      <c r="AA583" s="73"/>
      <c r="AB583" s="73"/>
      <c r="AC583" s="73"/>
      <c r="AD583" s="73"/>
      <c r="AE583" s="73"/>
      <c r="AF583" s="73"/>
      <c r="AG583" s="73"/>
      <c r="AH583" s="73"/>
      <c r="AI583" s="73"/>
      <c r="AJ583" s="75"/>
      <c r="AK583" s="76" t="s">
        <v>1261</v>
      </c>
      <c r="AL583" s="83" t="s">
        <v>6284</v>
      </c>
      <c r="AM583" s="71" t="s">
        <v>6285</v>
      </c>
      <c r="AN583" s="84" t="s">
        <v>6286</v>
      </c>
      <c r="AO583" s="161"/>
      <c r="AP583" s="161"/>
      <c r="AQ583" s="161"/>
      <c r="AR583" s="71" t="s">
        <v>6287</v>
      </c>
      <c r="AS583" s="161"/>
      <c r="AT583" s="161"/>
      <c r="AU583" s="89"/>
      <c r="AV583" s="162"/>
      <c r="AW583" s="81"/>
    </row>
    <row r="584" ht="15.75" customHeight="1">
      <c r="A584" s="175"/>
      <c r="B584" s="73"/>
      <c r="C584" s="101" t="s">
        <v>5586</v>
      </c>
      <c r="D584" s="121"/>
      <c r="E584" s="121"/>
      <c r="F584" s="89"/>
      <c r="G584" s="60" t="s">
        <v>6288</v>
      </c>
      <c r="H584" s="61" t="s">
        <v>5368</v>
      </c>
      <c r="I584" s="75"/>
      <c r="J584" s="76" t="s">
        <v>6289</v>
      </c>
      <c r="K584" s="69"/>
      <c r="L584" s="134"/>
      <c r="M584" s="111"/>
      <c r="N584" s="111"/>
      <c r="O584" s="111"/>
      <c r="P584" s="67" t="str">
        <f t="shared" si="1"/>
        <v/>
      </c>
      <c r="Q584" s="67" t="str">
        <f t="shared" si="2"/>
        <v/>
      </c>
      <c r="R584" s="67" t="str">
        <f t="shared" si="3"/>
        <v/>
      </c>
      <c r="S584" s="67" t="str">
        <f t="shared" si="4"/>
        <v/>
      </c>
      <c r="T584" s="161"/>
      <c r="U584" s="69"/>
      <c r="V584" s="169" t="s">
        <v>6290</v>
      </c>
      <c r="W584" s="161"/>
      <c r="X584" s="194"/>
      <c r="Y584" s="73"/>
      <c r="Z584" s="73"/>
      <c r="AA584" s="73"/>
      <c r="AB584" s="73"/>
      <c r="AC584" s="73"/>
      <c r="AD584" s="73"/>
      <c r="AE584" s="73"/>
      <c r="AF584" s="73"/>
      <c r="AG584" s="73"/>
      <c r="AH584" s="73"/>
      <c r="AI584" s="73"/>
      <c r="AJ584" s="75"/>
      <c r="AK584" s="76" t="s">
        <v>1261</v>
      </c>
      <c r="AL584" s="83" t="s">
        <v>6291</v>
      </c>
      <c r="AM584" s="71" t="s">
        <v>6292</v>
      </c>
      <c r="AN584" s="84" t="s">
        <v>6293</v>
      </c>
      <c r="AO584" s="161"/>
      <c r="AP584" s="161"/>
      <c r="AQ584" s="161"/>
      <c r="AR584" s="71" t="s">
        <v>2228</v>
      </c>
      <c r="AS584" s="161"/>
      <c r="AT584" s="161"/>
      <c r="AU584" s="89"/>
      <c r="AV584" s="162"/>
      <c r="AW584" s="81"/>
    </row>
    <row r="585" ht="15.75" customHeight="1">
      <c r="A585" s="95" t="s">
        <v>63</v>
      </c>
      <c r="B585" s="73"/>
      <c r="C585" s="101" t="s">
        <v>6118</v>
      </c>
      <c r="D585" s="104">
        <v>50.5841241</v>
      </c>
      <c r="E585" s="104">
        <v>30.5437658</v>
      </c>
      <c r="F585" s="211">
        <v>2.0</v>
      </c>
      <c r="G585" s="60" t="s">
        <v>6294</v>
      </c>
      <c r="H585" s="61" t="s">
        <v>5522</v>
      </c>
      <c r="I585" s="75"/>
      <c r="J585" s="206" t="s">
        <v>6295</v>
      </c>
      <c r="K585" s="69"/>
      <c r="L585" s="110" t="s">
        <v>3542</v>
      </c>
      <c r="M585" s="92" t="s">
        <v>5827</v>
      </c>
      <c r="N585" s="111"/>
      <c r="O585" s="92" t="s">
        <v>5902</v>
      </c>
      <c r="P585" s="67" t="str">
        <f t="shared" si="1"/>
        <v>50.5841241, 30.5437658</v>
      </c>
      <c r="Q585" s="67" t="str">
        <f t="shared" si="2"/>
        <v>50.583634, 30.544138</v>
      </c>
      <c r="R585" s="67">
        <f t="shared" si="3"/>
        <v>50.583634</v>
      </c>
      <c r="S585" s="67">
        <f t="shared" si="4"/>
        <v>30.544138</v>
      </c>
      <c r="T585" s="161"/>
      <c r="U585" s="69"/>
      <c r="V585" s="65" t="s">
        <v>6296</v>
      </c>
      <c r="W585" s="71" t="s">
        <v>3601</v>
      </c>
      <c r="X585" s="72" t="s">
        <v>75</v>
      </c>
      <c r="Y585" s="73"/>
      <c r="Z585" s="73"/>
      <c r="AA585" s="73"/>
      <c r="AB585" s="73"/>
      <c r="AC585" s="73"/>
      <c r="AD585" s="73"/>
      <c r="AE585" s="73"/>
      <c r="AF585" s="73"/>
      <c r="AG585" s="73"/>
      <c r="AH585" s="73"/>
      <c r="AI585" s="73"/>
      <c r="AJ585" s="75"/>
      <c r="AK585" s="76" t="s">
        <v>798</v>
      </c>
      <c r="AL585" s="77" t="s">
        <v>6297</v>
      </c>
      <c r="AM585" s="71" t="s">
        <v>6298</v>
      </c>
      <c r="AN585" s="220" t="s">
        <v>6299</v>
      </c>
      <c r="AO585" s="71" t="s">
        <v>6300</v>
      </c>
      <c r="AP585" s="161" t="str">
        <f>IMAGE("https://bellingcat-archive.nyc3.cdn.digitaloceanspaces.com/ukraine_witness_test/Worksheet/yotube_dl_1497158075723264001/out2.jpg")</f>
        <v/>
      </c>
      <c r="AQ585" s="220" t="s">
        <v>6301</v>
      </c>
      <c r="AR585" s="71" t="s">
        <v>6302</v>
      </c>
      <c r="AS585" s="71" t="s">
        <v>6303</v>
      </c>
      <c r="AT585" s="71">
        <v>44.279</v>
      </c>
      <c r="AU585" s="89"/>
      <c r="AV585" s="162"/>
      <c r="AW585" s="81"/>
    </row>
    <row r="586" ht="15.75" customHeight="1">
      <c r="A586" s="95" t="s">
        <v>3944</v>
      </c>
      <c r="B586" s="73"/>
      <c r="C586" s="101" t="s">
        <v>6118</v>
      </c>
      <c r="D586" s="104">
        <v>48.9517409763892</v>
      </c>
      <c r="E586" s="104">
        <v>40.312650838149</v>
      </c>
      <c r="F586" s="211">
        <v>2.0</v>
      </c>
      <c r="G586" s="60" t="s">
        <v>6304</v>
      </c>
      <c r="H586" s="61" t="s">
        <v>5368</v>
      </c>
      <c r="I586" s="62" t="s">
        <v>6305</v>
      </c>
      <c r="J586" s="76" t="s">
        <v>6306</v>
      </c>
      <c r="K586" s="69"/>
      <c r="L586" s="110" t="s">
        <v>79</v>
      </c>
      <c r="M586" s="92" t="s">
        <v>5082</v>
      </c>
      <c r="N586" s="92" t="s">
        <v>1944</v>
      </c>
      <c r="O586" s="111"/>
      <c r="P586" s="67" t="str">
        <f t="shared" si="1"/>
        <v>48.9517409763892, 40.312650838149</v>
      </c>
      <c r="Q586" s="67" t="str">
        <f t="shared" si="2"/>
        <v>48.951113, 40.312694</v>
      </c>
      <c r="R586" s="67">
        <f t="shared" si="3"/>
        <v>48.951113</v>
      </c>
      <c r="S586" s="67">
        <f t="shared" si="4"/>
        <v>40.312694</v>
      </c>
      <c r="T586" s="161"/>
      <c r="U586" s="69"/>
      <c r="V586" s="65" t="s">
        <v>6307</v>
      </c>
      <c r="W586" s="71" t="s">
        <v>5739</v>
      </c>
      <c r="X586" s="72" t="s">
        <v>75</v>
      </c>
      <c r="Y586" s="73"/>
      <c r="Z586" s="73"/>
      <c r="AA586" s="73"/>
      <c r="AB586" s="73"/>
      <c r="AC586" s="73"/>
      <c r="AD586" s="73"/>
      <c r="AE586" s="73"/>
      <c r="AF586" s="73"/>
      <c r="AG586" s="73"/>
      <c r="AH586" s="73"/>
      <c r="AI586" s="73"/>
      <c r="AJ586" s="75"/>
      <c r="AK586" s="76" t="s">
        <v>2108</v>
      </c>
      <c r="AL586" s="83" t="s">
        <v>6308</v>
      </c>
      <c r="AM586" s="71" t="s">
        <v>6309</v>
      </c>
      <c r="AN586" s="84" t="s">
        <v>6310</v>
      </c>
      <c r="AO586" s="71" t="s">
        <v>6311</v>
      </c>
      <c r="AP586" s="161" t="str">
        <f>IMAGE("https://bellingcat-archive.nyc3.cdn.digitaloceanspaces.com/ukraine_witness_test/Worksheet/twitter__media_FMbeEY9WYBcayMA.jpg")</f>
        <v/>
      </c>
      <c r="AQ586" s="161"/>
      <c r="AR586" s="161"/>
      <c r="AS586" s="161"/>
      <c r="AT586" s="161"/>
      <c r="AU586" s="89"/>
      <c r="AV586" s="162"/>
      <c r="AW586" s="81"/>
    </row>
    <row r="587" ht="15.75" customHeight="1">
      <c r="A587" s="95" t="s">
        <v>3944</v>
      </c>
      <c r="B587" s="73"/>
      <c r="C587" s="101" t="s">
        <v>6118</v>
      </c>
      <c r="D587" s="104">
        <v>50.093734</v>
      </c>
      <c r="E587" s="104">
        <v>36.263501</v>
      </c>
      <c r="F587" s="211">
        <v>2.0</v>
      </c>
      <c r="G587" s="60" t="s">
        <v>6312</v>
      </c>
      <c r="H587" s="73"/>
      <c r="I587" s="75"/>
      <c r="J587" s="76" t="s">
        <v>6313</v>
      </c>
      <c r="K587" s="69"/>
      <c r="L587" s="110" t="s">
        <v>3542</v>
      </c>
      <c r="M587" s="92" t="s">
        <v>6314</v>
      </c>
      <c r="N587" s="111"/>
      <c r="O587" s="92" t="s">
        <v>5626</v>
      </c>
      <c r="P587" s="67" t="str">
        <f t="shared" si="1"/>
        <v>50.093734, 36.263501</v>
      </c>
      <c r="Q587" s="67" t="str">
        <f t="shared" si="2"/>
        <v>50.093121, 36.264362</v>
      </c>
      <c r="R587" s="67">
        <f t="shared" si="3"/>
        <v>50.093121</v>
      </c>
      <c r="S587" s="67">
        <f t="shared" si="4"/>
        <v>36.264362</v>
      </c>
      <c r="T587" s="161"/>
      <c r="U587" s="69"/>
      <c r="V587" s="65" t="s">
        <v>6315</v>
      </c>
      <c r="W587" s="161"/>
      <c r="X587" s="72" t="s">
        <v>75</v>
      </c>
      <c r="Y587" s="73"/>
      <c r="Z587" s="73"/>
      <c r="AA587" s="73"/>
      <c r="AB587" s="73"/>
      <c r="AC587" s="73"/>
      <c r="AD587" s="73"/>
      <c r="AE587" s="73"/>
      <c r="AF587" s="73"/>
      <c r="AG587" s="73"/>
      <c r="AH587" s="73"/>
      <c r="AI587" s="73"/>
      <c r="AJ587" s="75"/>
      <c r="AK587" s="76" t="s">
        <v>930</v>
      </c>
      <c r="AL587" s="83" t="s">
        <v>6316</v>
      </c>
      <c r="AM587" s="71" t="s">
        <v>6317</v>
      </c>
      <c r="AN587" s="84" t="s">
        <v>6318</v>
      </c>
      <c r="AO587" s="71" t="s">
        <v>6319</v>
      </c>
      <c r="AP587" s="161" t="str">
        <f>IMAGE("https://bellingcat-archive.nyc3.cdn.digitaloceanspaces.com/Ukraine_Witness_Datasheet/Worksheet/youtube_dl_1497179839245262883/out2.jpg")</f>
        <v/>
      </c>
      <c r="AQ587" s="84" t="s">
        <v>6320</v>
      </c>
      <c r="AR587" s="71" t="s">
        <v>6321</v>
      </c>
      <c r="AS587" s="71" t="s">
        <v>6322</v>
      </c>
      <c r="AT587" s="71">
        <v>21.166</v>
      </c>
      <c r="AU587" s="89"/>
      <c r="AV587" s="162"/>
      <c r="AW587" s="81"/>
    </row>
    <row r="588" ht="15.75" customHeight="1">
      <c r="A588" s="144" t="s">
        <v>6323</v>
      </c>
      <c r="B588" s="73"/>
      <c r="C588" s="132"/>
      <c r="D588" s="121"/>
      <c r="E588" s="121"/>
      <c r="F588" s="59">
        <v>1.0</v>
      </c>
      <c r="G588" s="60" t="s">
        <v>6324</v>
      </c>
      <c r="H588" s="61" t="s">
        <v>66</v>
      </c>
      <c r="I588" s="75"/>
      <c r="J588" s="76" t="s">
        <v>6325</v>
      </c>
      <c r="K588" s="69"/>
      <c r="L588" s="134"/>
      <c r="M588" s="111"/>
      <c r="N588" s="111"/>
      <c r="O588" s="111"/>
      <c r="P588" s="67" t="str">
        <f t="shared" si="1"/>
        <v/>
      </c>
      <c r="Q588" s="67" t="str">
        <f t="shared" si="2"/>
        <v/>
      </c>
      <c r="R588" s="67" t="str">
        <f t="shared" si="3"/>
        <v/>
      </c>
      <c r="S588" s="67" t="str">
        <f t="shared" si="4"/>
        <v/>
      </c>
      <c r="T588" s="161"/>
      <c r="U588" s="69"/>
      <c r="V588" s="65" t="s">
        <v>6326</v>
      </c>
      <c r="W588" s="161"/>
      <c r="X588" s="194"/>
      <c r="Y588" s="73"/>
      <c r="Z588" s="73"/>
      <c r="AA588" s="73"/>
      <c r="AB588" s="73"/>
      <c r="AC588" s="73"/>
      <c r="AD588" s="73"/>
      <c r="AE588" s="73"/>
      <c r="AF588" s="73"/>
      <c r="AG588" s="73"/>
      <c r="AH588" s="73"/>
      <c r="AI588" s="73"/>
      <c r="AJ588" s="75"/>
      <c r="AK588" s="76" t="s">
        <v>4410</v>
      </c>
      <c r="AL588" s="83" t="s">
        <v>6327</v>
      </c>
      <c r="AM588" s="71" t="s">
        <v>6328</v>
      </c>
      <c r="AN588" s="84" t="s">
        <v>6329</v>
      </c>
      <c r="AO588" s="71" t="s">
        <v>6330</v>
      </c>
      <c r="AP588" s="161" t="str">
        <f>IMAGE("https://bellingcat-archive.nyc3.cdn.digitaloceanspaces.com/Ukraine_Witness_Datasheet/Worksheet/telegram_851b236b49/out2.jpg")</f>
        <v/>
      </c>
      <c r="AQ588" s="84" t="s">
        <v>6331</v>
      </c>
      <c r="AR588" s="84" t="s">
        <v>6324</v>
      </c>
      <c r="AS588" s="71" t="s">
        <v>6332</v>
      </c>
      <c r="AT588" s="71">
        <v>12.0</v>
      </c>
      <c r="AU588" s="89"/>
      <c r="AV588" s="162"/>
      <c r="AW588" s="81"/>
    </row>
    <row r="589" ht="15.75" customHeight="1">
      <c r="A589" s="144" t="s">
        <v>6323</v>
      </c>
      <c r="B589" s="73"/>
      <c r="C589" s="132"/>
      <c r="D589" s="121"/>
      <c r="E589" s="121"/>
      <c r="F589" s="59">
        <v>1.0</v>
      </c>
      <c r="G589" s="60" t="s">
        <v>6333</v>
      </c>
      <c r="H589" s="61" t="s">
        <v>66</v>
      </c>
      <c r="I589" s="75"/>
      <c r="J589" s="76" t="s">
        <v>6334</v>
      </c>
      <c r="K589" s="69"/>
      <c r="L589" s="134"/>
      <c r="M589" s="111"/>
      <c r="N589" s="111"/>
      <c r="O589" s="111"/>
      <c r="P589" s="67" t="str">
        <f t="shared" si="1"/>
        <v/>
      </c>
      <c r="Q589" s="67" t="str">
        <f t="shared" si="2"/>
        <v/>
      </c>
      <c r="R589" s="67" t="str">
        <f t="shared" si="3"/>
        <v/>
      </c>
      <c r="S589" s="67" t="str">
        <f t="shared" si="4"/>
        <v/>
      </c>
      <c r="T589" s="161"/>
      <c r="U589" s="69"/>
      <c r="V589" s="65" t="s">
        <v>6335</v>
      </c>
      <c r="W589" s="161"/>
      <c r="X589" s="194"/>
      <c r="Y589" s="73"/>
      <c r="Z589" s="73"/>
      <c r="AA589" s="73"/>
      <c r="AB589" s="73"/>
      <c r="AC589" s="73"/>
      <c r="AD589" s="73"/>
      <c r="AE589" s="73"/>
      <c r="AF589" s="73"/>
      <c r="AG589" s="73"/>
      <c r="AH589" s="73"/>
      <c r="AI589" s="73"/>
      <c r="AJ589" s="75"/>
      <c r="AK589" s="76" t="s">
        <v>4410</v>
      </c>
      <c r="AL589" s="83" t="s">
        <v>6336</v>
      </c>
      <c r="AM589" s="71" t="s">
        <v>6337</v>
      </c>
      <c r="AN589" s="84" t="s">
        <v>6338</v>
      </c>
      <c r="AO589" s="71" t="s">
        <v>6339</v>
      </c>
      <c r="AP589" s="161" t="str">
        <f>IMAGE("https://bellingcat-archive.nyc3.cdn.digitaloceanspaces.com/Ukraine_Witness_Datasheet/Worksheet/telegram_b1525a0818/out2.jpg")</f>
        <v/>
      </c>
      <c r="AQ589" s="84" t="s">
        <v>6340</v>
      </c>
      <c r="AR589" s="84" t="s">
        <v>6333</v>
      </c>
      <c r="AS589" s="71" t="s">
        <v>6341</v>
      </c>
      <c r="AT589" s="71">
        <v>9.0</v>
      </c>
      <c r="AU589" s="89"/>
      <c r="AV589" s="162"/>
      <c r="AW589" s="81"/>
    </row>
    <row r="590" ht="15.75" customHeight="1">
      <c r="A590" s="95" t="s">
        <v>63</v>
      </c>
      <c r="B590" s="73"/>
      <c r="C590" s="101" t="s">
        <v>5586</v>
      </c>
      <c r="D590" s="74">
        <v>43.318518</v>
      </c>
      <c r="E590" s="74">
        <v>45.697174</v>
      </c>
      <c r="F590" s="59">
        <v>1.0</v>
      </c>
      <c r="G590" s="60" t="s">
        <v>6342</v>
      </c>
      <c r="H590" s="61" t="s">
        <v>66</v>
      </c>
      <c r="I590" s="62" t="s">
        <v>6343</v>
      </c>
      <c r="J590" s="76" t="s">
        <v>6344</v>
      </c>
      <c r="K590" s="69"/>
      <c r="L590" s="110" t="s">
        <v>79</v>
      </c>
      <c r="M590" s="92" t="s">
        <v>6345</v>
      </c>
      <c r="N590" s="111"/>
      <c r="O590" s="92" t="s">
        <v>6346</v>
      </c>
      <c r="P590" s="67" t="str">
        <f t="shared" si="1"/>
        <v>43.318518, 45.697174</v>
      </c>
      <c r="Q590" s="67" t="str">
        <f t="shared" si="2"/>
        <v>43.318157, 45.697105</v>
      </c>
      <c r="R590" s="67">
        <f t="shared" si="3"/>
        <v>43.318157</v>
      </c>
      <c r="S590" s="67">
        <f t="shared" si="4"/>
        <v>45.697105</v>
      </c>
      <c r="T590" s="161"/>
      <c r="U590" s="69"/>
      <c r="V590" s="169" t="s">
        <v>6347</v>
      </c>
      <c r="W590" s="161"/>
      <c r="X590" s="72" t="s">
        <v>75</v>
      </c>
      <c r="Y590" s="73"/>
      <c r="Z590" s="73"/>
      <c r="AA590" s="73"/>
      <c r="AB590" s="73"/>
      <c r="AC590" s="73"/>
      <c r="AD590" s="73"/>
      <c r="AE590" s="73"/>
      <c r="AF590" s="73"/>
      <c r="AG590" s="73"/>
      <c r="AH590" s="73"/>
      <c r="AI590" s="73"/>
      <c r="AJ590" s="75"/>
      <c r="AK590" s="76" t="s">
        <v>2108</v>
      </c>
      <c r="AL590" s="83" t="s">
        <v>6348</v>
      </c>
      <c r="AM590" s="71" t="s">
        <v>6349</v>
      </c>
      <c r="AN590" s="84" t="s">
        <v>6350</v>
      </c>
      <c r="AO590" s="71" t="s">
        <v>6351</v>
      </c>
      <c r="AP590" s="161" t="str">
        <f>IMAGE("https://bellingcat-archive.nyc3.cdn.digitaloceanspaces.com/Ukraine_Witness_Datasheet/Worksheet/twitter__media_FMcK3hrX0AACZmj.jpg")</f>
        <v/>
      </c>
      <c r="AQ590" s="161"/>
      <c r="AR590" s="161"/>
      <c r="AS590" s="161"/>
      <c r="AT590" s="161"/>
      <c r="AU590" s="89"/>
      <c r="AV590" s="162"/>
      <c r="AW590" s="81"/>
    </row>
    <row r="591" ht="15.75" customHeight="1">
      <c r="A591" s="175"/>
      <c r="B591" s="73"/>
      <c r="C591" s="132"/>
      <c r="D591" s="121"/>
      <c r="E591" s="121"/>
      <c r="F591" s="89"/>
      <c r="G591" s="60" t="s">
        <v>6352</v>
      </c>
      <c r="H591" s="73"/>
      <c r="I591" s="75"/>
      <c r="J591" s="236"/>
      <c r="K591" s="69"/>
      <c r="L591" s="134"/>
      <c r="M591" s="111"/>
      <c r="N591" s="111"/>
      <c r="O591" s="111"/>
      <c r="P591" s="67" t="str">
        <f t="shared" si="1"/>
        <v/>
      </c>
      <c r="Q591" s="67" t="str">
        <f t="shared" si="2"/>
        <v/>
      </c>
      <c r="R591" s="67" t="str">
        <f t="shared" si="3"/>
        <v/>
      </c>
      <c r="S591" s="67" t="str">
        <f t="shared" si="4"/>
        <v/>
      </c>
      <c r="T591" s="161"/>
      <c r="U591" s="69"/>
      <c r="V591" s="169" t="s">
        <v>6353</v>
      </c>
      <c r="W591" s="161"/>
      <c r="X591" s="194"/>
      <c r="Y591" s="73"/>
      <c r="Z591" s="73"/>
      <c r="AA591" s="73"/>
      <c r="AB591" s="73"/>
      <c r="AC591" s="73"/>
      <c r="AD591" s="73"/>
      <c r="AE591" s="73"/>
      <c r="AF591" s="73"/>
      <c r="AG591" s="73"/>
      <c r="AH591" s="73"/>
      <c r="AI591" s="73"/>
      <c r="AJ591" s="75"/>
      <c r="AK591" s="76" t="s">
        <v>798</v>
      </c>
      <c r="AL591" s="83" t="s">
        <v>6354</v>
      </c>
      <c r="AM591" s="71" t="s">
        <v>6355</v>
      </c>
      <c r="AN591" s="84" t="s">
        <v>6356</v>
      </c>
      <c r="AO591" s="71" t="s">
        <v>6357</v>
      </c>
      <c r="AP591" s="161" t="str">
        <f>IMAGE("https://bellingcat-archive.nyc3.cdn.digitaloceanspaces.com/Ukraine_Witness_Datasheet/Worksheet/youtube_dl_1497190358173818907/out2.jpg")</f>
        <v/>
      </c>
      <c r="AQ591" s="84" t="s">
        <v>6358</v>
      </c>
      <c r="AR591" s="71" t="s">
        <v>6359</v>
      </c>
      <c r="AS591" s="71" t="s">
        <v>6360</v>
      </c>
      <c r="AT591" s="71">
        <v>22.097</v>
      </c>
      <c r="AU591" s="89"/>
      <c r="AV591" s="162"/>
      <c r="AW591" s="81"/>
    </row>
    <row r="592" ht="15.75" customHeight="1">
      <c r="A592" s="175"/>
      <c r="B592" s="73"/>
      <c r="C592" s="132"/>
      <c r="D592" s="121"/>
      <c r="E592" s="121"/>
      <c r="F592" s="89"/>
      <c r="G592" s="60" t="s">
        <v>6361</v>
      </c>
      <c r="H592" s="73"/>
      <c r="I592" s="75"/>
      <c r="J592" s="236"/>
      <c r="K592" s="69"/>
      <c r="L592" s="134"/>
      <c r="M592" s="111"/>
      <c r="N592" s="111"/>
      <c r="O592" s="111"/>
      <c r="P592" s="67" t="str">
        <f t="shared" si="1"/>
        <v/>
      </c>
      <c r="Q592" s="67" t="str">
        <f t="shared" si="2"/>
        <v/>
      </c>
      <c r="R592" s="67" t="str">
        <f t="shared" si="3"/>
        <v/>
      </c>
      <c r="S592" s="67" t="str">
        <f t="shared" si="4"/>
        <v/>
      </c>
      <c r="T592" s="161"/>
      <c r="U592" s="69"/>
      <c r="V592" s="65" t="s">
        <v>6362</v>
      </c>
      <c r="W592" s="161"/>
      <c r="X592" s="194"/>
      <c r="Y592" s="73"/>
      <c r="Z592" s="73"/>
      <c r="AA592" s="73"/>
      <c r="AB592" s="73"/>
      <c r="AC592" s="73"/>
      <c r="AD592" s="73"/>
      <c r="AE592" s="73"/>
      <c r="AF592" s="73"/>
      <c r="AG592" s="73"/>
      <c r="AH592" s="73"/>
      <c r="AI592" s="73"/>
      <c r="AJ592" s="75"/>
      <c r="AK592" s="76" t="s">
        <v>798</v>
      </c>
      <c r="AL592" s="83" t="s">
        <v>6363</v>
      </c>
      <c r="AM592" s="71" t="s">
        <v>6364</v>
      </c>
      <c r="AN592" s="84" t="s">
        <v>6365</v>
      </c>
      <c r="AO592" s="71" t="s">
        <v>6366</v>
      </c>
      <c r="AP592" s="161" t="str">
        <f>IMAGE("https://bellingcat-archive.nyc3.cdn.digitaloceanspaces.com/Ukraine_Witness_Datasheet/Worksheet/youtube_dl_16457811796811/out2.jpg")</f>
        <v/>
      </c>
      <c r="AQ592" s="84" t="s">
        <v>6367</v>
      </c>
      <c r="AR592" s="71">
        <v>1.6457811796811E13</v>
      </c>
      <c r="AS592" s="71" t="s">
        <v>6368</v>
      </c>
      <c r="AT592" s="161"/>
      <c r="AU592" s="89"/>
      <c r="AV592" s="162"/>
      <c r="AW592" s="81"/>
    </row>
    <row r="593" ht="15.75" customHeight="1">
      <c r="A593" s="144" t="s">
        <v>6323</v>
      </c>
      <c r="B593" s="73"/>
      <c r="C593" s="132"/>
      <c r="D593" s="121"/>
      <c r="E593" s="121"/>
      <c r="F593" s="89"/>
      <c r="G593" s="60" t="s">
        <v>6369</v>
      </c>
      <c r="H593" s="61" t="s">
        <v>66</v>
      </c>
      <c r="I593" s="75"/>
      <c r="J593" s="76" t="s">
        <v>6370</v>
      </c>
      <c r="K593" s="69"/>
      <c r="L593" s="134"/>
      <c r="M593" s="111"/>
      <c r="N593" s="111"/>
      <c r="O593" s="111"/>
      <c r="P593" s="67" t="str">
        <f t="shared" si="1"/>
        <v/>
      </c>
      <c r="Q593" s="67" t="str">
        <f t="shared" si="2"/>
        <v/>
      </c>
      <c r="R593" s="67" t="str">
        <f t="shared" si="3"/>
        <v/>
      </c>
      <c r="S593" s="67" t="str">
        <f t="shared" si="4"/>
        <v/>
      </c>
      <c r="T593" s="161"/>
      <c r="U593" s="69"/>
      <c r="V593" s="65" t="s">
        <v>6371</v>
      </c>
      <c r="W593" s="161"/>
      <c r="X593" s="194"/>
      <c r="Y593" s="73"/>
      <c r="Z593" s="73"/>
      <c r="AA593" s="73"/>
      <c r="AB593" s="73"/>
      <c r="AC593" s="73"/>
      <c r="AD593" s="73"/>
      <c r="AE593" s="73"/>
      <c r="AF593" s="73"/>
      <c r="AG593" s="73"/>
      <c r="AH593" s="73"/>
      <c r="AI593" s="73"/>
      <c r="AJ593" s="75"/>
      <c r="AK593" s="76" t="s">
        <v>4410</v>
      </c>
      <c r="AL593" s="83" t="s">
        <v>6372</v>
      </c>
      <c r="AM593" s="71" t="s">
        <v>6373</v>
      </c>
      <c r="AN593" s="84" t="s">
        <v>6374</v>
      </c>
      <c r="AO593" s="71" t="s">
        <v>6375</v>
      </c>
      <c r="AP593" s="161" t="str">
        <f>IMAGE("https://bellingcat-archive.nyc3.cdn.digitaloceanspaces.com/Ukraine_Witness_Datasheet/Worksheet/telegram_ac90089256/out2.jpg")</f>
        <v/>
      </c>
      <c r="AQ593" s="84" t="s">
        <v>6376</v>
      </c>
      <c r="AR593" s="84" t="s">
        <v>6369</v>
      </c>
      <c r="AS593" s="71" t="s">
        <v>6377</v>
      </c>
      <c r="AT593" s="71">
        <v>6.0</v>
      </c>
      <c r="AU593" s="89"/>
      <c r="AV593" s="162"/>
      <c r="AW593" s="81"/>
    </row>
    <row r="594" ht="15.75" customHeight="1">
      <c r="A594" s="95" t="s">
        <v>6378</v>
      </c>
      <c r="B594" s="73"/>
      <c r="C594" s="101" t="s">
        <v>5586</v>
      </c>
      <c r="D594" s="104">
        <v>49.850806</v>
      </c>
      <c r="E594" s="104">
        <v>36.659778</v>
      </c>
      <c r="F594" s="209">
        <v>4.0</v>
      </c>
      <c r="G594" s="60" t="s">
        <v>6379</v>
      </c>
      <c r="H594" s="61" t="s">
        <v>5368</v>
      </c>
      <c r="I594" s="75"/>
      <c r="J594" s="76" t="s">
        <v>6380</v>
      </c>
      <c r="K594" s="69"/>
      <c r="L594" s="110" t="s">
        <v>3542</v>
      </c>
      <c r="M594" s="92" t="s">
        <v>5590</v>
      </c>
      <c r="N594" s="111"/>
      <c r="O594" s="92" t="s">
        <v>5647</v>
      </c>
      <c r="P594" s="67" t="str">
        <f t="shared" si="1"/>
        <v>49.850806, 36.659778</v>
      </c>
      <c r="Q594" s="67" t="str">
        <f t="shared" si="2"/>
        <v>49.850166, 36.659389</v>
      </c>
      <c r="R594" s="67">
        <f t="shared" si="3"/>
        <v>49.850166</v>
      </c>
      <c r="S594" s="67">
        <f t="shared" si="4"/>
        <v>36.659389</v>
      </c>
      <c r="T594" s="220" t="s">
        <v>6381</v>
      </c>
      <c r="U594" s="69"/>
      <c r="V594" s="169" t="s">
        <v>6382</v>
      </c>
      <c r="W594" s="161"/>
      <c r="X594" s="72" t="s">
        <v>75</v>
      </c>
      <c r="Y594" s="73"/>
      <c r="Z594" s="73"/>
      <c r="AA594" s="73"/>
      <c r="AB594" s="73"/>
      <c r="AC594" s="73"/>
      <c r="AD594" s="73"/>
      <c r="AE594" s="73"/>
      <c r="AF594" s="73"/>
      <c r="AG594" s="73"/>
      <c r="AH594" s="73"/>
      <c r="AI594" s="73"/>
      <c r="AJ594" s="75"/>
      <c r="AK594" s="76" t="s">
        <v>2108</v>
      </c>
      <c r="AL594" s="83" t="s">
        <v>6383</v>
      </c>
      <c r="AM594" s="71" t="s">
        <v>6384</v>
      </c>
      <c r="AN594" s="84" t="s">
        <v>6385</v>
      </c>
      <c r="AO594" s="71" t="s">
        <v>6386</v>
      </c>
      <c r="AP594" s="161" t="str">
        <f>IMAGE("https://bellingcat-archive.nyc3.cdn.digitaloceanspaces.com/Ukraine_Witness_Datasheet/Worksheet/twitter__media_FMW35UUWQAMvWh6.jpg")</f>
        <v/>
      </c>
      <c r="AQ594" s="161"/>
      <c r="AR594" s="161"/>
      <c r="AS594" s="161"/>
      <c r="AT594" s="161"/>
      <c r="AU594" s="89"/>
      <c r="AV594" s="162"/>
      <c r="AW594" s="81"/>
    </row>
    <row r="595" ht="15.75" customHeight="1">
      <c r="A595" s="95" t="s">
        <v>63</v>
      </c>
      <c r="B595" s="73"/>
      <c r="C595" s="101" t="s">
        <v>6118</v>
      </c>
      <c r="D595" s="74">
        <v>43.319683</v>
      </c>
      <c r="E595" s="74">
        <v>45.694873</v>
      </c>
      <c r="F595" s="59">
        <v>1.0</v>
      </c>
      <c r="G595" s="60" t="s">
        <v>6387</v>
      </c>
      <c r="H595" s="61" t="s">
        <v>66</v>
      </c>
      <c r="I595" s="62" t="s">
        <v>6343</v>
      </c>
      <c r="J595" s="76" t="s">
        <v>6388</v>
      </c>
      <c r="K595" s="69"/>
      <c r="L595" s="110" t="s">
        <v>79</v>
      </c>
      <c r="M595" s="92" t="s">
        <v>6345</v>
      </c>
      <c r="N595" s="111"/>
      <c r="O595" s="92" t="s">
        <v>6346</v>
      </c>
      <c r="P595" s="67" t="str">
        <f t="shared" si="1"/>
        <v>43.319683, 45.694873</v>
      </c>
      <c r="Q595" s="67" t="str">
        <f t="shared" si="2"/>
        <v>43.319181, 45.695306</v>
      </c>
      <c r="R595" s="67">
        <f t="shared" si="3"/>
        <v>43.319181</v>
      </c>
      <c r="S595" s="67">
        <f t="shared" si="4"/>
        <v>45.695306</v>
      </c>
      <c r="T595" s="161"/>
      <c r="U595" s="69"/>
      <c r="V595" s="169" t="s">
        <v>6389</v>
      </c>
      <c r="W595" s="71" t="s">
        <v>74</v>
      </c>
      <c r="X595" s="72" t="s">
        <v>75</v>
      </c>
      <c r="Y595" s="73"/>
      <c r="Z595" s="73"/>
      <c r="AA595" s="73"/>
      <c r="AB595" s="73"/>
      <c r="AC595" s="73"/>
      <c r="AD595" s="73"/>
      <c r="AE595" s="73"/>
      <c r="AF595" s="73"/>
      <c r="AG595" s="73"/>
      <c r="AH595" s="73"/>
      <c r="AI595" s="73"/>
      <c r="AJ595" s="75"/>
      <c r="AK595" s="76" t="s">
        <v>798</v>
      </c>
      <c r="AL595" s="83" t="s">
        <v>6390</v>
      </c>
      <c r="AM595" s="71" t="s">
        <v>6391</v>
      </c>
      <c r="AN595" s="84" t="s">
        <v>6392</v>
      </c>
      <c r="AO595" s="71" t="s">
        <v>6393</v>
      </c>
      <c r="AP595" s="161" t="str">
        <f>IMAGE("https://bellingcat-archive.nyc3.cdn.digitaloceanspaces.com/Ukraine_Witness_Datasheet/Worksheet/youtube_dl_1497196542138196000/out2.jpg")</f>
        <v/>
      </c>
      <c r="AQ595" s="84" t="s">
        <v>6394</v>
      </c>
      <c r="AR595" s="71" t="s">
        <v>6395</v>
      </c>
      <c r="AS595" s="71" t="s">
        <v>6396</v>
      </c>
      <c r="AT595" s="71">
        <v>25.983</v>
      </c>
      <c r="AU595" s="89"/>
      <c r="AV595" s="162"/>
      <c r="AW595" s="81"/>
    </row>
    <row r="596" ht="15.75" customHeight="1">
      <c r="A596" s="95" t="s">
        <v>3944</v>
      </c>
      <c r="B596" s="73"/>
      <c r="C596" s="101" t="s">
        <v>6118</v>
      </c>
      <c r="D596" s="104">
        <v>50.093734</v>
      </c>
      <c r="E596" s="104">
        <v>36.263501</v>
      </c>
      <c r="F596" s="211">
        <v>2.0</v>
      </c>
      <c r="G596" s="60" t="s">
        <v>6397</v>
      </c>
      <c r="H596" s="61" t="s">
        <v>66</v>
      </c>
      <c r="I596" s="75"/>
      <c r="J596" s="76" t="s">
        <v>6398</v>
      </c>
      <c r="K596" s="69"/>
      <c r="L596" s="110" t="s">
        <v>3542</v>
      </c>
      <c r="M596" s="92" t="s">
        <v>6314</v>
      </c>
      <c r="N596" s="111"/>
      <c r="O596" s="92" t="s">
        <v>5626</v>
      </c>
      <c r="P596" s="67" t="str">
        <f t="shared" si="1"/>
        <v>50.093734, 36.263501</v>
      </c>
      <c r="Q596" s="67" t="str">
        <f t="shared" si="2"/>
        <v>50.093285, 36.264516</v>
      </c>
      <c r="R596" s="67">
        <f t="shared" si="3"/>
        <v>50.093285</v>
      </c>
      <c r="S596" s="67">
        <f t="shared" si="4"/>
        <v>36.264516</v>
      </c>
      <c r="T596" s="161"/>
      <c r="U596" s="69"/>
      <c r="V596" s="65" t="s">
        <v>6399</v>
      </c>
      <c r="W596" s="161"/>
      <c r="X596" s="72" t="s">
        <v>75</v>
      </c>
      <c r="Y596" s="73"/>
      <c r="Z596" s="73"/>
      <c r="AA596" s="73"/>
      <c r="AB596" s="73"/>
      <c r="AC596" s="73"/>
      <c r="AD596" s="73"/>
      <c r="AE596" s="73"/>
      <c r="AF596" s="73"/>
      <c r="AG596" s="73"/>
      <c r="AH596" s="73"/>
      <c r="AI596" s="73"/>
      <c r="AJ596" s="75"/>
      <c r="AK596" s="76" t="s">
        <v>798</v>
      </c>
      <c r="AL596" s="83" t="s">
        <v>6400</v>
      </c>
      <c r="AM596" s="71" t="s">
        <v>6401</v>
      </c>
      <c r="AN596" s="84" t="s">
        <v>6402</v>
      </c>
      <c r="AO596" s="71" t="s">
        <v>6403</v>
      </c>
      <c r="AP596" s="161" t="str">
        <f>IMAGE("https://bellingcat-archive.nyc3.cdn.digitaloceanspaces.com/Ukraine_Witness_Datasheet/Worksheet/youtube_dl_1497161995434536969/out2.jpg")</f>
        <v/>
      </c>
      <c r="AQ596" s="84" t="s">
        <v>6404</v>
      </c>
      <c r="AR596" s="71" t="s">
        <v>6405</v>
      </c>
      <c r="AS596" s="71" t="s">
        <v>6406</v>
      </c>
      <c r="AT596" s="71">
        <v>23.69</v>
      </c>
      <c r="AU596" s="89"/>
      <c r="AV596" s="162"/>
      <c r="AW596" s="81"/>
    </row>
    <row r="597" ht="15.75" customHeight="1">
      <c r="A597" s="95" t="s">
        <v>63</v>
      </c>
      <c r="B597" s="73"/>
      <c r="C597" s="101" t="s">
        <v>6118</v>
      </c>
      <c r="D597" s="74">
        <v>50.518558</v>
      </c>
      <c r="E597" s="74">
        <v>30.490252</v>
      </c>
      <c r="F597" s="237">
        <v>3.0</v>
      </c>
      <c r="G597" s="60" t="s">
        <v>6407</v>
      </c>
      <c r="H597" s="61" t="s">
        <v>66</v>
      </c>
      <c r="I597" s="75"/>
      <c r="J597" s="76" t="s">
        <v>6408</v>
      </c>
      <c r="K597" s="69"/>
      <c r="L597" s="110" t="s">
        <v>3542</v>
      </c>
      <c r="M597" s="92" t="s">
        <v>5827</v>
      </c>
      <c r="N597" s="111"/>
      <c r="O597" s="92" t="s">
        <v>6121</v>
      </c>
      <c r="P597" s="67" t="str">
        <f t="shared" si="1"/>
        <v>50.518558, 30.490252</v>
      </c>
      <c r="Q597" s="67" t="str">
        <f t="shared" si="2"/>
        <v>50.51845, 30.489625</v>
      </c>
      <c r="R597" s="67">
        <f t="shared" si="3"/>
        <v>50.51845</v>
      </c>
      <c r="S597" s="67">
        <f t="shared" si="4"/>
        <v>30.489625</v>
      </c>
      <c r="T597" s="161"/>
      <c r="U597" s="69"/>
      <c r="V597" s="65" t="s">
        <v>6409</v>
      </c>
      <c r="W597" s="158" t="s">
        <v>6003</v>
      </c>
      <c r="X597" s="72" t="s">
        <v>75</v>
      </c>
      <c r="Y597" s="73"/>
      <c r="Z597" s="73"/>
      <c r="AA597" s="73"/>
      <c r="AB597" s="73"/>
      <c r="AC597" s="73"/>
      <c r="AD597" s="73"/>
      <c r="AE597" s="73"/>
      <c r="AF597" s="73"/>
      <c r="AG597" s="73"/>
      <c r="AH597" s="73"/>
      <c r="AI597" s="73"/>
      <c r="AJ597" s="75"/>
      <c r="AK597" s="76" t="s">
        <v>798</v>
      </c>
      <c r="AL597" s="83" t="s">
        <v>6410</v>
      </c>
      <c r="AM597" s="71" t="s">
        <v>6411</v>
      </c>
      <c r="AN597" s="84" t="s">
        <v>6412</v>
      </c>
      <c r="AO597" s="71" t="s">
        <v>6413</v>
      </c>
      <c r="AP597" s="161" t="str">
        <f>IMAGE("https://bellingcat-archive.nyc3.cdn.digitaloceanspaces.com/Ukraine_Witness_Datasheet/Worksheet/youtube_dl_1497200521337208838/out2.jpg")</f>
        <v/>
      </c>
      <c r="AQ597" s="84" t="s">
        <v>6414</v>
      </c>
      <c r="AR597" s="71" t="s">
        <v>6415</v>
      </c>
      <c r="AS597" s="71" t="s">
        <v>6416</v>
      </c>
      <c r="AT597" s="71">
        <v>30.503</v>
      </c>
      <c r="AU597" s="89"/>
      <c r="AV597" s="162"/>
      <c r="AW597" s="81"/>
    </row>
    <row r="598" ht="15.75" customHeight="1">
      <c r="A598" s="238"/>
      <c r="B598" s="73"/>
      <c r="C598" s="132"/>
      <c r="D598" s="121"/>
      <c r="E598" s="121"/>
      <c r="F598" s="211">
        <v>2.0</v>
      </c>
      <c r="G598" s="60" t="s">
        <v>6417</v>
      </c>
      <c r="H598" s="61" t="s">
        <v>5368</v>
      </c>
      <c r="I598" s="75"/>
      <c r="J598" s="76" t="s">
        <v>6418</v>
      </c>
      <c r="K598" s="69"/>
      <c r="L598" s="134"/>
      <c r="M598" s="111"/>
      <c r="N598" s="111"/>
      <c r="O598" s="111"/>
      <c r="P598" s="67" t="str">
        <f t="shared" si="1"/>
        <v/>
      </c>
      <c r="Q598" s="67" t="str">
        <f t="shared" si="2"/>
        <v/>
      </c>
      <c r="R598" s="67" t="str">
        <f t="shared" si="3"/>
        <v/>
      </c>
      <c r="S598" s="67" t="str">
        <f t="shared" si="4"/>
        <v/>
      </c>
      <c r="T598" s="161"/>
      <c r="U598" s="69"/>
      <c r="V598" s="169" t="s">
        <v>6419</v>
      </c>
      <c r="W598" s="161"/>
      <c r="X598" s="208"/>
      <c r="Y598" s="73"/>
      <c r="Z598" s="73"/>
      <c r="AA598" s="73"/>
      <c r="AB598" s="73"/>
      <c r="AC598" s="73"/>
      <c r="AD598" s="73"/>
      <c r="AE598" s="73"/>
      <c r="AF598" s="73"/>
      <c r="AG598" s="73"/>
      <c r="AH598" s="73"/>
      <c r="AI598" s="73"/>
      <c r="AJ598" s="75"/>
      <c r="AK598" s="76" t="s">
        <v>2108</v>
      </c>
      <c r="AL598" s="83" t="s">
        <v>6420</v>
      </c>
      <c r="AM598" s="71" t="s">
        <v>6421</v>
      </c>
      <c r="AN598" s="84" t="s">
        <v>6422</v>
      </c>
      <c r="AO598" s="71" t="s">
        <v>6423</v>
      </c>
      <c r="AP598" s="161" t="str">
        <f>IMAGE("https://bellingcat-archive.nyc3.cdn.digitaloceanspaces.com/Ukraine_Witness_Datasheet/Worksheet/twitter__media_FMciuKbXsAAXHYC.jpg")</f>
        <v/>
      </c>
      <c r="AQ598" s="161"/>
      <c r="AR598" s="161"/>
      <c r="AS598" s="161"/>
      <c r="AT598" s="161"/>
      <c r="AU598" s="89"/>
      <c r="AV598" s="162"/>
      <c r="AW598" s="81"/>
    </row>
    <row r="599" ht="15.75" customHeight="1">
      <c r="A599" s="87" t="s">
        <v>63</v>
      </c>
      <c r="B599" s="73"/>
      <c r="C599" s="101" t="s">
        <v>6118</v>
      </c>
      <c r="D599" s="104">
        <v>50.3086824</v>
      </c>
      <c r="E599" s="104">
        <v>34.8723472</v>
      </c>
      <c r="F599" s="59">
        <v>1.0</v>
      </c>
      <c r="G599" s="60" t="s">
        <v>6424</v>
      </c>
      <c r="H599" s="61" t="s">
        <v>5522</v>
      </c>
      <c r="I599" s="75"/>
      <c r="J599" s="76" t="s">
        <v>6425</v>
      </c>
      <c r="K599" s="88" t="s">
        <v>6426</v>
      </c>
      <c r="L599" s="110" t="s">
        <v>3542</v>
      </c>
      <c r="M599" s="92" t="s">
        <v>6144</v>
      </c>
      <c r="N599" s="111"/>
      <c r="O599" s="92" t="s">
        <v>6001</v>
      </c>
      <c r="P599" s="67" t="str">
        <f t="shared" si="1"/>
        <v>50.3086824, 34.8723472</v>
      </c>
      <c r="Q599" s="67" t="str">
        <f t="shared" si="2"/>
        <v>50.308677, 34.871569</v>
      </c>
      <c r="R599" s="67">
        <f t="shared" si="3"/>
        <v>50.308677</v>
      </c>
      <c r="S599" s="67">
        <f t="shared" si="4"/>
        <v>34.871569</v>
      </c>
      <c r="T599" s="161"/>
      <c r="U599" s="64" t="s">
        <v>6427</v>
      </c>
      <c r="V599" s="169" t="s">
        <v>6428</v>
      </c>
      <c r="W599" s="71" t="s">
        <v>5904</v>
      </c>
      <c r="X599" s="72" t="s">
        <v>75</v>
      </c>
      <c r="Y599" s="73"/>
      <c r="Z599" s="73"/>
      <c r="AA599" s="73"/>
      <c r="AB599" s="73"/>
      <c r="AC599" s="73"/>
      <c r="AD599" s="73"/>
      <c r="AE599" s="73"/>
      <c r="AF599" s="73"/>
      <c r="AG599" s="73"/>
      <c r="AH599" s="73"/>
      <c r="AI599" s="73"/>
      <c r="AJ599" s="75"/>
      <c r="AK599" s="76" t="s">
        <v>798</v>
      </c>
      <c r="AL599" s="83" t="s">
        <v>6429</v>
      </c>
      <c r="AM599" s="71" t="s">
        <v>6430</v>
      </c>
      <c r="AN599" s="84" t="s">
        <v>6431</v>
      </c>
      <c r="AO599" s="71" t="s">
        <v>6432</v>
      </c>
      <c r="AP599" s="161" t="str">
        <f>IMAGE("https://bellingcat-archive.nyc3.cdn.digitaloceanspaces.com/Ukraine_Witness_Datasheet/Worksheet/youtube_dl_1497190914325987329/out2.jpg")</f>
        <v/>
      </c>
      <c r="AQ599" s="84" t="s">
        <v>6433</v>
      </c>
      <c r="AR599" s="71" t="s">
        <v>6434</v>
      </c>
      <c r="AS599" s="71" t="s">
        <v>6435</v>
      </c>
      <c r="AT599" s="71">
        <v>15.8</v>
      </c>
      <c r="AU599" s="89"/>
      <c r="AV599" s="162"/>
      <c r="AW599" s="81"/>
    </row>
    <row r="600" ht="15.75" customHeight="1">
      <c r="A600" s="87" t="s">
        <v>63</v>
      </c>
      <c r="B600" s="73"/>
      <c r="C600" s="101" t="s">
        <v>6118</v>
      </c>
      <c r="D600" s="74">
        <v>50.3098</v>
      </c>
      <c r="E600" s="74">
        <v>34.8696</v>
      </c>
      <c r="F600" s="239">
        <v>5.0</v>
      </c>
      <c r="G600" s="60" t="s">
        <v>6436</v>
      </c>
      <c r="H600" s="61" t="s">
        <v>91</v>
      </c>
      <c r="I600" s="75"/>
      <c r="J600" s="76" t="s">
        <v>6437</v>
      </c>
      <c r="K600" s="88" t="s">
        <v>6438</v>
      </c>
      <c r="L600" s="110" t="s">
        <v>3542</v>
      </c>
      <c r="M600" s="92" t="s">
        <v>6144</v>
      </c>
      <c r="N600" s="111"/>
      <c r="O600" s="92" t="s">
        <v>6001</v>
      </c>
      <c r="P600" s="67" t="str">
        <f t="shared" si="1"/>
        <v>50.3098, 34.8696</v>
      </c>
      <c r="Q600" s="67" t="str">
        <f t="shared" si="2"/>
        <v>50.309505, 34.868835</v>
      </c>
      <c r="R600" s="67">
        <f t="shared" si="3"/>
        <v>50.309505</v>
      </c>
      <c r="S600" s="67">
        <f t="shared" si="4"/>
        <v>34.868835</v>
      </c>
      <c r="T600" s="161"/>
      <c r="U600" s="69"/>
      <c r="V600" s="169" t="s">
        <v>6439</v>
      </c>
      <c r="W600" s="71" t="s">
        <v>6108</v>
      </c>
      <c r="X600" s="72" t="s">
        <v>75</v>
      </c>
      <c r="Y600" s="73"/>
      <c r="Z600" s="73"/>
      <c r="AA600" s="73"/>
      <c r="AB600" s="73"/>
      <c r="AC600" s="73"/>
      <c r="AD600" s="73"/>
      <c r="AE600" s="73"/>
      <c r="AF600" s="73"/>
      <c r="AG600" s="73"/>
      <c r="AH600" s="73"/>
      <c r="AI600" s="73"/>
      <c r="AJ600" s="75"/>
      <c r="AK600" s="76" t="s">
        <v>2108</v>
      </c>
      <c r="AL600" s="83" t="s">
        <v>6440</v>
      </c>
      <c r="AM600" s="71" t="s">
        <v>6441</v>
      </c>
      <c r="AN600" s="84" t="s">
        <v>6442</v>
      </c>
      <c r="AO600" s="71" t="s">
        <v>6443</v>
      </c>
      <c r="AP600" s="161" t="str">
        <f>IMAGE("https://bellingcat-archive.nyc3.cdn.digitaloceanspaces.com/Ukraine_Witness_Datasheet/Worksheet/twitter__media_FMcuZUAWQAYBA-6.jpg")</f>
        <v/>
      </c>
      <c r="AQ600" s="161"/>
      <c r="AR600" s="161"/>
      <c r="AS600" s="161"/>
      <c r="AT600" s="161"/>
      <c r="AU600" s="89"/>
      <c r="AV600" s="162"/>
      <c r="AW600" s="81"/>
    </row>
    <row r="601" ht="15.75" customHeight="1">
      <c r="A601" s="165"/>
      <c r="B601" s="73"/>
      <c r="C601" s="101" t="s">
        <v>6118</v>
      </c>
      <c r="D601" s="121"/>
      <c r="E601" s="121"/>
      <c r="F601" s="59">
        <v>1.0</v>
      </c>
      <c r="G601" s="84" t="s">
        <v>6444</v>
      </c>
      <c r="H601" s="61" t="s">
        <v>66</v>
      </c>
      <c r="I601" s="75"/>
      <c r="J601" s="63" t="s">
        <v>6445</v>
      </c>
      <c r="K601" s="69"/>
      <c r="L601" s="134"/>
      <c r="M601" s="111"/>
      <c r="N601" s="111"/>
      <c r="O601" s="111"/>
      <c r="P601" s="67" t="str">
        <f t="shared" si="1"/>
        <v/>
      </c>
      <c r="Q601" s="67" t="str">
        <f t="shared" si="2"/>
        <v/>
      </c>
      <c r="R601" s="67" t="str">
        <f t="shared" si="3"/>
        <v/>
      </c>
      <c r="S601" s="67" t="str">
        <f t="shared" si="4"/>
        <v/>
      </c>
      <c r="T601" s="161"/>
      <c r="U601" s="69"/>
      <c r="V601" s="169" t="s">
        <v>6446</v>
      </c>
      <c r="W601" s="161"/>
      <c r="X601" s="194"/>
      <c r="Y601" s="73"/>
      <c r="Z601" s="73"/>
      <c r="AA601" s="73"/>
      <c r="AB601" s="73"/>
      <c r="AC601" s="73"/>
      <c r="AD601" s="73"/>
      <c r="AE601" s="73"/>
      <c r="AF601" s="73"/>
      <c r="AG601" s="73"/>
      <c r="AH601" s="73"/>
      <c r="AI601" s="73"/>
      <c r="AJ601" s="75"/>
      <c r="AK601" s="76" t="s">
        <v>798</v>
      </c>
      <c r="AL601" s="83" t="s">
        <v>6447</v>
      </c>
      <c r="AM601" s="71" t="s">
        <v>6448</v>
      </c>
      <c r="AN601" s="84" t="s">
        <v>6449</v>
      </c>
      <c r="AO601" s="71" t="s">
        <v>6450</v>
      </c>
      <c r="AP601" s="161" t="str">
        <f>IMAGE("https://bellingcat-archive.nyc3.cdn.digitaloceanspaces.com/Ukraine_Witness_Datasheet/Worksheet/youtube_dl_1497208397963350016/out2.jpg")</f>
        <v/>
      </c>
      <c r="AQ601" s="84" t="s">
        <v>6451</v>
      </c>
      <c r="AR601" s="71" t="s">
        <v>6452</v>
      </c>
      <c r="AS601" s="71" t="s">
        <v>6453</v>
      </c>
      <c r="AT601" s="71">
        <v>38.104</v>
      </c>
      <c r="AU601" s="89"/>
      <c r="AV601" s="162"/>
      <c r="AW601" s="81"/>
    </row>
    <row r="602" ht="15.75" customHeight="1">
      <c r="A602" s="144" t="s">
        <v>6323</v>
      </c>
      <c r="B602" s="73"/>
      <c r="C602" s="132"/>
      <c r="D602" s="121"/>
      <c r="E602" s="121"/>
      <c r="F602" s="59">
        <v>1.0</v>
      </c>
      <c r="G602" s="84" t="s">
        <v>6454</v>
      </c>
      <c r="H602" s="61" t="s">
        <v>66</v>
      </c>
      <c r="I602" s="75"/>
      <c r="J602" s="63" t="s">
        <v>6455</v>
      </c>
      <c r="K602" s="69"/>
      <c r="L602" s="134"/>
      <c r="M602" s="111"/>
      <c r="N602" s="111"/>
      <c r="O602" s="111"/>
      <c r="P602" s="67" t="str">
        <f t="shared" si="1"/>
        <v/>
      </c>
      <c r="Q602" s="67" t="str">
        <f t="shared" si="2"/>
        <v/>
      </c>
      <c r="R602" s="67" t="str">
        <f t="shared" si="3"/>
        <v/>
      </c>
      <c r="S602" s="67" t="str">
        <f t="shared" si="4"/>
        <v/>
      </c>
      <c r="T602" s="161"/>
      <c r="U602" s="69"/>
      <c r="V602" s="169" t="s">
        <v>6456</v>
      </c>
      <c r="W602" s="161"/>
      <c r="X602" s="194"/>
      <c r="Y602" s="73"/>
      <c r="Z602" s="73"/>
      <c r="AA602" s="73"/>
      <c r="AB602" s="73"/>
      <c r="AC602" s="73"/>
      <c r="AD602" s="73"/>
      <c r="AE602" s="73"/>
      <c r="AF602" s="73"/>
      <c r="AG602" s="73"/>
      <c r="AH602" s="73"/>
      <c r="AI602" s="73"/>
      <c r="AJ602" s="75"/>
      <c r="AK602" s="76" t="s">
        <v>6276</v>
      </c>
      <c r="AL602" s="83" t="s">
        <v>6457</v>
      </c>
      <c r="AM602" s="71" t="s">
        <v>6458</v>
      </c>
      <c r="AN602" s="84" t="s">
        <v>6459</v>
      </c>
      <c r="AO602" s="71" t="s">
        <v>6460</v>
      </c>
      <c r="AP602" s="161" t="str">
        <f>IMAGE("https://bellingcat-archive.nyc3.cdn.digitaloceanspaces.com/Ukraine_Witness_Datasheet/Worksheet/telegram_f0f656e041/out2.jpg")</f>
        <v/>
      </c>
      <c r="AQ602" s="84" t="s">
        <v>6461</v>
      </c>
      <c r="AR602" s="84" t="s">
        <v>6454</v>
      </c>
      <c r="AS602" s="71" t="s">
        <v>6462</v>
      </c>
      <c r="AT602" s="71">
        <v>49.0</v>
      </c>
      <c r="AU602" s="89"/>
      <c r="AV602" s="162"/>
      <c r="AW602" s="81"/>
    </row>
    <row r="603" ht="15.75" customHeight="1">
      <c r="A603" s="55" t="s">
        <v>6463</v>
      </c>
      <c r="B603" s="73"/>
      <c r="C603" s="101" t="s">
        <v>6118</v>
      </c>
      <c r="D603" s="104">
        <v>51.4971150921229</v>
      </c>
      <c r="E603" s="104">
        <v>31.3158383784982</v>
      </c>
      <c r="F603" s="211">
        <v>2.0</v>
      </c>
      <c r="G603" s="84" t="s">
        <v>6464</v>
      </c>
      <c r="H603" s="61" t="s">
        <v>66</v>
      </c>
      <c r="I603" s="75"/>
      <c r="J603" s="227" t="s">
        <v>6465</v>
      </c>
      <c r="K603" s="69"/>
      <c r="L603" s="110" t="s">
        <v>5670</v>
      </c>
      <c r="M603" s="92" t="s">
        <v>5880</v>
      </c>
      <c r="N603" s="111"/>
      <c r="O603" s="92" t="s">
        <v>6466</v>
      </c>
      <c r="P603" s="67" t="str">
        <f t="shared" si="1"/>
        <v>51.4971150921229, 31.3158383784982</v>
      </c>
      <c r="Q603" s="67" t="str">
        <f t="shared" si="2"/>
        <v>51.496524, 31.315682</v>
      </c>
      <c r="R603" s="67">
        <f t="shared" si="3"/>
        <v>51.496524</v>
      </c>
      <c r="S603" s="67">
        <f t="shared" si="4"/>
        <v>31.315682</v>
      </c>
      <c r="T603" s="161"/>
      <c r="U603" s="69"/>
      <c r="V603" s="169" t="s">
        <v>6467</v>
      </c>
      <c r="W603" s="71" t="s">
        <v>6014</v>
      </c>
      <c r="X603" s="72" t="s">
        <v>5504</v>
      </c>
      <c r="Y603" s="73"/>
      <c r="Z603" s="73"/>
      <c r="AA603" s="73"/>
      <c r="AB603" s="73"/>
      <c r="AC603" s="73"/>
      <c r="AD603" s="73"/>
      <c r="AE603" s="73"/>
      <c r="AF603" s="73"/>
      <c r="AG603" s="73"/>
      <c r="AH603" s="73"/>
      <c r="AI603" s="73"/>
      <c r="AJ603" s="75"/>
      <c r="AK603" s="76" t="s">
        <v>798</v>
      </c>
      <c r="AL603" s="83" t="s">
        <v>6468</v>
      </c>
      <c r="AM603" s="71" t="s">
        <v>6469</v>
      </c>
      <c r="AN603" s="84" t="s">
        <v>6470</v>
      </c>
      <c r="AO603" s="71" t="s">
        <v>6471</v>
      </c>
      <c r="AP603" s="161" t="str">
        <f>IMAGE("https://bellingcat-archive.nyc3.cdn.digitaloceanspaces.com/Ukraine_Witness_Datasheet/Worksheet/youtube_dl_1497218877297680384/out2.jpg")</f>
        <v/>
      </c>
      <c r="AQ603" s="84" t="s">
        <v>6472</v>
      </c>
      <c r="AR603" s="71" t="s">
        <v>6473</v>
      </c>
      <c r="AS603" s="71" t="s">
        <v>6474</v>
      </c>
      <c r="AT603" s="71">
        <v>11.833</v>
      </c>
      <c r="AU603" s="89"/>
      <c r="AV603" s="162"/>
      <c r="AW603" s="81"/>
    </row>
    <row r="604" ht="15.75" customHeight="1">
      <c r="A604" s="240" t="s">
        <v>6463</v>
      </c>
      <c r="B604" s="73"/>
      <c r="C604" s="101" t="s">
        <v>6118</v>
      </c>
      <c r="D604" s="241" t="s">
        <v>6475</v>
      </c>
      <c r="E604" s="241" t="s">
        <v>6476</v>
      </c>
      <c r="F604" s="239">
        <v>5.0</v>
      </c>
      <c r="G604" s="60" t="s">
        <v>6477</v>
      </c>
      <c r="H604" s="61" t="s">
        <v>66</v>
      </c>
      <c r="I604" s="215" t="s">
        <v>6478</v>
      </c>
      <c r="J604" s="63" t="s">
        <v>6479</v>
      </c>
      <c r="K604" s="69"/>
      <c r="L604" s="134"/>
      <c r="M604" s="111"/>
      <c r="N604" s="111"/>
      <c r="O604" s="111"/>
      <c r="P604" s="67" t="str">
        <f t="shared" si="1"/>
        <v>50.485576, 30.4728</v>
      </c>
      <c r="Q604" s="67" t="str">
        <f t="shared" si="2"/>
        <v>50.485182, 30.473009</v>
      </c>
      <c r="R604" s="67">
        <f t="shared" si="3"/>
        <v>50.485182</v>
      </c>
      <c r="S604" s="67">
        <f t="shared" si="4"/>
        <v>30.473009</v>
      </c>
      <c r="T604" s="161"/>
      <c r="U604" s="69"/>
      <c r="V604" s="169" t="s">
        <v>6480</v>
      </c>
      <c r="W604" s="161"/>
      <c r="X604" s="194"/>
      <c r="Y604" s="216" t="s">
        <v>75</v>
      </c>
      <c r="Z604" s="73"/>
      <c r="AA604" s="73"/>
      <c r="AB604" s="73"/>
      <c r="AC604" s="73"/>
      <c r="AD604" s="73"/>
      <c r="AE604" s="73"/>
      <c r="AF604" s="73"/>
      <c r="AG604" s="73"/>
      <c r="AH604" s="73"/>
      <c r="AI604" s="73"/>
      <c r="AJ604" s="75"/>
      <c r="AK604" s="76" t="s">
        <v>798</v>
      </c>
      <c r="AL604" s="83" t="s">
        <v>6481</v>
      </c>
      <c r="AM604" s="71" t="s">
        <v>6482</v>
      </c>
      <c r="AN604" s="84" t="s">
        <v>6483</v>
      </c>
      <c r="AO604" s="71" t="s">
        <v>6484</v>
      </c>
      <c r="AP604" s="161" t="str">
        <f>IMAGE("https://bellingcat-archive.nyc3.cdn.digitaloceanspaces.com/Ukraine_Witness_Datasheet/Worksheet/youtube_dl_1497197120566165506/out2.jpg")</f>
        <v/>
      </c>
      <c r="AQ604" s="84" t="s">
        <v>6485</v>
      </c>
      <c r="AR604" s="71" t="s">
        <v>6486</v>
      </c>
      <c r="AS604" s="71" t="s">
        <v>6487</v>
      </c>
      <c r="AT604" s="71">
        <v>13.15</v>
      </c>
      <c r="AU604" s="89"/>
      <c r="AV604" s="162"/>
      <c r="AW604" s="81"/>
    </row>
    <row r="605" ht="15.75" customHeight="1">
      <c r="A605" s="240" t="s">
        <v>6463</v>
      </c>
      <c r="B605" s="73"/>
      <c r="C605" s="101" t="s">
        <v>6118</v>
      </c>
      <c r="D605" s="121"/>
      <c r="E605" s="121"/>
      <c r="F605" s="79">
        <v>2.0</v>
      </c>
      <c r="G605" s="60" t="s">
        <v>6488</v>
      </c>
      <c r="H605" s="73"/>
      <c r="I605" s="75"/>
      <c r="J605" s="168"/>
      <c r="K605" s="69"/>
      <c r="L605" s="134"/>
      <c r="M605" s="111"/>
      <c r="N605" s="111"/>
      <c r="O605" s="111"/>
      <c r="P605" s="67" t="str">
        <f t="shared" si="1"/>
        <v/>
      </c>
      <c r="Q605" s="67" t="str">
        <f t="shared" si="2"/>
        <v/>
      </c>
      <c r="R605" s="67" t="str">
        <f t="shared" si="3"/>
        <v/>
      </c>
      <c r="S605" s="67" t="str">
        <f t="shared" si="4"/>
        <v/>
      </c>
      <c r="T605" s="161"/>
      <c r="U605" s="69"/>
      <c r="V605" s="169" t="s">
        <v>6489</v>
      </c>
      <c r="W605" s="161"/>
      <c r="X605" s="194"/>
      <c r="Y605" s="73"/>
      <c r="Z605" s="73"/>
      <c r="AA605" s="73"/>
      <c r="AB605" s="73"/>
      <c r="AC605" s="73"/>
      <c r="AD605" s="73"/>
      <c r="AE605" s="73"/>
      <c r="AF605" s="73"/>
      <c r="AG605" s="73"/>
      <c r="AH605" s="73"/>
      <c r="AI605" s="73"/>
      <c r="AJ605" s="75"/>
      <c r="AK605" s="76" t="s">
        <v>798</v>
      </c>
      <c r="AL605" s="83" t="s">
        <v>6490</v>
      </c>
      <c r="AM605" s="71" t="s">
        <v>6491</v>
      </c>
      <c r="AN605" s="84" t="s">
        <v>6492</v>
      </c>
      <c r="AO605" s="71" t="s">
        <v>6493</v>
      </c>
      <c r="AP605" s="161" t="str">
        <f>IMAGE("https://bellingcat-archive.nyc3.cdn.digitaloceanspaces.com/Ukraine_Witness_Datasheet/Worksheet/youtube_dl_1497218488200355840/out2.jpg")</f>
        <v/>
      </c>
      <c r="AQ605" s="84" t="s">
        <v>6494</v>
      </c>
      <c r="AR605" s="71" t="s">
        <v>6495</v>
      </c>
      <c r="AS605" s="71" t="s">
        <v>6496</v>
      </c>
      <c r="AT605" s="71">
        <v>14.666</v>
      </c>
      <c r="AU605" s="89"/>
      <c r="AV605" s="162"/>
      <c r="AW605" s="81"/>
    </row>
    <row r="606" ht="15.75" customHeight="1">
      <c r="A606" s="240" t="s">
        <v>6463</v>
      </c>
      <c r="B606" s="73"/>
      <c r="C606" s="101" t="s">
        <v>6118</v>
      </c>
      <c r="D606" s="121"/>
      <c r="E606" s="121"/>
      <c r="F606" s="79">
        <v>2.0</v>
      </c>
      <c r="G606" s="193" t="s">
        <v>6497</v>
      </c>
      <c r="H606" s="73"/>
      <c r="I606" s="75"/>
      <c r="J606" s="168"/>
      <c r="K606" s="69"/>
      <c r="L606" s="134"/>
      <c r="M606" s="111"/>
      <c r="N606" s="111"/>
      <c r="O606" s="111"/>
      <c r="P606" s="67" t="str">
        <f t="shared" si="1"/>
        <v/>
      </c>
      <c r="Q606" s="67" t="str">
        <f t="shared" si="2"/>
        <v/>
      </c>
      <c r="R606" s="67" t="str">
        <f t="shared" si="3"/>
        <v/>
      </c>
      <c r="S606" s="67" t="str">
        <f t="shared" si="4"/>
        <v/>
      </c>
      <c r="T606" s="161"/>
      <c r="U606" s="69"/>
      <c r="V606" s="169" t="s">
        <v>6498</v>
      </c>
      <c r="W606" s="161"/>
      <c r="X606" s="194"/>
      <c r="Y606" s="73"/>
      <c r="Z606" s="73"/>
      <c r="AA606" s="73"/>
      <c r="AB606" s="73"/>
      <c r="AC606" s="73"/>
      <c r="AD606" s="73"/>
      <c r="AE606" s="73"/>
      <c r="AF606" s="73"/>
      <c r="AG606" s="73"/>
      <c r="AH606" s="73"/>
      <c r="AI606" s="73"/>
      <c r="AJ606" s="75"/>
      <c r="AK606" s="76" t="s">
        <v>2108</v>
      </c>
      <c r="AL606" s="83" t="s">
        <v>6499</v>
      </c>
      <c r="AM606" s="71" t="s">
        <v>6500</v>
      </c>
      <c r="AN606" s="84" t="s">
        <v>6501</v>
      </c>
      <c r="AO606" s="71" t="s">
        <v>6502</v>
      </c>
      <c r="AP606" s="161" t="str">
        <f>IMAGE("https://bellingcat-archive.nyc3.cdn.digitaloceanspaces.com/Ukraine_Witness_Datasheet/Worksheet/twitter__media_FMayxePWUB4odRZ.jpg")</f>
        <v/>
      </c>
      <c r="AQ606" s="161"/>
      <c r="AR606" s="161"/>
      <c r="AS606" s="161"/>
      <c r="AT606" s="161"/>
      <c r="AU606" s="89"/>
      <c r="AV606" s="162"/>
      <c r="AW606" s="81"/>
    </row>
    <row r="607" ht="15.75" customHeight="1">
      <c r="A607" s="175"/>
      <c r="B607" s="73"/>
      <c r="C607" s="132"/>
      <c r="D607" s="121"/>
      <c r="E607" s="121"/>
      <c r="F607" s="89"/>
      <c r="G607" s="84" t="s">
        <v>6503</v>
      </c>
      <c r="H607" s="73"/>
      <c r="I607" s="75"/>
      <c r="J607" s="168"/>
      <c r="K607" s="88" t="s">
        <v>6504</v>
      </c>
      <c r="L607" s="134"/>
      <c r="M607" s="111"/>
      <c r="N607" s="111"/>
      <c r="O607" s="111"/>
      <c r="P607" s="67" t="str">
        <f t="shared" si="1"/>
        <v/>
      </c>
      <c r="Q607" s="67" t="str">
        <f t="shared" si="2"/>
        <v/>
      </c>
      <c r="R607" s="67" t="str">
        <f t="shared" si="3"/>
        <v/>
      </c>
      <c r="S607" s="67" t="str">
        <f t="shared" si="4"/>
        <v/>
      </c>
      <c r="T607" s="161"/>
      <c r="U607" s="69"/>
      <c r="V607" s="169" t="s">
        <v>6505</v>
      </c>
      <c r="W607" s="161"/>
      <c r="X607" s="194"/>
      <c r="Y607" s="73"/>
      <c r="Z607" s="73"/>
      <c r="AA607" s="73"/>
      <c r="AB607" s="73"/>
      <c r="AC607" s="73"/>
      <c r="AD607" s="73"/>
      <c r="AE607" s="73"/>
      <c r="AF607" s="73"/>
      <c r="AG607" s="73"/>
      <c r="AH607" s="73"/>
      <c r="AI607" s="73"/>
      <c r="AJ607" s="75"/>
      <c r="AK607" s="76" t="s">
        <v>798</v>
      </c>
      <c r="AL607" s="83" t="s">
        <v>6506</v>
      </c>
      <c r="AM607" s="71" t="s">
        <v>6507</v>
      </c>
      <c r="AN607" s="84" t="s">
        <v>6508</v>
      </c>
      <c r="AO607" s="71" t="s">
        <v>6509</v>
      </c>
      <c r="AP607" s="161" t="str">
        <f>IMAGE("https://bellingcat-archive.nyc3.cdn.digitaloceanspaces.com/Ukraine_Witness_Datasheet/Worksheet/youtube_dl_1497184427708981263/out2.jpg")</f>
        <v/>
      </c>
      <c r="AQ607" s="84" t="s">
        <v>6510</v>
      </c>
      <c r="AR607" s="71" t="s">
        <v>6511</v>
      </c>
      <c r="AS607" s="71" t="s">
        <v>6512</v>
      </c>
      <c r="AT607" s="71">
        <v>8.414</v>
      </c>
      <c r="AU607" s="89"/>
      <c r="AV607" s="162"/>
      <c r="AW607" s="81"/>
    </row>
    <row r="608" ht="15.75" customHeight="1">
      <c r="A608" s="87" t="s">
        <v>5457</v>
      </c>
      <c r="B608" s="73"/>
      <c r="C608" s="101" t="s">
        <v>6118</v>
      </c>
      <c r="D608" s="241">
        <v>50.4910563270289</v>
      </c>
      <c r="E608" s="241">
        <v>30.2589960191175</v>
      </c>
      <c r="F608" s="211">
        <v>2.0</v>
      </c>
      <c r="G608" s="130" t="s">
        <v>6513</v>
      </c>
      <c r="H608" s="61" t="s">
        <v>66</v>
      </c>
      <c r="I608" s="75"/>
      <c r="J608" s="63" t="s">
        <v>6514</v>
      </c>
      <c r="K608" s="131" t="s">
        <v>6515</v>
      </c>
      <c r="L608" s="110" t="s">
        <v>3542</v>
      </c>
      <c r="M608" s="92" t="s">
        <v>5827</v>
      </c>
      <c r="N608" s="111"/>
      <c r="O608" s="92" t="s">
        <v>6121</v>
      </c>
      <c r="P608" s="67" t="str">
        <f t="shared" si="1"/>
        <v>50.4910563270289, 30.2589960191175</v>
      </c>
      <c r="Q608" s="67" t="str">
        <f t="shared" si="2"/>
        <v>50.490559, 30.25917</v>
      </c>
      <c r="R608" s="67">
        <f t="shared" si="3"/>
        <v>50.490559</v>
      </c>
      <c r="S608" s="67">
        <f t="shared" si="4"/>
        <v>30.25917</v>
      </c>
      <c r="T608" s="161"/>
      <c r="U608" s="69"/>
      <c r="V608" s="169" t="s">
        <v>6516</v>
      </c>
      <c r="W608" s="71" t="s">
        <v>3601</v>
      </c>
      <c r="X608" s="72" t="s">
        <v>75</v>
      </c>
      <c r="Y608" s="73"/>
      <c r="Z608" s="73"/>
      <c r="AA608" s="73"/>
      <c r="AB608" s="73"/>
      <c r="AC608" s="73"/>
      <c r="AD608" s="73"/>
      <c r="AE608" s="73"/>
      <c r="AF608" s="73"/>
      <c r="AG608" s="73"/>
      <c r="AH608" s="73"/>
      <c r="AI608" s="73"/>
      <c r="AJ608" s="75"/>
      <c r="AK608" s="76" t="s">
        <v>798</v>
      </c>
      <c r="AL608" s="83" t="s">
        <v>6517</v>
      </c>
      <c r="AM608" s="71" t="s">
        <v>6518</v>
      </c>
      <c r="AN608" s="84" t="s">
        <v>6519</v>
      </c>
      <c r="AO608" s="71" t="s">
        <v>6520</v>
      </c>
      <c r="AP608" s="161" t="str">
        <f>IMAGE("https://bellingcat-archive.nyc3.cdn.digitaloceanspaces.com/Ukraine_Witness_Datasheet/Worksheet/youtube_dl_1497202001154740225/out2.jpg")</f>
        <v/>
      </c>
      <c r="AQ608" s="84" t="s">
        <v>6521</v>
      </c>
      <c r="AR608" s="71" t="s">
        <v>6522</v>
      </c>
      <c r="AS608" s="71" t="s">
        <v>6523</v>
      </c>
      <c r="AT608" s="71">
        <v>18.35</v>
      </c>
      <c r="AU608" s="89"/>
      <c r="AV608" s="162"/>
      <c r="AW608" s="81"/>
    </row>
    <row r="609" ht="15.75" customHeight="1">
      <c r="A609" s="144" t="s">
        <v>6323</v>
      </c>
      <c r="B609" s="73"/>
      <c r="C609" s="132"/>
      <c r="D609" s="121"/>
      <c r="E609" s="121"/>
      <c r="F609" s="89"/>
      <c r="G609" s="84" t="s">
        <v>6524</v>
      </c>
      <c r="H609" s="73"/>
      <c r="I609" s="75"/>
      <c r="J609" s="168"/>
      <c r="K609" s="69"/>
      <c r="L609" s="134"/>
      <c r="M609" s="111"/>
      <c r="N609" s="111"/>
      <c r="O609" s="111"/>
      <c r="P609" s="67" t="str">
        <f t="shared" si="1"/>
        <v/>
      </c>
      <c r="Q609" s="67" t="str">
        <f t="shared" si="2"/>
        <v/>
      </c>
      <c r="R609" s="67" t="str">
        <f t="shared" si="3"/>
        <v/>
      </c>
      <c r="S609" s="67" t="str">
        <f t="shared" si="4"/>
        <v/>
      </c>
      <c r="T609" s="161"/>
      <c r="U609" s="69"/>
      <c r="V609" s="169" t="s">
        <v>6525</v>
      </c>
      <c r="W609" s="161"/>
      <c r="X609" s="194"/>
      <c r="Y609" s="73"/>
      <c r="Z609" s="73"/>
      <c r="AA609" s="73"/>
      <c r="AB609" s="73"/>
      <c r="AC609" s="73"/>
      <c r="AD609" s="73"/>
      <c r="AE609" s="73"/>
      <c r="AF609" s="73"/>
      <c r="AG609" s="73"/>
      <c r="AH609" s="73"/>
      <c r="AI609" s="73"/>
      <c r="AJ609" s="75"/>
      <c r="AK609" s="76" t="s">
        <v>798</v>
      </c>
      <c r="AL609" s="83" t="s">
        <v>6526</v>
      </c>
      <c r="AM609" s="71" t="s">
        <v>6527</v>
      </c>
      <c r="AN609" s="84" t="s">
        <v>6528</v>
      </c>
      <c r="AO609" s="71" t="s">
        <v>6529</v>
      </c>
      <c r="AP609" s="161" t="str">
        <f>IMAGE("https://bellingcat-archive.nyc3.cdn.digitaloceanspaces.com/Ukraine_Witness_Datasheet/Worksheet/youtube_dl_1497058004235350018/out2.jpg")</f>
        <v/>
      </c>
      <c r="AQ609" s="84" t="s">
        <v>6530</v>
      </c>
      <c r="AR609" s="71" t="s">
        <v>6531</v>
      </c>
      <c r="AS609" s="71" t="s">
        <v>6532</v>
      </c>
      <c r="AT609" s="71">
        <v>25.333</v>
      </c>
      <c r="AU609" s="89"/>
      <c r="AV609" s="162"/>
      <c r="AW609" s="81"/>
    </row>
    <row r="610" ht="15.75" customHeight="1">
      <c r="A610" s="175"/>
      <c r="B610" s="73"/>
      <c r="C610" s="101" t="s">
        <v>6118</v>
      </c>
      <c r="D610" s="121"/>
      <c r="E610" s="121"/>
      <c r="F610" s="237">
        <v>3.0</v>
      </c>
      <c r="G610" s="84" t="s">
        <v>6533</v>
      </c>
      <c r="H610" s="61" t="s">
        <v>66</v>
      </c>
      <c r="I610" s="75"/>
      <c r="J610" s="63" t="s">
        <v>6534</v>
      </c>
      <c r="K610" s="69"/>
      <c r="L610" s="134"/>
      <c r="M610" s="111"/>
      <c r="N610" s="111"/>
      <c r="O610" s="111"/>
      <c r="P610" s="67" t="str">
        <f t="shared" si="1"/>
        <v/>
      </c>
      <c r="Q610" s="67" t="str">
        <f t="shared" si="2"/>
        <v/>
      </c>
      <c r="R610" s="67" t="str">
        <f t="shared" si="3"/>
        <v/>
      </c>
      <c r="S610" s="67" t="str">
        <f t="shared" si="4"/>
        <v/>
      </c>
      <c r="T610" s="161"/>
      <c r="U610" s="69"/>
      <c r="V610" s="169" t="s">
        <v>6535</v>
      </c>
      <c r="W610" s="161"/>
      <c r="X610" s="194"/>
      <c r="Y610" s="73"/>
      <c r="Z610" s="73"/>
      <c r="AA610" s="73"/>
      <c r="AB610" s="73"/>
      <c r="AC610" s="73"/>
      <c r="AD610" s="73"/>
      <c r="AE610" s="73"/>
      <c r="AF610" s="73"/>
      <c r="AG610" s="73"/>
      <c r="AH610" s="73"/>
      <c r="AI610" s="73"/>
      <c r="AJ610" s="75"/>
      <c r="AK610" s="76" t="s">
        <v>798</v>
      </c>
      <c r="AL610" s="83" t="s">
        <v>6536</v>
      </c>
      <c r="AM610" s="71" t="s">
        <v>6537</v>
      </c>
      <c r="AN610" s="84" t="s">
        <v>6538</v>
      </c>
      <c r="AO610" s="71" t="s">
        <v>6493</v>
      </c>
      <c r="AP610" s="161" t="str">
        <f>IMAGE("https://bellingcat-archive.nyc3.cdn.digitaloceanspaces.com/Ukraine_Witness_Datasheet/Worksheet/youtube_dl_1497224482829660162/out2.jpg")</f>
        <v/>
      </c>
      <c r="AQ610" s="84" t="s">
        <v>6539</v>
      </c>
      <c r="AR610" s="71" t="s">
        <v>6540</v>
      </c>
      <c r="AS610" s="71" t="s">
        <v>6541</v>
      </c>
      <c r="AT610" s="71">
        <v>14.666</v>
      </c>
      <c r="AU610" s="89"/>
      <c r="AV610" s="162"/>
      <c r="AW610" s="81"/>
    </row>
    <row r="611" ht="15.75" customHeight="1">
      <c r="A611" s="144" t="s">
        <v>6323</v>
      </c>
      <c r="B611" s="73"/>
      <c r="C611" s="132"/>
      <c r="D611" s="121"/>
      <c r="E611" s="121"/>
      <c r="F611" s="89"/>
      <c r="G611" s="242" t="s">
        <v>6542</v>
      </c>
      <c r="H611" s="61" t="s">
        <v>66</v>
      </c>
      <c r="I611" s="75"/>
      <c r="J611" s="63" t="s">
        <v>6543</v>
      </c>
      <c r="K611" s="69"/>
      <c r="L611" s="134"/>
      <c r="M611" s="111"/>
      <c r="N611" s="111"/>
      <c r="O611" s="111"/>
      <c r="P611" s="67" t="str">
        <f t="shared" si="1"/>
        <v/>
      </c>
      <c r="Q611" s="67" t="str">
        <f t="shared" si="2"/>
        <v/>
      </c>
      <c r="R611" s="67" t="str">
        <f t="shared" si="3"/>
        <v/>
      </c>
      <c r="S611" s="67" t="str">
        <f t="shared" si="4"/>
        <v/>
      </c>
      <c r="T611" s="161"/>
      <c r="U611" s="69"/>
      <c r="V611" s="169" t="s">
        <v>6544</v>
      </c>
      <c r="W611" s="161"/>
      <c r="X611" s="194"/>
      <c r="Y611" s="73"/>
      <c r="Z611" s="73"/>
      <c r="AA611" s="73"/>
      <c r="AB611" s="73"/>
      <c r="AC611" s="73"/>
      <c r="AD611" s="73"/>
      <c r="AE611" s="73"/>
      <c r="AF611" s="73"/>
      <c r="AG611" s="73"/>
      <c r="AH611" s="73"/>
      <c r="AI611" s="73"/>
      <c r="AJ611" s="75"/>
      <c r="AK611" s="76" t="s">
        <v>798</v>
      </c>
      <c r="AL611" s="83" t="s">
        <v>6545</v>
      </c>
      <c r="AM611" s="71" t="s">
        <v>6546</v>
      </c>
      <c r="AN611" s="84" t="s">
        <v>6547</v>
      </c>
      <c r="AO611" s="71" t="s">
        <v>6548</v>
      </c>
      <c r="AP611" s="161" t="str">
        <f>IMAGE("https://bellingcat-archive.nyc3.cdn.digitaloceanspaces.com/Ukraine_Witness_Datasheet/Worksheet/youtube_dl_1497174032894074883/out2.jpg")</f>
        <v/>
      </c>
      <c r="AQ611" s="84" t="s">
        <v>6549</v>
      </c>
      <c r="AR611" s="71" t="s">
        <v>6550</v>
      </c>
      <c r="AS611" s="71" t="s">
        <v>6551</v>
      </c>
      <c r="AT611" s="71">
        <v>15.441</v>
      </c>
      <c r="AU611" s="89"/>
      <c r="AV611" s="162"/>
      <c r="AW611" s="81"/>
    </row>
    <row r="612" ht="15.75" customHeight="1">
      <c r="A612" s="175"/>
      <c r="B612" s="73"/>
      <c r="C612" s="132"/>
      <c r="D612" s="121"/>
      <c r="E612" s="121"/>
      <c r="F612" s="89"/>
      <c r="G612" s="84" t="s">
        <v>6552</v>
      </c>
      <c r="H612" s="73"/>
      <c r="I612" s="75"/>
      <c r="J612" s="168"/>
      <c r="K612" s="69"/>
      <c r="L612" s="134"/>
      <c r="M612" s="111"/>
      <c r="N612" s="111"/>
      <c r="O612" s="111"/>
      <c r="P612" s="67" t="str">
        <f t="shared" si="1"/>
        <v/>
      </c>
      <c r="Q612" s="67" t="str">
        <f t="shared" si="2"/>
        <v/>
      </c>
      <c r="R612" s="67" t="str">
        <f t="shared" si="3"/>
        <v/>
      </c>
      <c r="S612" s="67" t="str">
        <f t="shared" si="4"/>
        <v/>
      </c>
      <c r="T612" s="161"/>
      <c r="U612" s="69"/>
      <c r="V612" s="169" t="s">
        <v>6553</v>
      </c>
      <c r="W612" s="161"/>
      <c r="X612" s="194"/>
      <c r="Y612" s="73"/>
      <c r="Z612" s="73"/>
      <c r="AA612" s="73"/>
      <c r="AB612" s="73"/>
      <c r="AC612" s="73"/>
      <c r="AD612" s="73"/>
      <c r="AE612" s="73"/>
      <c r="AF612" s="73"/>
      <c r="AG612" s="73"/>
      <c r="AH612" s="73"/>
      <c r="AI612" s="73"/>
      <c r="AJ612" s="75"/>
      <c r="AK612" s="76" t="s">
        <v>798</v>
      </c>
      <c r="AL612" s="83" t="s">
        <v>6554</v>
      </c>
      <c r="AM612" s="71" t="s">
        <v>6555</v>
      </c>
      <c r="AN612" s="84" t="s">
        <v>6556</v>
      </c>
      <c r="AO612" s="71" t="s">
        <v>6557</v>
      </c>
      <c r="AP612" s="161" t="str">
        <f>IMAGE("https://bellingcat-archive.nyc3.cdn.digitaloceanspaces.com/Ukraine_Witness_Datasheet/Worksheet/youtube_dl_1497229423036313605/out3.jpg")</f>
        <v/>
      </c>
      <c r="AQ612" s="84" t="s">
        <v>6558</v>
      </c>
      <c r="AR612" s="71" t="s">
        <v>6559</v>
      </c>
      <c r="AS612" s="71" t="s">
        <v>6560</v>
      </c>
      <c r="AT612" s="71">
        <v>92.694</v>
      </c>
      <c r="AU612" s="89"/>
      <c r="AV612" s="162"/>
      <c r="AW612" s="81"/>
    </row>
    <row r="613" ht="15.75" customHeight="1">
      <c r="A613" s="95" t="s">
        <v>3944</v>
      </c>
      <c r="B613" s="73"/>
      <c r="C613" s="101" t="s">
        <v>5586</v>
      </c>
      <c r="D613" s="104">
        <v>46.942683</v>
      </c>
      <c r="E613" s="104">
        <v>32.096746</v>
      </c>
      <c r="F613" s="59">
        <v>1.0</v>
      </c>
      <c r="G613" s="84" t="s">
        <v>6561</v>
      </c>
      <c r="H613" s="61" t="s">
        <v>91</v>
      </c>
      <c r="I613" s="75"/>
      <c r="J613" s="63" t="s">
        <v>6562</v>
      </c>
      <c r="K613" s="69"/>
      <c r="L613" s="110" t="s">
        <v>3542</v>
      </c>
      <c r="M613" s="92" t="s">
        <v>6563</v>
      </c>
      <c r="N613" s="111"/>
      <c r="O613" s="111"/>
      <c r="P613" s="67" t="str">
        <f t="shared" si="1"/>
        <v>46.942683, 32.096746</v>
      </c>
      <c r="Q613" s="67" t="str">
        <f t="shared" si="2"/>
        <v>46.94256, 32.097462</v>
      </c>
      <c r="R613" s="67">
        <f t="shared" si="3"/>
        <v>46.94256</v>
      </c>
      <c r="S613" s="67">
        <f t="shared" si="4"/>
        <v>32.097462</v>
      </c>
      <c r="T613" s="161"/>
      <c r="U613" s="69"/>
      <c r="V613" s="169" t="s">
        <v>6564</v>
      </c>
      <c r="W613" s="91" t="s">
        <v>6014</v>
      </c>
      <c r="X613" s="72" t="s">
        <v>75</v>
      </c>
      <c r="Y613" s="73"/>
      <c r="Z613" s="73"/>
      <c r="AA613" s="73"/>
      <c r="AB613" s="73"/>
      <c r="AC613" s="73"/>
      <c r="AD613" s="73"/>
      <c r="AE613" s="73"/>
      <c r="AF613" s="73"/>
      <c r="AG613" s="73"/>
      <c r="AH613" s="73"/>
      <c r="AI613" s="73"/>
      <c r="AJ613" s="75"/>
      <c r="AK613" s="76" t="s">
        <v>2108</v>
      </c>
      <c r="AL613" s="83" t="s">
        <v>6565</v>
      </c>
      <c r="AM613" s="71" t="s">
        <v>6566</v>
      </c>
      <c r="AN613" s="84" t="s">
        <v>6567</v>
      </c>
      <c r="AO613" s="71" t="s">
        <v>6568</v>
      </c>
      <c r="AP613" s="161" t="str">
        <f>IMAGE("https://bellingcat-archive.nyc3.cdn.digitaloceanspaces.com/Ukraine_Witness_Datasheet/Worksheet/twitter__media_FMY4hw5XoAQN95w.jpg")</f>
        <v/>
      </c>
      <c r="AQ613" s="161"/>
      <c r="AR613" s="161"/>
      <c r="AS613" s="161"/>
      <c r="AT613" s="161"/>
      <c r="AU613" s="89"/>
      <c r="AV613" s="162"/>
      <c r="AW613" s="81"/>
    </row>
    <row r="614" ht="15.75" customHeight="1">
      <c r="A614" s="175"/>
      <c r="B614" s="73"/>
      <c r="C614" s="101" t="s">
        <v>6118</v>
      </c>
      <c r="D614" s="121"/>
      <c r="E614" s="121"/>
      <c r="F614" s="243">
        <v>4.0</v>
      </c>
      <c r="G614" s="84" t="s">
        <v>6569</v>
      </c>
      <c r="H614" s="73"/>
      <c r="I614" s="75"/>
      <c r="J614" s="63" t="s">
        <v>6570</v>
      </c>
      <c r="K614" s="69"/>
      <c r="L614" s="134"/>
      <c r="M614" s="111"/>
      <c r="N614" s="111"/>
      <c r="O614" s="111"/>
      <c r="P614" s="67" t="str">
        <f t="shared" si="1"/>
        <v/>
      </c>
      <c r="Q614" s="67" t="str">
        <f t="shared" si="2"/>
        <v/>
      </c>
      <c r="R614" s="67" t="str">
        <f t="shared" si="3"/>
        <v/>
      </c>
      <c r="S614" s="67" t="str">
        <f t="shared" si="4"/>
        <v/>
      </c>
      <c r="T614" s="161"/>
      <c r="U614" s="69"/>
      <c r="V614" s="169" t="s">
        <v>6571</v>
      </c>
      <c r="W614" s="161"/>
      <c r="X614" s="194"/>
      <c r="Y614" s="73"/>
      <c r="Z614" s="73"/>
      <c r="AA614" s="73"/>
      <c r="AB614" s="73"/>
      <c r="AC614" s="73"/>
      <c r="AD614" s="73"/>
      <c r="AE614" s="73"/>
      <c r="AF614" s="73"/>
      <c r="AG614" s="73"/>
      <c r="AH614" s="73"/>
      <c r="AI614" s="73"/>
      <c r="AJ614" s="75"/>
      <c r="AK614" s="76" t="s">
        <v>2108</v>
      </c>
      <c r="AL614" s="83" t="s">
        <v>6572</v>
      </c>
      <c r="AM614" s="71" t="s">
        <v>6573</v>
      </c>
      <c r="AN614" s="84" t="s">
        <v>6574</v>
      </c>
      <c r="AO614" s="71" t="s">
        <v>6575</v>
      </c>
      <c r="AP614" s="161" t="str">
        <f>IMAGE("https://bellingcat-archive.nyc3.cdn.digitaloceanspaces.com/Ukraine_Witness_Datasheet/Worksheet/twitter__media_FMcvZcvXMAY4G9D.jpg")</f>
        <v/>
      </c>
      <c r="AQ614" s="161"/>
      <c r="AR614" s="161"/>
      <c r="AS614" s="161"/>
      <c r="AT614" s="161"/>
      <c r="AU614" s="89"/>
      <c r="AV614" s="162"/>
      <c r="AW614" s="81"/>
    </row>
    <row r="615" ht="15.75" customHeight="1">
      <c r="A615" s="175"/>
      <c r="B615" s="73"/>
      <c r="C615" s="132"/>
      <c r="D615" s="121"/>
      <c r="E615" s="121"/>
      <c r="F615" s="89"/>
      <c r="G615" s="84" t="s">
        <v>6576</v>
      </c>
      <c r="H615" s="73"/>
      <c r="I615" s="75"/>
      <c r="J615" s="168"/>
      <c r="K615" s="69"/>
      <c r="L615" s="134"/>
      <c r="M615" s="111"/>
      <c r="N615" s="111"/>
      <c r="O615" s="111"/>
      <c r="P615" s="67" t="str">
        <f t="shared" si="1"/>
        <v/>
      </c>
      <c r="Q615" s="67" t="str">
        <f t="shared" si="2"/>
        <v/>
      </c>
      <c r="R615" s="67" t="str">
        <f t="shared" si="3"/>
        <v/>
      </c>
      <c r="S615" s="67" t="str">
        <f t="shared" si="4"/>
        <v/>
      </c>
      <c r="T615" s="161"/>
      <c r="U615" s="69"/>
      <c r="V615" s="169" t="s">
        <v>6577</v>
      </c>
      <c r="W615" s="161"/>
      <c r="X615" s="194"/>
      <c r="Y615" s="73"/>
      <c r="Z615" s="73"/>
      <c r="AA615" s="73"/>
      <c r="AB615" s="73"/>
      <c r="AC615" s="73"/>
      <c r="AD615" s="73"/>
      <c r="AE615" s="73"/>
      <c r="AF615" s="73"/>
      <c r="AG615" s="73"/>
      <c r="AH615" s="73"/>
      <c r="AI615" s="73"/>
      <c r="AJ615" s="75"/>
      <c r="AK615" s="76" t="s">
        <v>798</v>
      </c>
      <c r="AL615" s="83" t="s">
        <v>6578</v>
      </c>
      <c r="AM615" s="71" t="s">
        <v>6579</v>
      </c>
      <c r="AN615" s="84" t="s">
        <v>6580</v>
      </c>
      <c r="AO615" s="71" t="s">
        <v>6581</v>
      </c>
      <c r="AP615" s="161" t="str">
        <f>IMAGE("https://bellingcat-archive.nyc3.cdn.digitaloceanspaces.com/Ukraine_Witness_Datasheet/Worksheet/youtube_dl_1497228226439131136/out2.jpg")</f>
        <v/>
      </c>
      <c r="AQ615" s="84" t="s">
        <v>6582</v>
      </c>
      <c r="AR615" s="71" t="s">
        <v>6583</v>
      </c>
      <c r="AS615" s="71" t="s">
        <v>6584</v>
      </c>
      <c r="AT615" s="71">
        <v>45.802</v>
      </c>
      <c r="AU615" s="89"/>
      <c r="AV615" s="162"/>
      <c r="AW615" s="81"/>
    </row>
    <row r="616" ht="15.75" customHeight="1">
      <c r="A616" s="87" t="s">
        <v>2580</v>
      </c>
      <c r="B616" s="73"/>
      <c r="C616" s="101" t="s">
        <v>5586</v>
      </c>
      <c r="D616" s="74">
        <v>48.372558</v>
      </c>
      <c r="E616" s="74">
        <v>35.070072</v>
      </c>
      <c r="F616" s="237">
        <v>1.0</v>
      </c>
      <c r="G616" s="84" t="s">
        <v>6585</v>
      </c>
      <c r="H616" s="61" t="s">
        <v>5368</v>
      </c>
      <c r="I616" s="75"/>
      <c r="J616" s="63" t="s">
        <v>6586</v>
      </c>
      <c r="K616" s="88" t="s">
        <v>6585</v>
      </c>
      <c r="L616" s="110" t="s">
        <v>3542</v>
      </c>
      <c r="M616" s="92" t="s">
        <v>6587</v>
      </c>
      <c r="N616" s="111"/>
      <c r="O616" s="92" t="s">
        <v>6588</v>
      </c>
      <c r="P616" s="67" t="str">
        <f t="shared" si="1"/>
        <v>48.372558, 35.070072</v>
      </c>
      <c r="Q616" s="67" t="str">
        <f t="shared" si="2"/>
        <v>48.372457, 35.070592</v>
      </c>
      <c r="R616" s="67">
        <f t="shared" si="3"/>
        <v>48.372457</v>
      </c>
      <c r="S616" s="67">
        <f t="shared" si="4"/>
        <v>35.070592</v>
      </c>
      <c r="T616" s="161"/>
      <c r="U616" s="69"/>
      <c r="V616" s="169" t="s">
        <v>6589</v>
      </c>
      <c r="W616" s="91" t="s">
        <v>6014</v>
      </c>
      <c r="X616" s="72" t="s">
        <v>75</v>
      </c>
      <c r="Y616" s="73"/>
      <c r="Z616" s="73"/>
      <c r="AA616" s="73"/>
      <c r="AB616" s="73"/>
      <c r="AC616" s="73"/>
      <c r="AD616" s="73"/>
      <c r="AE616" s="73"/>
      <c r="AF616" s="73"/>
      <c r="AG616" s="73"/>
      <c r="AH616" s="73"/>
      <c r="AI616" s="73"/>
      <c r="AJ616" s="75"/>
      <c r="AK616" s="76" t="s">
        <v>2108</v>
      </c>
      <c r="AL616" s="83" t="s">
        <v>6590</v>
      </c>
      <c r="AM616" s="71" t="s">
        <v>6591</v>
      </c>
      <c r="AN616" s="84" t="s">
        <v>6592</v>
      </c>
      <c r="AO616" s="71" t="s">
        <v>6593</v>
      </c>
      <c r="AP616" s="161" t="str">
        <f>IMAGE("https://bellingcat-archive.nyc3.cdn.digitaloceanspaces.com/Ukraine_Witness_Datasheet/Worksheet/twitter__media_FMZoxq3X0AMTL_g.jpg")</f>
        <v/>
      </c>
      <c r="AQ616" s="161"/>
      <c r="AR616" s="161"/>
      <c r="AS616" s="161"/>
      <c r="AT616" s="161"/>
      <c r="AU616" s="89"/>
      <c r="AV616" s="162"/>
      <c r="AW616" s="81"/>
    </row>
    <row r="617" ht="15.75" customHeight="1">
      <c r="A617" s="175"/>
      <c r="B617" s="73"/>
      <c r="C617" s="132"/>
      <c r="D617" s="121"/>
      <c r="E617" s="121"/>
      <c r="F617" s="89"/>
      <c r="G617" s="84" t="s">
        <v>6594</v>
      </c>
      <c r="H617" s="73"/>
      <c r="I617" s="75"/>
      <c r="J617" s="168"/>
      <c r="K617" s="69"/>
      <c r="L617" s="134"/>
      <c r="M617" s="111"/>
      <c r="N617" s="111"/>
      <c r="O617" s="111"/>
      <c r="P617" s="67" t="str">
        <f t="shared" si="1"/>
        <v/>
      </c>
      <c r="Q617" s="67" t="str">
        <f t="shared" si="2"/>
        <v/>
      </c>
      <c r="R617" s="67" t="str">
        <f t="shared" si="3"/>
        <v/>
      </c>
      <c r="S617" s="67" t="str">
        <f t="shared" si="4"/>
        <v/>
      </c>
      <c r="T617" s="161"/>
      <c r="U617" s="69"/>
      <c r="V617" s="169" t="s">
        <v>6595</v>
      </c>
      <c r="W617" s="161"/>
      <c r="X617" s="194"/>
      <c r="Y617" s="73"/>
      <c r="Z617" s="73"/>
      <c r="AA617" s="73"/>
      <c r="AB617" s="73"/>
      <c r="AC617" s="73"/>
      <c r="AD617" s="73"/>
      <c r="AE617" s="73"/>
      <c r="AF617" s="73"/>
      <c r="AG617" s="73"/>
      <c r="AH617" s="73"/>
      <c r="AI617" s="73"/>
      <c r="AJ617" s="75"/>
      <c r="AK617" s="76" t="s">
        <v>798</v>
      </c>
      <c r="AL617" s="83" t="s">
        <v>6596</v>
      </c>
      <c r="AM617" s="71" t="s">
        <v>6597</v>
      </c>
      <c r="AN617" s="84" t="s">
        <v>6598</v>
      </c>
      <c r="AO617" s="71" t="s">
        <v>6599</v>
      </c>
      <c r="AP617" s="161" t="str">
        <f>IMAGE("https://bellingcat-archive.nyc3.cdn.digitaloceanspaces.com/Ukraine_Witness_Datasheet/Worksheet/youtube_dl_1497233420027576324/out2.jpg")</f>
        <v/>
      </c>
      <c r="AQ617" s="84" t="s">
        <v>6600</v>
      </c>
      <c r="AR617" s="71" t="s">
        <v>5974</v>
      </c>
      <c r="AS617" s="71" t="s">
        <v>6601</v>
      </c>
      <c r="AT617" s="71">
        <v>44.466</v>
      </c>
      <c r="AU617" s="89"/>
      <c r="AV617" s="162"/>
      <c r="AW617" s="81"/>
    </row>
    <row r="618" ht="15.75" customHeight="1">
      <c r="A618" s="175"/>
      <c r="B618" s="73"/>
      <c r="C618" s="132"/>
      <c r="D618" s="121"/>
      <c r="E618" s="121"/>
      <c r="F618" s="89"/>
      <c r="G618" s="84" t="s">
        <v>6602</v>
      </c>
      <c r="H618" s="73"/>
      <c r="I618" s="75"/>
      <c r="J618" s="168"/>
      <c r="K618" s="69"/>
      <c r="L618" s="134"/>
      <c r="M618" s="111"/>
      <c r="N618" s="111"/>
      <c r="O618" s="111"/>
      <c r="P618" s="67" t="str">
        <f t="shared" si="1"/>
        <v/>
      </c>
      <c r="Q618" s="67" t="str">
        <f t="shared" si="2"/>
        <v/>
      </c>
      <c r="R618" s="67" t="str">
        <f t="shared" si="3"/>
        <v/>
      </c>
      <c r="S618" s="67" t="str">
        <f t="shared" si="4"/>
        <v/>
      </c>
      <c r="T618" s="161"/>
      <c r="U618" s="69"/>
      <c r="V618" s="169" t="s">
        <v>6603</v>
      </c>
      <c r="W618" s="161"/>
      <c r="X618" s="194"/>
      <c r="Y618" s="73"/>
      <c r="Z618" s="73"/>
      <c r="AA618" s="73"/>
      <c r="AB618" s="73"/>
      <c r="AC618" s="73"/>
      <c r="AD618" s="73"/>
      <c r="AE618" s="73"/>
      <c r="AF618" s="73"/>
      <c r="AG618" s="73"/>
      <c r="AH618" s="73"/>
      <c r="AI618" s="73"/>
      <c r="AJ618" s="75"/>
      <c r="AK618" s="76" t="s">
        <v>6276</v>
      </c>
      <c r="AL618" s="83" t="s">
        <v>6604</v>
      </c>
      <c r="AM618" s="71" t="s">
        <v>6605</v>
      </c>
      <c r="AN618" s="84" t="s">
        <v>6606</v>
      </c>
      <c r="AO618" s="71" t="s">
        <v>6607</v>
      </c>
      <c r="AP618" s="161" t="str">
        <f>IMAGE("https://bellingcat-archive.nyc3.cdn.digitaloceanspaces.com/Ukraine_Witness_Datasheet/Worksheet/telegram_102239f27b/out2.jpg")</f>
        <v/>
      </c>
      <c r="AQ618" s="84" t="s">
        <v>6608</v>
      </c>
      <c r="AR618" s="84" t="s">
        <v>6602</v>
      </c>
      <c r="AS618" s="71" t="s">
        <v>6609</v>
      </c>
      <c r="AT618" s="71">
        <v>22.0</v>
      </c>
      <c r="AU618" s="89"/>
      <c r="AV618" s="162"/>
      <c r="AW618" s="81"/>
    </row>
    <row r="619" ht="15.75" customHeight="1">
      <c r="A619" s="165"/>
      <c r="B619" s="73"/>
      <c r="C619" s="101" t="s">
        <v>6118</v>
      </c>
      <c r="D619" s="121"/>
      <c r="E619" s="121"/>
      <c r="F619" s="59">
        <v>1.0</v>
      </c>
      <c r="G619" s="84" t="s">
        <v>6610</v>
      </c>
      <c r="H619" s="61" t="s">
        <v>66</v>
      </c>
      <c r="I619" s="75"/>
      <c r="J619" s="63" t="s">
        <v>6611</v>
      </c>
      <c r="K619" s="64"/>
      <c r="L619" s="134"/>
      <c r="M619" s="111"/>
      <c r="N619" s="111"/>
      <c r="O619" s="111"/>
      <c r="P619" s="67" t="str">
        <f t="shared" si="1"/>
        <v/>
      </c>
      <c r="Q619" s="67" t="str">
        <f t="shared" si="2"/>
        <v/>
      </c>
      <c r="R619" s="67" t="str">
        <f t="shared" si="3"/>
        <v/>
      </c>
      <c r="S619" s="67" t="str">
        <f t="shared" si="4"/>
        <v/>
      </c>
      <c r="T619" s="161"/>
      <c r="U619" s="69"/>
      <c r="V619" s="169" t="s">
        <v>6612</v>
      </c>
      <c r="W619" s="161"/>
      <c r="X619" s="194"/>
      <c r="Y619" s="73"/>
      <c r="Z619" s="73"/>
      <c r="AA619" s="73"/>
      <c r="AB619" s="73"/>
      <c r="AC619" s="73"/>
      <c r="AD619" s="73"/>
      <c r="AE619" s="73"/>
      <c r="AF619" s="73"/>
      <c r="AG619" s="73"/>
      <c r="AH619" s="73"/>
      <c r="AI619" s="73"/>
      <c r="AJ619" s="75"/>
      <c r="AK619" s="76" t="s">
        <v>798</v>
      </c>
      <c r="AL619" s="83" t="s">
        <v>6613</v>
      </c>
      <c r="AM619" s="71" t="s">
        <v>6614</v>
      </c>
      <c r="AN619" s="84" t="s">
        <v>6615</v>
      </c>
      <c r="AO619" s="71" t="s">
        <v>6616</v>
      </c>
      <c r="AP619" s="161" t="str">
        <f>IMAGE("https://bellingcat-archive.nyc3.cdn.digitaloceanspaces.com/Ukraine_Witness_Datasheet/Worksheet/youtube_dl_1497224742700400648/out2.jpg")</f>
        <v/>
      </c>
      <c r="AQ619" s="84" t="s">
        <v>6617</v>
      </c>
      <c r="AR619" s="71" t="s">
        <v>6618</v>
      </c>
      <c r="AS619" s="71" t="s">
        <v>6619</v>
      </c>
      <c r="AT619" s="71">
        <v>47.5</v>
      </c>
      <c r="AU619" s="89"/>
      <c r="AV619" s="162"/>
      <c r="AW619" s="81"/>
    </row>
    <row r="620" ht="15.75" customHeight="1">
      <c r="A620" s="87" t="s">
        <v>2580</v>
      </c>
      <c r="B620" s="73"/>
      <c r="C620" s="101" t="s">
        <v>6620</v>
      </c>
      <c r="D620" s="123">
        <v>49.83189</v>
      </c>
      <c r="E620" s="123">
        <v>36.650706</v>
      </c>
      <c r="F620" s="237">
        <v>1.0</v>
      </c>
      <c r="G620" s="84" t="s">
        <v>6621</v>
      </c>
      <c r="H620" s="61" t="s">
        <v>5368</v>
      </c>
      <c r="I620" s="75"/>
      <c r="J620" s="63" t="s">
        <v>6622</v>
      </c>
      <c r="K620" s="88" t="s">
        <v>6621</v>
      </c>
      <c r="L620" s="110" t="s">
        <v>3542</v>
      </c>
      <c r="M620" s="92" t="s">
        <v>5590</v>
      </c>
      <c r="N620" s="111"/>
      <c r="O620" s="92" t="s">
        <v>5647</v>
      </c>
      <c r="P620" s="67" t="str">
        <f t="shared" si="1"/>
        <v>49.83189, 36.650706</v>
      </c>
      <c r="Q620" s="67" t="str">
        <f t="shared" si="2"/>
        <v>49.831489, 36.650208</v>
      </c>
      <c r="R620" s="67">
        <f t="shared" si="3"/>
        <v>49.831489</v>
      </c>
      <c r="S620" s="67">
        <f t="shared" si="4"/>
        <v>36.650208</v>
      </c>
      <c r="T620" s="161"/>
      <c r="U620" s="69"/>
      <c r="V620" s="169" t="s">
        <v>6623</v>
      </c>
      <c r="W620" s="91" t="s">
        <v>6014</v>
      </c>
      <c r="X620" s="72" t="s">
        <v>75</v>
      </c>
      <c r="Y620" s="73"/>
      <c r="Z620" s="73"/>
      <c r="AA620" s="73"/>
      <c r="AB620" s="73"/>
      <c r="AC620" s="73"/>
      <c r="AD620" s="73"/>
      <c r="AE620" s="73"/>
      <c r="AF620" s="73"/>
      <c r="AG620" s="73"/>
      <c r="AH620" s="73"/>
      <c r="AI620" s="73"/>
      <c r="AJ620" s="75"/>
      <c r="AK620" s="76" t="s">
        <v>2108</v>
      </c>
      <c r="AL620" s="83" t="s">
        <v>6624</v>
      </c>
      <c r="AM620" s="71" t="s">
        <v>6625</v>
      </c>
      <c r="AN620" s="84" t="s">
        <v>6626</v>
      </c>
      <c r="AO620" s="71" t="s">
        <v>6627</v>
      </c>
      <c r="AP620" s="161" t="str">
        <f>IMAGE("https://bellingcat-archive.nyc3.cdn.digitaloceanspaces.com/Ukraine_Witness_Datasheet/Worksheet/twitter__media_FMZovW8XsAkp_R7.jpg")</f>
        <v/>
      </c>
      <c r="AQ620" s="161"/>
      <c r="AR620" s="161"/>
      <c r="AS620" s="161"/>
      <c r="AT620" s="161"/>
      <c r="AU620" s="89"/>
      <c r="AV620" s="162"/>
      <c r="AW620" s="81"/>
    </row>
    <row r="621" ht="15.75" customHeight="1">
      <c r="A621" s="172"/>
      <c r="B621" s="73"/>
      <c r="C621" s="132"/>
      <c r="D621" s="121"/>
      <c r="E621" s="121"/>
      <c r="F621" s="89"/>
      <c r="G621" s="84" t="s">
        <v>6628</v>
      </c>
      <c r="H621" s="73"/>
      <c r="I621" s="75"/>
      <c r="J621" s="168"/>
      <c r="K621" s="88" t="s">
        <v>6629</v>
      </c>
      <c r="L621" s="134"/>
      <c r="M621" s="111"/>
      <c r="N621" s="111"/>
      <c r="O621" s="111"/>
      <c r="P621" s="67" t="str">
        <f t="shared" si="1"/>
        <v/>
      </c>
      <c r="Q621" s="67" t="str">
        <f t="shared" si="2"/>
        <v/>
      </c>
      <c r="R621" s="67" t="str">
        <f t="shared" si="3"/>
        <v/>
      </c>
      <c r="S621" s="67" t="str">
        <f t="shared" si="4"/>
        <v/>
      </c>
      <c r="T621" s="161"/>
      <c r="U621" s="69"/>
      <c r="V621" s="169" t="s">
        <v>6630</v>
      </c>
      <c r="W621" s="161"/>
      <c r="X621" s="194"/>
      <c r="Y621" s="73"/>
      <c r="Z621" s="73"/>
      <c r="AA621" s="73"/>
      <c r="AB621" s="73"/>
      <c r="AC621" s="73"/>
      <c r="AD621" s="73"/>
      <c r="AE621" s="73"/>
      <c r="AF621" s="73"/>
      <c r="AG621" s="73"/>
      <c r="AH621" s="73"/>
      <c r="AI621" s="73"/>
      <c r="AJ621" s="75"/>
      <c r="AK621" s="76" t="s">
        <v>798</v>
      </c>
      <c r="AL621" s="83" t="s">
        <v>6631</v>
      </c>
      <c r="AM621" s="71" t="s">
        <v>6632</v>
      </c>
      <c r="AN621" s="84" t="s">
        <v>6633</v>
      </c>
      <c r="AO621" s="71" t="s">
        <v>6634</v>
      </c>
      <c r="AP621" s="161" t="str">
        <f>IMAGE("https://bellingcat-archive.nyc3.cdn.digitaloceanspaces.com/Ukraine_Witness_Datasheet/Worksheet/youtube_dl_1497231579524964352/out2.jpg")</f>
        <v/>
      </c>
      <c r="AQ621" s="84" t="s">
        <v>6635</v>
      </c>
      <c r="AR621" s="71" t="s">
        <v>6636</v>
      </c>
      <c r="AS621" s="71" t="s">
        <v>6637</v>
      </c>
      <c r="AT621" s="71">
        <v>58.8</v>
      </c>
      <c r="AU621" s="89"/>
      <c r="AV621" s="162"/>
      <c r="AW621" s="81"/>
    </row>
    <row r="622" ht="15.75" customHeight="1">
      <c r="A622" s="95" t="s">
        <v>63</v>
      </c>
      <c r="B622" s="73"/>
      <c r="C622" s="101" t="s">
        <v>5586</v>
      </c>
      <c r="D622" s="58">
        <v>46.839881</v>
      </c>
      <c r="E622" s="58">
        <v>35.371018</v>
      </c>
      <c r="F622" s="211">
        <v>2.0</v>
      </c>
      <c r="G622" s="84" t="s">
        <v>6638</v>
      </c>
      <c r="H622" s="61" t="s">
        <v>66</v>
      </c>
      <c r="I622" s="75"/>
      <c r="J622" s="63" t="s">
        <v>6639</v>
      </c>
      <c r="K622" s="69"/>
      <c r="L622" s="110" t="s">
        <v>3542</v>
      </c>
      <c r="M622" s="92" t="s">
        <v>6167</v>
      </c>
      <c r="N622" s="111"/>
      <c r="O622" s="92" t="s">
        <v>6168</v>
      </c>
      <c r="P622" s="67" t="str">
        <f t="shared" si="1"/>
        <v>46.839881, 35.371018</v>
      </c>
      <c r="Q622" s="67" t="str">
        <f t="shared" si="2"/>
        <v>46.839816, 35.37041</v>
      </c>
      <c r="R622" s="67">
        <f t="shared" si="3"/>
        <v>46.839816</v>
      </c>
      <c r="S622" s="67">
        <f t="shared" si="4"/>
        <v>35.37041</v>
      </c>
      <c r="T622" s="161"/>
      <c r="U622" s="69"/>
      <c r="V622" s="169" t="s">
        <v>6640</v>
      </c>
      <c r="W622" s="158" t="s">
        <v>6641</v>
      </c>
      <c r="X622" s="72" t="s">
        <v>75</v>
      </c>
      <c r="Y622" s="73"/>
      <c r="Z622" s="73"/>
      <c r="AA622" s="73"/>
      <c r="AB622" s="73"/>
      <c r="AC622" s="73"/>
      <c r="AD622" s="73"/>
      <c r="AE622" s="73"/>
      <c r="AF622" s="73"/>
      <c r="AG622" s="73"/>
      <c r="AH622" s="73"/>
      <c r="AI622" s="73"/>
      <c r="AJ622" s="75"/>
      <c r="AK622" s="76" t="s">
        <v>798</v>
      </c>
      <c r="AL622" s="83" t="s">
        <v>6642</v>
      </c>
      <c r="AM622" s="71" t="s">
        <v>6643</v>
      </c>
      <c r="AN622" s="84" t="s">
        <v>6644</v>
      </c>
      <c r="AO622" s="71" t="s">
        <v>6645</v>
      </c>
      <c r="AP622" s="161" t="str">
        <f>IMAGE("https://bellingcat-archive.nyc3.cdn.digitaloceanspaces.com/Ukraine_Witness_Datasheet/Worksheet/youtube_dl_1497244475986485255/out2.jpg")</f>
        <v/>
      </c>
      <c r="AQ622" s="84" t="s">
        <v>6646</v>
      </c>
      <c r="AR622" s="71" t="s">
        <v>6647</v>
      </c>
      <c r="AS622" s="71" t="s">
        <v>6648</v>
      </c>
      <c r="AT622" s="71">
        <v>33.633</v>
      </c>
      <c r="AU622" s="89"/>
      <c r="AV622" s="162"/>
      <c r="AW622" s="81"/>
    </row>
    <row r="623" ht="15.75" customHeight="1">
      <c r="A623" s="87" t="s">
        <v>2580</v>
      </c>
      <c r="B623" s="73"/>
      <c r="C623" s="101" t="s">
        <v>5586</v>
      </c>
      <c r="D623" s="74">
        <v>50.054474</v>
      </c>
      <c r="E623" s="74">
        <v>36.360731</v>
      </c>
      <c r="F623" s="237">
        <v>1.0</v>
      </c>
      <c r="G623" s="130" t="s">
        <v>6649</v>
      </c>
      <c r="H623" s="61" t="s">
        <v>5368</v>
      </c>
      <c r="I623" s="75"/>
      <c r="J623" s="63" t="s">
        <v>6650</v>
      </c>
      <c r="K623" s="88" t="s">
        <v>6649</v>
      </c>
      <c r="L623" s="110" t="s">
        <v>5670</v>
      </c>
      <c r="M623" s="92" t="s">
        <v>5590</v>
      </c>
      <c r="N623" s="111"/>
      <c r="O623" s="92" t="s">
        <v>5626</v>
      </c>
      <c r="P623" s="67" t="str">
        <f t="shared" si="1"/>
        <v>50.054474, 36.360731</v>
      </c>
      <c r="Q623" s="67" t="str">
        <f t="shared" si="2"/>
        <v>50.054257, 36.35984</v>
      </c>
      <c r="R623" s="67">
        <f t="shared" si="3"/>
        <v>50.054257</v>
      </c>
      <c r="S623" s="67">
        <f t="shared" si="4"/>
        <v>36.35984</v>
      </c>
      <c r="T623" s="161"/>
      <c r="U623" s="69"/>
      <c r="V623" s="65" t="s">
        <v>6651</v>
      </c>
      <c r="W623" s="91" t="s">
        <v>6014</v>
      </c>
      <c r="X623" s="72" t="s">
        <v>75</v>
      </c>
      <c r="Y623" s="73"/>
      <c r="Z623" s="73"/>
      <c r="AA623" s="73"/>
      <c r="AB623" s="73"/>
      <c r="AC623" s="73"/>
      <c r="AD623" s="73"/>
      <c r="AE623" s="73"/>
      <c r="AF623" s="73"/>
      <c r="AG623" s="73"/>
      <c r="AH623" s="73"/>
      <c r="AI623" s="73"/>
      <c r="AJ623" s="75"/>
      <c r="AK623" s="76" t="s">
        <v>2108</v>
      </c>
      <c r="AL623" s="83" t="s">
        <v>6652</v>
      </c>
      <c r="AM623" s="71" t="s">
        <v>6653</v>
      </c>
      <c r="AN623" s="84" t="s">
        <v>6654</v>
      </c>
      <c r="AO623" s="71" t="s">
        <v>6655</v>
      </c>
      <c r="AP623" s="161" t="str">
        <f>IMAGE("https://bellingcat-archive.nyc3.cdn.digitaloceanspaces.com/Ukraine_Witness_Datasheet/Worksheet/twitter__media_FMZos8wWUAMofdC.jpg")</f>
        <v/>
      </c>
      <c r="AQ623" s="161"/>
      <c r="AR623" s="161"/>
      <c r="AS623" s="161"/>
      <c r="AT623" s="161"/>
      <c r="AU623" s="89"/>
      <c r="AV623" s="162"/>
      <c r="AW623" s="81"/>
    </row>
    <row r="624" ht="15.75" customHeight="1">
      <c r="A624" s="95" t="s">
        <v>63</v>
      </c>
      <c r="B624" s="73"/>
      <c r="C624" s="101" t="s">
        <v>5586</v>
      </c>
      <c r="D624" s="58">
        <v>46.988831</v>
      </c>
      <c r="E624" s="58">
        <v>32.002648</v>
      </c>
      <c r="F624" s="89"/>
      <c r="G624" s="84" t="s">
        <v>6656</v>
      </c>
      <c r="H624" s="61" t="s">
        <v>66</v>
      </c>
      <c r="I624" s="75"/>
      <c r="J624" s="63" t="s">
        <v>6657</v>
      </c>
      <c r="K624" s="69"/>
      <c r="L624" s="110" t="s">
        <v>3542</v>
      </c>
      <c r="M624" s="92" t="s">
        <v>6563</v>
      </c>
      <c r="N624" s="111"/>
      <c r="O624" s="92" t="s">
        <v>6658</v>
      </c>
      <c r="P624" s="67" t="str">
        <f t="shared" si="1"/>
        <v>46.988831, 32.002648</v>
      </c>
      <c r="Q624" s="67" t="str">
        <f t="shared" si="2"/>
        <v>46.988413, 32.001768</v>
      </c>
      <c r="R624" s="67">
        <f t="shared" si="3"/>
        <v>46.988413</v>
      </c>
      <c r="S624" s="67">
        <f t="shared" si="4"/>
        <v>32.001768</v>
      </c>
      <c r="T624" s="161"/>
      <c r="U624" s="69"/>
      <c r="V624" s="65" t="s">
        <v>6659</v>
      </c>
      <c r="W624" s="71" t="s">
        <v>74</v>
      </c>
      <c r="X624" s="72" t="s">
        <v>75</v>
      </c>
      <c r="Y624" s="73"/>
      <c r="Z624" s="73"/>
      <c r="AA624" s="73"/>
      <c r="AB624" s="73"/>
      <c r="AC624" s="73"/>
      <c r="AD624" s="73"/>
      <c r="AE624" s="73"/>
      <c r="AF624" s="73"/>
      <c r="AG624" s="73"/>
      <c r="AH624" s="73"/>
      <c r="AI624" s="73"/>
      <c r="AJ624" s="75"/>
      <c r="AK624" s="76" t="s">
        <v>798</v>
      </c>
      <c r="AL624" s="83" t="s">
        <v>6660</v>
      </c>
      <c r="AM624" s="71" t="s">
        <v>6661</v>
      </c>
      <c r="AN624" s="84" t="s">
        <v>6662</v>
      </c>
      <c r="AO624" s="71" t="s">
        <v>6663</v>
      </c>
      <c r="AP624" s="161" t="str">
        <f>IMAGE("https://bellingcat-archive.nyc3.cdn.digitaloceanspaces.com/Ukraine_Witness_Datasheet/Worksheet/youtube_dl_1497246023055519747/out2.jpg")</f>
        <v/>
      </c>
      <c r="AQ624" s="84" t="s">
        <v>6664</v>
      </c>
      <c r="AR624" s="71" t="s">
        <v>6665</v>
      </c>
      <c r="AS624" s="71" t="s">
        <v>6666</v>
      </c>
      <c r="AT624" s="71">
        <v>39.533</v>
      </c>
      <c r="AU624" s="89"/>
      <c r="AV624" s="162"/>
      <c r="AW624" s="81"/>
    </row>
    <row r="625" ht="15.75" customHeight="1">
      <c r="A625" s="87" t="s">
        <v>2580</v>
      </c>
      <c r="B625" s="73"/>
      <c r="C625" s="101" t="s">
        <v>5586</v>
      </c>
      <c r="D625" s="74">
        <v>50.041369</v>
      </c>
      <c r="E625" s="74">
        <v>36.379219</v>
      </c>
      <c r="F625" s="237">
        <v>1.0</v>
      </c>
      <c r="G625" s="130" t="s">
        <v>6649</v>
      </c>
      <c r="H625" s="61" t="s">
        <v>5368</v>
      </c>
      <c r="I625" s="75"/>
      <c r="J625" s="63" t="s">
        <v>6667</v>
      </c>
      <c r="K625" s="88" t="s">
        <v>6649</v>
      </c>
      <c r="L625" s="110" t="s">
        <v>3542</v>
      </c>
      <c r="M625" s="92" t="s">
        <v>5590</v>
      </c>
      <c r="N625" s="111"/>
      <c r="O625" s="92" t="s">
        <v>6668</v>
      </c>
      <c r="P625" s="67" t="str">
        <f t="shared" si="1"/>
        <v>50.041369, 36.379219</v>
      </c>
      <c r="Q625" s="67" t="str">
        <f t="shared" si="2"/>
        <v>50.040556, 36.379162</v>
      </c>
      <c r="R625" s="67">
        <f t="shared" si="3"/>
        <v>50.040556</v>
      </c>
      <c r="S625" s="67">
        <f t="shared" si="4"/>
        <v>36.379162</v>
      </c>
      <c r="T625" s="161"/>
      <c r="U625" s="69"/>
      <c r="V625" s="65" t="s">
        <v>6669</v>
      </c>
      <c r="W625" s="91" t="s">
        <v>6014</v>
      </c>
      <c r="X625" s="72" t="s">
        <v>75</v>
      </c>
      <c r="Y625" s="73"/>
      <c r="Z625" s="73"/>
      <c r="AA625" s="73"/>
      <c r="AB625" s="73"/>
      <c r="AC625" s="73"/>
      <c r="AD625" s="73"/>
      <c r="AE625" s="73"/>
      <c r="AF625" s="73"/>
      <c r="AG625" s="73"/>
      <c r="AH625" s="73"/>
      <c r="AI625" s="73"/>
      <c r="AJ625" s="75"/>
      <c r="AK625" s="76" t="s">
        <v>2108</v>
      </c>
      <c r="AL625" s="83" t="s">
        <v>6652</v>
      </c>
      <c r="AM625" s="71" t="s">
        <v>6670</v>
      </c>
      <c r="AN625" s="84" t="s">
        <v>6671</v>
      </c>
      <c r="AO625" s="71" t="s">
        <v>6655</v>
      </c>
      <c r="AP625" s="161" t="str">
        <f>IMAGE("https://bellingcat-archive.nyc3.cdn.digitaloceanspaces.com/Ukraine_Witness_Datasheet/Worksheet/twitter__media_FMZos8wWUAMofdC.jpg")</f>
        <v/>
      </c>
      <c r="AQ625" s="161"/>
      <c r="AR625" s="161"/>
      <c r="AS625" s="161"/>
      <c r="AT625" s="161"/>
      <c r="AU625" s="89"/>
      <c r="AV625" s="162"/>
      <c r="AW625" s="81"/>
    </row>
    <row r="626" ht="15.75" customHeight="1">
      <c r="A626" s="244"/>
      <c r="B626" s="73"/>
      <c r="C626" s="101" t="s">
        <v>6118</v>
      </c>
      <c r="D626" s="121">
        <v>49.850781</v>
      </c>
      <c r="E626" s="245">
        <v>36.659762</v>
      </c>
      <c r="F626" s="239">
        <v>5.0</v>
      </c>
      <c r="G626" s="84" t="s">
        <v>6672</v>
      </c>
      <c r="H626" s="61" t="s">
        <v>66</v>
      </c>
      <c r="I626" s="75"/>
      <c r="J626" s="63" t="s">
        <v>6673</v>
      </c>
      <c r="K626" s="69"/>
      <c r="L626" s="134"/>
      <c r="M626" s="111"/>
      <c r="N626" s="111"/>
      <c r="O626" s="111"/>
      <c r="P626" s="67" t="str">
        <f t="shared" si="1"/>
        <v>49.850781, 36.659762</v>
      </c>
      <c r="Q626" s="67" t="str">
        <f t="shared" si="2"/>
        <v>49.850528, 36.659022</v>
      </c>
      <c r="R626" s="67">
        <f t="shared" si="3"/>
        <v>49.850528</v>
      </c>
      <c r="S626" s="67">
        <f t="shared" si="4"/>
        <v>36.659022</v>
      </c>
      <c r="T626" s="161"/>
      <c r="U626" s="69"/>
      <c r="V626" s="169" t="s">
        <v>6674</v>
      </c>
      <c r="W626" s="161"/>
      <c r="X626" s="194"/>
      <c r="Y626" s="73"/>
      <c r="Z626" s="73"/>
      <c r="AA626" s="73"/>
      <c r="AB626" s="73"/>
      <c r="AC626" s="73"/>
      <c r="AD626" s="73"/>
      <c r="AE626" s="73"/>
      <c r="AF626" s="73"/>
      <c r="AG626" s="73"/>
      <c r="AH626" s="73"/>
      <c r="AI626" s="73"/>
      <c r="AJ626" s="75"/>
      <c r="AK626" s="76" t="s">
        <v>798</v>
      </c>
      <c r="AL626" s="83" t="s">
        <v>6675</v>
      </c>
      <c r="AM626" s="71" t="s">
        <v>6676</v>
      </c>
      <c r="AN626" s="84" t="s">
        <v>6677</v>
      </c>
      <c r="AO626" s="71" t="s">
        <v>6678</v>
      </c>
      <c r="AP626" s="161" t="str">
        <f>IMAGE("https://bellingcat-archive.nyc3.cdn.digitaloceanspaces.com/Ukraine_Witness_Datasheet/Worksheet/youtube_dl_1497225554763857941/out2.jpg")</f>
        <v/>
      </c>
      <c r="AQ626" s="84" t="s">
        <v>6679</v>
      </c>
      <c r="AR626" s="71" t="s">
        <v>6680</v>
      </c>
      <c r="AS626" s="71" t="s">
        <v>6681</v>
      </c>
      <c r="AT626" s="71">
        <v>17.5</v>
      </c>
      <c r="AU626" s="89"/>
      <c r="AV626" s="162"/>
      <c r="AW626" s="81"/>
    </row>
    <row r="627" ht="15.75" customHeight="1">
      <c r="A627" s="246" t="s">
        <v>6682</v>
      </c>
      <c r="B627" s="73"/>
      <c r="C627" s="247" t="s">
        <v>5586</v>
      </c>
      <c r="D627" s="121">
        <v>49.850781</v>
      </c>
      <c r="E627" s="245">
        <v>36.659762</v>
      </c>
      <c r="F627" s="89"/>
      <c r="G627" s="84" t="s">
        <v>6683</v>
      </c>
      <c r="H627" s="73"/>
      <c r="I627" s="62" t="s">
        <v>5818</v>
      </c>
      <c r="J627" s="63" t="s">
        <v>6684</v>
      </c>
      <c r="K627" s="69"/>
      <c r="L627" s="110" t="s">
        <v>3542</v>
      </c>
      <c r="M627" s="92" t="s">
        <v>5590</v>
      </c>
      <c r="N627" s="111"/>
      <c r="O627" s="92" t="s">
        <v>5647</v>
      </c>
      <c r="P627" s="67" t="str">
        <f t="shared" si="1"/>
        <v>49.850781, 36.659762</v>
      </c>
      <c r="Q627" s="67" t="str">
        <f t="shared" si="2"/>
        <v>49.850245, 36.659399</v>
      </c>
      <c r="R627" s="67">
        <f t="shared" si="3"/>
        <v>49.850245</v>
      </c>
      <c r="S627" s="67">
        <f t="shared" si="4"/>
        <v>36.659399</v>
      </c>
      <c r="T627" s="161"/>
      <c r="U627" s="69"/>
      <c r="V627" s="169" t="s">
        <v>6685</v>
      </c>
      <c r="W627" s="161"/>
      <c r="X627" s="17" t="s">
        <v>9</v>
      </c>
      <c r="Y627" s="216" t="s">
        <v>5820</v>
      </c>
      <c r="Z627" s="73"/>
      <c r="AA627" s="73"/>
      <c r="AB627" s="73"/>
      <c r="AC627" s="73"/>
      <c r="AD627" s="73"/>
      <c r="AE627" s="73"/>
      <c r="AF627" s="73"/>
      <c r="AG627" s="73"/>
      <c r="AH627" s="73"/>
      <c r="AI627" s="73"/>
      <c r="AJ627" s="75"/>
      <c r="AK627" s="76" t="s">
        <v>930</v>
      </c>
      <c r="AL627" s="83" t="s">
        <v>5660</v>
      </c>
      <c r="AM627" s="71" t="s">
        <v>6686</v>
      </c>
      <c r="AN627" s="84" t="s">
        <v>6687</v>
      </c>
      <c r="AO627" s="71" t="s">
        <v>5663</v>
      </c>
      <c r="AP627" s="161" t="str">
        <f>IMAGE("https://bellingcat-archive.nyc3.cdn.digitaloceanspaces.com/Ukraine_Witness_Datasheet/Worksheet/youtube_dl_1496754882002534400/out2.jpg")</f>
        <v/>
      </c>
      <c r="AQ627" s="84" t="s">
        <v>5664</v>
      </c>
      <c r="AR627" s="71" t="s">
        <v>5665</v>
      </c>
      <c r="AS627" s="71" t="s">
        <v>5666</v>
      </c>
      <c r="AT627" s="71">
        <v>20.266</v>
      </c>
      <c r="AU627" s="89"/>
      <c r="AV627" s="162"/>
      <c r="AW627" s="81"/>
    </row>
    <row r="628" ht="15.75" customHeight="1">
      <c r="A628" s="246" t="s">
        <v>6682</v>
      </c>
      <c r="B628" s="73"/>
      <c r="C628" s="247" t="s">
        <v>5586</v>
      </c>
      <c r="D628" s="121">
        <v>49.850781</v>
      </c>
      <c r="E628" s="245">
        <v>36.659762</v>
      </c>
      <c r="F628" s="89"/>
      <c r="G628" s="84" t="s">
        <v>6688</v>
      </c>
      <c r="H628" s="73"/>
      <c r="I628" s="62" t="s">
        <v>5818</v>
      </c>
      <c r="J628" s="63" t="s">
        <v>6684</v>
      </c>
      <c r="K628" s="69"/>
      <c r="L628" s="110" t="s">
        <v>3542</v>
      </c>
      <c r="M628" s="92" t="s">
        <v>5590</v>
      </c>
      <c r="N628" s="111"/>
      <c r="O628" s="92" t="s">
        <v>5647</v>
      </c>
      <c r="P628" s="67" t="str">
        <f t="shared" si="1"/>
        <v>49.850781, 36.659762</v>
      </c>
      <c r="Q628" s="67" t="str">
        <f t="shared" si="2"/>
        <v>49.850326, 36.659258</v>
      </c>
      <c r="R628" s="67">
        <f t="shared" si="3"/>
        <v>49.850326</v>
      </c>
      <c r="S628" s="67">
        <f t="shared" si="4"/>
        <v>36.659258</v>
      </c>
      <c r="T628" s="161"/>
      <c r="U628" s="69"/>
      <c r="V628" s="169" t="s">
        <v>6689</v>
      </c>
      <c r="W628" s="161"/>
      <c r="X628" s="17" t="s">
        <v>9</v>
      </c>
      <c r="Y628" s="216" t="s">
        <v>5820</v>
      </c>
      <c r="Z628" s="73"/>
      <c r="AA628" s="73"/>
      <c r="AB628" s="73"/>
      <c r="AC628" s="73"/>
      <c r="AD628" s="73"/>
      <c r="AE628" s="73"/>
      <c r="AF628" s="73"/>
      <c r="AG628" s="73"/>
      <c r="AH628" s="73"/>
      <c r="AI628" s="73"/>
      <c r="AJ628" s="75"/>
      <c r="AK628" s="76" t="s">
        <v>798</v>
      </c>
      <c r="AL628" s="83" t="s">
        <v>6690</v>
      </c>
      <c r="AM628" s="71" t="s">
        <v>6691</v>
      </c>
      <c r="AN628" s="84" t="s">
        <v>6692</v>
      </c>
      <c r="AO628" s="71" t="s">
        <v>6693</v>
      </c>
      <c r="AP628" s="161" t="str">
        <f>IMAGE("https://bellingcat-archive.nyc3.cdn.digitaloceanspaces.com/Ukraine_Witness_Datasheet/Worksheet/youtube_dl_1496731018723835907/out2.jpg")</f>
        <v/>
      </c>
      <c r="AQ628" s="84" t="s">
        <v>6694</v>
      </c>
      <c r="AR628" s="71" t="s">
        <v>6695</v>
      </c>
      <c r="AS628" s="71" t="s">
        <v>6696</v>
      </c>
      <c r="AT628" s="71">
        <v>11.225</v>
      </c>
      <c r="AU628" s="89"/>
      <c r="AV628" s="162"/>
      <c r="AW628" s="81"/>
    </row>
    <row r="629" ht="15.75" customHeight="1">
      <c r="A629" s="246" t="s">
        <v>6682</v>
      </c>
      <c r="B629" s="73"/>
      <c r="C629" s="247" t="s">
        <v>5586</v>
      </c>
      <c r="D629" s="121">
        <v>49.850781</v>
      </c>
      <c r="E629" s="245">
        <v>36.659762</v>
      </c>
      <c r="F629" s="89"/>
      <c r="G629" s="84" t="s">
        <v>6697</v>
      </c>
      <c r="H629" s="73"/>
      <c r="I629" s="62" t="s">
        <v>5818</v>
      </c>
      <c r="J629" s="63" t="s">
        <v>6684</v>
      </c>
      <c r="K629" s="69"/>
      <c r="L629" s="110" t="s">
        <v>3542</v>
      </c>
      <c r="M629" s="92" t="s">
        <v>5590</v>
      </c>
      <c r="N629" s="111"/>
      <c r="O629" s="92" t="s">
        <v>5647</v>
      </c>
      <c r="P629" s="67" t="str">
        <f t="shared" si="1"/>
        <v>49.850781, 36.659762</v>
      </c>
      <c r="Q629" s="67" t="str">
        <f t="shared" si="2"/>
        <v>49.850557, 36.658868</v>
      </c>
      <c r="R629" s="67">
        <f t="shared" si="3"/>
        <v>49.850557</v>
      </c>
      <c r="S629" s="67">
        <f t="shared" si="4"/>
        <v>36.658868</v>
      </c>
      <c r="T629" s="161"/>
      <c r="U629" s="69"/>
      <c r="V629" s="169" t="s">
        <v>6698</v>
      </c>
      <c r="W629" s="161"/>
      <c r="X629" s="17" t="s">
        <v>9</v>
      </c>
      <c r="Y629" s="216" t="s">
        <v>5820</v>
      </c>
      <c r="Z629" s="73"/>
      <c r="AA629" s="73"/>
      <c r="AB629" s="73"/>
      <c r="AC629" s="73"/>
      <c r="AD629" s="73"/>
      <c r="AE629" s="73"/>
      <c r="AF629" s="73"/>
      <c r="AG629" s="73"/>
      <c r="AH629" s="73"/>
      <c r="AI629" s="73"/>
      <c r="AJ629" s="75"/>
      <c r="AK629" s="76" t="s">
        <v>930</v>
      </c>
      <c r="AL629" s="83" t="s">
        <v>5649</v>
      </c>
      <c r="AM629" s="71" t="s">
        <v>6699</v>
      </c>
      <c r="AN629" s="84" t="s">
        <v>6700</v>
      </c>
      <c r="AO629" s="71" t="s">
        <v>5652</v>
      </c>
      <c r="AP629" s="161" t="str">
        <f>IMAGE("https://bellingcat-archive.nyc3.cdn.digitaloceanspaces.com/Ukraine_Witness_Datasheet/Worksheet/youtube_dl_1496761690561683456/out2.jpg")</f>
        <v/>
      </c>
      <c r="AQ629" s="84" t="s">
        <v>5653</v>
      </c>
      <c r="AR629" s="71" t="s">
        <v>5654</v>
      </c>
      <c r="AS629" s="71" t="s">
        <v>5655</v>
      </c>
      <c r="AT629" s="71">
        <v>3.37</v>
      </c>
      <c r="AU629" s="89"/>
      <c r="AV629" s="162"/>
      <c r="AW629" s="81"/>
    </row>
    <row r="630" ht="15.75" customHeight="1">
      <c r="A630" s="246" t="s">
        <v>6682</v>
      </c>
      <c r="B630" s="73"/>
      <c r="C630" s="247" t="s">
        <v>5586</v>
      </c>
      <c r="D630" s="121">
        <v>49.850781</v>
      </c>
      <c r="E630" s="245">
        <v>36.659762</v>
      </c>
      <c r="F630" s="89"/>
      <c r="G630" s="84" t="s">
        <v>6701</v>
      </c>
      <c r="H630" s="73"/>
      <c r="I630" s="62" t="s">
        <v>5818</v>
      </c>
      <c r="J630" s="63" t="s">
        <v>6684</v>
      </c>
      <c r="K630" s="69"/>
      <c r="L630" s="110" t="s">
        <v>3542</v>
      </c>
      <c r="M630" s="92" t="s">
        <v>5590</v>
      </c>
      <c r="N630" s="111"/>
      <c r="O630" s="92" t="s">
        <v>5647</v>
      </c>
      <c r="P630" s="67" t="str">
        <f t="shared" si="1"/>
        <v>49.850781, 36.659762</v>
      </c>
      <c r="Q630" s="67" t="str">
        <f t="shared" si="2"/>
        <v>49.850752, 36.660449</v>
      </c>
      <c r="R630" s="67">
        <f t="shared" si="3"/>
        <v>49.850752</v>
      </c>
      <c r="S630" s="67">
        <f t="shared" si="4"/>
        <v>36.660449</v>
      </c>
      <c r="T630" s="161"/>
      <c r="U630" s="69"/>
      <c r="V630" s="169" t="s">
        <v>6702</v>
      </c>
      <c r="W630" s="161"/>
      <c r="X630" s="17" t="s">
        <v>9</v>
      </c>
      <c r="Y630" s="216" t="s">
        <v>5820</v>
      </c>
      <c r="Z630" s="73"/>
      <c r="AA630" s="73"/>
      <c r="AB630" s="73"/>
      <c r="AC630" s="73"/>
      <c r="AD630" s="73"/>
      <c r="AE630" s="73"/>
      <c r="AF630" s="73"/>
      <c r="AG630" s="73"/>
      <c r="AH630" s="73"/>
      <c r="AI630" s="73"/>
      <c r="AJ630" s="75"/>
      <c r="AK630" s="76" t="s">
        <v>798</v>
      </c>
      <c r="AL630" s="83" t="s">
        <v>6703</v>
      </c>
      <c r="AM630" s="71" t="s">
        <v>6704</v>
      </c>
      <c r="AN630" s="84" t="s">
        <v>6705</v>
      </c>
      <c r="AO630" s="71" t="s">
        <v>6706</v>
      </c>
      <c r="AP630" s="161" t="str">
        <f>IMAGE("https://bellingcat-archive.nyc3.cdn.digitaloceanspaces.com/Ukraine_Witness_Datasheet/Worksheet/youtube_dl_1496762766316687363/out2.jpg")</f>
        <v/>
      </c>
      <c r="AQ630" s="84" t="s">
        <v>6707</v>
      </c>
      <c r="AR630" s="71" t="s">
        <v>5654</v>
      </c>
      <c r="AS630" s="71" t="s">
        <v>6708</v>
      </c>
      <c r="AT630" s="71">
        <v>7.873</v>
      </c>
      <c r="AU630" s="89"/>
      <c r="AV630" s="162"/>
      <c r="AW630" s="81"/>
    </row>
    <row r="631" ht="15.75" customHeight="1">
      <c r="A631" s="246" t="s">
        <v>6682</v>
      </c>
      <c r="B631" s="73"/>
      <c r="C631" s="247" t="s">
        <v>5586</v>
      </c>
      <c r="D631" s="121">
        <v>49.850781</v>
      </c>
      <c r="E631" s="245">
        <v>36.659762</v>
      </c>
      <c r="F631" s="89"/>
      <c r="G631" s="130" t="s">
        <v>6709</v>
      </c>
      <c r="H631" s="73"/>
      <c r="I631" s="62" t="s">
        <v>5818</v>
      </c>
      <c r="J631" s="63" t="s">
        <v>6684</v>
      </c>
      <c r="K631" s="69"/>
      <c r="L631" s="110" t="s">
        <v>3542</v>
      </c>
      <c r="M631" s="92" t="s">
        <v>5590</v>
      </c>
      <c r="N631" s="111"/>
      <c r="O631" s="92" t="s">
        <v>5647</v>
      </c>
      <c r="P631" s="67" t="str">
        <f t="shared" si="1"/>
        <v>49.850781, 36.659762</v>
      </c>
      <c r="Q631" s="67" t="str">
        <f t="shared" si="2"/>
        <v>49.850666, 36.65874</v>
      </c>
      <c r="R631" s="67">
        <f t="shared" si="3"/>
        <v>49.850666</v>
      </c>
      <c r="S631" s="67">
        <f t="shared" si="4"/>
        <v>36.65874</v>
      </c>
      <c r="T631" s="161"/>
      <c r="U631" s="69"/>
      <c r="V631" s="169" t="s">
        <v>6710</v>
      </c>
      <c r="W631" s="161"/>
      <c r="X631" s="17" t="s">
        <v>9</v>
      </c>
      <c r="Y631" s="216" t="s">
        <v>5820</v>
      </c>
      <c r="Z631" s="73"/>
      <c r="AA631" s="73"/>
      <c r="AB631" s="73"/>
      <c r="AC631" s="73"/>
      <c r="AD631" s="73"/>
      <c r="AE631" s="73"/>
      <c r="AF631" s="73"/>
      <c r="AG631" s="73"/>
      <c r="AH631" s="73"/>
      <c r="AI631" s="73"/>
      <c r="AJ631" s="75"/>
      <c r="AK631" s="76" t="s">
        <v>798</v>
      </c>
      <c r="AL631" s="83" t="s">
        <v>6711</v>
      </c>
      <c r="AM631" s="71" t="s">
        <v>6712</v>
      </c>
      <c r="AN631" s="84" t="s">
        <v>6713</v>
      </c>
      <c r="AO631" s="71" t="s">
        <v>6714</v>
      </c>
      <c r="AP631" s="161" t="str">
        <f>IMAGE("https://bellingcat-archive.nyc3.cdn.digitaloceanspaces.com/Ukraine_Witness_Datasheet/Worksheet/youtube_dl_1496765032167710723/out2.jpg")</f>
        <v/>
      </c>
      <c r="AQ631" s="84" t="s">
        <v>6715</v>
      </c>
      <c r="AR631" s="71" t="s">
        <v>5654</v>
      </c>
      <c r="AS631" s="71" t="s">
        <v>6716</v>
      </c>
      <c r="AT631" s="71">
        <v>11.375</v>
      </c>
      <c r="AU631" s="89"/>
      <c r="AV631" s="162"/>
      <c r="AW631" s="81"/>
    </row>
    <row r="632" ht="15.75" customHeight="1">
      <c r="A632" s="246" t="s">
        <v>6682</v>
      </c>
      <c r="B632" s="73"/>
      <c r="C632" s="247" t="s">
        <v>5586</v>
      </c>
      <c r="D632" s="121">
        <v>49.850781</v>
      </c>
      <c r="E632" s="245">
        <v>36.659762</v>
      </c>
      <c r="F632" s="89"/>
      <c r="G632" s="248" t="s">
        <v>6717</v>
      </c>
      <c r="H632" s="73"/>
      <c r="I632" s="62" t="s">
        <v>5818</v>
      </c>
      <c r="J632" s="63" t="s">
        <v>6684</v>
      </c>
      <c r="K632" s="69"/>
      <c r="L632" s="110" t="s">
        <v>3542</v>
      </c>
      <c r="M632" s="92" t="s">
        <v>5590</v>
      </c>
      <c r="N632" s="111"/>
      <c r="O632" s="92" t="s">
        <v>5647</v>
      </c>
      <c r="P632" s="67" t="str">
        <f t="shared" si="1"/>
        <v>49.850781, 36.659762</v>
      </c>
      <c r="Q632" s="67" t="str">
        <f t="shared" si="2"/>
        <v>49.850287, 36.659747</v>
      </c>
      <c r="R632" s="67">
        <f t="shared" si="3"/>
        <v>49.850287</v>
      </c>
      <c r="S632" s="67">
        <f t="shared" si="4"/>
        <v>36.659747</v>
      </c>
      <c r="T632" s="161"/>
      <c r="U632" s="69"/>
      <c r="V632" s="169" t="s">
        <v>6718</v>
      </c>
      <c r="W632" s="161"/>
      <c r="X632" s="17" t="s">
        <v>9</v>
      </c>
      <c r="Y632" s="216" t="s">
        <v>5820</v>
      </c>
      <c r="Z632" s="73"/>
      <c r="AA632" s="73"/>
      <c r="AB632" s="73"/>
      <c r="AC632" s="73"/>
      <c r="AD632" s="73"/>
      <c r="AE632" s="73"/>
      <c r="AF632" s="73"/>
      <c r="AG632" s="73"/>
      <c r="AH632" s="73"/>
      <c r="AI632" s="73"/>
      <c r="AJ632" s="75"/>
      <c r="AK632" s="76" t="s">
        <v>2108</v>
      </c>
      <c r="AL632" s="83" t="s">
        <v>6719</v>
      </c>
      <c r="AM632" s="71" t="s">
        <v>6720</v>
      </c>
      <c r="AN632" s="84" t="s">
        <v>6721</v>
      </c>
      <c r="AO632" s="71" t="s">
        <v>6722</v>
      </c>
      <c r="AP632" s="161" t="str">
        <f>IMAGE("https://bellingcat-archive.nyc3.cdn.digitaloceanspaces.com/Ukraine_Witness_Datasheet/Worksheet/twitter__media_FMWko7uX0AEJoyD.jpg")</f>
        <v/>
      </c>
      <c r="AQ632" s="161"/>
      <c r="AR632" s="161"/>
      <c r="AS632" s="161"/>
      <c r="AT632" s="161"/>
      <c r="AU632" s="89"/>
      <c r="AV632" s="162"/>
      <c r="AW632" s="81"/>
    </row>
    <row r="633" ht="15.75" customHeight="1">
      <c r="A633" s="246" t="s">
        <v>6682</v>
      </c>
      <c r="B633" s="73"/>
      <c r="C633" s="247" t="s">
        <v>5586</v>
      </c>
      <c r="D633" s="121">
        <v>49.850781</v>
      </c>
      <c r="E633" s="245">
        <v>36.659762</v>
      </c>
      <c r="F633" s="89"/>
      <c r="G633" s="130" t="s">
        <v>6723</v>
      </c>
      <c r="H633" s="73"/>
      <c r="I633" s="62" t="s">
        <v>5818</v>
      </c>
      <c r="J633" s="63" t="s">
        <v>6684</v>
      </c>
      <c r="K633" s="69"/>
      <c r="L633" s="110" t="s">
        <v>3542</v>
      </c>
      <c r="M633" s="92" t="s">
        <v>5590</v>
      </c>
      <c r="N633" s="111"/>
      <c r="O633" s="92" t="s">
        <v>5647</v>
      </c>
      <c r="P633" s="67" t="str">
        <f t="shared" si="1"/>
        <v>49.850781, 36.659762</v>
      </c>
      <c r="Q633" s="67" t="str">
        <f t="shared" si="2"/>
        <v>49.850253, 36.659652</v>
      </c>
      <c r="R633" s="67">
        <f t="shared" si="3"/>
        <v>49.850253</v>
      </c>
      <c r="S633" s="67">
        <f t="shared" si="4"/>
        <v>36.659652</v>
      </c>
      <c r="T633" s="161"/>
      <c r="U633" s="69"/>
      <c r="V633" s="169" t="s">
        <v>6724</v>
      </c>
      <c r="W633" s="161"/>
      <c r="X633" s="17" t="s">
        <v>9</v>
      </c>
      <c r="Y633" s="216" t="s">
        <v>5820</v>
      </c>
      <c r="Z633" s="73"/>
      <c r="AA633" s="73"/>
      <c r="AB633" s="73"/>
      <c r="AC633" s="73"/>
      <c r="AD633" s="73"/>
      <c r="AE633" s="73"/>
      <c r="AF633" s="73"/>
      <c r="AG633" s="73"/>
      <c r="AH633" s="73"/>
      <c r="AI633" s="73"/>
      <c r="AJ633" s="75"/>
      <c r="AK633" s="76" t="s">
        <v>798</v>
      </c>
      <c r="AL633" s="83" t="s">
        <v>6725</v>
      </c>
      <c r="AM633" s="71" t="s">
        <v>6726</v>
      </c>
      <c r="AN633" s="84" t="s">
        <v>6727</v>
      </c>
      <c r="AO633" s="71" t="s">
        <v>6728</v>
      </c>
      <c r="AP633" s="161" t="str">
        <f>IMAGE("https://bellingcat-archive.nyc3.cdn.digitaloceanspaces.com/Ukraine_Witness_Datasheet/Worksheet/youtube_dl_1496768205314007040/out2.jpg")</f>
        <v/>
      </c>
      <c r="AQ633" s="84" t="s">
        <v>6729</v>
      </c>
      <c r="AR633" s="71" t="s">
        <v>6730</v>
      </c>
      <c r="AS633" s="71" t="s">
        <v>6731</v>
      </c>
      <c r="AT633" s="71">
        <v>43.84</v>
      </c>
      <c r="AU633" s="89"/>
      <c r="AV633" s="162"/>
      <c r="AW633" s="81"/>
    </row>
    <row r="634" ht="15.75" customHeight="1">
      <c r="A634" s="246" t="s">
        <v>6682</v>
      </c>
      <c r="B634" s="73"/>
      <c r="C634" s="247" t="s">
        <v>5586</v>
      </c>
      <c r="D634" s="121">
        <v>49.850781</v>
      </c>
      <c r="E634" s="245">
        <v>36.659762</v>
      </c>
      <c r="F634" s="89"/>
      <c r="G634" s="84" t="s">
        <v>6732</v>
      </c>
      <c r="H634" s="73"/>
      <c r="I634" s="62" t="s">
        <v>5818</v>
      </c>
      <c r="J634" s="63" t="s">
        <v>6684</v>
      </c>
      <c r="K634" s="69"/>
      <c r="L634" s="110" t="s">
        <v>3542</v>
      </c>
      <c r="M634" s="92" t="s">
        <v>5590</v>
      </c>
      <c r="N634" s="111"/>
      <c r="O634" s="92" t="s">
        <v>5647</v>
      </c>
      <c r="P634" s="67" t="str">
        <f t="shared" si="1"/>
        <v>49.850781, 36.659762</v>
      </c>
      <c r="Q634" s="67" t="str">
        <f t="shared" si="2"/>
        <v>49.850644, 36.659076</v>
      </c>
      <c r="R634" s="67">
        <f t="shared" si="3"/>
        <v>49.850644</v>
      </c>
      <c r="S634" s="67">
        <f t="shared" si="4"/>
        <v>36.659076</v>
      </c>
      <c r="T634" s="161"/>
      <c r="U634" s="69"/>
      <c r="V634" s="169" t="s">
        <v>6733</v>
      </c>
      <c r="W634" s="161"/>
      <c r="X634" s="17" t="s">
        <v>9</v>
      </c>
      <c r="Y634" s="216" t="s">
        <v>5820</v>
      </c>
      <c r="Z634" s="73"/>
      <c r="AA634" s="73"/>
      <c r="AB634" s="73"/>
      <c r="AC634" s="73"/>
      <c r="AD634" s="73"/>
      <c r="AE634" s="73"/>
      <c r="AF634" s="73"/>
      <c r="AG634" s="73"/>
      <c r="AH634" s="73"/>
      <c r="AI634" s="73"/>
      <c r="AJ634" s="75"/>
      <c r="AK634" s="76" t="s">
        <v>2108</v>
      </c>
      <c r="AL634" s="83" t="s">
        <v>6734</v>
      </c>
      <c r="AM634" s="71" t="s">
        <v>6735</v>
      </c>
      <c r="AN634" s="84" t="s">
        <v>6736</v>
      </c>
      <c r="AO634" s="71" t="s">
        <v>6737</v>
      </c>
      <c r="AP634" s="161" t="str">
        <f>IMAGE("https://bellingcat-archive.nyc3.cdn.digitaloceanspaces.com/Ukraine_Witness_Datasheet/Worksheet/twitter__media_FMWfNaoXoAAQeOf.jpg")</f>
        <v/>
      </c>
      <c r="AQ634" s="161"/>
      <c r="AR634" s="161"/>
      <c r="AS634" s="161"/>
      <c r="AT634" s="161"/>
      <c r="AU634" s="89"/>
      <c r="AV634" s="162"/>
      <c r="AW634" s="81"/>
    </row>
    <row r="635" ht="15.75" customHeight="1">
      <c r="A635" s="244"/>
      <c r="B635" s="73"/>
      <c r="C635" s="247" t="s">
        <v>5586</v>
      </c>
      <c r="D635" s="121">
        <v>49.850781</v>
      </c>
      <c r="E635" s="245">
        <v>36.659762</v>
      </c>
      <c r="F635" s="89"/>
      <c r="G635" s="84" t="s">
        <v>6738</v>
      </c>
      <c r="H635" s="73"/>
      <c r="I635" s="62" t="s">
        <v>5818</v>
      </c>
      <c r="J635" s="63" t="s">
        <v>6684</v>
      </c>
      <c r="K635" s="69"/>
      <c r="L635" s="110" t="s">
        <v>3542</v>
      </c>
      <c r="M635" s="92" t="s">
        <v>5590</v>
      </c>
      <c r="N635" s="111"/>
      <c r="O635" s="92" t="s">
        <v>5647</v>
      </c>
      <c r="P635" s="67" t="str">
        <f t="shared" si="1"/>
        <v>49.850781, 36.659762</v>
      </c>
      <c r="Q635" s="67" t="str">
        <f t="shared" si="2"/>
        <v>49.85029, 36.659888</v>
      </c>
      <c r="R635" s="67">
        <f t="shared" si="3"/>
        <v>49.85029</v>
      </c>
      <c r="S635" s="67">
        <f t="shared" si="4"/>
        <v>36.659888</v>
      </c>
      <c r="T635" s="161"/>
      <c r="U635" s="69"/>
      <c r="V635" s="169" t="s">
        <v>6739</v>
      </c>
      <c r="W635" s="161"/>
      <c r="X635" s="194"/>
      <c r="Y635" s="73"/>
      <c r="Z635" s="73"/>
      <c r="AA635" s="73"/>
      <c r="AB635" s="73"/>
      <c r="AC635" s="73"/>
      <c r="AD635" s="73"/>
      <c r="AE635" s="73"/>
      <c r="AF635" s="73"/>
      <c r="AG635" s="73"/>
      <c r="AH635" s="73"/>
      <c r="AI635" s="73"/>
      <c r="AJ635" s="75"/>
      <c r="AK635" s="76" t="s">
        <v>2108</v>
      </c>
      <c r="AL635" s="83" t="s">
        <v>5821</v>
      </c>
      <c r="AM635" s="71" t="s">
        <v>6740</v>
      </c>
      <c r="AN635" s="84" t="s">
        <v>6741</v>
      </c>
      <c r="AO635" s="71" t="s">
        <v>6742</v>
      </c>
      <c r="AP635" s="161" t="str">
        <f>IMAGE("https://bellingcat-archive.nyc3.cdn.digitaloceanspaces.com/Ukraine_Witness_Datasheet/Worksheet/twitter__media_FMVntiqXwAEF-p7.jpg")</f>
        <v/>
      </c>
      <c r="AQ635" s="161"/>
      <c r="AR635" s="161"/>
      <c r="AS635" s="161"/>
      <c r="AT635" s="161"/>
      <c r="AU635" s="89"/>
      <c r="AV635" s="162"/>
      <c r="AW635" s="81"/>
    </row>
    <row r="636" ht="15.75" customHeight="1">
      <c r="A636" s="246" t="s">
        <v>6682</v>
      </c>
      <c r="B636" s="73"/>
      <c r="C636" s="247" t="s">
        <v>5586</v>
      </c>
      <c r="D636" s="121">
        <v>49.850781</v>
      </c>
      <c r="E636" s="245">
        <v>36.659762</v>
      </c>
      <c r="F636" s="89"/>
      <c r="G636" s="84" t="s">
        <v>6743</v>
      </c>
      <c r="H636" s="73"/>
      <c r="I636" s="62" t="s">
        <v>5818</v>
      </c>
      <c r="J636" s="63" t="s">
        <v>6684</v>
      </c>
      <c r="K636" s="69"/>
      <c r="L636" s="110" t="s">
        <v>3542</v>
      </c>
      <c r="M636" s="92" t="s">
        <v>5590</v>
      </c>
      <c r="N636" s="111"/>
      <c r="O636" s="92" t="s">
        <v>5647</v>
      </c>
      <c r="P636" s="67" t="str">
        <f t="shared" si="1"/>
        <v>49.850781, 36.659762</v>
      </c>
      <c r="Q636" s="67" t="str">
        <f t="shared" si="2"/>
        <v>49.850747, 36.660916</v>
      </c>
      <c r="R636" s="67">
        <f t="shared" si="3"/>
        <v>49.850747</v>
      </c>
      <c r="S636" s="67">
        <f t="shared" si="4"/>
        <v>36.660916</v>
      </c>
      <c r="T636" s="161"/>
      <c r="U636" s="69"/>
      <c r="V636" s="169" t="s">
        <v>6744</v>
      </c>
      <c r="W636" s="161"/>
      <c r="X636" s="17" t="s">
        <v>9</v>
      </c>
      <c r="Y636" s="216" t="s">
        <v>5820</v>
      </c>
      <c r="Z636" s="73"/>
      <c r="AA636" s="73"/>
      <c r="AB636" s="73"/>
      <c r="AC636" s="73"/>
      <c r="AD636" s="73"/>
      <c r="AE636" s="73"/>
      <c r="AF636" s="73"/>
      <c r="AG636" s="73"/>
      <c r="AH636" s="73"/>
      <c r="AI636" s="73"/>
      <c r="AJ636" s="75"/>
      <c r="AK636" s="76" t="s">
        <v>798</v>
      </c>
      <c r="AL636" s="83" t="s">
        <v>6745</v>
      </c>
      <c r="AM636" s="71" t="s">
        <v>6746</v>
      </c>
      <c r="AN636" s="84" t="s">
        <v>6747</v>
      </c>
      <c r="AO636" s="71" t="s">
        <v>6748</v>
      </c>
      <c r="AP636" s="161" t="str">
        <f>IMAGE("https://bellingcat-archive.nyc3.cdn.digitaloceanspaces.com/Ukraine_Witness_Datasheet/Worksheet/youtube_dl_1496868095842865154/out2.jpg")</f>
        <v/>
      </c>
      <c r="AQ636" s="84" t="s">
        <v>6749</v>
      </c>
      <c r="AR636" s="71" t="s">
        <v>6750</v>
      </c>
      <c r="AS636" s="71" t="s">
        <v>6751</v>
      </c>
      <c r="AT636" s="71">
        <v>57.2</v>
      </c>
      <c r="AU636" s="89"/>
      <c r="AV636" s="162"/>
      <c r="AW636" s="81"/>
    </row>
    <row r="637" ht="15.75" customHeight="1">
      <c r="A637" s="172"/>
      <c r="B637" s="73"/>
      <c r="C637" s="247"/>
      <c r="D637" s="121"/>
      <c r="E637" s="245"/>
      <c r="F637" s="59">
        <v>1.0</v>
      </c>
      <c r="G637" s="84" t="s">
        <v>6752</v>
      </c>
      <c r="H637" s="61" t="s">
        <v>66</v>
      </c>
      <c r="I637" s="75"/>
      <c r="J637" s="63" t="s">
        <v>6753</v>
      </c>
      <c r="K637" s="69"/>
      <c r="L637" s="134"/>
      <c r="M637" s="111"/>
      <c r="N637" s="111"/>
      <c r="O637" s="111"/>
      <c r="P637" s="67" t="str">
        <f t="shared" si="1"/>
        <v/>
      </c>
      <c r="Q637" s="67" t="str">
        <f t="shared" si="2"/>
        <v/>
      </c>
      <c r="R637" s="67" t="str">
        <f t="shared" si="3"/>
        <v/>
      </c>
      <c r="S637" s="67" t="str">
        <f t="shared" si="4"/>
        <v/>
      </c>
      <c r="T637" s="161"/>
      <c r="U637" s="69"/>
      <c r="V637" s="169" t="s">
        <v>6754</v>
      </c>
      <c r="W637" s="161"/>
      <c r="X637" s="194"/>
      <c r="Y637" s="73"/>
      <c r="Z637" s="73"/>
      <c r="AA637" s="73"/>
      <c r="AB637" s="73"/>
      <c r="AC637" s="73"/>
      <c r="AD637" s="73"/>
      <c r="AE637" s="73"/>
      <c r="AF637" s="73"/>
      <c r="AG637" s="73"/>
      <c r="AH637" s="73"/>
      <c r="AI637" s="73"/>
      <c r="AJ637" s="75"/>
      <c r="AK637" s="76" t="s">
        <v>798</v>
      </c>
      <c r="AL637" s="83" t="s">
        <v>6755</v>
      </c>
      <c r="AM637" s="71" t="s">
        <v>6756</v>
      </c>
      <c r="AN637" s="84" t="s">
        <v>6757</v>
      </c>
      <c r="AO637" s="71" t="s">
        <v>6758</v>
      </c>
      <c r="AP637" s="161" t="str">
        <f>IMAGE("https://bellingcat-archive.nyc3.cdn.digitaloceanspaces.com/Ukraine_Witness_Datasheet/Worksheet/youtube_dl_1497243193271857155/out2.jpg")</f>
        <v/>
      </c>
      <c r="AQ637" s="84" t="s">
        <v>6759</v>
      </c>
      <c r="AR637" s="71" t="s">
        <v>6760</v>
      </c>
      <c r="AS637" s="71" t="s">
        <v>6761</v>
      </c>
      <c r="AT637" s="71">
        <v>45.802</v>
      </c>
      <c r="AU637" s="89"/>
      <c r="AV637" s="162"/>
      <c r="AW637" s="81"/>
    </row>
    <row r="638" ht="15.75" customHeight="1">
      <c r="A638" s="95" t="s">
        <v>2580</v>
      </c>
      <c r="B638" s="73"/>
      <c r="C638" s="101" t="s">
        <v>5586</v>
      </c>
      <c r="D638" s="74">
        <v>46.774108</v>
      </c>
      <c r="E638" s="74">
        <v>33.374063</v>
      </c>
      <c r="F638" s="59">
        <v>1.0</v>
      </c>
      <c r="G638" s="84" t="s">
        <v>6762</v>
      </c>
      <c r="H638" s="61" t="s">
        <v>66</v>
      </c>
      <c r="I638" s="75"/>
      <c r="J638" s="63" t="s">
        <v>6763</v>
      </c>
      <c r="K638" s="69"/>
      <c r="L638" s="110" t="s">
        <v>3542</v>
      </c>
      <c r="M638" s="92" t="s">
        <v>5702</v>
      </c>
      <c r="N638" s="92" t="s">
        <v>6764</v>
      </c>
      <c r="O638" s="111"/>
      <c r="P638" s="67" t="str">
        <f t="shared" si="1"/>
        <v>46.774108, 33.374063</v>
      </c>
      <c r="Q638" s="67" t="str">
        <f t="shared" si="2"/>
        <v>46.773425, 33.373495</v>
      </c>
      <c r="R638" s="67">
        <f t="shared" si="3"/>
        <v>46.773425</v>
      </c>
      <c r="S638" s="67">
        <f t="shared" si="4"/>
        <v>33.373495</v>
      </c>
      <c r="T638" s="161"/>
      <c r="U638" s="69"/>
      <c r="V638" s="169" t="s">
        <v>6765</v>
      </c>
      <c r="W638" s="71" t="s">
        <v>74</v>
      </c>
      <c r="X638" s="72" t="s">
        <v>75</v>
      </c>
      <c r="Y638" s="73"/>
      <c r="Z638" s="73"/>
      <c r="AA638" s="73"/>
      <c r="AB638" s="73"/>
      <c r="AC638" s="73"/>
      <c r="AD638" s="73"/>
      <c r="AE638" s="73"/>
      <c r="AF638" s="73"/>
      <c r="AG638" s="73"/>
      <c r="AH638" s="73"/>
      <c r="AI638" s="73"/>
      <c r="AJ638" s="75"/>
      <c r="AK638" s="76" t="s">
        <v>798</v>
      </c>
      <c r="AL638" s="83" t="s">
        <v>6766</v>
      </c>
      <c r="AM638" s="71" t="s">
        <v>6767</v>
      </c>
      <c r="AN638" s="84" t="s">
        <v>6768</v>
      </c>
      <c r="AO638" s="71" t="s">
        <v>6769</v>
      </c>
      <c r="AP638" s="161" t="str">
        <f>IMAGE("https://bellingcat-archive.nyc3.cdn.digitaloceanspaces.com/Ukraine_Witness_Datasheet/Worksheet/youtube_dl_1496802928732086278/out2.jpg")</f>
        <v/>
      </c>
      <c r="AQ638" s="84" t="s">
        <v>6770</v>
      </c>
      <c r="AR638" s="71" t="s">
        <v>6771</v>
      </c>
      <c r="AS638" s="71" t="s">
        <v>6772</v>
      </c>
      <c r="AT638" s="71">
        <v>45.5</v>
      </c>
      <c r="AU638" s="89"/>
      <c r="AV638" s="162"/>
      <c r="AW638" s="81"/>
    </row>
    <row r="639" ht="15.75" customHeight="1">
      <c r="A639" s="249" t="s">
        <v>6682</v>
      </c>
      <c r="B639" s="73"/>
      <c r="C639" s="247" t="s">
        <v>5586</v>
      </c>
      <c r="D639" s="245">
        <v>48.748938</v>
      </c>
      <c r="E639" s="245">
        <v>30.218889</v>
      </c>
      <c r="F639" s="89"/>
      <c r="G639" s="248" t="s">
        <v>6773</v>
      </c>
      <c r="H639" s="73"/>
      <c r="I639" s="62" t="s">
        <v>6774</v>
      </c>
      <c r="J639" s="63" t="s">
        <v>6775</v>
      </c>
      <c r="K639" s="69"/>
      <c r="L639" s="110" t="s">
        <v>3542</v>
      </c>
      <c r="M639" s="92" t="s">
        <v>6776</v>
      </c>
      <c r="N639" s="111"/>
      <c r="O639" s="92" t="s">
        <v>5636</v>
      </c>
      <c r="P639" s="67" t="str">
        <f t="shared" si="1"/>
        <v>48.748938, 30.218889</v>
      </c>
      <c r="Q639" s="67" t="str">
        <f t="shared" si="2"/>
        <v>48.748557, 30.218961</v>
      </c>
      <c r="R639" s="67">
        <f t="shared" si="3"/>
        <v>48.748557</v>
      </c>
      <c r="S639" s="67">
        <f t="shared" si="4"/>
        <v>30.218961</v>
      </c>
      <c r="T639" s="161"/>
      <c r="U639" s="69"/>
      <c r="V639" s="169" t="s">
        <v>6777</v>
      </c>
      <c r="W639" s="161"/>
      <c r="X639" s="17" t="s">
        <v>9</v>
      </c>
      <c r="Y639" s="216" t="s">
        <v>5820</v>
      </c>
      <c r="Z639" s="73"/>
      <c r="AA639" s="73"/>
      <c r="AB639" s="73"/>
      <c r="AC639" s="73"/>
      <c r="AD639" s="73"/>
      <c r="AE639" s="73"/>
      <c r="AF639" s="73"/>
      <c r="AG639" s="73"/>
      <c r="AH639" s="73"/>
      <c r="AI639" s="73"/>
      <c r="AJ639" s="75"/>
      <c r="AK639" s="76" t="s">
        <v>798</v>
      </c>
      <c r="AL639" s="83" t="s">
        <v>6778</v>
      </c>
      <c r="AM639" s="71" t="s">
        <v>6779</v>
      </c>
      <c r="AN639" s="84" t="s">
        <v>6780</v>
      </c>
      <c r="AO639" s="71" t="s">
        <v>6781</v>
      </c>
      <c r="AP639" s="161" t="str">
        <f>IMAGE("https://bellingcat-archive.nyc3.cdn.digitaloceanspaces.com/Ukraine_Witness_Datasheet/Worksheet/youtube_dl_1496737243255480321/out2.jpg")</f>
        <v/>
      </c>
      <c r="AQ639" s="84" t="s">
        <v>6782</v>
      </c>
      <c r="AR639" s="71" t="s">
        <v>6783</v>
      </c>
      <c r="AS639" s="71" t="s">
        <v>6784</v>
      </c>
      <c r="AT639" s="71">
        <v>14.8</v>
      </c>
      <c r="AU639" s="89"/>
      <c r="AV639" s="162"/>
      <c r="AW639" s="81"/>
    </row>
    <row r="640" ht="15.75" customHeight="1">
      <c r="A640" s="246" t="s">
        <v>6682</v>
      </c>
      <c r="B640" s="73"/>
      <c r="C640" s="247" t="s">
        <v>5586</v>
      </c>
      <c r="D640" s="245">
        <v>48.748938</v>
      </c>
      <c r="E640" s="245">
        <v>30.218889</v>
      </c>
      <c r="F640" s="89"/>
      <c r="G640" s="84" t="s">
        <v>6785</v>
      </c>
      <c r="H640" s="73"/>
      <c r="I640" s="62" t="s">
        <v>6774</v>
      </c>
      <c r="J640" s="63" t="s">
        <v>6775</v>
      </c>
      <c r="K640" s="69"/>
      <c r="L640" s="110" t="s">
        <v>3542</v>
      </c>
      <c r="M640" s="92" t="s">
        <v>6776</v>
      </c>
      <c r="N640" s="111"/>
      <c r="O640" s="92" t="s">
        <v>5636</v>
      </c>
      <c r="P640" s="67" t="str">
        <f t="shared" si="1"/>
        <v>48.748938, 30.218889</v>
      </c>
      <c r="Q640" s="67" t="str">
        <f t="shared" si="2"/>
        <v>48.748583, 30.218431</v>
      </c>
      <c r="R640" s="67">
        <f t="shared" si="3"/>
        <v>48.748583</v>
      </c>
      <c r="S640" s="67">
        <f t="shared" si="4"/>
        <v>30.218431</v>
      </c>
      <c r="T640" s="161"/>
      <c r="U640" s="69"/>
      <c r="V640" s="169" t="s">
        <v>6786</v>
      </c>
      <c r="W640" s="161"/>
      <c r="X640" s="17" t="s">
        <v>9</v>
      </c>
      <c r="Y640" s="216" t="s">
        <v>5820</v>
      </c>
      <c r="Z640" s="73"/>
      <c r="AA640" s="73"/>
      <c r="AB640" s="73"/>
      <c r="AC640" s="73"/>
      <c r="AD640" s="73"/>
      <c r="AE640" s="73"/>
      <c r="AF640" s="73"/>
      <c r="AG640" s="73"/>
      <c r="AH640" s="73"/>
      <c r="AI640" s="73"/>
      <c r="AJ640" s="75"/>
      <c r="AK640" s="76" t="s">
        <v>798</v>
      </c>
      <c r="AL640" s="83" t="s">
        <v>6787</v>
      </c>
      <c r="AM640" s="71" t="s">
        <v>6788</v>
      </c>
      <c r="AN640" s="84" t="s">
        <v>6789</v>
      </c>
      <c r="AO640" s="71" t="s">
        <v>6790</v>
      </c>
      <c r="AP640" s="161" t="str">
        <f>IMAGE("https://bellingcat-archive.nyc3.cdn.digitaloceanspaces.com/Ukraine_Witness_Datasheet/Worksheet/youtube_dl_1496757503195029508/out2.jpg")</f>
        <v/>
      </c>
      <c r="AQ640" s="84" t="s">
        <v>6791</v>
      </c>
      <c r="AR640" s="71" t="s">
        <v>6792</v>
      </c>
      <c r="AS640" s="71" t="s">
        <v>6793</v>
      </c>
      <c r="AT640" s="71">
        <v>45.0</v>
      </c>
      <c r="AU640" s="89"/>
      <c r="AV640" s="162"/>
      <c r="AW640" s="81"/>
    </row>
    <row r="641" ht="15.75" customHeight="1">
      <c r="A641" s="246" t="s">
        <v>6682</v>
      </c>
      <c r="B641" s="73"/>
      <c r="C641" s="247" t="s">
        <v>5586</v>
      </c>
      <c r="D641" s="245">
        <v>48.748938</v>
      </c>
      <c r="E641" s="245">
        <v>30.218889</v>
      </c>
      <c r="F641" s="89"/>
      <c r="G641" s="84" t="s">
        <v>6794</v>
      </c>
      <c r="H641" s="73"/>
      <c r="I641" s="62" t="s">
        <v>6774</v>
      </c>
      <c r="J641" s="63" t="s">
        <v>6775</v>
      </c>
      <c r="K641" s="69"/>
      <c r="L641" s="110" t="s">
        <v>3542</v>
      </c>
      <c r="M641" s="92" t="s">
        <v>6776</v>
      </c>
      <c r="N641" s="111"/>
      <c r="O641" s="92" t="s">
        <v>5636</v>
      </c>
      <c r="P641" s="67" t="str">
        <f t="shared" si="1"/>
        <v>48.748938, 30.218889</v>
      </c>
      <c r="Q641" s="67" t="str">
        <f t="shared" si="2"/>
        <v>48.74832, 30.219451</v>
      </c>
      <c r="R641" s="67">
        <f t="shared" si="3"/>
        <v>48.74832</v>
      </c>
      <c r="S641" s="67">
        <f t="shared" si="4"/>
        <v>30.219451</v>
      </c>
      <c r="T641" s="161"/>
      <c r="U641" s="69"/>
      <c r="V641" s="169" t="s">
        <v>6795</v>
      </c>
      <c r="W641" s="161"/>
      <c r="X641" s="17" t="s">
        <v>9</v>
      </c>
      <c r="Y641" s="216" t="s">
        <v>5820</v>
      </c>
      <c r="Z641" s="73"/>
      <c r="AA641" s="73"/>
      <c r="AB641" s="73"/>
      <c r="AC641" s="73"/>
      <c r="AD641" s="73"/>
      <c r="AE641" s="73"/>
      <c r="AF641" s="73"/>
      <c r="AG641" s="73"/>
      <c r="AH641" s="73"/>
      <c r="AI641" s="73"/>
      <c r="AJ641" s="75"/>
      <c r="AK641" s="76" t="s">
        <v>2108</v>
      </c>
      <c r="AL641" s="83" t="s">
        <v>6796</v>
      </c>
      <c r="AM641" s="71" t="s">
        <v>6797</v>
      </c>
      <c r="AN641" s="84" t="s">
        <v>6798</v>
      </c>
      <c r="AO641" s="71" t="s">
        <v>6799</v>
      </c>
      <c r="AP641" s="161" t="str">
        <f>IMAGE("https://bellingcat-archive.nyc3.cdn.digitaloceanspaces.com/Ukraine_Witness_Datasheet/Worksheet/twitter__media_FMV8ZQwX0AAfw_o.jpg")</f>
        <v/>
      </c>
      <c r="AQ641" s="161"/>
      <c r="AR641" s="161"/>
      <c r="AS641" s="161"/>
      <c r="AT641" s="161"/>
      <c r="AU641" s="89"/>
      <c r="AV641" s="162"/>
      <c r="AW641" s="81"/>
    </row>
    <row r="642" ht="15.75" customHeight="1">
      <c r="A642" s="246" t="s">
        <v>6682</v>
      </c>
      <c r="B642" s="73"/>
      <c r="C642" s="247" t="s">
        <v>5586</v>
      </c>
      <c r="D642" s="245">
        <v>48.748938</v>
      </c>
      <c r="E642" s="245">
        <v>30.218889</v>
      </c>
      <c r="F642" s="89"/>
      <c r="G642" s="84" t="s">
        <v>6800</v>
      </c>
      <c r="H642" s="73"/>
      <c r="I642" s="62" t="s">
        <v>6774</v>
      </c>
      <c r="J642" s="63" t="s">
        <v>6775</v>
      </c>
      <c r="K642" s="69"/>
      <c r="L642" s="110" t="s">
        <v>3542</v>
      </c>
      <c r="M642" s="92" t="s">
        <v>6776</v>
      </c>
      <c r="N642" s="111"/>
      <c r="O642" s="92" t="s">
        <v>5636</v>
      </c>
      <c r="P642" s="67" t="str">
        <f t="shared" si="1"/>
        <v>48.748938, 30.218889</v>
      </c>
      <c r="Q642" s="67" t="str">
        <f t="shared" si="2"/>
        <v>48.748604, 30.220048</v>
      </c>
      <c r="R642" s="67">
        <f t="shared" si="3"/>
        <v>48.748604</v>
      </c>
      <c r="S642" s="67">
        <f t="shared" si="4"/>
        <v>30.220048</v>
      </c>
      <c r="T642" s="161"/>
      <c r="U642" s="69"/>
      <c r="V642" s="169" t="s">
        <v>6801</v>
      </c>
      <c r="W642" s="161"/>
      <c r="X642" s="17" t="s">
        <v>9</v>
      </c>
      <c r="Y642" s="216" t="s">
        <v>5820</v>
      </c>
      <c r="Z642" s="73"/>
      <c r="AA642" s="73"/>
      <c r="AB642" s="73"/>
      <c r="AC642" s="73"/>
      <c r="AD642" s="73"/>
      <c r="AE642" s="73"/>
      <c r="AF642" s="73"/>
      <c r="AG642" s="73"/>
      <c r="AH642" s="73"/>
      <c r="AI642" s="73"/>
      <c r="AJ642" s="75"/>
      <c r="AK642" s="76" t="s">
        <v>798</v>
      </c>
      <c r="AL642" s="83" t="s">
        <v>6802</v>
      </c>
      <c r="AM642" s="71" t="s">
        <v>6803</v>
      </c>
      <c r="AN642" s="84" t="s">
        <v>6804</v>
      </c>
      <c r="AO642" s="71" t="s">
        <v>6805</v>
      </c>
      <c r="AP642" s="161" t="str">
        <f>IMAGE("https://bellingcat-archive.nyc3.cdn.digitaloceanspaces.com/Ukraine_Witness_Datasheet/Worksheet/youtube_dl_1496768532448788482/out3.jpg")</f>
        <v/>
      </c>
      <c r="AQ642" s="84" t="s">
        <v>6806</v>
      </c>
      <c r="AR642" s="71" t="s">
        <v>6807</v>
      </c>
      <c r="AS642" s="71" t="s">
        <v>6808</v>
      </c>
      <c r="AT642" s="71">
        <v>78.0</v>
      </c>
      <c r="AU642" s="89"/>
      <c r="AV642" s="162"/>
      <c r="AW642" s="81"/>
    </row>
    <row r="643" ht="15.75" customHeight="1">
      <c r="A643" s="250" t="s">
        <v>6809</v>
      </c>
      <c r="B643" s="73"/>
      <c r="C643" s="247" t="s">
        <v>5586</v>
      </c>
      <c r="D643" s="241" t="s">
        <v>6810</v>
      </c>
      <c r="E643" s="241" t="s">
        <v>6811</v>
      </c>
      <c r="F643" s="79">
        <v>1.0</v>
      </c>
      <c r="G643" s="84" t="s">
        <v>6812</v>
      </c>
      <c r="H643" s="121"/>
      <c r="I643" s="251" t="s">
        <v>6813</v>
      </c>
      <c r="J643" s="63" t="s">
        <v>6814</v>
      </c>
      <c r="K643" s="69"/>
      <c r="L643" s="110" t="s">
        <v>3542</v>
      </c>
      <c r="M643" s="92" t="s">
        <v>5827</v>
      </c>
      <c r="N643" s="111"/>
      <c r="O643" s="92" t="s">
        <v>6121</v>
      </c>
      <c r="P643" s="67" t="str">
        <f t="shared" si="1"/>
        <v>50.47162231000, 30.52846341</v>
      </c>
      <c r="Q643" s="67" t="str">
        <f t="shared" si="2"/>
        <v>50.47161, 30.529243</v>
      </c>
      <c r="R643" s="67">
        <f t="shared" si="3"/>
        <v>50.47161</v>
      </c>
      <c r="S643" s="67">
        <f t="shared" si="4"/>
        <v>30.529243</v>
      </c>
      <c r="T643" s="161"/>
      <c r="U643" s="69"/>
      <c r="V643" s="169" t="s">
        <v>6815</v>
      </c>
      <c r="W643" s="227" t="s">
        <v>3601</v>
      </c>
      <c r="X643" s="72" t="s">
        <v>5504</v>
      </c>
      <c r="Y643" s="252"/>
      <c r="Z643" s="73"/>
      <c r="AA643" s="73"/>
      <c r="AB643" s="73"/>
      <c r="AC643" s="73"/>
      <c r="AD643" s="73"/>
      <c r="AE643" s="73"/>
      <c r="AF643" s="73"/>
      <c r="AG643" s="73"/>
      <c r="AH643" s="73"/>
      <c r="AI643" s="73"/>
      <c r="AJ643" s="75"/>
      <c r="AK643" s="76" t="s">
        <v>798</v>
      </c>
      <c r="AL643" s="83" t="s">
        <v>6816</v>
      </c>
      <c r="AM643" s="71" t="s">
        <v>6817</v>
      </c>
      <c r="AN643" s="84" t="s">
        <v>6818</v>
      </c>
      <c r="AO643" s="71" t="s">
        <v>6819</v>
      </c>
      <c r="AP643" s="161" t="str">
        <f>IMAGE("https://bellingcat-archive.nyc3.cdn.digitaloceanspaces.com/Ukraine_Witness_Datasheet/Worksheet/youtube_dl_1496787968203231232/out2.jpg")</f>
        <v/>
      </c>
      <c r="AQ643" s="84" t="s">
        <v>6820</v>
      </c>
      <c r="AR643" s="71" t="s">
        <v>6821</v>
      </c>
      <c r="AS643" s="71" t="s">
        <v>6822</v>
      </c>
      <c r="AT643" s="71">
        <v>4.72</v>
      </c>
      <c r="AU643" s="89"/>
      <c r="AV643" s="80" t="s">
        <v>63</v>
      </c>
      <c r="AW643" s="203"/>
    </row>
    <row r="644" ht="15.75" customHeight="1">
      <c r="A644" s="250" t="s">
        <v>6809</v>
      </c>
      <c r="B644" s="73"/>
      <c r="C644" s="247" t="s">
        <v>5586</v>
      </c>
      <c r="D644" s="241" t="s">
        <v>6810</v>
      </c>
      <c r="E644" s="241" t="s">
        <v>6811</v>
      </c>
      <c r="F644" s="79">
        <v>1.0</v>
      </c>
      <c r="G644" s="84" t="s">
        <v>6823</v>
      </c>
      <c r="H644" s="121"/>
      <c r="I644" s="251" t="s">
        <v>6813</v>
      </c>
      <c r="J644" s="63" t="s">
        <v>6814</v>
      </c>
      <c r="K644" s="69"/>
      <c r="L644" s="110" t="s">
        <v>3542</v>
      </c>
      <c r="M644" s="92" t="s">
        <v>5827</v>
      </c>
      <c r="N644" s="111"/>
      <c r="O644" s="92" t="s">
        <v>6121</v>
      </c>
      <c r="P644" s="67" t="str">
        <f t="shared" si="1"/>
        <v>50.47162231000, 30.52846341</v>
      </c>
      <c r="Q644" s="67" t="str">
        <f t="shared" si="2"/>
        <v>50.471395, 30.527867</v>
      </c>
      <c r="R644" s="67">
        <f t="shared" si="3"/>
        <v>50.471395</v>
      </c>
      <c r="S644" s="67">
        <f t="shared" si="4"/>
        <v>30.527867</v>
      </c>
      <c r="T644" s="161"/>
      <c r="U644" s="69"/>
      <c r="V644" s="169" t="s">
        <v>6824</v>
      </c>
      <c r="W644" s="227" t="s">
        <v>3601</v>
      </c>
      <c r="X644" s="72" t="s">
        <v>5504</v>
      </c>
      <c r="Y644" s="252"/>
      <c r="Z644" s="73"/>
      <c r="AA644" s="73"/>
      <c r="AB644" s="73"/>
      <c r="AC644" s="73"/>
      <c r="AD644" s="73"/>
      <c r="AE644" s="73"/>
      <c r="AF644" s="73"/>
      <c r="AG644" s="73"/>
      <c r="AH644" s="73"/>
      <c r="AI644" s="73"/>
      <c r="AJ644" s="75"/>
      <c r="AK644" s="76" t="s">
        <v>2108</v>
      </c>
      <c r="AL644" s="83" t="s">
        <v>6825</v>
      </c>
      <c r="AM644" s="71" t="s">
        <v>6826</v>
      </c>
      <c r="AN644" s="84" t="s">
        <v>6827</v>
      </c>
      <c r="AO644" s="71" t="s">
        <v>6828</v>
      </c>
      <c r="AP644" s="161" t="str">
        <f>IMAGE("https://bellingcat-archive.nyc3.cdn.digitaloceanspaces.com/Ukraine_Witness_Datasheet/Worksheet/twitter__media_FMWt-XtXEAAyRzt.jpg")</f>
        <v/>
      </c>
      <c r="AQ644" s="161"/>
      <c r="AR644" s="161"/>
      <c r="AS644" s="161"/>
      <c r="AT644" s="161"/>
      <c r="AU644" s="89"/>
      <c r="AV644" s="80" t="s">
        <v>63</v>
      </c>
      <c r="AW644" s="203"/>
    </row>
    <row r="645" ht="15.75" customHeight="1">
      <c r="A645" s="250" t="s">
        <v>6809</v>
      </c>
      <c r="B645" s="73"/>
      <c r="C645" s="247" t="s">
        <v>5586</v>
      </c>
      <c r="D645" s="241" t="s">
        <v>6810</v>
      </c>
      <c r="E645" s="241" t="s">
        <v>6811</v>
      </c>
      <c r="F645" s="79">
        <v>1.0</v>
      </c>
      <c r="G645" s="84" t="s">
        <v>6829</v>
      </c>
      <c r="H645" s="121"/>
      <c r="I645" s="251" t="s">
        <v>6813</v>
      </c>
      <c r="J645" s="63" t="s">
        <v>6814</v>
      </c>
      <c r="K645" s="69"/>
      <c r="L645" s="110" t="s">
        <v>3542</v>
      </c>
      <c r="M645" s="92" t="s">
        <v>5827</v>
      </c>
      <c r="N645" s="111"/>
      <c r="O645" s="92" t="s">
        <v>6121</v>
      </c>
      <c r="P645" s="67" t="str">
        <f t="shared" si="1"/>
        <v>50.47162231000, 30.52846341</v>
      </c>
      <c r="Q645" s="67" t="str">
        <f t="shared" si="2"/>
        <v>50.471265, 30.528485</v>
      </c>
      <c r="R645" s="67">
        <f t="shared" si="3"/>
        <v>50.471265</v>
      </c>
      <c r="S645" s="67">
        <f t="shared" si="4"/>
        <v>30.528485</v>
      </c>
      <c r="T645" s="161"/>
      <c r="U645" s="69"/>
      <c r="V645" s="169" t="s">
        <v>6830</v>
      </c>
      <c r="W645" s="227" t="s">
        <v>3601</v>
      </c>
      <c r="X645" s="72" t="s">
        <v>5504</v>
      </c>
      <c r="Y645" s="252"/>
      <c r="Z645" s="73"/>
      <c r="AA645" s="73"/>
      <c r="AB645" s="73"/>
      <c r="AC645" s="73"/>
      <c r="AD645" s="73"/>
      <c r="AE645" s="73"/>
      <c r="AF645" s="73"/>
      <c r="AG645" s="73"/>
      <c r="AH645" s="73"/>
      <c r="AI645" s="73"/>
      <c r="AJ645" s="75"/>
      <c r="AK645" s="76" t="s">
        <v>2108</v>
      </c>
      <c r="AL645" s="83" t="s">
        <v>6831</v>
      </c>
      <c r="AM645" s="71" t="s">
        <v>6832</v>
      </c>
      <c r="AN645" s="84" t="s">
        <v>6833</v>
      </c>
      <c r="AO645" s="71" t="s">
        <v>6834</v>
      </c>
      <c r="AP645" s="161" t="str">
        <f>IMAGE("https://bellingcat-archive.nyc3.cdn.digitaloceanspaces.com/Ukraine_Witness_Datasheet/Worksheet/twitter__media_FMWsCppWQAEDzJd.jpg")</f>
        <v/>
      </c>
      <c r="AQ645" s="161"/>
      <c r="AR645" s="161"/>
      <c r="AS645" s="161"/>
      <c r="AT645" s="161"/>
      <c r="AU645" s="89"/>
      <c r="AV645" s="80" t="s">
        <v>63</v>
      </c>
      <c r="AW645" s="203"/>
    </row>
    <row r="646" ht="15.75" customHeight="1">
      <c r="A646" s="250" t="s">
        <v>6809</v>
      </c>
      <c r="B646" s="73"/>
      <c r="C646" s="247" t="s">
        <v>5586</v>
      </c>
      <c r="D646" s="241" t="s">
        <v>6810</v>
      </c>
      <c r="E646" s="241" t="s">
        <v>6811</v>
      </c>
      <c r="F646" s="79">
        <v>1.0</v>
      </c>
      <c r="G646" s="130" t="s">
        <v>6835</v>
      </c>
      <c r="H646" s="121"/>
      <c r="I646" s="251" t="s">
        <v>6813</v>
      </c>
      <c r="J646" s="63" t="s">
        <v>6814</v>
      </c>
      <c r="K646" s="69"/>
      <c r="L646" s="110" t="s">
        <v>3542</v>
      </c>
      <c r="M646" s="92" t="s">
        <v>5827</v>
      </c>
      <c r="N646" s="92"/>
      <c r="O646" s="92" t="s">
        <v>6121</v>
      </c>
      <c r="P646" s="67" t="str">
        <f t="shared" si="1"/>
        <v>50.47162231000, 30.52846341</v>
      </c>
      <c r="Q646" s="67" t="str">
        <f t="shared" si="2"/>
        <v>50.471424, 30.5279</v>
      </c>
      <c r="R646" s="67">
        <f t="shared" si="3"/>
        <v>50.471424</v>
      </c>
      <c r="S646" s="67">
        <f t="shared" si="4"/>
        <v>30.5279</v>
      </c>
      <c r="T646" s="161"/>
      <c r="U646" s="69"/>
      <c r="V646" s="169" t="s">
        <v>6836</v>
      </c>
      <c r="W646" s="227" t="s">
        <v>3601</v>
      </c>
      <c r="X646" s="72" t="s">
        <v>5504</v>
      </c>
      <c r="Y646" s="252"/>
      <c r="Z646" s="73"/>
      <c r="AA646" s="73"/>
      <c r="AB646" s="73"/>
      <c r="AC646" s="73"/>
      <c r="AD646" s="73"/>
      <c r="AE646" s="73"/>
      <c r="AF646" s="73"/>
      <c r="AG646" s="73"/>
      <c r="AH646" s="73"/>
      <c r="AI646" s="73"/>
      <c r="AJ646" s="75"/>
      <c r="AK646" s="76" t="s">
        <v>2108</v>
      </c>
      <c r="AL646" s="83" t="s">
        <v>6837</v>
      </c>
      <c r="AM646" s="71" t="s">
        <v>6838</v>
      </c>
      <c r="AN646" s="84" t="s">
        <v>6839</v>
      </c>
      <c r="AO646" s="71" t="s">
        <v>6840</v>
      </c>
      <c r="AP646" s="161" t="str">
        <f>IMAGE("https://bellingcat-archive.nyc3.cdn.digitaloceanspaces.com/Ukraine_Witness_Datasheet/Worksheet/twitter__media_FMWugmZWQAwn8bd.jpg")</f>
        <v/>
      </c>
      <c r="AQ646" s="161"/>
      <c r="AR646" s="161"/>
      <c r="AS646" s="161"/>
      <c r="AT646" s="161"/>
      <c r="AU646" s="89"/>
      <c r="AV646" s="80" t="s">
        <v>63</v>
      </c>
      <c r="AW646" s="203"/>
    </row>
    <row r="647" ht="15.75" customHeight="1">
      <c r="A647" s="165"/>
      <c r="B647" s="73"/>
      <c r="C647" s="101"/>
      <c r="D647" s="111"/>
      <c r="E647" s="111"/>
      <c r="F647" s="237">
        <v>3.0</v>
      </c>
      <c r="G647" s="84" t="s">
        <v>6841</v>
      </c>
      <c r="H647" s="61"/>
      <c r="I647" s="75"/>
      <c r="J647" s="63" t="s">
        <v>6842</v>
      </c>
      <c r="K647" s="69"/>
      <c r="L647" s="134"/>
      <c r="M647" s="111"/>
      <c r="N647" s="111"/>
      <c r="O647" s="111"/>
      <c r="P647" s="67" t="str">
        <f t="shared" si="1"/>
        <v/>
      </c>
      <c r="Q647" s="67" t="str">
        <f t="shared" si="2"/>
        <v/>
      </c>
      <c r="R647" s="67" t="str">
        <f t="shared" si="3"/>
        <v/>
      </c>
      <c r="S647" s="67" t="str">
        <f t="shared" si="4"/>
        <v/>
      </c>
      <c r="T647" s="161"/>
      <c r="U647" s="69"/>
      <c r="V647" s="169" t="s">
        <v>6843</v>
      </c>
      <c r="W647" s="161"/>
      <c r="X647" s="194"/>
      <c r="Y647" s="73"/>
      <c r="Z647" s="73"/>
      <c r="AA647" s="73"/>
      <c r="AB647" s="73"/>
      <c r="AC647" s="73"/>
      <c r="AD647" s="73"/>
      <c r="AE647" s="73"/>
      <c r="AF647" s="73"/>
      <c r="AG647" s="73"/>
      <c r="AH647" s="73"/>
      <c r="AI647" s="73"/>
      <c r="AJ647" s="75"/>
      <c r="AK647" s="76" t="s">
        <v>798</v>
      </c>
      <c r="AL647" s="83" t="s">
        <v>6844</v>
      </c>
      <c r="AM647" s="71" t="s">
        <v>6845</v>
      </c>
      <c r="AN647" s="84" t="s">
        <v>6846</v>
      </c>
      <c r="AO647" s="71" t="s">
        <v>6847</v>
      </c>
      <c r="AP647" s="161" t="str">
        <f>IMAGE("https://bellingcat-archive.nyc3.cdn.digitaloceanspaces.com/Ukraine_Witness_Datasheet/Worksheet/youtube_dl_1497247647597486088/out2.jpg")</f>
        <v/>
      </c>
      <c r="AQ647" s="84" t="s">
        <v>6848</v>
      </c>
      <c r="AR647" s="71" t="s">
        <v>6849</v>
      </c>
      <c r="AS647" s="71" t="s">
        <v>6850</v>
      </c>
      <c r="AT647" s="71">
        <v>30.833</v>
      </c>
      <c r="AU647" s="89"/>
      <c r="AV647" s="162"/>
      <c r="AW647" s="81"/>
    </row>
    <row r="648" ht="15.75" customHeight="1">
      <c r="A648" s="95" t="s">
        <v>63</v>
      </c>
      <c r="B648" s="73"/>
      <c r="C648" s="101" t="s">
        <v>6118</v>
      </c>
      <c r="D648" s="149">
        <v>46.742028</v>
      </c>
      <c r="E648" s="149">
        <v>33.360382</v>
      </c>
      <c r="F648" s="59">
        <v>1.0</v>
      </c>
      <c r="G648" s="84" t="s">
        <v>6851</v>
      </c>
      <c r="H648" s="73"/>
      <c r="I648" s="75"/>
      <c r="J648" s="63" t="s">
        <v>6852</v>
      </c>
      <c r="K648" s="69"/>
      <c r="L648" s="110" t="s">
        <v>3542</v>
      </c>
      <c r="M648" s="92" t="s">
        <v>5702</v>
      </c>
      <c r="N648" s="111"/>
      <c r="O648" s="92" t="s">
        <v>5859</v>
      </c>
      <c r="P648" s="67" t="str">
        <f t="shared" si="1"/>
        <v>46.742028, 33.360382</v>
      </c>
      <c r="Q648" s="67" t="str">
        <f t="shared" si="2"/>
        <v>46.741787, 33.360853</v>
      </c>
      <c r="R648" s="67">
        <f t="shared" si="3"/>
        <v>46.741787</v>
      </c>
      <c r="S648" s="67">
        <f t="shared" si="4"/>
        <v>33.360853</v>
      </c>
      <c r="T648" s="161"/>
      <c r="U648" s="69"/>
      <c r="V648" s="169" t="s">
        <v>6853</v>
      </c>
      <c r="W648" s="71" t="s">
        <v>5739</v>
      </c>
      <c r="X648" s="72" t="s">
        <v>75</v>
      </c>
      <c r="Y648" s="73"/>
      <c r="Z648" s="73"/>
      <c r="AA648" s="73"/>
      <c r="AB648" s="73"/>
      <c r="AC648" s="73"/>
      <c r="AD648" s="73"/>
      <c r="AE648" s="73"/>
      <c r="AF648" s="73"/>
      <c r="AG648" s="73"/>
      <c r="AH648" s="73"/>
      <c r="AI648" s="73"/>
      <c r="AJ648" s="75"/>
      <c r="AK648" s="76" t="s">
        <v>798</v>
      </c>
      <c r="AL648" s="83" t="s">
        <v>6854</v>
      </c>
      <c r="AM648" s="71" t="s">
        <v>6855</v>
      </c>
      <c r="AN648" s="84" t="s">
        <v>6856</v>
      </c>
      <c r="AO648" s="71" t="s">
        <v>6857</v>
      </c>
      <c r="AP648" s="161" t="str">
        <f>IMAGE("https://bellingcat-archive.nyc3.cdn.digitaloceanspaces.com/Ukraine_Witness_Datasheet/Worksheet/youtube_dl_1497250659367886892/out2.jpg")</f>
        <v/>
      </c>
      <c r="AQ648" s="84" t="s">
        <v>6858</v>
      </c>
      <c r="AR648" s="71" t="s">
        <v>6859</v>
      </c>
      <c r="AS648" s="71" t="s">
        <v>6860</v>
      </c>
      <c r="AT648" s="71">
        <v>27.7</v>
      </c>
      <c r="AU648" s="89"/>
      <c r="AV648" s="162"/>
      <c r="AW648" s="81"/>
    </row>
    <row r="649" ht="15.75" customHeight="1">
      <c r="A649" s="95" t="s">
        <v>63</v>
      </c>
      <c r="B649" s="73"/>
      <c r="C649" s="101" t="s">
        <v>6118</v>
      </c>
      <c r="D649" s="149">
        <v>46.838816</v>
      </c>
      <c r="E649" s="149">
        <v>35.372589</v>
      </c>
      <c r="F649" s="59">
        <v>1.0</v>
      </c>
      <c r="G649" s="84" t="s">
        <v>6861</v>
      </c>
      <c r="H649" s="73"/>
      <c r="I649" s="75"/>
      <c r="J649" s="63" t="s">
        <v>6862</v>
      </c>
      <c r="K649" s="69"/>
      <c r="L649" s="110" t="s">
        <v>3542</v>
      </c>
      <c r="M649" s="92" t="s">
        <v>6167</v>
      </c>
      <c r="N649" s="111"/>
      <c r="O649" s="92" t="s">
        <v>6168</v>
      </c>
      <c r="P649" s="67" t="str">
        <f t="shared" si="1"/>
        <v>46.838816, 35.372589</v>
      </c>
      <c r="Q649" s="67" t="str">
        <f t="shared" si="2"/>
        <v>46.838784, 35.371501</v>
      </c>
      <c r="R649" s="67">
        <f t="shared" si="3"/>
        <v>46.838784</v>
      </c>
      <c r="S649" s="67">
        <f t="shared" si="4"/>
        <v>35.371501</v>
      </c>
      <c r="T649" s="161"/>
      <c r="U649" s="69"/>
      <c r="V649" s="169" t="s">
        <v>6863</v>
      </c>
      <c r="W649" s="71" t="s">
        <v>5739</v>
      </c>
      <c r="X649" s="72" t="s">
        <v>75</v>
      </c>
      <c r="Y649" s="73"/>
      <c r="Z649" s="73"/>
      <c r="AA649" s="73"/>
      <c r="AB649" s="73"/>
      <c r="AC649" s="73"/>
      <c r="AD649" s="73"/>
      <c r="AE649" s="73"/>
      <c r="AF649" s="73"/>
      <c r="AG649" s="73"/>
      <c r="AH649" s="73"/>
      <c r="AI649" s="73"/>
      <c r="AJ649" s="75"/>
      <c r="AK649" s="76" t="s">
        <v>798</v>
      </c>
      <c r="AL649" s="83" t="s">
        <v>6864</v>
      </c>
      <c r="AM649" s="71" t="s">
        <v>6865</v>
      </c>
      <c r="AN649" s="84" t="s">
        <v>6866</v>
      </c>
      <c r="AO649" s="71" t="s">
        <v>6867</v>
      </c>
      <c r="AP649" s="161" t="str">
        <f>IMAGE("https://bellingcat-archive.nyc3.cdn.digitaloceanspaces.com/Ukraine_Witness_Datasheet/Worksheet/youtube_dl_1497229565831389184/out2.jpg")</f>
        <v/>
      </c>
      <c r="AQ649" s="84" t="s">
        <v>6868</v>
      </c>
      <c r="AR649" s="71" t="s">
        <v>6869</v>
      </c>
      <c r="AS649" s="71" t="s">
        <v>6870</v>
      </c>
      <c r="AT649" s="71">
        <v>35.384</v>
      </c>
      <c r="AU649" s="89"/>
      <c r="AV649" s="162"/>
      <c r="AW649" s="81"/>
    </row>
    <row r="650" ht="15.75" customHeight="1">
      <c r="A650" s="246" t="s">
        <v>6871</v>
      </c>
      <c r="B650" s="73"/>
      <c r="C650" s="101" t="s">
        <v>5586</v>
      </c>
      <c r="D650" s="253">
        <v>47.775609</v>
      </c>
      <c r="E650" s="253">
        <v>37.239673</v>
      </c>
      <c r="F650" s="89"/>
      <c r="G650" s="84" t="s">
        <v>6872</v>
      </c>
      <c r="H650" s="73"/>
      <c r="I650" s="62" t="s">
        <v>6873</v>
      </c>
      <c r="J650" s="63" t="s">
        <v>6874</v>
      </c>
      <c r="K650" s="69"/>
      <c r="L650" s="110" t="s">
        <v>3542</v>
      </c>
      <c r="M650" s="92" t="s">
        <v>5750</v>
      </c>
      <c r="N650" s="111"/>
      <c r="O650" s="92" t="s">
        <v>5716</v>
      </c>
      <c r="P650" s="67" t="str">
        <f t="shared" si="1"/>
        <v>47.775609, 37.239673</v>
      </c>
      <c r="Q650" s="67" t="str">
        <f t="shared" si="2"/>
        <v>47.775586, 37.240534</v>
      </c>
      <c r="R650" s="67">
        <f t="shared" si="3"/>
        <v>47.775586</v>
      </c>
      <c r="S650" s="67">
        <f t="shared" si="4"/>
        <v>37.240534</v>
      </c>
      <c r="T650" s="161"/>
      <c r="U650" s="69"/>
      <c r="V650" s="169" t="s">
        <v>6875</v>
      </c>
      <c r="W650" s="161"/>
      <c r="X650" s="17" t="s">
        <v>9</v>
      </c>
      <c r="Y650" s="216" t="s">
        <v>5820</v>
      </c>
      <c r="Z650" s="73"/>
      <c r="AA650" s="73"/>
      <c r="AB650" s="73"/>
      <c r="AC650" s="73"/>
      <c r="AD650" s="73"/>
      <c r="AE650" s="73"/>
      <c r="AF650" s="73"/>
      <c r="AG650" s="73"/>
      <c r="AH650" s="73"/>
      <c r="AI650" s="73"/>
      <c r="AJ650" s="75"/>
      <c r="AK650" s="76" t="s">
        <v>2108</v>
      </c>
      <c r="AL650" s="83" t="s">
        <v>6876</v>
      </c>
      <c r="AM650" s="71" t="s">
        <v>6877</v>
      </c>
      <c r="AN650" s="84" t="s">
        <v>6878</v>
      </c>
      <c r="AO650" s="71" t="s">
        <v>6879</v>
      </c>
      <c r="AP650" s="161" t="str">
        <f>IMAGE("https://bellingcat-archive.nyc3.cdn.digitaloceanspaces.com/Ukraine_Witness_Datasheet/Worksheet/twitter__media_FMWgbkAXEAU2SaP.jpg")</f>
        <v/>
      </c>
      <c r="AQ650" s="161"/>
      <c r="AR650" s="161"/>
      <c r="AS650" s="161"/>
      <c r="AT650" s="161"/>
      <c r="AU650" s="89"/>
      <c r="AV650" s="162"/>
      <c r="AW650" s="81"/>
    </row>
    <row r="651" ht="15.75" customHeight="1">
      <c r="A651" s="254" t="s">
        <v>6880</v>
      </c>
      <c r="B651" s="73"/>
      <c r="C651" s="247"/>
      <c r="D651" s="253"/>
      <c r="E651" s="253"/>
      <c r="F651" s="89"/>
      <c r="G651" s="255"/>
      <c r="H651" s="73"/>
      <c r="I651" s="62"/>
      <c r="J651" s="63"/>
      <c r="K651" s="69"/>
      <c r="L651" s="134"/>
      <c r="M651" s="111"/>
      <c r="N651" s="111"/>
      <c r="O651" s="111"/>
      <c r="P651" s="67" t="str">
        <f t="shared" si="1"/>
        <v/>
      </c>
      <c r="Q651" s="67" t="str">
        <f t="shared" si="2"/>
        <v/>
      </c>
      <c r="R651" s="67" t="str">
        <f t="shared" si="3"/>
        <v/>
      </c>
      <c r="S651" s="67" t="str">
        <f t="shared" si="4"/>
        <v/>
      </c>
      <c r="T651" s="161"/>
      <c r="U651" s="69"/>
      <c r="V651" s="169" t="s">
        <v>6881</v>
      </c>
      <c r="W651" s="161"/>
      <c r="X651" s="194"/>
      <c r="Y651" s="73"/>
      <c r="Z651" s="73"/>
      <c r="AA651" s="73"/>
      <c r="AB651" s="73"/>
      <c r="AC651" s="73"/>
      <c r="AD651" s="73"/>
      <c r="AE651" s="73"/>
      <c r="AF651" s="73"/>
      <c r="AG651" s="73"/>
      <c r="AH651" s="73"/>
      <c r="AI651" s="73"/>
      <c r="AJ651" s="75"/>
      <c r="AK651" s="76" t="s">
        <v>798</v>
      </c>
      <c r="AL651" s="83" t="s">
        <v>6882</v>
      </c>
      <c r="AM651" s="71" t="s">
        <v>6883</v>
      </c>
      <c r="AN651" s="84" t="s">
        <v>6884</v>
      </c>
      <c r="AO651" s="71" t="s">
        <v>6885</v>
      </c>
      <c r="AP651" s="161"/>
      <c r="AQ651" s="71" t="s">
        <v>6886</v>
      </c>
      <c r="AR651" s="71" t="s">
        <v>6887</v>
      </c>
      <c r="AS651" s="161"/>
      <c r="AT651" s="161"/>
      <c r="AU651" s="89"/>
      <c r="AV651" s="162"/>
      <c r="AW651" s="81"/>
    </row>
    <row r="652" ht="15.75" customHeight="1">
      <c r="A652" s="249" t="s">
        <v>6871</v>
      </c>
      <c r="B652" s="73"/>
      <c r="C652" s="247" t="s">
        <v>5586</v>
      </c>
      <c r="D652" s="253">
        <v>47.775609</v>
      </c>
      <c r="E652" s="253">
        <v>37.239673</v>
      </c>
      <c r="F652" s="89"/>
      <c r="G652" s="130" t="s">
        <v>6888</v>
      </c>
      <c r="H652" s="73"/>
      <c r="I652" s="62" t="s">
        <v>6873</v>
      </c>
      <c r="J652" s="71" t="s">
        <v>6874</v>
      </c>
      <c r="K652" s="69"/>
      <c r="L652" s="110" t="s">
        <v>3542</v>
      </c>
      <c r="M652" s="92" t="s">
        <v>5750</v>
      </c>
      <c r="N652" s="111"/>
      <c r="O652" s="92" t="s">
        <v>5716</v>
      </c>
      <c r="P652" s="67" t="str">
        <f t="shared" si="1"/>
        <v>47.775609, 37.239673</v>
      </c>
      <c r="Q652" s="67" t="str">
        <f t="shared" si="2"/>
        <v>47.774942, 37.240042</v>
      </c>
      <c r="R652" s="67">
        <f t="shared" si="3"/>
        <v>47.774942</v>
      </c>
      <c r="S652" s="67">
        <f t="shared" si="4"/>
        <v>37.240042</v>
      </c>
      <c r="T652" s="161"/>
      <c r="U652" s="69"/>
      <c r="V652" s="169" t="s">
        <v>6889</v>
      </c>
      <c r="W652" s="161"/>
      <c r="X652" s="17" t="s">
        <v>9</v>
      </c>
      <c r="Y652" s="216" t="s">
        <v>5820</v>
      </c>
      <c r="Z652" s="73"/>
      <c r="AA652" s="73"/>
      <c r="AB652" s="73"/>
      <c r="AC652" s="73"/>
      <c r="AD652" s="73"/>
      <c r="AE652" s="73"/>
      <c r="AF652" s="73"/>
      <c r="AG652" s="73"/>
      <c r="AH652" s="73"/>
      <c r="AI652" s="73"/>
      <c r="AJ652" s="75"/>
      <c r="AK652" s="76" t="s">
        <v>1261</v>
      </c>
      <c r="AL652" s="83" t="s">
        <v>6890</v>
      </c>
      <c r="AM652" s="71" t="s">
        <v>6891</v>
      </c>
      <c r="AN652" s="84" t="s">
        <v>6892</v>
      </c>
      <c r="AO652" s="161"/>
      <c r="AP652" s="161"/>
      <c r="AQ652" s="161"/>
      <c r="AR652" s="71" t="s">
        <v>6893</v>
      </c>
      <c r="AS652" s="161"/>
      <c r="AT652" s="161"/>
      <c r="AU652" s="89"/>
      <c r="AV652" s="162"/>
      <c r="AW652" s="81"/>
    </row>
    <row r="653" ht="15.75" customHeight="1">
      <c r="A653" s="249" t="s">
        <v>6871</v>
      </c>
      <c r="B653" s="73"/>
      <c r="C653" s="247" t="s">
        <v>5586</v>
      </c>
      <c r="D653" s="253">
        <v>47.775609</v>
      </c>
      <c r="E653" s="253">
        <v>37.239673</v>
      </c>
      <c r="F653" s="89"/>
      <c r="G653" s="84" t="s">
        <v>6894</v>
      </c>
      <c r="H653" s="73"/>
      <c r="I653" s="62" t="s">
        <v>6873</v>
      </c>
      <c r="J653" s="71" t="s">
        <v>6874</v>
      </c>
      <c r="K653" s="69"/>
      <c r="L653" s="110" t="s">
        <v>3542</v>
      </c>
      <c r="M653" s="92" t="s">
        <v>5750</v>
      </c>
      <c r="N653" s="111"/>
      <c r="O653" s="92" t="s">
        <v>5716</v>
      </c>
      <c r="P653" s="67" t="str">
        <f t="shared" si="1"/>
        <v>47.775609, 37.239673</v>
      </c>
      <c r="Q653" s="67" t="str">
        <f t="shared" si="2"/>
        <v>47.775163, 37.239614</v>
      </c>
      <c r="R653" s="67">
        <f t="shared" si="3"/>
        <v>47.775163</v>
      </c>
      <c r="S653" s="67">
        <f t="shared" si="4"/>
        <v>37.239614</v>
      </c>
      <c r="T653" s="161"/>
      <c r="U653" s="69"/>
      <c r="V653" s="169" t="s">
        <v>6895</v>
      </c>
      <c r="W653" s="161"/>
      <c r="X653" s="17" t="s">
        <v>9</v>
      </c>
      <c r="Y653" s="216" t="s">
        <v>5820</v>
      </c>
      <c r="Z653" s="73"/>
      <c r="AA653" s="73"/>
      <c r="AB653" s="73"/>
      <c r="AC653" s="73"/>
      <c r="AD653" s="73"/>
      <c r="AE653" s="73"/>
      <c r="AF653" s="73"/>
      <c r="AG653" s="73"/>
      <c r="AH653" s="73"/>
      <c r="AI653" s="73"/>
      <c r="AJ653" s="75"/>
      <c r="AK653" s="76" t="s">
        <v>1261</v>
      </c>
      <c r="AL653" s="83" t="s">
        <v>6896</v>
      </c>
      <c r="AM653" s="71" t="s">
        <v>6897</v>
      </c>
      <c r="AN653" s="84" t="s">
        <v>6898</v>
      </c>
      <c r="AO653" s="161"/>
      <c r="AP653" s="161"/>
      <c r="AQ653" s="161"/>
      <c r="AR653" s="71" t="s">
        <v>2228</v>
      </c>
      <c r="AS653" s="161"/>
      <c r="AT653" s="161"/>
      <c r="AU653" s="89"/>
      <c r="AV653" s="162"/>
      <c r="AW653" s="81"/>
    </row>
    <row r="654" ht="15.75" customHeight="1">
      <c r="A654" s="249" t="s">
        <v>6809</v>
      </c>
      <c r="B654" s="73"/>
      <c r="C654" s="256" t="s">
        <v>5586</v>
      </c>
      <c r="D654" s="257" t="s">
        <v>6899</v>
      </c>
      <c r="E654" s="257" t="s">
        <v>6900</v>
      </c>
      <c r="F654" s="89"/>
      <c r="G654" s="84" t="s">
        <v>6901</v>
      </c>
      <c r="H654" s="73"/>
      <c r="I654" s="62" t="s">
        <v>6902</v>
      </c>
      <c r="J654" s="258" t="s">
        <v>6903</v>
      </c>
      <c r="K654" s="69"/>
      <c r="L654" s="110" t="s">
        <v>3542</v>
      </c>
      <c r="M654" s="92" t="s">
        <v>5750</v>
      </c>
      <c r="N654" s="111"/>
      <c r="O654" s="92" t="s">
        <v>6109</v>
      </c>
      <c r="P654" s="67" t="str">
        <f t="shared" si="1"/>
        <v>47.1170993, 37.6848314</v>
      </c>
      <c r="Q654" s="67" t="str">
        <f t="shared" si="2"/>
        <v>47.116497, 37.684822</v>
      </c>
      <c r="R654" s="67">
        <f t="shared" si="3"/>
        <v>47.116497</v>
      </c>
      <c r="S654" s="67">
        <f t="shared" si="4"/>
        <v>37.684822</v>
      </c>
      <c r="T654" s="161"/>
      <c r="U654" s="69"/>
      <c r="V654" s="169" t="s">
        <v>6904</v>
      </c>
      <c r="W654" s="161"/>
      <c r="X654" s="17" t="s">
        <v>9</v>
      </c>
      <c r="Y654" s="216" t="s">
        <v>5820</v>
      </c>
      <c r="Z654" s="73"/>
      <c r="AA654" s="73"/>
      <c r="AB654" s="73"/>
      <c r="AC654" s="73"/>
      <c r="AD654" s="73"/>
      <c r="AE654" s="73"/>
      <c r="AF654" s="73"/>
      <c r="AG654" s="73"/>
      <c r="AH654" s="73"/>
      <c r="AI654" s="73"/>
      <c r="AJ654" s="75"/>
      <c r="AK654" s="76" t="s">
        <v>2108</v>
      </c>
      <c r="AL654" s="83" t="s">
        <v>6905</v>
      </c>
      <c r="AM654" s="71" t="s">
        <v>6906</v>
      </c>
      <c r="AN654" s="84" t="s">
        <v>6907</v>
      </c>
      <c r="AO654" s="71" t="s">
        <v>6908</v>
      </c>
      <c r="AP654" s="161" t="str">
        <f>IMAGE("https://bellingcat-archive.nyc3.cdn.digitaloceanspaces.com/Ukraine_Witness_Datasheet/Worksheet/twitter__media_FMXYI9DXoAolL77.jpg")</f>
        <v/>
      </c>
      <c r="AQ654" s="161"/>
      <c r="AR654" s="161"/>
      <c r="AS654" s="161"/>
      <c r="AT654" s="161"/>
      <c r="AU654" s="89"/>
      <c r="AV654" s="162"/>
      <c r="AW654" s="81"/>
    </row>
    <row r="655" ht="15.75" customHeight="1">
      <c r="A655" s="249" t="s">
        <v>6809</v>
      </c>
      <c r="B655" s="73"/>
      <c r="C655" s="256" t="s">
        <v>5586</v>
      </c>
      <c r="D655" s="257" t="s">
        <v>6899</v>
      </c>
      <c r="E655" s="257" t="s">
        <v>6900</v>
      </c>
      <c r="F655" s="89"/>
      <c r="G655" s="84" t="s">
        <v>6909</v>
      </c>
      <c r="H655" s="73"/>
      <c r="I655" s="62" t="s">
        <v>6902</v>
      </c>
      <c r="J655" s="258" t="s">
        <v>6903</v>
      </c>
      <c r="K655" s="69"/>
      <c r="L655" s="110" t="s">
        <v>3542</v>
      </c>
      <c r="M655" s="92" t="s">
        <v>5750</v>
      </c>
      <c r="N655" s="111"/>
      <c r="O655" s="92" t="s">
        <v>6109</v>
      </c>
      <c r="P655" s="67" t="str">
        <f t="shared" si="1"/>
        <v>47.1170993, 37.6848314</v>
      </c>
      <c r="Q655" s="67" t="str">
        <f t="shared" si="2"/>
        <v>47.116845, 37.685305</v>
      </c>
      <c r="R655" s="67">
        <f t="shared" si="3"/>
        <v>47.116845</v>
      </c>
      <c r="S655" s="67">
        <f t="shared" si="4"/>
        <v>37.685305</v>
      </c>
      <c r="T655" s="161"/>
      <c r="U655" s="69"/>
      <c r="V655" s="169" t="s">
        <v>6910</v>
      </c>
      <c r="W655" s="161"/>
      <c r="X655" s="17" t="s">
        <v>9</v>
      </c>
      <c r="Y655" s="216" t="s">
        <v>5820</v>
      </c>
      <c r="Z655" s="73"/>
      <c r="AA655" s="73"/>
      <c r="AB655" s="73"/>
      <c r="AC655" s="73"/>
      <c r="AD655" s="73"/>
      <c r="AE655" s="73"/>
      <c r="AF655" s="73"/>
      <c r="AG655" s="73"/>
      <c r="AH655" s="73"/>
      <c r="AI655" s="73"/>
      <c r="AJ655" s="75"/>
      <c r="AK655" s="76" t="s">
        <v>6276</v>
      </c>
      <c r="AL655" s="83" t="s">
        <v>6911</v>
      </c>
      <c r="AM655" s="71" t="s">
        <v>6912</v>
      </c>
      <c r="AN655" s="84" t="s">
        <v>6913</v>
      </c>
      <c r="AO655" s="71" t="s">
        <v>6914</v>
      </c>
      <c r="AP655" s="161"/>
      <c r="AQ655" s="161"/>
      <c r="AR655" s="161"/>
      <c r="AS655" s="161"/>
      <c r="AT655" s="161"/>
      <c r="AU655" s="89"/>
      <c r="AV655" s="162"/>
      <c r="AW655" s="81"/>
    </row>
    <row r="656" ht="15.75" customHeight="1">
      <c r="A656" s="175"/>
      <c r="B656" s="73"/>
      <c r="C656" s="132"/>
      <c r="D656" s="111"/>
      <c r="E656" s="111"/>
      <c r="F656" s="89"/>
      <c r="G656" s="84" t="s">
        <v>6915</v>
      </c>
      <c r="H656" s="73"/>
      <c r="I656" s="75"/>
      <c r="J656" s="161"/>
      <c r="K656" s="69"/>
      <c r="L656" s="134"/>
      <c r="M656" s="111"/>
      <c r="N656" s="111"/>
      <c r="O656" s="111"/>
      <c r="P656" s="67" t="str">
        <f t="shared" si="1"/>
        <v/>
      </c>
      <c r="Q656" s="67" t="str">
        <f t="shared" si="2"/>
        <v/>
      </c>
      <c r="R656" s="67" t="str">
        <f t="shared" si="3"/>
        <v/>
      </c>
      <c r="S656" s="67" t="str">
        <f t="shared" si="4"/>
        <v/>
      </c>
      <c r="T656" s="161"/>
      <c r="U656" s="69"/>
      <c r="V656" s="169" t="s">
        <v>6916</v>
      </c>
      <c r="W656" s="161"/>
      <c r="X656" s="194"/>
      <c r="Y656" s="73"/>
      <c r="Z656" s="73"/>
      <c r="AA656" s="73"/>
      <c r="AB656" s="73"/>
      <c r="AC656" s="73"/>
      <c r="AD656" s="73"/>
      <c r="AE656" s="73"/>
      <c r="AF656" s="73"/>
      <c r="AG656" s="73"/>
      <c r="AH656" s="73"/>
      <c r="AI656" s="73"/>
      <c r="AJ656" s="75"/>
      <c r="AK656" s="76" t="s">
        <v>798</v>
      </c>
      <c r="AL656" s="83" t="s">
        <v>6917</v>
      </c>
      <c r="AM656" s="71" t="s">
        <v>6918</v>
      </c>
      <c r="AN656" s="84" t="s">
        <v>6919</v>
      </c>
      <c r="AO656" s="71" t="s">
        <v>6920</v>
      </c>
      <c r="AP656" s="161" t="str">
        <f>IMAGE("https://bellingcat-archive.nyc3.cdn.digitaloceanspaces.com/Ukraine_Witness_Datasheet/Worksheet/youtube_dl_1497256257937453066/out2.jpg")</f>
        <v/>
      </c>
      <c r="AQ656" s="84" t="s">
        <v>6921</v>
      </c>
      <c r="AR656" s="71" t="s">
        <v>6922</v>
      </c>
      <c r="AS656" s="71" t="s">
        <v>6923</v>
      </c>
      <c r="AT656" s="71">
        <v>10.466</v>
      </c>
      <c r="AU656" s="89"/>
      <c r="AV656" s="162"/>
      <c r="AW656" s="81"/>
    </row>
    <row r="657" ht="15.75" customHeight="1">
      <c r="A657" s="259" t="s">
        <v>6924</v>
      </c>
      <c r="B657" s="73"/>
      <c r="C657" s="101" t="s">
        <v>4417</v>
      </c>
      <c r="D657" s="241" t="s">
        <v>6925</v>
      </c>
      <c r="E657" s="241" t="s">
        <v>6926</v>
      </c>
      <c r="F657" s="89"/>
      <c r="G657" s="84" t="s">
        <v>6927</v>
      </c>
      <c r="H657" s="73"/>
      <c r="I657" s="62" t="s">
        <v>6928</v>
      </c>
      <c r="J657" s="71" t="s">
        <v>6929</v>
      </c>
      <c r="K657" s="69"/>
      <c r="L657" s="134"/>
      <c r="M657" s="111"/>
      <c r="N657" s="111"/>
      <c r="O657" s="92" t="s">
        <v>3544</v>
      </c>
      <c r="P657" s="67" t="str">
        <f t="shared" si="1"/>
        <v>48.051489, 37.778075</v>
      </c>
      <c r="Q657" s="67" t="str">
        <f t="shared" si="2"/>
        <v>48.051089, 37.778123</v>
      </c>
      <c r="R657" s="67">
        <f t="shared" si="3"/>
        <v>48.051089</v>
      </c>
      <c r="S657" s="67">
        <f t="shared" si="4"/>
        <v>37.778123</v>
      </c>
      <c r="T657" s="161"/>
      <c r="U657" s="69"/>
      <c r="V657" s="169" t="s">
        <v>6930</v>
      </c>
      <c r="W657" s="161"/>
      <c r="X657" s="194"/>
      <c r="Y657" s="216" t="s">
        <v>5820</v>
      </c>
      <c r="Z657" s="73"/>
      <c r="AA657" s="73"/>
      <c r="AB657" s="73"/>
      <c r="AC657" s="73"/>
      <c r="AD657" s="73"/>
      <c r="AE657" s="73"/>
      <c r="AF657" s="73"/>
      <c r="AG657" s="73"/>
      <c r="AH657" s="73"/>
      <c r="AI657" s="73"/>
      <c r="AJ657" s="75"/>
      <c r="AK657" s="76" t="s">
        <v>798</v>
      </c>
      <c r="AL657" s="83" t="s">
        <v>6931</v>
      </c>
      <c r="AM657" s="71" t="s">
        <v>6932</v>
      </c>
      <c r="AN657" s="84" t="s">
        <v>6933</v>
      </c>
      <c r="AO657" s="71" t="s">
        <v>6934</v>
      </c>
      <c r="AP657" s="161" t="str">
        <f>IMAGE("https://bellingcat-archive.nyc3.cdn.digitaloceanspaces.com/Ukraine_Witness_Datasheet/Worksheet/youtube_dl_1496846910912610309/out2.jpg")</f>
        <v/>
      </c>
      <c r="AQ657" s="84" t="s">
        <v>6935</v>
      </c>
      <c r="AR657" s="71" t="s">
        <v>6936</v>
      </c>
      <c r="AS657" s="71" t="s">
        <v>6937</v>
      </c>
      <c r="AT657" s="71">
        <v>19.266</v>
      </c>
      <c r="AU657" s="89"/>
      <c r="AV657" s="162"/>
      <c r="AW657" s="81"/>
    </row>
    <row r="658" ht="15.75" customHeight="1">
      <c r="A658" s="217" t="s">
        <v>5457</v>
      </c>
      <c r="B658" s="73"/>
      <c r="C658" s="256" t="s">
        <v>5586</v>
      </c>
      <c r="D658" s="104">
        <v>49.967363</v>
      </c>
      <c r="E658" s="104">
        <v>36.399137</v>
      </c>
      <c r="F658" s="211">
        <v>2.0</v>
      </c>
      <c r="G658" s="130" t="s">
        <v>6938</v>
      </c>
      <c r="H658" s="73"/>
      <c r="I658" s="75"/>
      <c r="J658" s="71" t="s">
        <v>6939</v>
      </c>
      <c r="K658" s="69"/>
      <c r="L658" s="110" t="s">
        <v>3542</v>
      </c>
      <c r="M658" s="111"/>
      <c r="N658" s="111"/>
      <c r="O658" s="92" t="s">
        <v>5626</v>
      </c>
      <c r="P658" s="67" t="str">
        <f t="shared" si="1"/>
        <v>49.967363, 36.399137</v>
      </c>
      <c r="Q658" s="67" t="str">
        <f t="shared" si="2"/>
        <v>49.967086, 36.398384</v>
      </c>
      <c r="R658" s="67">
        <f t="shared" si="3"/>
        <v>49.967086</v>
      </c>
      <c r="S658" s="67">
        <f t="shared" si="4"/>
        <v>36.398384</v>
      </c>
      <c r="T658" s="161"/>
      <c r="U658" s="69"/>
      <c r="V658" s="169" t="s">
        <v>6940</v>
      </c>
      <c r="W658" s="71" t="s">
        <v>3601</v>
      </c>
      <c r="X658" s="72" t="s">
        <v>75</v>
      </c>
      <c r="Y658" s="73"/>
      <c r="Z658" s="73"/>
      <c r="AA658" s="73"/>
      <c r="AB658" s="73"/>
      <c r="AC658" s="73"/>
      <c r="AD658" s="73"/>
      <c r="AE658" s="73"/>
      <c r="AF658" s="73"/>
      <c r="AG658" s="73"/>
      <c r="AH658" s="73"/>
      <c r="AI658" s="73"/>
      <c r="AJ658" s="75"/>
      <c r="AK658" s="76" t="s">
        <v>798</v>
      </c>
      <c r="AL658" s="83" t="s">
        <v>6941</v>
      </c>
      <c r="AM658" s="71" t="s">
        <v>6942</v>
      </c>
      <c r="AN658" s="84" t="s">
        <v>6943</v>
      </c>
      <c r="AO658" s="71" t="s">
        <v>6944</v>
      </c>
      <c r="AP658" s="161" t="str">
        <f>IMAGE("https://bellingcat-archive.nyc3.cdn.digitaloceanspaces.com/Ukraine_Witness_Datasheet/Worksheet/youtube_dl_1497251507850334208/out2.jpg")</f>
        <v/>
      </c>
      <c r="AQ658" s="84" t="s">
        <v>6945</v>
      </c>
      <c r="AR658" s="71" t="s">
        <v>6946</v>
      </c>
      <c r="AS658" s="71" t="s">
        <v>6947</v>
      </c>
      <c r="AT658" s="71">
        <v>19.733</v>
      </c>
      <c r="AU658" s="89"/>
      <c r="AV658" s="162"/>
      <c r="AW658" s="81"/>
    </row>
    <row r="659" ht="15.75" customHeight="1">
      <c r="A659" s="259" t="s">
        <v>6924</v>
      </c>
      <c r="B659" s="73"/>
      <c r="C659" s="256" t="s">
        <v>5586</v>
      </c>
      <c r="D659" s="260"/>
      <c r="E659" s="260"/>
      <c r="F659" s="89"/>
      <c r="G659" s="84" t="s">
        <v>6948</v>
      </c>
      <c r="H659" s="73"/>
      <c r="I659" s="62" t="s">
        <v>6949</v>
      </c>
      <c r="J659" s="63" t="s">
        <v>6950</v>
      </c>
      <c r="K659" s="69"/>
      <c r="L659" s="134"/>
      <c r="M659" s="111"/>
      <c r="N659" s="111"/>
      <c r="O659" s="111"/>
      <c r="P659" s="67" t="str">
        <f t="shared" si="1"/>
        <v/>
      </c>
      <c r="Q659" s="67" t="str">
        <f t="shared" si="2"/>
        <v/>
      </c>
      <c r="R659" s="67" t="str">
        <f t="shared" si="3"/>
        <v/>
      </c>
      <c r="S659" s="67" t="str">
        <f t="shared" si="4"/>
        <v/>
      </c>
      <c r="T659" s="161"/>
      <c r="U659" s="69"/>
      <c r="V659" s="169" t="s">
        <v>6951</v>
      </c>
      <c r="W659" s="161"/>
      <c r="X659" s="194"/>
      <c r="Y659" s="216" t="s">
        <v>5820</v>
      </c>
      <c r="Z659" s="73"/>
      <c r="AA659" s="73"/>
      <c r="AB659" s="73"/>
      <c r="AC659" s="73"/>
      <c r="AD659" s="73"/>
      <c r="AE659" s="73"/>
      <c r="AF659" s="73"/>
      <c r="AG659" s="73"/>
      <c r="AH659" s="73"/>
      <c r="AI659" s="73"/>
      <c r="AJ659" s="75"/>
      <c r="AK659" s="76" t="s">
        <v>6276</v>
      </c>
      <c r="AL659" s="83" t="s">
        <v>6952</v>
      </c>
      <c r="AM659" s="71" t="s">
        <v>6953</v>
      </c>
      <c r="AN659" s="84" t="s">
        <v>6954</v>
      </c>
      <c r="AO659" s="71" t="s">
        <v>6955</v>
      </c>
      <c r="AP659" s="161" t="str">
        <f>IMAGE("https://bellingcat-archive.nyc3.cdn.digitaloceanspaces.com/Ukraine_Witness_Datasheet/Worksheet/telegram_7ed4846e9c/out2.jpg")</f>
        <v/>
      </c>
      <c r="AQ659" s="84" t="s">
        <v>6956</v>
      </c>
      <c r="AR659" s="84" t="s">
        <v>6948</v>
      </c>
      <c r="AS659" s="71" t="s">
        <v>6957</v>
      </c>
      <c r="AT659" s="71">
        <v>26.0</v>
      </c>
      <c r="AU659" s="89"/>
      <c r="AV659" s="162"/>
      <c r="AW659" s="81"/>
    </row>
    <row r="660" ht="15.75" customHeight="1">
      <c r="A660" s="259" t="s">
        <v>6924</v>
      </c>
      <c r="B660" s="73"/>
      <c r="C660" s="101" t="s">
        <v>6958</v>
      </c>
      <c r="D660" s="260"/>
      <c r="E660" s="260"/>
      <c r="F660" s="89"/>
      <c r="G660" s="84" t="s">
        <v>6959</v>
      </c>
      <c r="H660" s="73"/>
      <c r="I660" s="62" t="s">
        <v>6960</v>
      </c>
      <c r="J660" s="63" t="s">
        <v>6961</v>
      </c>
      <c r="K660" s="69"/>
      <c r="L660" s="134"/>
      <c r="M660" s="92" t="s">
        <v>3598</v>
      </c>
      <c r="N660" s="111"/>
      <c r="O660" s="261" t="s">
        <v>6962</v>
      </c>
      <c r="P660" s="67" t="str">
        <f t="shared" si="1"/>
        <v/>
      </c>
      <c r="Q660" s="67" t="str">
        <f t="shared" si="2"/>
        <v/>
      </c>
      <c r="R660" s="67" t="str">
        <f t="shared" si="3"/>
        <v/>
      </c>
      <c r="S660" s="67" t="str">
        <f t="shared" si="4"/>
        <v/>
      </c>
      <c r="T660" s="161"/>
      <c r="U660" s="69"/>
      <c r="V660" s="169" t="s">
        <v>6963</v>
      </c>
      <c r="W660" s="161"/>
      <c r="X660" s="194"/>
      <c r="Y660" s="216" t="s">
        <v>5820</v>
      </c>
      <c r="Z660" s="73"/>
      <c r="AA660" s="73"/>
      <c r="AB660" s="73"/>
      <c r="AC660" s="73"/>
      <c r="AD660" s="73"/>
      <c r="AE660" s="73"/>
      <c r="AF660" s="73"/>
      <c r="AG660" s="73"/>
      <c r="AH660" s="73"/>
      <c r="AI660" s="73"/>
      <c r="AJ660" s="75"/>
      <c r="AK660" s="76" t="s">
        <v>2108</v>
      </c>
      <c r="AL660" s="83" t="s">
        <v>6499</v>
      </c>
      <c r="AM660" s="71" t="s">
        <v>6964</v>
      </c>
      <c r="AN660" s="84" t="s">
        <v>6965</v>
      </c>
      <c r="AO660" s="71" t="s">
        <v>6966</v>
      </c>
      <c r="AP660" s="161" t="str">
        <f>IMAGE("https://bellingcat-archive.nyc3.cdn.digitaloceanspaces.com/Ukraine_Witness_Datasheet/Worksheet/twitter__media_FMayxePWUB4odRZ.jpg")</f>
        <v/>
      </c>
      <c r="AQ660" s="161"/>
      <c r="AR660" s="161"/>
      <c r="AS660" s="161"/>
      <c r="AT660" s="161"/>
      <c r="AU660" s="89"/>
      <c r="AV660" s="162"/>
      <c r="AW660" s="81"/>
    </row>
    <row r="661" ht="15.75" customHeight="1">
      <c r="A661" s="259" t="s">
        <v>6924</v>
      </c>
      <c r="B661" s="73"/>
      <c r="C661" s="101" t="s">
        <v>6958</v>
      </c>
      <c r="D661" s="260"/>
      <c r="E661" s="262"/>
      <c r="F661" s="89"/>
      <c r="G661" s="84" t="s">
        <v>6967</v>
      </c>
      <c r="H661" s="73"/>
      <c r="I661" s="62" t="s">
        <v>6960</v>
      </c>
      <c r="J661" s="63" t="s">
        <v>6961</v>
      </c>
      <c r="K661" s="69"/>
      <c r="L661" s="134"/>
      <c r="M661" s="92" t="s">
        <v>3598</v>
      </c>
      <c r="N661" s="111"/>
      <c r="O661" s="261" t="s">
        <v>6962</v>
      </c>
      <c r="P661" s="67" t="str">
        <f t="shared" si="1"/>
        <v/>
      </c>
      <c r="Q661" s="67" t="str">
        <f t="shared" si="2"/>
        <v/>
      </c>
      <c r="R661" s="67" t="str">
        <f t="shared" si="3"/>
        <v/>
      </c>
      <c r="S661" s="67" t="str">
        <f t="shared" si="4"/>
        <v/>
      </c>
      <c r="T661" s="161"/>
      <c r="U661" s="69"/>
      <c r="V661" s="169" t="s">
        <v>6968</v>
      </c>
      <c r="W661" s="161"/>
      <c r="X661" s="194"/>
      <c r="Y661" s="216" t="s">
        <v>5820</v>
      </c>
      <c r="Z661" s="73"/>
      <c r="AA661" s="73"/>
      <c r="AB661" s="73"/>
      <c r="AC661" s="73"/>
      <c r="AD661" s="73"/>
      <c r="AE661" s="73"/>
      <c r="AF661" s="73"/>
      <c r="AG661" s="73"/>
      <c r="AH661" s="73"/>
      <c r="AI661" s="73"/>
      <c r="AJ661" s="75"/>
      <c r="AK661" s="76" t="s">
        <v>6276</v>
      </c>
      <c r="AL661" s="83" t="s">
        <v>6969</v>
      </c>
      <c r="AM661" s="71" t="s">
        <v>6970</v>
      </c>
      <c r="AN661" s="84" t="s">
        <v>6971</v>
      </c>
      <c r="AO661" s="71" t="s">
        <v>6972</v>
      </c>
      <c r="AP661" s="161" t="str">
        <f>IMAGE("https://bellingcat-archive.nyc3.cdn.digitaloceanspaces.com/Ukraine_Witness_Datasheet/Worksheet/telegram_ae4bb86ad3/out2.jpg")</f>
        <v/>
      </c>
      <c r="AQ661" s="84" t="s">
        <v>6973</v>
      </c>
      <c r="AR661" s="84" t="s">
        <v>6967</v>
      </c>
      <c r="AS661" s="71" t="s">
        <v>6974</v>
      </c>
      <c r="AT661" s="71">
        <v>14.0</v>
      </c>
      <c r="AU661" s="89"/>
      <c r="AV661" s="162"/>
      <c r="AW661" s="81"/>
    </row>
    <row r="662" ht="15.75" customHeight="1">
      <c r="A662" s="259" t="s">
        <v>6924</v>
      </c>
      <c r="B662" s="73"/>
      <c r="C662" s="101" t="s">
        <v>3559</v>
      </c>
      <c r="D662" s="260"/>
      <c r="E662" s="262"/>
      <c r="F662" s="89"/>
      <c r="G662" s="84" t="s">
        <v>6975</v>
      </c>
      <c r="H662" s="73"/>
      <c r="I662" s="62" t="s">
        <v>6976</v>
      </c>
      <c r="J662" s="63" t="s">
        <v>6977</v>
      </c>
      <c r="K662" s="69"/>
      <c r="L662" s="134"/>
      <c r="M662" s="111"/>
      <c r="N662" s="111"/>
      <c r="O662" s="111"/>
      <c r="P662" s="67" t="str">
        <f t="shared" si="1"/>
        <v/>
      </c>
      <c r="Q662" s="67" t="str">
        <f t="shared" si="2"/>
        <v/>
      </c>
      <c r="R662" s="67" t="str">
        <f t="shared" si="3"/>
        <v/>
      </c>
      <c r="S662" s="67" t="str">
        <f t="shared" si="4"/>
        <v/>
      </c>
      <c r="T662" s="161"/>
      <c r="U662" s="69"/>
      <c r="V662" s="169" t="s">
        <v>6978</v>
      </c>
      <c r="W662" s="161"/>
      <c r="X662" s="194"/>
      <c r="Y662" s="216" t="s">
        <v>75</v>
      </c>
      <c r="Z662" s="73"/>
      <c r="AA662" s="73"/>
      <c r="AB662" s="73"/>
      <c r="AC662" s="73"/>
      <c r="AD662" s="73"/>
      <c r="AE662" s="73"/>
      <c r="AF662" s="73"/>
      <c r="AG662" s="73"/>
      <c r="AH662" s="73"/>
      <c r="AI662" s="73"/>
      <c r="AJ662" s="75"/>
      <c r="AK662" s="76" t="s">
        <v>6276</v>
      </c>
      <c r="AL662" s="83" t="s">
        <v>6979</v>
      </c>
      <c r="AM662" s="71" t="s">
        <v>6980</v>
      </c>
      <c r="AN662" s="84" t="s">
        <v>6981</v>
      </c>
      <c r="AO662" s="71" t="s">
        <v>6982</v>
      </c>
      <c r="AP662" s="161" t="str">
        <f>IMAGE("https://bellingcat-archive.nyc3.cdn.digitaloceanspaces.com/Ukraine_Witness_Datasheet/Worksheet/telegram_b2d4d96cdb/out2.jpg")</f>
        <v/>
      </c>
      <c r="AQ662" s="84" t="s">
        <v>6983</v>
      </c>
      <c r="AR662" s="84" t="s">
        <v>6975</v>
      </c>
      <c r="AS662" s="71" t="s">
        <v>6984</v>
      </c>
      <c r="AT662" s="71">
        <v>12.0</v>
      </c>
      <c r="AU662" s="89"/>
      <c r="AV662" s="162"/>
      <c r="AW662" s="81"/>
    </row>
    <row r="663" ht="15.75" customHeight="1">
      <c r="A663" s="259" t="s">
        <v>6924</v>
      </c>
      <c r="B663" s="73"/>
      <c r="C663" s="101" t="s">
        <v>6118</v>
      </c>
      <c r="D663" s="260"/>
      <c r="E663" s="262"/>
      <c r="F663" s="89"/>
      <c r="G663" s="84" t="s">
        <v>6985</v>
      </c>
      <c r="H663" s="73"/>
      <c r="I663" s="62" t="s">
        <v>6986</v>
      </c>
      <c r="J663" s="196" t="s">
        <v>6987</v>
      </c>
      <c r="K663" s="69"/>
      <c r="L663" s="134"/>
      <c r="M663" s="111"/>
      <c r="N663" s="111"/>
      <c r="O663" s="111"/>
      <c r="P663" s="67" t="str">
        <f t="shared" si="1"/>
        <v/>
      </c>
      <c r="Q663" s="67" t="str">
        <f t="shared" si="2"/>
        <v/>
      </c>
      <c r="R663" s="67" t="str">
        <f t="shared" si="3"/>
        <v/>
      </c>
      <c r="S663" s="67" t="str">
        <f t="shared" si="4"/>
        <v/>
      </c>
      <c r="T663" s="161"/>
      <c r="U663" s="69"/>
      <c r="V663" s="169" t="s">
        <v>6988</v>
      </c>
      <c r="W663" s="161"/>
      <c r="X663" s="194"/>
      <c r="Y663" s="216" t="s">
        <v>5820</v>
      </c>
      <c r="Z663" s="73"/>
      <c r="AA663" s="73"/>
      <c r="AB663" s="73"/>
      <c r="AC663" s="73"/>
      <c r="AD663" s="73"/>
      <c r="AE663" s="73"/>
      <c r="AF663" s="73"/>
      <c r="AG663" s="73"/>
      <c r="AH663" s="73"/>
      <c r="AI663" s="73"/>
      <c r="AJ663" s="75"/>
      <c r="AK663" s="76" t="s">
        <v>798</v>
      </c>
      <c r="AL663" s="83" t="s">
        <v>6989</v>
      </c>
      <c r="AM663" s="71" t="s">
        <v>6990</v>
      </c>
      <c r="AN663" s="84" t="s">
        <v>6991</v>
      </c>
      <c r="AO663" s="71" t="s">
        <v>6992</v>
      </c>
      <c r="AP663" s="161" t="str">
        <f>IMAGE("https://bellingcat-archive.nyc3.cdn.digitaloceanspaces.com/Ukraine_Witness_Datasheet/Worksheet/youtube_dl_1497253753476599814/out2.jpg")</f>
        <v/>
      </c>
      <c r="AQ663" s="84" t="s">
        <v>6993</v>
      </c>
      <c r="AR663" s="71" t="s">
        <v>6994</v>
      </c>
      <c r="AS663" s="71" t="s">
        <v>6995</v>
      </c>
      <c r="AT663" s="71">
        <v>28.484</v>
      </c>
      <c r="AU663" s="89"/>
      <c r="AV663" s="162"/>
      <c r="AW663" s="81"/>
    </row>
    <row r="664" ht="15.75" customHeight="1">
      <c r="A664" s="249" t="s">
        <v>6809</v>
      </c>
      <c r="B664" s="73"/>
      <c r="C664" s="101" t="s">
        <v>6958</v>
      </c>
      <c r="D664" s="245">
        <v>49.987287</v>
      </c>
      <c r="E664" s="263">
        <v>36.261269</v>
      </c>
      <c r="F664" s="89"/>
      <c r="G664" s="130" t="s">
        <v>6996</v>
      </c>
      <c r="H664" s="73"/>
      <c r="I664" s="62" t="s">
        <v>6272</v>
      </c>
      <c r="J664" s="63" t="s">
        <v>6997</v>
      </c>
      <c r="K664" s="69"/>
      <c r="L664" s="110" t="s">
        <v>3542</v>
      </c>
      <c r="M664" s="92" t="s">
        <v>5590</v>
      </c>
      <c r="N664" s="111"/>
      <c r="O664" s="92" t="s">
        <v>5626</v>
      </c>
      <c r="P664" s="67" t="str">
        <f t="shared" si="1"/>
        <v>49.987287, 36.261269</v>
      </c>
      <c r="Q664" s="67" t="str">
        <f t="shared" si="2"/>
        <v>49.987234, 36.260445</v>
      </c>
      <c r="R664" s="67">
        <f t="shared" si="3"/>
        <v>49.987234</v>
      </c>
      <c r="S664" s="67">
        <f t="shared" si="4"/>
        <v>36.260445</v>
      </c>
      <c r="T664" s="161"/>
      <c r="U664" s="69"/>
      <c r="V664" s="169" t="s">
        <v>6998</v>
      </c>
      <c r="W664" s="161"/>
      <c r="X664" s="17" t="s">
        <v>9</v>
      </c>
      <c r="Y664" s="216" t="s">
        <v>5820</v>
      </c>
      <c r="Z664" s="73"/>
      <c r="AA664" s="73"/>
      <c r="AB664" s="73"/>
      <c r="AC664" s="73"/>
      <c r="AD664" s="73"/>
      <c r="AE664" s="73"/>
      <c r="AF664" s="73"/>
      <c r="AG664" s="73"/>
      <c r="AH664" s="73"/>
      <c r="AI664" s="73"/>
      <c r="AJ664" s="75"/>
      <c r="AK664" s="76" t="s">
        <v>6276</v>
      </c>
      <c r="AL664" s="83" t="s">
        <v>6999</v>
      </c>
      <c r="AM664" s="71" t="s">
        <v>7000</v>
      </c>
      <c r="AN664" s="84" t="s">
        <v>7001</v>
      </c>
      <c r="AO664" s="71" t="s">
        <v>7002</v>
      </c>
      <c r="AP664" s="161"/>
      <c r="AQ664" s="161"/>
      <c r="AR664" s="161"/>
      <c r="AS664" s="161"/>
      <c r="AT664" s="161"/>
      <c r="AU664" s="89"/>
      <c r="AV664" s="162"/>
      <c r="AW664" s="81"/>
    </row>
    <row r="665" ht="15.75" customHeight="1">
      <c r="A665" s="264"/>
      <c r="B665" s="73"/>
      <c r="C665" s="101" t="s">
        <v>6958</v>
      </c>
      <c r="D665" s="245">
        <v>49.987287</v>
      </c>
      <c r="E665" s="263">
        <v>36.261269</v>
      </c>
      <c r="F665" s="89"/>
      <c r="G665" s="84" t="s">
        <v>6271</v>
      </c>
      <c r="H665" s="73"/>
      <c r="I665" s="62" t="s">
        <v>6272</v>
      </c>
      <c r="J665" s="63" t="s">
        <v>6997</v>
      </c>
      <c r="K665" s="69"/>
      <c r="L665" s="134"/>
      <c r="M665" s="111"/>
      <c r="N665" s="111"/>
      <c r="O665" s="111"/>
      <c r="P665" s="67" t="str">
        <f t="shared" si="1"/>
        <v>49.987287, 36.261269</v>
      </c>
      <c r="Q665" s="67" t="str">
        <f t="shared" si="2"/>
        <v>49.98677, 36.262062</v>
      </c>
      <c r="R665" s="67">
        <f t="shared" si="3"/>
        <v>49.98677</v>
      </c>
      <c r="S665" s="67">
        <f t="shared" si="4"/>
        <v>36.262062</v>
      </c>
      <c r="T665" s="161"/>
      <c r="U665" s="69"/>
      <c r="V665" s="169" t="s">
        <v>7003</v>
      </c>
      <c r="W665" s="161"/>
      <c r="X665" s="194"/>
      <c r="Y665" s="73"/>
      <c r="Z665" s="73"/>
      <c r="AA665" s="73"/>
      <c r="AB665" s="73"/>
      <c r="AC665" s="73"/>
      <c r="AD665" s="73"/>
      <c r="AE665" s="73"/>
      <c r="AF665" s="73"/>
      <c r="AG665" s="73"/>
      <c r="AH665" s="73"/>
      <c r="AI665" s="73"/>
      <c r="AJ665" s="75"/>
      <c r="AK665" s="76" t="s">
        <v>1261</v>
      </c>
      <c r="AL665" s="83" t="s">
        <v>7004</v>
      </c>
      <c r="AM665" s="71" t="s">
        <v>7005</v>
      </c>
      <c r="AN665" s="84" t="s">
        <v>7006</v>
      </c>
      <c r="AO665" s="161"/>
      <c r="AP665" s="161"/>
      <c r="AQ665" s="161"/>
      <c r="AR665" s="71" t="s">
        <v>7007</v>
      </c>
      <c r="AS665" s="161"/>
      <c r="AT665" s="161"/>
      <c r="AU665" s="89"/>
      <c r="AV665" s="162"/>
      <c r="AW665" s="81"/>
    </row>
    <row r="666" ht="15.75" customHeight="1">
      <c r="A666" s="259" t="s">
        <v>6924</v>
      </c>
      <c r="B666" s="73"/>
      <c r="C666" s="256" t="s">
        <v>6118</v>
      </c>
      <c r="D666" s="260"/>
      <c r="E666" s="262"/>
      <c r="F666" s="89"/>
      <c r="G666" s="84" t="s">
        <v>7008</v>
      </c>
      <c r="H666" s="73"/>
      <c r="I666" s="62" t="s">
        <v>7009</v>
      </c>
      <c r="J666" s="63" t="s">
        <v>7010</v>
      </c>
      <c r="K666" s="69"/>
      <c r="L666" s="134"/>
      <c r="M666" s="111"/>
      <c r="N666" s="111"/>
      <c r="O666" s="92" t="s">
        <v>5626</v>
      </c>
      <c r="P666" s="67" t="str">
        <f t="shared" si="1"/>
        <v/>
      </c>
      <c r="Q666" s="67" t="str">
        <f t="shared" si="2"/>
        <v/>
      </c>
      <c r="R666" s="67" t="str">
        <f t="shared" si="3"/>
        <v/>
      </c>
      <c r="S666" s="67" t="str">
        <f t="shared" si="4"/>
        <v/>
      </c>
      <c r="T666" s="161"/>
      <c r="U666" s="69"/>
      <c r="V666" s="169" t="s">
        <v>7011</v>
      </c>
      <c r="W666" s="161"/>
      <c r="X666" s="194"/>
      <c r="Y666" s="216" t="s">
        <v>75</v>
      </c>
      <c r="Z666" s="73"/>
      <c r="AA666" s="73"/>
      <c r="AB666" s="73"/>
      <c r="AC666" s="73"/>
      <c r="AD666" s="73"/>
      <c r="AE666" s="73"/>
      <c r="AF666" s="73"/>
      <c r="AG666" s="73"/>
      <c r="AH666" s="73"/>
      <c r="AI666" s="73"/>
      <c r="AJ666" s="75"/>
      <c r="AK666" s="76" t="s">
        <v>798</v>
      </c>
      <c r="AL666" s="83" t="s">
        <v>7012</v>
      </c>
      <c r="AM666" s="71" t="s">
        <v>7013</v>
      </c>
      <c r="AN666" s="84" t="s">
        <v>7014</v>
      </c>
      <c r="AO666" s="71" t="s">
        <v>7015</v>
      </c>
      <c r="AP666" s="161" t="str">
        <f>IMAGE("https://bellingcat-archive.nyc3.cdn.digitaloceanspaces.com/Ukraine_Witness_Datasheet/Worksheet/youtube_dl_1hd_NN8eMudjB8IIve-h4h2GHd3SLM9lg/out2.jpg")</f>
        <v/>
      </c>
      <c r="AQ666" s="84" t="s">
        <v>7016</v>
      </c>
      <c r="AR666" s="71" t="s">
        <v>7017</v>
      </c>
      <c r="AS666" s="161"/>
      <c r="AT666" s="71">
        <v>14.0</v>
      </c>
      <c r="AU666" s="89"/>
      <c r="AV666" s="162"/>
      <c r="AW666" s="81"/>
    </row>
    <row r="667" ht="15.75" customHeight="1">
      <c r="A667" s="259" t="s">
        <v>6924</v>
      </c>
      <c r="B667" s="73"/>
      <c r="C667" s="256" t="s">
        <v>6118</v>
      </c>
      <c r="D667" s="260"/>
      <c r="E667" s="262"/>
      <c r="F667" s="89"/>
      <c r="G667" s="84" t="s">
        <v>7018</v>
      </c>
      <c r="H667" s="73"/>
      <c r="I667" s="62" t="s">
        <v>7009</v>
      </c>
      <c r="J667" s="63" t="s">
        <v>7010</v>
      </c>
      <c r="K667" s="69"/>
      <c r="L667" s="134"/>
      <c r="M667" s="111"/>
      <c r="N667" s="111"/>
      <c r="O667" s="92" t="s">
        <v>5626</v>
      </c>
      <c r="P667" s="67" t="str">
        <f t="shared" si="1"/>
        <v/>
      </c>
      <c r="Q667" s="67" t="str">
        <f t="shared" si="2"/>
        <v/>
      </c>
      <c r="R667" s="67" t="str">
        <f t="shared" si="3"/>
        <v/>
      </c>
      <c r="S667" s="67" t="str">
        <f t="shared" si="4"/>
        <v/>
      </c>
      <c r="T667" s="161"/>
      <c r="U667" s="69"/>
      <c r="V667" s="169" t="s">
        <v>7019</v>
      </c>
      <c r="W667" s="161"/>
      <c r="X667" s="194"/>
      <c r="Y667" s="216" t="s">
        <v>75</v>
      </c>
      <c r="Z667" s="73"/>
      <c r="AA667" s="73"/>
      <c r="AB667" s="73"/>
      <c r="AC667" s="73"/>
      <c r="AD667" s="73"/>
      <c r="AE667" s="73"/>
      <c r="AF667" s="73"/>
      <c r="AG667" s="73"/>
      <c r="AH667" s="73"/>
      <c r="AI667" s="73"/>
      <c r="AJ667" s="75"/>
      <c r="AK667" s="76" t="s">
        <v>798</v>
      </c>
      <c r="AL667" s="83" t="s">
        <v>7020</v>
      </c>
      <c r="AM667" s="71" t="s">
        <v>7021</v>
      </c>
      <c r="AN667" s="84" t="s">
        <v>7022</v>
      </c>
      <c r="AO667" s="71" t="s">
        <v>7023</v>
      </c>
      <c r="AP667" s="161" t="str">
        <f>IMAGE("https://bellingcat-archive.nyc3.cdn.digitaloceanspaces.com/Ukraine_Witness_Datasheet/Worksheet/youtube_dl_1kgiqZGTtI_BoJvXf0w3LRJRZBalvcRri/out2.jpg")</f>
        <v/>
      </c>
      <c r="AQ667" s="84" t="s">
        <v>7024</v>
      </c>
      <c r="AR667" s="71" t="s">
        <v>7025</v>
      </c>
      <c r="AS667" s="161"/>
      <c r="AT667" s="71">
        <v>14.0</v>
      </c>
      <c r="AU667" s="89"/>
      <c r="AV667" s="162"/>
      <c r="AW667" s="81"/>
    </row>
    <row r="668" ht="15.75" customHeight="1">
      <c r="A668" s="259" t="s">
        <v>6924</v>
      </c>
      <c r="B668" s="73"/>
      <c r="C668" s="256" t="s">
        <v>6118</v>
      </c>
      <c r="D668" s="260"/>
      <c r="E668" s="262"/>
      <c r="F668" s="89"/>
      <c r="G668" s="84" t="s">
        <v>7026</v>
      </c>
      <c r="H668" s="73"/>
      <c r="I668" s="62" t="s">
        <v>7009</v>
      </c>
      <c r="J668" s="63" t="s">
        <v>7010</v>
      </c>
      <c r="K668" s="69"/>
      <c r="L668" s="134"/>
      <c r="M668" s="111"/>
      <c r="N668" s="111"/>
      <c r="O668" s="92" t="s">
        <v>5626</v>
      </c>
      <c r="P668" s="67" t="str">
        <f t="shared" si="1"/>
        <v/>
      </c>
      <c r="Q668" s="67" t="str">
        <f t="shared" si="2"/>
        <v/>
      </c>
      <c r="R668" s="67" t="str">
        <f t="shared" si="3"/>
        <v/>
      </c>
      <c r="S668" s="67" t="str">
        <f t="shared" si="4"/>
        <v/>
      </c>
      <c r="T668" s="161"/>
      <c r="U668" s="69"/>
      <c r="V668" s="169" t="s">
        <v>7027</v>
      </c>
      <c r="W668" s="161"/>
      <c r="X668" s="194"/>
      <c r="Y668" s="216" t="s">
        <v>75</v>
      </c>
      <c r="Z668" s="73"/>
      <c r="AA668" s="73"/>
      <c r="AB668" s="73"/>
      <c r="AC668" s="73"/>
      <c r="AD668" s="73"/>
      <c r="AE668" s="73"/>
      <c r="AF668" s="73"/>
      <c r="AG668" s="73"/>
      <c r="AH668" s="73"/>
      <c r="AI668" s="73"/>
      <c r="AJ668" s="75"/>
      <c r="AK668" s="76" t="s">
        <v>798</v>
      </c>
      <c r="AL668" s="83" t="s">
        <v>7028</v>
      </c>
      <c r="AM668" s="71" t="s">
        <v>7029</v>
      </c>
      <c r="AN668" s="84" t="s">
        <v>7030</v>
      </c>
      <c r="AO668" s="71" t="s">
        <v>7031</v>
      </c>
      <c r="AP668" s="161" t="str">
        <f>IMAGE("https://bellingcat-archive.nyc3.cdn.digitaloceanspaces.com/Ukraine_Witness_Datasheet/Worksheet/youtube_dl_14Szn69LQ5RBPoo7D7weZojuB6RhaLcC9/out2.jpg")</f>
        <v/>
      </c>
      <c r="AQ668" s="84" t="s">
        <v>7032</v>
      </c>
      <c r="AR668" s="71" t="s">
        <v>7033</v>
      </c>
      <c r="AS668" s="161"/>
      <c r="AT668" s="71">
        <v>9.0</v>
      </c>
      <c r="AU668" s="89"/>
      <c r="AV668" s="162"/>
      <c r="AW668" s="81"/>
    </row>
    <row r="669" ht="15.75" customHeight="1">
      <c r="A669" s="259" t="s">
        <v>6924</v>
      </c>
      <c r="B669" s="73"/>
      <c r="C669" s="256" t="s">
        <v>6118</v>
      </c>
      <c r="D669" s="260"/>
      <c r="E669" s="262"/>
      <c r="F669" s="89"/>
      <c r="G669" s="130" t="s">
        <v>7034</v>
      </c>
      <c r="H669" s="73"/>
      <c r="I669" s="62" t="s">
        <v>7009</v>
      </c>
      <c r="J669" s="63" t="s">
        <v>7010</v>
      </c>
      <c r="K669" s="69"/>
      <c r="L669" s="134"/>
      <c r="M669" s="111"/>
      <c r="N669" s="111"/>
      <c r="O669" s="92" t="s">
        <v>5626</v>
      </c>
      <c r="P669" s="67" t="str">
        <f t="shared" si="1"/>
        <v/>
      </c>
      <c r="Q669" s="67" t="str">
        <f t="shared" si="2"/>
        <v/>
      </c>
      <c r="R669" s="67" t="str">
        <f t="shared" si="3"/>
        <v/>
      </c>
      <c r="S669" s="67" t="str">
        <f t="shared" si="4"/>
        <v/>
      </c>
      <c r="T669" s="161"/>
      <c r="U669" s="69"/>
      <c r="V669" s="169" t="s">
        <v>7035</v>
      </c>
      <c r="W669" s="161"/>
      <c r="X669" s="194"/>
      <c r="Y669" s="216" t="s">
        <v>75</v>
      </c>
      <c r="Z669" s="73"/>
      <c r="AA669" s="73"/>
      <c r="AB669" s="73"/>
      <c r="AC669" s="73"/>
      <c r="AD669" s="73"/>
      <c r="AE669" s="73"/>
      <c r="AF669" s="73"/>
      <c r="AG669" s="73"/>
      <c r="AH669" s="73"/>
      <c r="AI669" s="73"/>
      <c r="AJ669" s="75"/>
      <c r="AK669" s="76" t="s">
        <v>798</v>
      </c>
      <c r="AL669" s="83" t="s">
        <v>7036</v>
      </c>
      <c r="AM669" s="71" t="s">
        <v>7037</v>
      </c>
      <c r="AN669" s="84" t="s">
        <v>7038</v>
      </c>
      <c r="AO669" s="71" t="s">
        <v>7039</v>
      </c>
      <c r="AP669" s="161" t="str">
        <f>IMAGE("https://bellingcat-archive.nyc3.cdn.digitaloceanspaces.com/Ukraine_Witness_Datasheet/Worksheet/youtube_dl_1-Ci0TkU7g1P2IcoIyfZGQ7bW3I3Mvpy6/out2.jpg")</f>
        <v/>
      </c>
      <c r="AQ669" s="84" t="s">
        <v>7040</v>
      </c>
      <c r="AR669" s="71" t="s">
        <v>7041</v>
      </c>
      <c r="AS669" s="161"/>
      <c r="AT669" s="71">
        <v>14.0</v>
      </c>
      <c r="AU669" s="89"/>
      <c r="AV669" s="162"/>
      <c r="AW669" s="81"/>
    </row>
    <row r="670" ht="15.75" customHeight="1">
      <c r="A670" s="249" t="s">
        <v>6809</v>
      </c>
      <c r="B670" s="73"/>
      <c r="C670" s="256" t="s">
        <v>6118</v>
      </c>
      <c r="D670" s="241" t="s">
        <v>7042</v>
      </c>
      <c r="E670" s="265" t="s">
        <v>7043</v>
      </c>
      <c r="F670" s="89"/>
      <c r="G670" s="84" t="s">
        <v>7044</v>
      </c>
      <c r="H670" s="73"/>
      <c r="I670" s="62" t="s">
        <v>7045</v>
      </c>
      <c r="J670" s="63" t="s">
        <v>7046</v>
      </c>
      <c r="K670" s="69"/>
      <c r="L670" s="110" t="s">
        <v>3542</v>
      </c>
      <c r="M670" s="92" t="s">
        <v>5827</v>
      </c>
      <c r="N670" s="111"/>
      <c r="O670" s="92" t="s">
        <v>6121</v>
      </c>
      <c r="P670" s="67" t="str">
        <f t="shared" si="1"/>
        <v>50.4479407, 30.4761999</v>
      </c>
      <c r="Q670" s="67" t="str">
        <f t="shared" si="2"/>
        <v>50.447666, 30.475773</v>
      </c>
      <c r="R670" s="67">
        <f t="shared" si="3"/>
        <v>50.447666</v>
      </c>
      <c r="S670" s="67">
        <f t="shared" si="4"/>
        <v>30.475773</v>
      </c>
      <c r="T670" s="161"/>
      <c r="U670" s="69"/>
      <c r="V670" s="169" t="s">
        <v>7047</v>
      </c>
      <c r="W670" s="161"/>
      <c r="X670" s="17" t="s">
        <v>9</v>
      </c>
      <c r="Y670" s="216" t="s">
        <v>5820</v>
      </c>
      <c r="Z670" s="73"/>
      <c r="AA670" s="73"/>
      <c r="AB670" s="73"/>
      <c r="AC670" s="73"/>
      <c r="AD670" s="73"/>
      <c r="AE670" s="73"/>
      <c r="AF670" s="73"/>
      <c r="AG670" s="73"/>
      <c r="AH670" s="73"/>
      <c r="AI670" s="73"/>
      <c r="AJ670" s="75"/>
      <c r="AK670" s="76" t="s">
        <v>6276</v>
      </c>
      <c r="AL670" s="83" t="s">
        <v>7048</v>
      </c>
      <c r="AM670" s="71" t="s">
        <v>7049</v>
      </c>
      <c r="AN670" s="84" t="s">
        <v>7050</v>
      </c>
      <c r="AO670" s="71" t="s">
        <v>7051</v>
      </c>
      <c r="AP670" s="161" t="str">
        <f>IMAGE("https://bellingcat-archive.nyc3.cdn.digitaloceanspaces.com/Ukraine_Witness_Datasheet/Worksheet/telegram_8000c86923/out2.jpg")</f>
        <v/>
      </c>
      <c r="AQ670" s="84" t="s">
        <v>7052</v>
      </c>
      <c r="AR670" s="84" t="s">
        <v>7044</v>
      </c>
      <c r="AS670" s="71" t="s">
        <v>7053</v>
      </c>
      <c r="AT670" s="71">
        <v>27.0</v>
      </c>
      <c r="AU670" s="89"/>
      <c r="AV670" s="162"/>
      <c r="AW670" s="81"/>
    </row>
    <row r="671" ht="15.75" customHeight="1">
      <c r="A671" s="95" t="s">
        <v>63</v>
      </c>
      <c r="B671" s="73"/>
      <c r="C671" s="256" t="s">
        <v>6118</v>
      </c>
      <c r="D671" s="104">
        <v>50.3097965256264</v>
      </c>
      <c r="E671" s="266">
        <v>34.8698186693109</v>
      </c>
      <c r="F671" s="79">
        <v>5.0</v>
      </c>
      <c r="G671" s="84" t="s">
        <v>7054</v>
      </c>
      <c r="H671" s="73"/>
      <c r="I671" s="62" t="s">
        <v>7055</v>
      </c>
      <c r="J671" s="63" t="s">
        <v>7056</v>
      </c>
      <c r="K671" s="69"/>
      <c r="L671" s="110" t="s">
        <v>3542</v>
      </c>
      <c r="M671" s="92" t="s">
        <v>5978</v>
      </c>
      <c r="N671" s="111"/>
      <c r="O671" s="92" t="s">
        <v>6001</v>
      </c>
      <c r="P671" s="67" t="str">
        <f t="shared" si="1"/>
        <v>50.3097965256264, 34.8698186693109</v>
      </c>
      <c r="Q671" s="67" t="str">
        <f t="shared" si="2"/>
        <v>50.309735, 34.870521</v>
      </c>
      <c r="R671" s="67">
        <f t="shared" si="3"/>
        <v>50.309735</v>
      </c>
      <c r="S671" s="67">
        <f t="shared" si="4"/>
        <v>34.870521</v>
      </c>
      <c r="T671" s="161"/>
      <c r="U671" s="69"/>
      <c r="V671" s="169" t="s">
        <v>7057</v>
      </c>
      <c r="W671" s="71" t="s">
        <v>7058</v>
      </c>
      <c r="X671" s="72" t="s">
        <v>2982</v>
      </c>
      <c r="Y671" s="216" t="s">
        <v>5820</v>
      </c>
      <c r="Z671" s="73"/>
      <c r="AA671" s="73"/>
      <c r="AB671" s="73"/>
      <c r="AC671" s="73"/>
      <c r="AD671" s="73"/>
      <c r="AE671" s="73"/>
      <c r="AF671" s="73"/>
      <c r="AG671" s="73"/>
      <c r="AH671" s="73"/>
      <c r="AI671" s="73"/>
      <c r="AJ671" s="75"/>
      <c r="AK671" s="76" t="s">
        <v>798</v>
      </c>
      <c r="AL671" s="83" t="s">
        <v>7059</v>
      </c>
      <c r="AM671" s="71" t="s">
        <v>7060</v>
      </c>
      <c r="AN671" s="84" t="s">
        <v>7061</v>
      </c>
      <c r="AO671" s="71" t="s">
        <v>7062</v>
      </c>
      <c r="AP671" s="161" t="str">
        <f>IMAGE("https://bellingcat-archive.nyc3.cdn.digitaloceanspaces.com/Ukraine_Witness_Datasheet/Worksheet/youtube_dl_1497195337089490945/out2.jpg")</f>
        <v/>
      </c>
      <c r="AQ671" s="84" t="s">
        <v>7063</v>
      </c>
      <c r="AR671" s="71" t="s">
        <v>7064</v>
      </c>
      <c r="AS671" s="71" t="s">
        <v>7065</v>
      </c>
      <c r="AT671" s="71">
        <v>47.714</v>
      </c>
      <c r="AU671" s="89"/>
      <c r="AV671" s="162"/>
      <c r="AW671" s="81"/>
    </row>
    <row r="672" ht="15.75" customHeight="1">
      <c r="A672" s="95" t="s">
        <v>63</v>
      </c>
      <c r="B672" s="73"/>
      <c r="C672" s="256" t="s">
        <v>6118</v>
      </c>
      <c r="D672" s="104">
        <v>50.3097965256264</v>
      </c>
      <c r="E672" s="266">
        <v>34.8698186693109</v>
      </c>
      <c r="F672" s="79">
        <v>1.0</v>
      </c>
      <c r="G672" s="84" t="s">
        <v>7066</v>
      </c>
      <c r="H672" s="73"/>
      <c r="I672" s="62" t="s">
        <v>7055</v>
      </c>
      <c r="J672" s="63" t="s">
        <v>7056</v>
      </c>
      <c r="K672" s="69"/>
      <c r="L672" s="110" t="s">
        <v>3542</v>
      </c>
      <c r="M672" s="92" t="s">
        <v>5978</v>
      </c>
      <c r="N672" s="111"/>
      <c r="O672" s="92" t="s">
        <v>6001</v>
      </c>
      <c r="P672" s="67" t="str">
        <f t="shared" si="1"/>
        <v>50.3097965256264, 34.8698186693109</v>
      </c>
      <c r="Q672" s="67" t="str">
        <f t="shared" si="2"/>
        <v>50.309436, 34.869141</v>
      </c>
      <c r="R672" s="67">
        <f t="shared" si="3"/>
        <v>50.309436</v>
      </c>
      <c r="S672" s="67">
        <f t="shared" si="4"/>
        <v>34.869141</v>
      </c>
      <c r="T672" s="161"/>
      <c r="U672" s="69"/>
      <c r="V672" s="169" t="s">
        <v>7067</v>
      </c>
      <c r="W672" s="71" t="s">
        <v>3601</v>
      </c>
      <c r="X672" s="72" t="s">
        <v>2982</v>
      </c>
      <c r="Y672" s="216" t="s">
        <v>5820</v>
      </c>
      <c r="Z672" s="73"/>
      <c r="AA672" s="73"/>
      <c r="AB672" s="73"/>
      <c r="AC672" s="73"/>
      <c r="AD672" s="73"/>
      <c r="AE672" s="73"/>
      <c r="AF672" s="73"/>
      <c r="AG672" s="73"/>
      <c r="AH672" s="73"/>
      <c r="AI672" s="73"/>
      <c r="AJ672" s="75"/>
      <c r="AK672" s="76" t="s">
        <v>2108</v>
      </c>
      <c r="AL672" s="83" t="s">
        <v>7068</v>
      </c>
      <c r="AM672" s="71" t="s">
        <v>7069</v>
      </c>
      <c r="AN672" s="84" t="s">
        <v>7070</v>
      </c>
      <c r="AO672" s="71" t="s">
        <v>7071</v>
      </c>
      <c r="AP672" s="161" t="str">
        <f>IMAGE("https://bellingcat-archive.nyc3.cdn.digitaloceanspaces.com/Ukraine_Witness_Datasheet/Worksheet/twitter__media_FMcg0KlWQAQLkpt.jpg")</f>
        <v/>
      </c>
      <c r="AQ672" s="161"/>
      <c r="AR672" s="161"/>
      <c r="AS672" s="161"/>
      <c r="AT672" s="161"/>
      <c r="AU672" s="89"/>
      <c r="AV672" s="162"/>
      <c r="AW672" s="81"/>
    </row>
    <row r="673" ht="15.75" customHeight="1">
      <c r="A673" s="267" t="s">
        <v>63</v>
      </c>
      <c r="B673" s="73"/>
      <c r="C673" s="256" t="s">
        <v>6118</v>
      </c>
      <c r="D673" s="104">
        <v>50.3097965256264</v>
      </c>
      <c r="E673" s="266">
        <v>34.8698186693109</v>
      </c>
      <c r="F673" s="79">
        <v>1.0</v>
      </c>
      <c r="G673" s="84" t="s">
        <v>7072</v>
      </c>
      <c r="H673" s="73"/>
      <c r="I673" s="62" t="s">
        <v>7055</v>
      </c>
      <c r="J673" s="64" t="s">
        <v>7056</v>
      </c>
      <c r="K673" s="69"/>
      <c r="L673" s="110" t="s">
        <v>3542</v>
      </c>
      <c r="M673" s="92" t="s">
        <v>5978</v>
      </c>
      <c r="N673" s="111"/>
      <c r="O673" s="92" t="s">
        <v>6001</v>
      </c>
      <c r="P673" s="67" t="str">
        <f t="shared" si="1"/>
        <v>50.3097965256264, 34.8698186693109</v>
      </c>
      <c r="Q673" s="67" t="str">
        <f t="shared" si="2"/>
        <v>50.309697, 34.869092</v>
      </c>
      <c r="R673" s="67">
        <f t="shared" si="3"/>
        <v>50.309697</v>
      </c>
      <c r="S673" s="67">
        <f t="shared" si="4"/>
        <v>34.869092</v>
      </c>
      <c r="T673" s="161"/>
      <c r="U673" s="69"/>
      <c r="V673" s="169" t="s">
        <v>7073</v>
      </c>
      <c r="W673" s="71" t="s">
        <v>5904</v>
      </c>
      <c r="X673" s="208"/>
      <c r="Y673" s="216" t="s">
        <v>5820</v>
      </c>
      <c r="Z673" s="73"/>
      <c r="AA673" s="73"/>
      <c r="AB673" s="73"/>
      <c r="AC673" s="73"/>
      <c r="AD673" s="73"/>
      <c r="AE673" s="73"/>
      <c r="AF673" s="73"/>
      <c r="AG673" s="73"/>
      <c r="AH673" s="73"/>
      <c r="AI673" s="73"/>
      <c r="AJ673" s="75"/>
      <c r="AK673" s="76" t="s">
        <v>1261</v>
      </c>
      <c r="AL673" s="83" t="s">
        <v>7074</v>
      </c>
      <c r="AM673" s="71" t="s">
        <v>7075</v>
      </c>
      <c r="AN673" s="84" t="s">
        <v>7076</v>
      </c>
      <c r="AO673" s="161"/>
      <c r="AP673" s="161"/>
      <c r="AQ673" s="161"/>
      <c r="AR673" s="71" t="s">
        <v>2228</v>
      </c>
      <c r="AS673" s="161"/>
      <c r="AT673" s="161"/>
      <c r="AU673" s="89"/>
      <c r="AV673" s="80" t="s">
        <v>88</v>
      </c>
      <c r="AW673" s="81"/>
    </row>
    <row r="674" ht="15.75" customHeight="1">
      <c r="A674" s="95" t="s">
        <v>63</v>
      </c>
      <c r="B674" s="73"/>
      <c r="C674" s="256" t="s">
        <v>6118</v>
      </c>
      <c r="D674" s="104">
        <v>50.3097965256264</v>
      </c>
      <c r="E674" s="266">
        <v>34.8698186693109</v>
      </c>
      <c r="F674" s="79">
        <v>5.0</v>
      </c>
      <c r="G674" s="130" t="s">
        <v>7077</v>
      </c>
      <c r="H674" s="73"/>
      <c r="I674" s="62" t="s">
        <v>7055</v>
      </c>
      <c r="J674" s="64" t="s">
        <v>7056</v>
      </c>
      <c r="K674" s="69"/>
      <c r="L674" s="110" t="s">
        <v>3542</v>
      </c>
      <c r="M674" s="92" t="s">
        <v>5978</v>
      </c>
      <c r="N674" s="111"/>
      <c r="O674" s="92" t="s">
        <v>6001</v>
      </c>
      <c r="P674" s="67" t="str">
        <f t="shared" si="1"/>
        <v>50.3097965256264, 34.8698186693109</v>
      </c>
      <c r="Q674" s="67" t="str">
        <f t="shared" si="2"/>
        <v>50.309298, 34.869965</v>
      </c>
      <c r="R674" s="67">
        <f t="shared" si="3"/>
        <v>50.309298</v>
      </c>
      <c r="S674" s="67">
        <f t="shared" si="4"/>
        <v>34.869965</v>
      </c>
      <c r="T674" s="161"/>
      <c r="U674" s="69"/>
      <c r="V674" s="169" t="s">
        <v>7078</v>
      </c>
      <c r="W674" s="71" t="s">
        <v>7058</v>
      </c>
      <c r="X674" s="72" t="s">
        <v>2982</v>
      </c>
      <c r="Y674" s="216" t="s">
        <v>5820</v>
      </c>
      <c r="Z674" s="73"/>
      <c r="AA674" s="73"/>
      <c r="AB674" s="73"/>
      <c r="AC674" s="73"/>
      <c r="AD674" s="73"/>
      <c r="AE674" s="73"/>
      <c r="AF674" s="73"/>
      <c r="AG674" s="73"/>
      <c r="AH674" s="73"/>
      <c r="AI674" s="73"/>
      <c r="AJ674" s="75"/>
      <c r="AK674" s="76" t="s">
        <v>1261</v>
      </c>
      <c r="AL674" s="83" t="s">
        <v>7079</v>
      </c>
      <c r="AM674" s="71" t="s">
        <v>7080</v>
      </c>
      <c r="AN674" s="84" t="s">
        <v>7081</v>
      </c>
      <c r="AO674" s="161"/>
      <c r="AP674" s="161"/>
      <c r="AQ674" s="161"/>
      <c r="AR674" s="71" t="s">
        <v>2228</v>
      </c>
      <c r="AS674" s="161"/>
      <c r="AT674" s="161"/>
      <c r="AU674" s="89"/>
      <c r="AV674" s="162"/>
      <c r="AW674" s="81"/>
    </row>
    <row r="675" ht="15.75" customHeight="1">
      <c r="A675" s="95" t="s">
        <v>63</v>
      </c>
      <c r="B675" s="73"/>
      <c r="C675" s="256" t="s">
        <v>6118</v>
      </c>
      <c r="D675" s="104">
        <v>50.3097965256264</v>
      </c>
      <c r="E675" s="266">
        <v>34.8698186693109</v>
      </c>
      <c r="F675" s="79">
        <v>2.0</v>
      </c>
      <c r="G675" s="84" t="s">
        <v>7082</v>
      </c>
      <c r="H675" s="73"/>
      <c r="I675" s="62" t="s">
        <v>7055</v>
      </c>
      <c r="J675" s="64" t="s">
        <v>7056</v>
      </c>
      <c r="K675" s="69"/>
      <c r="L675" s="110" t="s">
        <v>3542</v>
      </c>
      <c r="M675" s="92" t="s">
        <v>5978</v>
      </c>
      <c r="N675" s="111"/>
      <c r="O675" s="92" t="s">
        <v>6001</v>
      </c>
      <c r="P675" s="67" t="str">
        <f t="shared" si="1"/>
        <v>50.3097965256264, 34.8698186693109</v>
      </c>
      <c r="Q675" s="67" t="str">
        <f t="shared" si="2"/>
        <v>50.309513, 34.870253</v>
      </c>
      <c r="R675" s="67">
        <f t="shared" si="3"/>
        <v>50.309513</v>
      </c>
      <c r="S675" s="67">
        <f t="shared" si="4"/>
        <v>34.870253</v>
      </c>
      <c r="T675" s="161"/>
      <c r="U675" s="69"/>
      <c r="V675" s="169" t="s">
        <v>7083</v>
      </c>
      <c r="W675" s="71" t="s">
        <v>7058</v>
      </c>
      <c r="X675" s="72" t="s">
        <v>2982</v>
      </c>
      <c r="Y675" s="216" t="s">
        <v>5820</v>
      </c>
      <c r="Z675" s="73"/>
      <c r="AA675" s="73"/>
      <c r="AB675" s="73"/>
      <c r="AC675" s="73"/>
      <c r="AD675" s="73"/>
      <c r="AE675" s="73"/>
      <c r="AF675" s="73"/>
      <c r="AG675" s="73"/>
      <c r="AH675" s="73"/>
      <c r="AI675" s="73"/>
      <c r="AJ675" s="75"/>
      <c r="AK675" s="76" t="s">
        <v>2108</v>
      </c>
      <c r="AL675" s="83" t="s">
        <v>7084</v>
      </c>
      <c r="AM675" s="71" t="s">
        <v>7085</v>
      </c>
      <c r="AN675" s="84" t="s">
        <v>7086</v>
      </c>
      <c r="AO675" s="71" t="s">
        <v>7087</v>
      </c>
      <c r="AP675" s="161" t="str">
        <f>IMAGE("https://bellingcat-archive.nyc3.cdn.digitaloceanspaces.com/Ukraine_Witness_Datasheet/Worksheet/twitter__media_FMcRULgWQAIrJkD.jpg")</f>
        <v/>
      </c>
      <c r="AQ675" s="161"/>
      <c r="AR675" s="161"/>
      <c r="AS675" s="161"/>
      <c r="AT675" s="161"/>
      <c r="AU675" s="89"/>
      <c r="AV675" s="162"/>
      <c r="AW675" s="81"/>
    </row>
    <row r="676" ht="15.75" customHeight="1">
      <c r="A676" s="175"/>
      <c r="B676" s="73"/>
      <c r="C676" s="256" t="s">
        <v>6118</v>
      </c>
      <c r="D676" s="121"/>
      <c r="E676" s="268"/>
      <c r="F676" s="89"/>
      <c r="G676" s="84" t="s">
        <v>6477</v>
      </c>
      <c r="H676" s="73"/>
      <c r="I676" s="62" t="s">
        <v>6478</v>
      </c>
      <c r="J676" s="64" t="s">
        <v>7088</v>
      </c>
      <c r="K676" s="69"/>
      <c r="L676" s="134"/>
      <c r="M676" s="111"/>
      <c r="N676" s="111"/>
      <c r="O676" s="92" t="s">
        <v>6121</v>
      </c>
      <c r="P676" s="67" t="str">
        <f t="shared" si="1"/>
        <v/>
      </c>
      <c r="Q676" s="67" t="str">
        <f t="shared" si="2"/>
        <v/>
      </c>
      <c r="R676" s="67" t="str">
        <f t="shared" si="3"/>
        <v/>
      </c>
      <c r="S676" s="67" t="str">
        <f t="shared" si="4"/>
        <v/>
      </c>
      <c r="T676" s="161"/>
      <c r="U676" s="69"/>
      <c r="V676" s="169" t="s">
        <v>7089</v>
      </c>
      <c r="W676" s="161"/>
      <c r="X676" s="194"/>
      <c r="Y676" s="73"/>
      <c r="Z676" s="73"/>
      <c r="AA676" s="73"/>
      <c r="AB676" s="73"/>
      <c r="AC676" s="73"/>
      <c r="AD676" s="73"/>
      <c r="AE676" s="73"/>
      <c r="AF676" s="73"/>
      <c r="AG676" s="73"/>
      <c r="AH676" s="73"/>
      <c r="AI676" s="73"/>
      <c r="AJ676" s="75"/>
      <c r="AK676" s="76" t="s">
        <v>930</v>
      </c>
      <c r="AL676" s="83" t="s">
        <v>6481</v>
      </c>
      <c r="AM676" s="71" t="s">
        <v>7090</v>
      </c>
      <c r="AN676" s="84" t="s">
        <v>7091</v>
      </c>
      <c r="AO676" s="71" t="s">
        <v>6484</v>
      </c>
      <c r="AP676" s="161" t="str">
        <f>IMAGE("https://bellingcat-archive.nyc3.cdn.digitaloceanspaces.com/Ukraine_Witness_Datasheet/Worksheet/youtube_dl_1497197120566165506/out2.jpg")</f>
        <v/>
      </c>
      <c r="AQ676" s="84" t="s">
        <v>6485</v>
      </c>
      <c r="AR676" s="71" t="s">
        <v>6486</v>
      </c>
      <c r="AS676" s="71" t="s">
        <v>6487</v>
      </c>
      <c r="AT676" s="71">
        <v>13.15</v>
      </c>
      <c r="AU676" s="89"/>
      <c r="AV676" s="162"/>
      <c r="AW676" s="81"/>
    </row>
    <row r="677" ht="15.75" customHeight="1">
      <c r="A677" s="249" t="s">
        <v>7092</v>
      </c>
      <c r="B677" s="73"/>
      <c r="C677" s="256" t="s">
        <v>6118</v>
      </c>
      <c r="D677" s="241" t="s">
        <v>7093</v>
      </c>
      <c r="E677" s="265" t="s">
        <v>7094</v>
      </c>
      <c r="F677" s="89"/>
      <c r="G677" s="84" t="s">
        <v>7095</v>
      </c>
      <c r="H677" s="73"/>
      <c r="I677" s="62" t="s">
        <v>7096</v>
      </c>
      <c r="J677" s="64" t="s">
        <v>7097</v>
      </c>
      <c r="K677" s="69"/>
      <c r="L677" s="110" t="s">
        <v>3542</v>
      </c>
      <c r="M677" s="92" t="s">
        <v>5702</v>
      </c>
      <c r="N677" s="111"/>
      <c r="O677" s="261" t="s">
        <v>7098</v>
      </c>
      <c r="P677" s="67" t="str">
        <f t="shared" si="1"/>
        <v>46.63901988, 32.61059724</v>
      </c>
      <c r="Q677" s="67" t="str">
        <f t="shared" si="2"/>
        <v>46.638522, 32.610369</v>
      </c>
      <c r="R677" s="67">
        <f t="shared" si="3"/>
        <v>46.638522</v>
      </c>
      <c r="S677" s="67">
        <f t="shared" si="4"/>
        <v>32.610369</v>
      </c>
      <c r="T677" s="161"/>
      <c r="U677" s="69"/>
      <c r="V677" s="169" t="s">
        <v>7099</v>
      </c>
      <c r="W677" s="161"/>
      <c r="X677" s="17" t="s">
        <v>9</v>
      </c>
      <c r="Y677" s="216" t="s">
        <v>5820</v>
      </c>
      <c r="Z677" s="73"/>
      <c r="AA677" s="73"/>
      <c r="AB677" s="73"/>
      <c r="AC677" s="73"/>
      <c r="AD677" s="73"/>
      <c r="AE677" s="73"/>
      <c r="AF677" s="73"/>
      <c r="AG677" s="73"/>
      <c r="AH677" s="73"/>
      <c r="AI677" s="73"/>
      <c r="AJ677" s="75"/>
      <c r="AK677" s="76" t="s">
        <v>6276</v>
      </c>
      <c r="AL677" s="83" t="s">
        <v>7100</v>
      </c>
      <c r="AM677" s="71" t="s">
        <v>7101</v>
      </c>
      <c r="AN677" s="84" t="s">
        <v>7102</v>
      </c>
      <c r="AO677" s="71" t="s">
        <v>7103</v>
      </c>
      <c r="AP677" s="161" t="str">
        <f>IMAGE("https://bellingcat-archive.nyc3.cdn.digitaloceanspaces.com/Ukraine_Witness_Datasheet/Worksheet/telegram_a362967325/out2.jpg")</f>
        <v/>
      </c>
      <c r="AQ677" s="84" t="s">
        <v>7104</v>
      </c>
      <c r="AR677" s="84" t="s">
        <v>7095</v>
      </c>
      <c r="AS677" s="71" t="s">
        <v>7105</v>
      </c>
      <c r="AT677" s="71">
        <v>52.0</v>
      </c>
      <c r="AU677" s="89"/>
      <c r="AV677" s="162"/>
      <c r="AW677" s="81"/>
    </row>
    <row r="678" ht="15.75" customHeight="1">
      <c r="A678" s="175"/>
      <c r="B678" s="73"/>
      <c r="C678" s="132"/>
      <c r="D678" s="121"/>
      <c r="E678" s="268"/>
      <c r="F678" s="209">
        <v>4.0</v>
      </c>
      <c r="G678" s="84" t="s">
        <v>7106</v>
      </c>
      <c r="H678" s="73"/>
      <c r="I678" s="75"/>
      <c r="J678" s="69"/>
      <c r="K678" s="69"/>
      <c r="L678" s="134"/>
      <c r="M678" s="111"/>
      <c r="N678" s="111"/>
      <c r="O678" s="111"/>
      <c r="P678" s="67" t="str">
        <f t="shared" si="1"/>
        <v/>
      </c>
      <c r="Q678" s="67" t="str">
        <f t="shared" si="2"/>
        <v/>
      </c>
      <c r="R678" s="67" t="str">
        <f t="shared" si="3"/>
        <v/>
      </c>
      <c r="S678" s="67" t="str">
        <f t="shared" si="4"/>
        <v/>
      </c>
      <c r="T678" s="161"/>
      <c r="U678" s="69"/>
      <c r="V678" s="169" t="s">
        <v>7107</v>
      </c>
      <c r="W678" s="161"/>
      <c r="X678" s="194"/>
      <c r="Y678" s="73"/>
      <c r="Z678" s="73"/>
      <c r="AA678" s="73"/>
      <c r="AB678" s="73"/>
      <c r="AC678" s="73"/>
      <c r="AD678" s="73"/>
      <c r="AE678" s="73"/>
      <c r="AF678" s="73"/>
      <c r="AG678" s="73"/>
      <c r="AH678" s="73"/>
      <c r="AI678" s="73"/>
      <c r="AJ678" s="75"/>
      <c r="AK678" s="76" t="s">
        <v>2108</v>
      </c>
      <c r="AL678" s="83" t="s">
        <v>7108</v>
      </c>
      <c r="AM678" s="71" t="s">
        <v>7109</v>
      </c>
      <c r="AN678" s="84" t="s">
        <v>7110</v>
      </c>
      <c r="AO678" s="71" t="s">
        <v>7111</v>
      </c>
      <c r="AP678" s="161" t="str">
        <f>IMAGE("https://bellingcat-archive.nyc3.cdn.digitaloceanspaces.com/Ukraine_Witness_Datasheet/Worksheet/twitter__media_FMdYt7PXwAgXjy4.jpg")</f>
        <v/>
      </c>
      <c r="AQ678" s="161"/>
      <c r="AR678" s="161"/>
      <c r="AS678" s="161"/>
      <c r="AT678" s="161"/>
      <c r="AU678" s="89"/>
      <c r="AV678" s="162"/>
      <c r="AW678" s="81"/>
    </row>
    <row r="679" ht="15.75" customHeight="1">
      <c r="A679" s="175"/>
      <c r="B679" s="73"/>
      <c r="C679" s="132"/>
      <c r="D679" s="121"/>
      <c r="E679" s="268"/>
      <c r="F679" s="89"/>
      <c r="G679" s="84" t="s">
        <v>7112</v>
      </c>
      <c r="H679" s="73"/>
      <c r="I679" s="75"/>
      <c r="J679" s="69"/>
      <c r="K679" s="69"/>
      <c r="L679" s="134"/>
      <c r="M679" s="111"/>
      <c r="N679" s="111"/>
      <c r="O679" s="111"/>
      <c r="P679" s="67" t="str">
        <f t="shared" si="1"/>
        <v/>
      </c>
      <c r="Q679" s="67" t="str">
        <f t="shared" si="2"/>
        <v/>
      </c>
      <c r="R679" s="67" t="str">
        <f t="shared" si="3"/>
        <v/>
      </c>
      <c r="S679" s="67" t="str">
        <f t="shared" si="4"/>
        <v/>
      </c>
      <c r="T679" s="161"/>
      <c r="U679" s="69"/>
      <c r="V679" s="169" t="s">
        <v>7113</v>
      </c>
      <c r="W679" s="161"/>
      <c r="X679" s="194"/>
      <c r="Y679" s="73"/>
      <c r="Z679" s="73"/>
      <c r="AA679" s="73"/>
      <c r="AB679" s="73"/>
      <c r="AC679" s="73"/>
      <c r="AD679" s="73"/>
      <c r="AE679" s="73"/>
      <c r="AF679" s="73"/>
      <c r="AG679" s="73"/>
      <c r="AH679" s="73"/>
      <c r="AI679" s="73"/>
      <c r="AJ679" s="75"/>
      <c r="AK679" s="76" t="s">
        <v>2108</v>
      </c>
      <c r="AL679" s="83" t="s">
        <v>7114</v>
      </c>
      <c r="AM679" s="71" t="s">
        <v>7115</v>
      </c>
      <c r="AN679" s="84" t="s">
        <v>7116</v>
      </c>
      <c r="AO679" s="71" t="s">
        <v>7117</v>
      </c>
      <c r="AP679" s="161" t="str">
        <f>IMAGE("https://bellingcat-archive.nyc3.cdn.digitaloceanspaces.com/Ukraine_Witness_Datasheet/Worksheet/twitter__media_FMdU_9sWQAouRC_.jpg")</f>
        <v/>
      </c>
      <c r="AQ679" s="161"/>
      <c r="AR679" s="161"/>
      <c r="AS679" s="161"/>
      <c r="AT679" s="161"/>
      <c r="AU679" s="89"/>
      <c r="AV679" s="162"/>
      <c r="AW679" s="81"/>
    </row>
    <row r="680" ht="15.75" customHeight="1">
      <c r="A680" s="175"/>
      <c r="B680" s="73"/>
      <c r="C680" s="101" t="s">
        <v>6118</v>
      </c>
      <c r="D680" s="121"/>
      <c r="E680" s="268"/>
      <c r="F680" s="237">
        <v>3.0</v>
      </c>
      <c r="G680" s="84" t="s">
        <v>7118</v>
      </c>
      <c r="H680" s="73"/>
      <c r="I680" s="75"/>
      <c r="J680" s="64" t="s">
        <v>7119</v>
      </c>
      <c r="K680" s="69"/>
      <c r="L680" s="134"/>
      <c r="M680" s="111"/>
      <c r="N680" s="111"/>
      <c r="O680" s="111"/>
      <c r="P680" s="67" t="str">
        <f t="shared" si="1"/>
        <v/>
      </c>
      <c r="Q680" s="67" t="str">
        <f t="shared" si="2"/>
        <v/>
      </c>
      <c r="R680" s="67" t="str">
        <f t="shared" si="3"/>
        <v/>
      </c>
      <c r="S680" s="67" t="str">
        <f t="shared" si="4"/>
        <v/>
      </c>
      <c r="T680" s="161"/>
      <c r="U680" s="69"/>
      <c r="V680" s="169" t="s">
        <v>7120</v>
      </c>
      <c r="W680" s="161"/>
      <c r="X680" s="194"/>
      <c r="Y680" s="73"/>
      <c r="Z680" s="73"/>
      <c r="AA680" s="73"/>
      <c r="AB680" s="73"/>
      <c r="AC680" s="73"/>
      <c r="AD680" s="73"/>
      <c r="AE680" s="73"/>
      <c r="AF680" s="73"/>
      <c r="AG680" s="73"/>
      <c r="AH680" s="73"/>
      <c r="AI680" s="73"/>
      <c r="AJ680" s="75"/>
      <c r="AK680" s="76" t="s">
        <v>798</v>
      </c>
      <c r="AL680" s="83" t="s">
        <v>7121</v>
      </c>
      <c r="AM680" s="71" t="s">
        <v>7122</v>
      </c>
      <c r="AN680" s="84" t="s">
        <v>7123</v>
      </c>
      <c r="AO680" s="71" t="s">
        <v>7124</v>
      </c>
      <c r="AP680" s="161" t="str">
        <f>IMAGE("https://bellingcat-archive.nyc3.cdn.digitaloceanspaces.com/Ukraine_Witness_Datasheet/Worksheet/youtube_dl_1497264226863357960/out2.jpg")</f>
        <v/>
      </c>
      <c r="AQ680" s="84" t="s">
        <v>7125</v>
      </c>
      <c r="AR680" s="71" t="s">
        <v>7126</v>
      </c>
      <c r="AS680" s="71" t="s">
        <v>7127</v>
      </c>
      <c r="AT680" s="71">
        <v>18.933</v>
      </c>
      <c r="AU680" s="89"/>
      <c r="AV680" s="162"/>
      <c r="AW680" s="81"/>
    </row>
    <row r="681" ht="15.75" customHeight="1">
      <c r="A681" s="249" t="s">
        <v>7128</v>
      </c>
      <c r="B681" s="73"/>
      <c r="C681" s="101" t="s">
        <v>6118</v>
      </c>
      <c r="D681" s="241" t="s">
        <v>7129</v>
      </c>
      <c r="E681" s="265" t="s">
        <v>7130</v>
      </c>
      <c r="F681" s="89"/>
      <c r="G681" s="84" t="s">
        <v>7131</v>
      </c>
      <c r="H681" s="73"/>
      <c r="I681" s="62" t="s">
        <v>7132</v>
      </c>
      <c r="J681" s="64" t="s">
        <v>7133</v>
      </c>
      <c r="K681" s="69"/>
      <c r="L681" s="110" t="s">
        <v>3542</v>
      </c>
      <c r="M681" s="92" t="s">
        <v>5827</v>
      </c>
      <c r="N681" s="111"/>
      <c r="O681" s="92" t="s">
        <v>7134</v>
      </c>
      <c r="P681" s="67" t="str">
        <f t="shared" si="1"/>
        <v>50.515083, 30.227848</v>
      </c>
      <c r="Q681" s="67" t="str">
        <f t="shared" si="2"/>
        <v>50.514936, 30.229086</v>
      </c>
      <c r="R681" s="67">
        <f t="shared" si="3"/>
        <v>50.514936</v>
      </c>
      <c r="S681" s="67">
        <f t="shared" si="4"/>
        <v>30.229086</v>
      </c>
      <c r="T681" s="161"/>
      <c r="U681" s="69"/>
      <c r="V681" s="169" t="s">
        <v>7135</v>
      </c>
      <c r="W681" s="161"/>
      <c r="X681" s="17" t="s">
        <v>9</v>
      </c>
      <c r="Y681" s="216" t="s">
        <v>75</v>
      </c>
      <c r="Z681" s="73"/>
      <c r="AA681" s="73"/>
      <c r="AB681" s="73"/>
      <c r="AC681" s="73"/>
      <c r="AD681" s="73"/>
      <c r="AE681" s="73"/>
      <c r="AF681" s="73"/>
      <c r="AG681" s="73"/>
      <c r="AH681" s="73"/>
      <c r="AI681" s="73"/>
      <c r="AJ681" s="75"/>
      <c r="AK681" s="76" t="s">
        <v>2108</v>
      </c>
      <c r="AL681" s="83" t="s">
        <v>7136</v>
      </c>
      <c r="AM681" s="71" t="s">
        <v>7137</v>
      </c>
      <c r="AN681" s="84" t="s">
        <v>7138</v>
      </c>
      <c r="AO681" s="71" t="s">
        <v>7139</v>
      </c>
      <c r="AP681" s="161" t="str">
        <f>IMAGE("https://bellingcat-archive.nyc3.cdn.digitaloceanspaces.com/Ukraine_Witness_Datasheet/Worksheet/twitter__media_FMdOuxEWUAEt2V2.jpg")</f>
        <v/>
      </c>
      <c r="AQ681" s="161"/>
      <c r="AR681" s="161"/>
      <c r="AS681" s="161"/>
      <c r="AT681" s="161"/>
      <c r="AU681" s="89"/>
      <c r="AV681" s="162"/>
      <c r="AW681" s="81"/>
    </row>
    <row r="682" ht="15.75" customHeight="1">
      <c r="A682" s="259" t="s">
        <v>6924</v>
      </c>
      <c r="B682" s="73"/>
      <c r="C682" s="101" t="s">
        <v>6118</v>
      </c>
      <c r="D682" s="260"/>
      <c r="E682" s="262"/>
      <c r="F682" s="89"/>
      <c r="G682" s="84" t="s">
        <v>7140</v>
      </c>
      <c r="H682" s="73"/>
      <c r="I682" s="62" t="s">
        <v>6986</v>
      </c>
      <c r="J682" s="64" t="s">
        <v>7141</v>
      </c>
      <c r="K682" s="69"/>
      <c r="L682" s="134"/>
      <c r="M682" s="92" t="s">
        <v>3544</v>
      </c>
      <c r="N682" s="111"/>
      <c r="O682" s="92" t="s">
        <v>7142</v>
      </c>
      <c r="P682" s="67" t="str">
        <f t="shared" si="1"/>
        <v/>
      </c>
      <c r="Q682" s="67" t="str">
        <f t="shared" si="2"/>
        <v/>
      </c>
      <c r="R682" s="67" t="str">
        <f t="shared" si="3"/>
        <v/>
      </c>
      <c r="S682" s="67" t="str">
        <f t="shared" si="4"/>
        <v/>
      </c>
      <c r="T682" s="161"/>
      <c r="U682" s="69"/>
      <c r="V682" s="169" t="s">
        <v>7143</v>
      </c>
      <c r="W682" s="161"/>
      <c r="X682" s="194"/>
      <c r="Y682" s="216" t="s">
        <v>5820</v>
      </c>
      <c r="Z682" s="73"/>
      <c r="AA682" s="73"/>
      <c r="AB682" s="73"/>
      <c r="AC682" s="73"/>
      <c r="AD682" s="73"/>
      <c r="AE682" s="73"/>
      <c r="AF682" s="73"/>
      <c r="AG682" s="73"/>
      <c r="AH682" s="73"/>
      <c r="AI682" s="73"/>
      <c r="AJ682" s="75"/>
      <c r="AK682" s="76" t="s">
        <v>798</v>
      </c>
      <c r="AL682" s="83" t="s">
        <v>7144</v>
      </c>
      <c r="AM682" s="71" t="s">
        <v>7145</v>
      </c>
      <c r="AN682" s="84" t="s">
        <v>7146</v>
      </c>
      <c r="AO682" s="71" t="s">
        <v>7147</v>
      </c>
      <c r="AP682" s="161" t="str">
        <f>IMAGE("https://bellingcat-archive.nyc3.cdn.digitaloceanspaces.com/Ukraine_Witness_Datasheet/Worksheet/youtube_dl_1497205249362247694/out2.jpg")</f>
        <v/>
      </c>
      <c r="AQ682" s="84" t="s">
        <v>7148</v>
      </c>
      <c r="AR682" s="71" t="s">
        <v>7149</v>
      </c>
      <c r="AS682" s="71" t="s">
        <v>7150</v>
      </c>
      <c r="AT682" s="71">
        <v>11.666</v>
      </c>
      <c r="AU682" s="89"/>
      <c r="AV682" s="162"/>
      <c r="AW682" s="81"/>
    </row>
    <row r="683" ht="15.75" customHeight="1">
      <c r="A683" s="175"/>
      <c r="B683" s="73"/>
      <c r="C683" s="101" t="s">
        <v>6118</v>
      </c>
      <c r="D683" s="121"/>
      <c r="E683" s="268"/>
      <c r="F683" s="89"/>
      <c r="G683" s="84" t="s">
        <v>6985</v>
      </c>
      <c r="H683" s="73"/>
      <c r="I683" s="62" t="s">
        <v>6986</v>
      </c>
      <c r="J683" s="64" t="s">
        <v>7141</v>
      </c>
      <c r="K683" s="69"/>
      <c r="L683" s="134"/>
      <c r="M683" s="92" t="s">
        <v>3544</v>
      </c>
      <c r="N683" s="111"/>
      <c r="O683" s="92" t="s">
        <v>7142</v>
      </c>
      <c r="P683" s="67" t="str">
        <f t="shared" si="1"/>
        <v/>
      </c>
      <c r="Q683" s="67" t="str">
        <f t="shared" si="2"/>
        <v/>
      </c>
      <c r="R683" s="67" t="str">
        <f t="shared" si="3"/>
        <v/>
      </c>
      <c r="S683" s="67" t="str">
        <f t="shared" si="4"/>
        <v/>
      </c>
      <c r="T683" s="161"/>
      <c r="U683" s="69"/>
      <c r="V683" s="169" t="s">
        <v>7151</v>
      </c>
      <c r="W683" s="161"/>
      <c r="X683" s="194"/>
      <c r="Y683" s="73"/>
      <c r="Z683" s="73"/>
      <c r="AA683" s="73"/>
      <c r="AB683" s="73"/>
      <c r="AC683" s="73"/>
      <c r="AD683" s="73"/>
      <c r="AE683" s="73"/>
      <c r="AF683" s="73"/>
      <c r="AG683" s="73"/>
      <c r="AH683" s="73"/>
      <c r="AI683" s="73"/>
      <c r="AJ683" s="75"/>
      <c r="AK683" s="76" t="s">
        <v>930</v>
      </c>
      <c r="AL683" s="83" t="s">
        <v>6989</v>
      </c>
      <c r="AM683" s="71" t="s">
        <v>7152</v>
      </c>
      <c r="AN683" s="84" t="s">
        <v>7153</v>
      </c>
      <c r="AO683" s="71" t="s">
        <v>6992</v>
      </c>
      <c r="AP683" s="161" t="str">
        <f>IMAGE("https://bellingcat-archive.nyc3.cdn.digitaloceanspaces.com/Ukraine_Witness_Datasheet/Worksheet/youtube_dl_1497253753476599814/out2.jpg")</f>
        <v/>
      </c>
      <c r="AQ683" s="84" t="s">
        <v>6993</v>
      </c>
      <c r="AR683" s="71" t="s">
        <v>6994</v>
      </c>
      <c r="AS683" s="71" t="s">
        <v>6995</v>
      </c>
      <c r="AT683" s="71">
        <v>28.484</v>
      </c>
      <c r="AU683" s="89"/>
      <c r="AV683" s="162"/>
      <c r="AW683" s="81"/>
    </row>
    <row r="684" ht="15.75" customHeight="1">
      <c r="A684" s="249" t="s">
        <v>7154</v>
      </c>
      <c r="B684" s="73"/>
      <c r="C684" s="101" t="s">
        <v>6118</v>
      </c>
      <c r="D684" s="241" t="s">
        <v>7155</v>
      </c>
      <c r="E684" s="265" t="s">
        <v>7156</v>
      </c>
      <c r="F684" s="89"/>
      <c r="G684" s="130" t="s">
        <v>7157</v>
      </c>
      <c r="H684" s="73"/>
      <c r="I684" s="62" t="s">
        <v>7158</v>
      </c>
      <c r="J684" s="64" t="s">
        <v>7159</v>
      </c>
      <c r="K684" s="69"/>
      <c r="L684" s="110" t="s">
        <v>3542</v>
      </c>
      <c r="M684" s="92" t="s">
        <v>7160</v>
      </c>
      <c r="N684" s="111"/>
      <c r="O684" s="92" t="s">
        <v>6168</v>
      </c>
      <c r="P684" s="67" t="str">
        <f t="shared" si="1"/>
        <v>46.840001, 35.371448</v>
      </c>
      <c r="Q684" s="67" t="str">
        <f t="shared" si="2"/>
        <v>46.839446, 35.371949</v>
      </c>
      <c r="R684" s="67">
        <f t="shared" si="3"/>
        <v>46.839446</v>
      </c>
      <c r="S684" s="67">
        <f t="shared" si="4"/>
        <v>35.371949</v>
      </c>
      <c r="T684" s="161"/>
      <c r="U684" s="69"/>
      <c r="V684" s="169" t="s">
        <v>7161</v>
      </c>
      <c r="W684" s="161"/>
      <c r="X684" s="17" t="s">
        <v>9</v>
      </c>
      <c r="Y684" s="216" t="s">
        <v>5820</v>
      </c>
      <c r="Z684" s="73"/>
      <c r="AA684" s="73"/>
      <c r="AB684" s="73"/>
      <c r="AC684" s="73"/>
      <c r="AD684" s="73"/>
      <c r="AE684" s="73"/>
      <c r="AF684" s="73"/>
      <c r="AG684" s="73"/>
      <c r="AH684" s="73"/>
      <c r="AI684" s="73"/>
      <c r="AJ684" s="75"/>
      <c r="AK684" s="76" t="s">
        <v>930</v>
      </c>
      <c r="AL684" s="83" t="s">
        <v>7162</v>
      </c>
      <c r="AM684" s="71" t="s">
        <v>7163</v>
      </c>
      <c r="AN684" s="84" t="s">
        <v>7164</v>
      </c>
      <c r="AO684" s="71" t="s">
        <v>7165</v>
      </c>
      <c r="AP684" s="161" t="str">
        <f>IMAGE("https://bellingcat-archive.nyc3.cdn.digitaloceanspaces.com/Ukraine_Witness_Datasheet/Worksheet/youtube_dl_1497240135615791107/out2.jpg")</f>
        <v/>
      </c>
      <c r="AQ684" s="84" t="s">
        <v>7166</v>
      </c>
      <c r="AR684" s="71" t="s">
        <v>7167</v>
      </c>
      <c r="AS684" s="71" t="s">
        <v>7168</v>
      </c>
      <c r="AT684" s="71">
        <v>33.633</v>
      </c>
      <c r="AU684" s="89"/>
      <c r="AV684" s="162"/>
      <c r="AW684" s="81"/>
    </row>
    <row r="685" ht="15.75" customHeight="1">
      <c r="A685" s="254" t="s">
        <v>6880</v>
      </c>
      <c r="B685" s="73"/>
      <c r="C685" s="132"/>
      <c r="D685" s="121"/>
      <c r="E685" s="268"/>
      <c r="F685" s="89"/>
      <c r="G685" s="161"/>
      <c r="H685" s="73"/>
      <c r="I685" s="75"/>
      <c r="J685" s="69"/>
      <c r="K685" s="69"/>
      <c r="L685" s="134"/>
      <c r="M685" s="111"/>
      <c r="N685" s="111"/>
      <c r="O685" s="111"/>
      <c r="P685" s="67" t="str">
        <f t="shared" si="1"/>
        <v/>
      </c>
      <c r="Q685" s="67" t="str">
        <f t="shared" si="2"/>
        <v/>
      </c>
      <c r="R685" s="67" t="str">
        <f t="shared" si="3"/>
        <v/>
      </c>
      <c r="S685" s="67" t="str">
        <f t="shared" si="4"/>
        <v/>
      </c>
      <c r="T685" s="161"/>
      <c r="U685" s="69"/>
      <c r="V685" s="169" t="s">
        <v>7169</v>
      </c>
      <c r="W685" s="161"/>
      <c r="X685" s="194"/>
      <c r="Y685" s="73"/>
      <c r="Z685" s="73"/>
      <c r="AA685" s="73"/>
      <c r="AB685" s="73"/>
      <c r="AC685" s="73"/>
      <c r="AD685" s="73"/>
      <c r="AE685" s="73"/>
      <c r="AF685" s="73"/>
      <c r="AG685" s="73"/>
      <c r="AH685" s="73"/>
      <c r="AI685" s="73"/>
      <c r="AJ685" s="75"/>
      <c r="AK685" s="236"/>
      <c r="AL685" s="269"/>
      <c r="AM685" s="161"/>
      <c r="AN685" s="161"/>
      <c r="AO685" s="161"/>
      <c r="AP685" s="161"/>
      <c r="AQ685" s="161"/>
      <c r="AR685" s="161"/>
      <c r="AS685" s="161"/>
      <c r="AT685" s="161"/>
      <c r="AU685" s="89"/>
      <c r="AV685" s="162"/>
      <c r="AW685" s="81"/>
    </row>
    <row r="686" ht="15.75" customHeight="1">
      <c r="A686" s="254" t="s">
        <v>6880</v>
      </c>
      <c r="B686" s="73"/>
      <c r="C686" s="132"/>
      <c r="D686" s="121"/>
      <c r="E686" s="268"/>
      <c r="F686" s="89"/>
      <c r="G686" s="161"/>
      <c r="H686" s="73"/>
      <c r="I686" s="75"/>
      <c r="J686" s="69"/>
      <c r="K686" s="69"/>
      <c r="L686" s="134"/>
      <c r="M686" s="111"/>
      <c r="N686" s="111"/>
      <c r="O686" s="111"/>
      <c r="P686" s="67" t="str">
        <f t="shared" si="1"/>
        <v/>
      </c>
      <c r="Q686" s="67" t="str">
        <f t="shared" si="2"/>
        <v/>
      </c>
      <c r="R686" s="67" t="str">
        <f t="shared" si="3"/>
        <v/>
      </c>
      <c r="S686" s="67" t="str">
        <f t="shared" si="4"/>
        <v/>
      </c>
      <c r="T686" s="161"/>
      <c r="U686" s="69"/>
      <c r="V686" s="169" t="s">
        <v>7170</v>
      </c>
      <c r="W686" s="161"/>
      <c r="X686" s="194"/>
      <c r="Y686" s="73"/>
      <c r="Z686" s="73"/>
      <c r="AA686" s="73"/>
      <c r="AB686" s="73"/>
      <c r="AC686" s="73"/>
      <c r="AD686" s="73"/>
      <c r="AE686" s="73"/>
      <c r="AF686" s="73"/>
      <c r="AG686" s="73"/>
      <c r="AH686" s="73"/>
      <c r="AI686" s="73"/>
      <c r="AJ686" s="75"/>
      <c r="AK686" s="236"/>
      <c r="AL686" s="269"/>
      <c r="AM686" s="161"/>
      <c r="AN686" s="161"/>
      <c r="AO686" s="161"/>
      <c r="AP686" s="161"/>
      <c r="AQ686" s="161"/>
      <c r="AR686" s="161"/>
      <c r="AS686" s="161"/>
      <c r="AT686" s="161"/>
      <c r="AU686" s="89"/>
      <c r="AV686" s="162"/>
      <c r="AW686" s="81"/>
    </row>
    <row r="687" ht="15.75" customHeight="1">
      <c r="A687" s="259" t="s">
        <v>6924</v>
      </c>
      <c r="B687" s="73"/>
      <c r="C687" s="132" t="s">
        <v>5586</v>
      </c>
      <c r="D687" s="270"/>
      <c r="E687" s="271"/>
      <c r="F687" s="272"/>
      <c r="G687" s="273" t="s">
        <v>7171</v>
      </c>
      <c r="H687" s="274"/>
      <c r="I687" s="275" t="s">
        <v>7172</v>
      </c>
      <c r="J687" s="276" t="s">
        <v>7173</v>
      </c>
      <c r="K687" s="277"/>
      <c r="L687" s="134"/>
      <c r="M687" s="111"/>
      <c r="N687" s="111"/>
      <c r="O687" s="111"/>
      <c r="P687" s="67" t="str">
        <f t="shared" si="1"/>
        <v/>
      </c>
      <c r="Q687" s="67" t="str">
        <f t="shared" si="2"/>
        <v/>
      </c>
      <c r="R687" s="67" t="str">
        <f t="shared" si="3"/>
        <v/>
      </c>
      <c r="S687" s="67" t="str">
        <f t="shared" si="4"/>
        <v/>
      </c>
      <c r="T687" s="161"/>
      <c r="U687" s="69"/>
      <c r="V687" s="169" t="s">
        <v>7174</v>
      </c>
      <c r="W687" s="161"/>
      <c r="X687" s="194"/>
      <c r="Y687" s="216" t="s">
        <v>5820</v>
      </c>
      <c r="Z687" s="73"/>
      <c r="AA687" s="73"/>
      <c r="AB687" s="73"/>
      <c r="AC687" s="73"/>
      <c r="AD687" s="73"/>
      <c r="AE687" s="73"/>
      <c r="AF687" s="73"/>
      <c r="AG687" s="73"/>
      <c r="AH687" s="73"/>
      <c r="AI687" s="73"/>
      <c r="AJ687" s="75"/>
      <c r="AK687" s="76" t="s">
        <v>2108</v>
      </c>
      <c r="AL687" s="83" t="s">
        <v>7175</v>
      </c>
      <c r="AM687" s="71" t="s">
        <v>7176</v>
      </c>
      <c r="AN687" s="84" t="s">
        <v>7177</v>
      </c>
      <c r="AO687" s="71" t="s">
        <v>7178</v>
      </c>
      <c r="AP687" s="161" t="str">
        <f>IMAGE("https://bellingcat-archive.nyc3.cdn.digitaloceanspaces.com/Ukraine_Witness_Datasheet/Worksheet/twitter__media_FMW7Y3oXEAUyOCV.jpg")</f>
        <v/>
      </c>
      <c r="AQ687" s="161"/>
      <c r="AR687" s="161"/>
      <c r="AS687" s="161"/>
      <c r="AT687" s="161"/>
      <c r="AU687" s="89"/>
      <c r="AV687" s="162"/>
      <c r="AW687" s="81"/>
    </row>
    <row r="688" ht="15.75" customHeight="1">
      <c r="A688" s="259" t="s">
        <v>6924</v>
      </c>
      <c r="B688" s="73"/>
      <c r="C688" s="278" t="s">
        <v>5586</v>
      </c>
      <c r="D688" s="270"/>
      <c r="E688" s="270"/>
      <c r="F688" s="272"/>
      <c r="G688" s="273" t="s">
        <v>7179</v>
      </c>
      <c r="H688" s="274"/>
      <c r="I688" s="279" t="s">
        <v>7172</v>
      </c>
      <c r="J688" s="276" t="s">
        <v>7173</v>
      </c>
      <c r="K688" s="277"/>
      <c r="L688" s="134"/>
      <c r="M688" s="111"/>
      <c r="N688" s="111"/>
      <c r="O688" s="111"/>
      <c r="P688" s="67" t="str">
        <f t="shared" si="1"/>
        <v/>
      </c>
      <c r="Q688" s="67" t="str">
        <f t="shared" si="2"/>
        <v/>
      </c>
      <c r="R688" s="67" t="str">
        <f t="shared" si="3"/>
        <v/>
      </c>
      <c r="S688" s="67" t="str">
        <f t="shared" si="4"/>
        <v/>
      </c>
      <c r="T688" s="161"/>
      <c r="U688" s="69"/>
      <c r="V688" s="169" t="s">
        <v>7180</v>
      </c>
      <c r="W688" s="161"/>
      <c r="X688" s="194"/>
      <c r="Y688" s="216" t="s">
        <v>5820</v>
      </c>
      <c r="Z688" s="73"/>
      <c r="AA688" s="73"/>
      <c r="AB688" s="73"/>
      <c r="AC688" s="73"/>
      <c r="AD688" s="73"/>
      <c r="AE688" s="73"/>
      <c r="AF688" s="73"/>
      <c r="AG688" s="73"/>
      <c r="AH688" s="73"/>
      <c r="AI688" s="73"/>
      <c r="AJ688" s="75"/>
      <c r="AK688" s="76" t="s">
        <v>1261</v>
      </c>
      <c r="AL688" s="83" t="s">
        <v>7181</v>
      </c>
      <c r="AM688" s="71" t="s">
        <v>7182</v>
      </c>
      <c r="AN688" s="84" t="s">
        <v>7183</v>
      </c>
      <c r="AO688" s="161"/>
      <c r="AP688" s="161"/>
      <c r="AQ688" s="161"/>
      <c r="AR688" s="71" t="s">
        <v>7184</v>
      </c>
      <c r="AS688" s="161"/>
      <c r="AT688" s="161"/>
      <c r="AU688" s="89"/>
      <c r="AV688" s="162"/>
      <c r="AW688" s="81"/>
    </row>
    <row r="689" ht="15.75" customHeight="1">
      <c r="A689" s="95" t="s">
        <v>63</v>
      </c>
      <c r="B689" s="73"/>
      <c r="C689" s="214" t="s">
        <v>5586</v>
      </c>
      <c r="D689" s="280">
        <v>46.228083</v>
      </c>
      <c r="E689" s="280">
        <v>34.642861</v>
      </c>
      <c r="F689" s="79">
        <v>5.0</v>
      </c>
      <c r="G689" s="273" t="s">
        <v>7185</v>
      </c>
      <c r="H689" s="274"/>
      <c r="I689" s="275" t="s">
        <v>7186</v>
      </c>
      <c r="J689" s="276" t="s">
        <v>7187</v>
      </c>
      <c r="K689" s="277"/>
      <c r="L689" s="110" t="s">
        <v>3542</v>
      </c>
      <c r="M689" s="92" t="s">
        <v>5702</v>
      </c>
      <c r="N689" s="111"/>
      <c r="O689" s="92" t="s">
        <v>7188</v>
      </c>
      <c r="P689" s="67" t="str">
        <f t="shared" si="1"/>
        <v>46.228083, 34.642861</v>
      </c>
      <c r="Q689" s="67" t="str">
        <f t="shared" si="2"/>
        <v>46.227673, 34.64238</v>
      </c>
      <c r="R689" s="67">
        <f t="shared" si="3"/>
        <v>46.227673</v>
      </c>
      <c r="S689" s="67">
        <f t="shared" si="4"/>
        <v>34.64238</v>
      </c>
      <c r="T689" s="161"/>
      <c r="U689" s="69"/>
      <c r="V689" s="169" t="s">
        <v>7189</v>
      </c>
      <c r="W689" s="71" t="s">
        <v>6108</v>
      </c>
      <c r="X689" s="72" t="s">
        <v>2982</v>
      </c>
      <c r="Y689" s="216" t="s">
        <v>75</v>
      </c>
      <c r="Z689" s="73"/>
      <c r="AA689" s="73"/>
      <c r="AB689" s="73"/>
      <c r="AC689" s="73"/>
      <c r="AD689" s="73"/>
      <c r="AE689" s="73"/>
      <c r="AF689" s="73"/>
      <c r="AG689" s="73"/>
      <c r="AH689" s="73"/>
      <c r="AI689" s="73"/>
      <c r="AJ689" s="75"/>
      <c r="AK689" s="76" t="s">
        <v>798</v>
      </c>
      <c r="AL689" s="83" t="s">
        <v>7190</v>
      </c>
      <c r="AM689" s="71" t="s">
        <v>7191</v>
      </c>
      <c r="AN689" s="84" t="s">
        <v>7192</v>
      </c>
      <c r="AO689" s="71" t="s">
        <v>7193</v>
      </c>
      <c r="AP689" s="161" t="str">
        <f>IMAGE("https://bellingcat-archive.nyc3.cdn.digitaloceanspaces.com/Ukraine_Witness_Datasheet/Worksheet/youtube_dl_1496831609902968840/out2.jpg")</f>
        <v/>
      </c>
      <c r="AQ689" s="84" t="s">
        <v>7194</v>
      </c>
      <c r="AR689" s="71" t="s">
        <v>7195</v>
      </c>
      <c r="AS689" s="71" t="s">
        <v>7196</v>
      </c>
      <c r="AT689" s="71">
        <v>41.701</v>
      </c>
      <c r="AU689" s="89"/>
      <c r="AV689" s="162"/>
      <c r="AW689" s="81"/>
    </row>
    <row r="690" ht="15.75" customHeight="1">
      <c r="A690" s="95" t="s">
        <v>63</v>
      </c>
      <c r="B690" s="73"/>
      <c r="C690" s="214" t="s">
        <v>5586</v>
      </c>
      <c r="D690" s="280">
        <v>46.228083</v>
      </c>
      <c r="E690" s="280">
        <v>34.642861</v>
      </c>
      <c r="F690" s="281">
        <v>2.0</v>
      </c>
      <c r="G690" s="282" t="s">
        <v>7197</v>
      </c>
      <c r="H690" s="274"/>
      <c r="I690" s="275" t="s">
        <v>7186</v>
      </c>
      <c r="J690" s="276" t="s">
        <v>7187</v>
      </c>
      <c r="K690" s="277"/>
      <c r="L690" s="110" t="s">
        <v>3542</v>
      </c>
      <c r="M690" s="92" t="s">
        <v>5702</v>
      </c>
      <c r="N690" s="111"/>
      <c r="O690" s="92" t="s">
        <v>7188</v>
      </c>
      <c r="P690" s="67" t="str">
        <f t="shared" si="1"/>
        <v>46.228083, 34.642861</v>
      </c>
      <c r="Q690" s="67" t="str">
        <f t="shared" si="2"/>
        <v>46.227745, 34.642187</v>
      </c>
      <c r="R690" s="67">
        <f t="shared" si="3"/>
        <v>46.227745</v>
      </c>
      <c r="S690" s="67">
        <f t="shared" si="4"/>
        <v>34.642187</v>
      </c>
      <c r="T690" s="93"/>
      <c r="U690" s="69"/>
      <c r="V690" s="169"/>
      <c r="W690" s="71"/>
      <c r="X690" s="72"/>
      <c r="Y690" s="216" t="s">
        <v>75</v>
      </c>
      <c r="Z690" s="73"/>
      <c r="AA690" s="73"/>
      <c r="AB690" s="73"/>
      <c r="AC690" s="73"/>
      <c r="AD690" s="73"/>
      <c r="AE690" s="73"/>
      <c r="AF690" s="73"/>
      <c r="AG690" s="73"/>
      <c r="AH690" s="73"/>
      <c r="AI690" s="73"/>
      <c r="AJ690" s="75"/>
      <c r="AK690" s="76" t="s">
        <v>6276</v>
      </c>
      <c r="AL690" s="83" t="s">
        <v>7198</v>
      </c>
      <c r="AM690" s="71" t="s">
        <v>7199</v>
      </c>
      <c r="AN690" s="84" t="s">
        <v>7200</v>
      </c>
      <c r="AO690" s="71" t="s">
        <v>7201</v>
      </c>
      <c r="AP690" s="161"/>
      <c r="AQ690" s="71"/>
      <c r="AR690" s="71"/>
      <c r="AS690" s="71" t="s">
        <v>7202</v>
      </c>
      <c r="AT690" s="71"/>
      <c r="AU690" s="89"/>
      <c r="AV690" s="80"/>
      <c r="AW690" s="81"/>
    </row>
    <row r="691" ht="15.75" customHeight="1">
      <c r="A691" s="95" t="s">
        <v>7203</v>
      </c>
      <c r="B691" s="73"/>
      <c r="C691" s="214" t="s">
        <v>5586</v>
      </c>
      <c r="D691" s="192">
        <v>47.121018</v>
      </c>
      <c r="E691" s="192">
        <v>37.681608</v>
      </c>
      <c r="F691" s="281">
        <v>5.0</v>
      </c>
      <c r="G691" s="283" t="s">
        <v>7204</v>
      </c>
      <c r="H691" s="274"/>
      <c r="I691" s="275" t="s">
        <v>7205</v>
      </c>
      <c r="J691" s="276" t="s">
        <v>7206</v>
      </c>
      <c r="K691" s="277"/>
      <c r="L691" s="110" t="s">
        <v>3542</v>
      </c>
      <c r="M691" s="92" t="s">
        <v>7207</v>
      </c>
      <c r="N691" s="111"/>
      <c r="O691" s="92" t="s">
        <v>6109</v>
      </c>
      <c r="P691" s="67" t="str">
        <f t="shared" si="1"/>
        <v>47.121018, 37.681608</v>
      </c>
      <c r="Q691" s="67" t="str">
        <f t="shared" si="2"/>
        <v>47.120659, 37.681183</v>
      </c>
      <c r="R691" s="67">
        <f t="shared" si="3"/>
        <v>47.120659</v>
      </c>
      <c r="S691" s="67">
        <f t="shared" si="4"/>
        <v>37.681183</v>
      </c>
      <c r="T691" s="93" t="s">
        <v>7208</v>
      </c>
      <c r="U691" s="69"/>
      <c r="V691" s="169" t="s">
        <v>7209</v>
      </c>
      <c r="W691" s="71" t="s">
        <v>6108</v>
      </c>
      <c r="X691" s="72" t="s">
        <v>75</v>
      </c>
      <c r="Y691" s="216" t="s">
        <v>5820</v>
      </c>
      <c r="Z691" s="73"/>
      <c r="AA691" s="73"/>
      <c r="AB691" s="73"/>
      <c r="AC691" s="73"/>
      <c r="AD691" s="73"/>
      <c r="AE691" s="73"/>
      <c r="AF691" s="73"/>
      <c r="AG691" s="73"/>
      <c r="AH691" s="73"/>
      <c r="AI691" s="73"/>
      <c r="AJ691" s="75"/>
      <c r="AK691" s="76" t="s">
        <v>6276</v>
      </c>
      <c r="AL691" s="83" t="s">
        <v>7210</v>
      </c>
      <c r="AM691" s="71" t="s">
        <v>7211</v>
      </c>
      <c r="AN691" s="84" t="s">
        <v>7212</v>
      </c>
      <c r="AO691" s="71" t="s">
        <v>7213</v>
      </c>
      <c r="AP691" s="161" t="str">
        <f>IMAGE("https://bellingcat-archive.nyc3.cdn.digitaloceanspaces.com/Ukraine_Witness_Datasheet/Worksheet/telegram_6022c7cb4f/out2.jpg")</f>
        <v/>
      </c>
      <c r="AQ691" s="84" t="s">
        <v>7214</v>
      </c>
      <c r="AR691" s="84" t="s">
        <v>7204</v>
      </c>
      <c r="AS691" s="71" t="s">
        <v>7215</v>
      </c>
      <c r="AT691" s="71">
        <v>5.0</v>
      </c>
      <c r="AU691" s="89"/>
      <c r="AV691" s="80" t="s">
        <v>63</v>
      </c>
      <c r="AW691" s="81"/>
    </row>
    <row r="692" ht="15.75" customHeight="1">
      <c r="A692" s="249" t="s">
        <v>6809</v>
      </c>
      <c r="B692" s="73"/>
      <c r="C692" s="214" t="s">
        <v>5586</v>
      </c>
      <c r="D692" s="284" t="s">
        <v>7216</v>
      </c>
      <c r="E692" s="284" t="s">
        <v>7217</v>
      </c>
      <c r="F692" s="272"/>
      <c r="G692" s="273" t="s">
        <v>7218</v>
      </c>
      <c r="H692" s="274"/>
      <c r="I692" s="275" t="s">
        <v>7219</v>
      </c>
      <c r="J692" s="276" t="s">
        <v>7220</v>
      </c>
      <c r="K692" s="277"/>
      <c r="L692" s="110" t="s">
        <v>3542</v>
      </c>
      <c r="M692" s="92" t="s">
        <v>5978</v>
      </c>
      <c r="N692" s="111"/>
      <c r="O692" s="92" t="s">
        <v>6001</v>
      </c>
      <c r="P692" s="67" t="str">
        <f t="shared" si="1"/>
        <v>50.3083105, 34.8807024</v>
      </c>
      <c r="Q692" s="67" t="str">
        <f t="shared" si="2"/>
        <v>50.307777, 34.880818</v>
      </c>
      <c r="R692" s="67">
        <f t="shared" si="3"/>
        <v>50.307777</v>
      </c>
      <c r="S692" s="67">
        <f t="shared" si="4"/>
        <v>34.880818</v>
      </c>
      <c r="T692" s="161"/>
      <c r="U692" s="69"/>
      <c r="V692" s="169" t="s">
        <v>7221</v>
      </c>
      <c r="W692" s="161"/>
      <c r="X692" s="17" t="s">
        <v>9</v>
      </c>
      <c r="Y692" s="216" t="s">
        <v>5820</v>
      </c>
      <c r="Z692" s="73"/>
      <c r="AA692" s="73"/>
      <c r="AB692" s="73"/>
      <c r="AC692" s="73"/>
      <c r="AD692" s="73"/>
      <c r="AE692" s="73"/>
      <c r="AF692" s="73"/>
      <c r="AG692" s="73"/>
      <c r="AH692" s="73"/>
      <c r="AI692" s="73"/>
      <c r="AJ692" s="75"/>
      <c r="AK692" s="76" t="s">
        <v>6276</v>
      </c>
      <c r="AL692" s="83" t="s">
        <v>7222</v>
      </c>
      <c r="AM692" s="71" t="s">
        <v>7223</v>
      </c>
      <c r="AN692" s="84" t="s">
        <v>7224</v>
      </c>
      <c r="AO692" s="71" t="s">
        <v>7225</v>
      </c>
      <c r="AP692" s="161" t="str">
        <f>IMAGE("https://bellingcat-archive.nyc3.cdn.digitaloceanspaces.com/Ukraine_Witness_Datasheet/Worksheet/telegram_9843bc455a/out2.jpg")</f>
        <v/>
      </c>
      <c r="AQ692" s="84" t="s">
        <v>7226</v>
      </c>
      <c r="AR692" s="84" t="s">
        <v>7218</v>
      </c>
      <c r="AS692" s="71" t="s">
        <v>7227</v>
      </c>
      <c r="AT692" s="71">
        <v>25.0</v>
      </c>
      <c r="AU692" s="89"/>
      <c r="AV692" s="162"/>
      <c r="AW692" s="81"/>
    </row>
    <row r="693" ht="15.75" customHeight="1">
      <c r="A693" s="249" t="s">
        <v>6809</v>
      </c>
      <c r="B693" s="73"/>
      <c r="C693" s="214" t="s">
        <v>5586</v>
      </c>
      <c r="D693" s="284" t="s">
        <v>7228</v>
      </c>
      <c r="E693" s="284" t="s">
        <v>7229</v>
      </c>
      <c r="F693" s="272"/>
      <c r="G693" s="273" t="s">
        <v>7230</v>
      </c>
      <c r="H693" s="274"/>
      <c r="I693" s="275" t="s">
        <v>7231</v>
      </c>
      <c r="J693" s="276" t="s">
        <v>7232</v>
      </c>
      <c r="K693" s="277"/>
      <c r="L693" s="110" t="s">
        <v>3542</v>
      </c>
      <c r="M693" s="92" t="s">
        <v>3544</v>
      </c>
      <c r="N693" s="111"/>
      <c r="O693" s="92" t="s">
        <v>5750</v>
      </c>
      <c r="P693" s="67" t="str">
        <f t="shared" si="1"/>
        <v>48.055395, 37.7783</v>
      </c>
      <c r="Q693" s="67" t="str">
        <f t="shared" si="2"/>
        <v>48.055371, 37.77926</v>
      </c>
      <c r="R693" s="67">
        <f t="shared" si="3"/>
        <v>48.055371</v>
      </c>
      <c r="S693" s="67">
        <f t="shared" si="4"/>
        <v>37.77926</v>
      </c>
      <c r="T693" s="161"/>
      <c r="U693" s="69"/>
      <c r="V693" s="169" t="s">
        <v>7233</v>
      </c>
      <c r="W693" s="161"/>
      <c r="X693" s="17" t="s">
        <v>9</v>
      </c>
      <c r="Y693" s="216" t="s">
        <v>5820</v>
      </c>
      <c r="Z693" s="73"/>
      <c r="AA693" s="73"/>
      <c r="AB693" s="73"/>
      <c r="AC693" s="73"/>
      <c r="AD693" s="73"/>
      <c r="AE693" s="73"/>
      <c r="AF693" s="73"/>
      <c r="AG693" s="73"/>
      <c r="AH693" s="73"/>
      <c r="AI693" s="73"/>
      <c r="AJ693" s="75"/>
      <c r="AK693" s="76" t="s">
        <v>2108</v>
      </c>
      <c r="AL693" s="83" t="s">
        <v>7234</v>
      </c>
      <c r="AM693" s="71" t="s">
        <v>7235</v>
      </c>
      <c r="AN693" s="84" t="s">
        <v>7236</v>
      </c>
      <c r="AO693" s="71" t="s">
        <v>7237</v>
      </c>
      <c r="AP693" s="161" t="str">
        <f>IMAGE("https://bellingcat-archive.nyc3.cdn.digitaloceanspaces.com/Ukraine_Witness_Datasheet/Worksheet/twitter__media_FMX6bJJWQAUNZKU.jpg")</f>
        <v/>
      </c>
      <c r="AQ693" s="161"/>
      <c r="AR693" s="161"/>
      <c r="AS693" s="161"/>
      <c r="AT693" s="161"/>
      <c r="AU693" s="89"/>
      <c r="AV693" s="80" t="s">
        <v>88</v>
      </c>
      <c r="AW693" s="81"/>
    </row>
    <row r="694" ht="15.75" customHeight="1">
      <c r="A694" s="249" t="s">
        <v>6809</v>
      </c>
      <c r="B694" s="73"/>
      <c r="C694" s="214" t="s">
        <v>6118</v>
      </c>
      <c r="D694" s="284" t="s">
        <v>7238</v>
      </c>
      <c r="E694" s="284" t="s">
        <v>7239</v>
      </c>
      <c r="F694" s="272"/>
      <c r="G694" s="273" t="s">
        <v>7240</v>
      </c>
      <c r="H694" s="274"/>
      <c r="I694" s="275" t="s">
        <v>7241</v>
      </c>
      <c r="J694" s="276" t="s">
        <v>7242</v>
      </c>
      <c r="K694" s="277"/>
      <c r="L694" s="110" t="s">
        <v>3542</v>
      </c>
      <c r="M694" s="92" t="s">
        <v>5827</v>
      </c>
      <c r="N694" s="111"/>
      <c r="O694" s="92" t="s">
        <v>6121</v>
      </c>
      <c r="P694" s="67" t="str">
        <f t="shared" si="1"/>
        <v>50.405361, 30.645226</v>
      </c>
      <c r="Q694" s="67" t="str">
        <f t="shared" si="2"/>
        <v>50.404803, 30.645561</v>
      </c>
      <c r="R694" s="67">
        <f t="shared" si="3"/>
        <v>50.404803</v>
      </c>
      <c r="S694" s="67">
        <f t="shared" si="4"/>
        <v>30.645561</v>
      </c>
      <c r="T694" s="161"/>
      <c r="U694" s="69"/>
      <c r="V694" s="169" t="s">
        <v>7243</v>
      </c>
      <c r="W694" s="161"/>
      <c r="X694" s="17" t="s">
        <v>9</v>
      </c>
      <c r="Y694" s="216" t="s">
        <v>5820</v>
      </c>
      <c r="Z694" s="73"/>
      <c r="AA694" s="73"/>
      <c r="AB694" s="73"/>
      <c r="AC694" s="73"/>
      <c r="AD694" s="73"/>
      <c r="AE694" s="73"/>
      <c r="AF694" s="73"/>
      <c r="AG694" s="73"/>
      <c r="AH694" s="73"/>
      <c r="AI694" s="73"/>
      <c r="AJ694" s="75"/>
      <c r="AK694" s="76" t="s">
        <v>798</v>
      </c>
      <c r="AL694" s="83" t="s">
        <v>7244</v>
      </c>
      <c r="AM694" s="71" t="s">
        <v>7245</v>
      </c>
      <c r="AN694" s="84" t="s">
        <v>7246</v>
      </c>
      <c r="AO694" s="71" t="s">
        <v>7247</v>
      </c>
      <c r="AP694" s="161" t="str">
        <f>IMAGE("https://bellingcat-archive.nyc3.cdn.digitaloceanspaces.com/Ukraine_Witness_Datasheet/Worksheet/youtube_dl_1497048113504301090/out2.jpg")</f>
        <v/>
      </c>
      <c r="AQ694" s="84" t="s">
        <v>7248</v>
      </c>
      <c r="AR694" s="71" t="s">
        <v>7249</v>
      </c>
      <c r="AS694" s="71" t="s">
        <v>7250</v>
      </c>
      <c r="AT694" s="71">
        <v>5.3</v>
      </c>
      <c r="AU694" s="89"/>
      <c r="AV694" s="162"/>
      <c r="AW694" s="81"/>
    </row>
    <row r="695" ht="15.75" customHeight="1">
      <c r="A695" s="249" t="s">
        <v>6809</v>
      </c>
      <c r="B695" s="73"/>
      <c r="C695" s="278" t="s">
        <v>6118</v>
      </c>
      <c r="D695" s="284" t="s">
        <v>7238</v>
      </c>
      <c r="E695" s="284" t="s">
        <v>7239</v>
      </c>
      <c r="F695" s="272"/>
      <c r="G695" s="273" t="s">
        <v>7251</v>
      </c>
      <c r="H695" s="274"/>
      <c r="I695" s="275" t="s">
        <v>7241</v>
      </c>
      <c r="J695" s="276" t="s">
        <v>7242</v>
      </c>
      <c r="K695" s="277"/>
      <c r="L695" s="110" t="s">
        <v>3542</v>
      </c>
      <c r="M695" s="92" t="s">
        <v>5827</v>
      </c>
      <c r="N695" s="111"/>
      <c r="O695" s="92" t="s">
        <v>6121</v>
      </c>
      <c r="P695" s="67" t="str">
        <f t="shared" si="1"/>
        <v>50.405361, 30.645226</v>
      </c>
      <c r="Q695" s="67" t="str">
        <f t="shared" si="2"/>
        <v>50.404611, 30.64504</v>
      </c>
      <c r="R695" s="67">
        <f t="shared" si="3"/>
        <v>50.404611</v>
      </c>
      <c r="S695" s="67">
        <f t="shared" si="4"/>
        <v>30.64504</v>
      </c>
      <c r="T695" s="161"/>
      <c r="U695" s="69"/>
      <c r="V695" s="169" t="s">
        <v>7252</v>
      </c>
      <c r="W695" s="161"/>
      <c r="X695" s="17" t="s">
        <v>9</v>
      </c>
      <c r="Y695" s="216" t="s">
        <v>5820</v>
      </c>
      <c r="Z695" s="73"/>
      <c r="AA695" s="73"/>
      <c r="AB695" s="73"/>
      <c r="AC695" s="73"/>
      <c r="AD695" s="73"/>
      <c r="AE695" s="73"/>
      <c r="AF695" s="73"/>
      <c r="AG695" s="73"/>
      <c r="AH695" s="73"/>
      <c r="AI695" s="73"/>
      <c r="AJ695" s="75"/>
      <c r="AK695" s="76" t="s">
        <v>798</v>
      </c>
      <c r="AL695" s="83" t="s">
        <v>7253</v>
      </c>
      <c r="AM695" s="71" t="s">
        <v>7254</v>
      </c>
      <c r="AN695" s="84" t="s">
        <v>7255</v>
      </c>
      <c r="AO695" s="71" t="s">
        <v>7256</v>
      </c>
      <c r="AP695" s="161" t="str">
        <f>IMAGE("https://bellingcat-archive.nyc3.cdn.digitaloceanspaces.com/Ukraine_Witness_Datasheet/Worksheet/youtube_dl_1497057602794049537/out2.jpg")</f>
        <v/>
      </c>
      <c r="AQ695" s="84" t="s">
        <v>7257</v>
      </c>
      <c r="AR695" s="71" t="s">
        <v>7258</v>
      </c>
      <c r="AS695" s="71" t="s">
        <v>7259</v>
      </c>
      <c r="AT695" s="71">
        <v>15.2</v>
      </c>
      <c r="AU695" s="89"/>
      <c r="AV695" s="162"/>
      <c r="AW695" s="81"/>
    </row>
    <row r="696" ht="15.75" customHeight="1">
      <c r="A696" s="249" t="s">
        <v>6809</v>
      </c>
      <c r="B696" s="73"/>
      <c r="C696" s="278" t="s">
        <v>6118</v>
      </c>
      <c r="D696" s="284" t="s">
        <v>7238</v>
      </c>
      <c r="E696" s="284" t="s">
        <v>7239</v>
      </c>
      <c r="F696" s="272"/>
      <c r="G696" s="273" t="s">
        <v>7260</v>
      </c>
      <c r="H696" s="274"/>
      <c r="I696" s="275" t="s">
        <v>7241</v>
      </c>
      <c r="J696" s="276" t="s">
        <v>7242</v>
      </c>
      <c r="K696" s="277"/>
      <c r="L696" s="110" t="s">
        <v>3542</v>
      </c>
      <c r="M696" s="92" t="s">
        <v>5827</v>
      </c>
      <c r="N696" s="111"/>
      <c r="O696" s="92" t="s">
        <v>6121</v>
      </c>
      <c r="P696" s="67" t="str">
        <f t="shared" si="1"/>
        <v>50.405361, 30.645226</v>
      </c>
      <c r="Q696" s="67" t="str">
        <f t="shared" si="2"/>
        <v>50.404903, 30.645161</v>
      </c>
      <c r="R696" s="67">
        <f t="shared" si="3"/>
        <v>50.404903</v>
      </c>
      <c r="S696" s="67">
        <f t="shared" si="4"/>
        <v>30.645161</v>
      </c>
      <c r="T696" s="161"/>
      <c r="U696" s="69"/>
      <c r="V696" s="169" t="s">
        <v>7261</v>
      </c>
      <c r="W696" s="161"/>
      <c r="X696" s="17" t="s">
        <v>9</v>
      </c>
      <c r="Y696" s="216" t="s">
        <v>5820</v>
      </c>
      <c r="Z696" s="73"/>
      <c r="AA696" s="73"/>
      <c r="AB696" s="73"/>
      <c r="AC696" s="73"/>
      <c r="AD696" s="73"/>
      <c r="AE696" s="73"/>
      <c r="AF696" s="73"/>
      <c r="AG696" s="73"/>
      <c r="AH696" s="73"/>
      <c r="AI696" s="73"/>
      <c r="AJ696" s="75"/>
      <c r="AK696" s="76" t="s">
        <v>6276</v>
      </c>
      <c r="AL696" s="83" t="s">
        <v>7262</v>
      </c>
      <c r="AM696" s="71" t="s">
        <v>7263</v>
      </c>
      <c r="AN696" s="84" t="s">
        <v>7264</v>
      </c>
      <c r="AO696" s="71" t="s">
        <v>7265</v>
      </c>
      <c r="AP696" s="161"/>
      <c r="AQ696" s="161"/>
      <c r="AR696" s="161"/>
      <c r="AS696" s="161"/>
      <c r="AT696" s="161"/>
      <c r="AU696" s="89"/>
      <c r="AV696" s="162"/>
      <c r="AW696" s="81"/>
    </row>
    <row r="697" ht="15.75" customHeight="1">
      <c r="A697" s="249" t="s">
        <v>6809</v>
      </c>
      <c r="B697" s="73"/>
      <c r="C697" s="278" t="s">
        <v>6118</v>
      </c>
      <c r="D697" s="285" t="s">
        <v>7238</v>
      </c>
      <c r="E697" s="285" t="s">
        <v>7239</v>
      </c>
      <c r="F697" s="272"/>
      <c r="G697" s="273" t="s">
        <v>7266</v>
      </c>
      <c r="H697" s="274"/>
      <c r="I697" s="275" t="s">
        <v>7241</v>
      </c>
      <c r="J697" s="276" t="s">
        <v>7242</v>
      </c>
      <c r="K697" s="277"/>
      <c r="L697" s="110" t="s">
        <v>3542</v>
      </c>
      <c r="M697" s="92" t="s">
        <v>5827</v>
      </c>
      <c r="N697" s="111"/>
      <c r="O697" s="92" t="s">
        <v>6121</v>
      </c>
      <c r="P697" s="67" t="str">
        <f t="shared" si="1"/>
        <v>50.405361, 30.645226</v>
      </c>
      <c r="Q697" s="67" t="str">
        <f t="shared" si="2"/>
        <v>50.404907, 30.645682</v>
      </c>
      <c r="R697" s="67">
        <f t="shared" si="3"/>
        <v>50.404907</v>
      </c>
      <c r="S697" s="67">
        <f t="shared" si="4"/>
        <v>30.645682</v>
      </c>
      <c r="T697" s="161"/>
      <c r="U697" s="69"/>
      <c r="V697" s="169" t="s">
        <v>7267</v>
      </c>
      <c r="W697" s="161"/>
      <c r="X697" s="17" t="s">
        <v>9</v>
      </c>
      <c r="Y697" s="216" t="s">
        <v>5820</v>
      </c>
      <c r="Z697" s="73"/>
      <c r="AA697" s="73"/>
      <c r="AB697" s="73"/>
      <c r="AC697" s="73"/>
      <c r="AD697" s="73"/>
      <c r="AE697" s="73"/>
      <c r="AF697" s="73"/>
      <c r="AG697" s="73"/>
      <c r="AH697" s="73"/>
      <c r="AI697" s="73"/>
      <c r="AJ697" s="75"/>
      <c r="AK697" s="76" t="s">
        <v>798</v>
      </c>
      <c r="AL697" s="83" t="s">
        <v>7268</v>
      </c>
      <c r="AM697" s="71" t="s">
        <v>7269</v>
      </c>
      <c r="AN697" s="84" t="s">
        <v>7270</v>
      </c>
      <c r="AO697" s="71" t="s">
        <v>7271</v>
      </c>
      <c r="AP697" s="161" t="str">
        <f>IMAGE("https://bellingcat-archive.nyc3.cdn.digitaloceanspaces.com/Ukraine_Witness_Datasheet/Worksheet/youtube_dl_1497134872992833551/out5.jpg")</f>
        <v/>
      </c>
      <c r="AQ697" s="84" t="s">
        <v>7272</v>
      </c>
      <c r="AR697" s="71" t="s">
        <v>7273</v>
      </c>
      <c r="AS697" s="71" t="s">
        <v>7274</v>
      </c>
      <c r="AT697" s="71">
        <v>140.001</v>
      </c>
      <c r="AU697" s="89"/>
      <c r="AV697" s="162"/>
      <c r="AW697" s="81"/>
    </row>
    <row r="698" ht="15.75" customHeight="1">
      <c r="A698" s="249" t="s">
        <v>6809</v>
      </c>
      <c r="B698" s="73"/>
      <c r="C698" s="278" t="s">
        <v>6118</v>
      </c>
      <c r="D698" s="284" t="s">
        <v>7238</v>
      </c>
      <c r="E698" s="284" t="s">
        <v>7239</v>
      </c>
      <c r="F698" s="272"/>
      <c r="G698" s="273" t="s">
        <v>7275</v>
      </c>
      <c r="H698" s="274"/>
      <c r="I698" s="275" t="s">
        <v>7241</v>
      </c>
      <c r="J698" s="276" t="s">
        <v>7242</v>
      </c>
      <c r="K698" s="277"/>
      <c r="L698" s="110" t="s">
        <v>3542</v>
      </c>
      <c r="M698" s="92" t="s">
        <v>5827</v>
      </c>
      <c r="N698" s="111"/>
      <c r="O698" s="92" t="s">
        <v>6121</v>
      </c>
      <c r="P698" s="67" t="str">
        <f t="shared" si="1"/>
        <v>50.405361, 30.645226</v>
      </c>
      <c r="Q698" s="67" t="str">
        <f t="shared" si="2"/>
        <v>50.40525, 30.644703</v>
      </c>
      <c r="R698" s="67">
        <f t="shared" si="3"/>
        <v>50.40525</v>
      </c>
      <c r="S698" s="67">
        <f t="shared" si="4"/>
        <v>30.644703</v>
      </c>
      <c r="T698" s="161"/>
      <c r="U698" s="69"/>
      <c r="V698" s="169" t="s">
        <v>7276</v>
      </c>
      <c r="W698" s="161"/>
      <c r="X698" s="17" t="s">
        <v>9</v>
      </c>
      <c r="Y698" s="216" t="s">
        <v>5820</v>
      </c>
      <c r="Z698" s="73"/>
      <c r="AA698" s="73"/>
      <c r="AB698" s="73"/>
      <c r="AC698" s="73"/>
      <c r="AD698" s="73"/>
      <c r="AE698" s="73"/>
      <c r="AF698" s="73"/>
      <c r="AG698" s="73"/>
      <c r="AH698" s="73"/>
      <c r="AI698" s="73"/>
      <c r="AJ698" s="75"/>
      <c r="AK698" s="76" t="s">
        <v>798</v>
      </c>
      <c r="AL698" s="83" t="s">
        <v>7277</v>
      </c>
      <c r="AM698" s="71" t="s">
        <v>7278</v>
      </c>
      <c r="AN698" s="84" t="s">
        <v>7279</v>
      </c>
      <c r="AO698" s="71" t="s">
        <v>7280</v>
      </c>
      <c r="AP698" s="161" t="str">
        <f>IMAGE("https://bellingcat-archive.nyc3.cdn.digitaloceanspaces.com/Ukraine_Witness_Datasheet/Worksheet/youtube_dl_1497130333556334595/out2.jpg")</f>
        <v/>
      </c>
      <c r="AQ698" s="84" t="s">
        <v>7281</v>
      </c>
      <c r="AR698" s="71" t="s">
        <v>7282</v>
      </c>
      <c r="AS698" s="71" t="s">
        <v>7283</v>
      </c>
      <c r="AT698" s="71">
        <v>8.703</v>
      </c>
      <c r="AU698" s="89"/>
      <c r="AV698" s="162"/>
      <c r="AW698" s="81"/>
    </row>
    <row r="699" ht="15.75" customHeight="1">
      <c r="A699" s="249" t="s">
        <v>6809</v>
      </c>
      <c r="B699" s="73"/>
      <c r="C699" s="278" t="s">
        <v>6118</v>
      </c>
      <c r="D699" s="284" t="s">
        <v>7238</v>
      </c>
      <c r="E699" s="284" t="s">
        <v>7239</v>
      </c>
      <c r="F699" s="272"/>
      <c r="G699" s="273" t="s">
        <v>7284</v>
      </c>
      <c r="H699" s="274"/>
      <c r="I699" s="275" t="s">
        <v>7241</v>
      </c>
      <c r="J699" s="276" t="s">
        <v>7242</v>
      </c>
      <c r="K699" s="277"/>
      <c r="L699" s="110" t="s">
        <v>3542</v>
      </c>
      <c r="M699" s="92" t="s">
        <v>5827</v>
      </c>
      <c r="N699" s="111"/>
      <c r="O699" s="92" t="s">
        <v>6121</v>
      </c>
      <c r="P699" s="67" t="str">
        <f t="shared" si="1"/>
        <v>50.405361, 30.645226</v>
      </c>
      <c r="Q699" s="67" t="str">
        <f t="shared" si="2"/>
        <v>50.404732, 30.645892</v>
      </c>
      <c r="R699" s="67">
        <f t="shared" si="3"/>
        <v>50.404732</v>
      </c>
      <c r="S699" s="67">
        <f t="shared" si="4"/>
        <v>30.645892</v>
      </c>
      <c r="T699" s="161"/>
      <c r="U699" s="69"/>
      <c r="V699" s="169" t="s">
        <v>7285</v>
      </c>
      <c r="W699" s="161"/>
      <c r="X699" s="17" t="s">
        <v>9</v>
      </c>
      <c r="Y699" s="216" t="s">
        <v>5820</v>
      </c>
      <c r="Z699" s="73"/>
      <c r="AA699" s="73"/>
      <c r="AB699" s="73"/>
      <c r="AC699" s="73"/>
      <c r="AD699" s="73"/>
      <c r="AE699" s="73"/>
      <c r="AF699" s="73"/>
      <c r="AG699" s="73"/>
      <c r="AH699" s="73"/>
      <c r="AI699" s="73"/>
      <c r="AJ699" s="75"/>
      <c r="AK699" s="76" t="s">
        <v>798</v>
      </c>
      <c r="AL699" s="83" t="s">
        <v>7286</v>
      </c>
      <c r="AM699" s="71" t="s">
        <v>7287</v>
      </c>
      <c r="AN699" s="84" t="s">
        <v>7288</v>
      </c>
      <c r="AO699" s="71" t="s">
        <v>7289</v>
      </c>
      <c r="AP699" s="161" t="str">
        <f>IMAGE("https://bellingcat-archive.nyc3.cdn.digitaloceanspaces.com/Ukraine_Witness_Datasheet/Worksheet/youtube_dl_1497182733071753230/out2.jpg")</f>
        <v/>
      </c>
      <c r="AQ699" s="84" t="s">
        <v>7290</v>
      </c>
      <c r="AR699" s="71" t="s">
        <v>7291</v>
      </c>
      <c r="AS699" s="71" t="s">
        <v>7292</v>
      </c>
      <c r="AT699" s="71">
        <v>10.066</v>
      </c>
      <c r="AU699" s="89"/>
      <c r="AV699" s="162"/>
      <c r="AW699" s="81"/>
    </row>
    <row r="700" ht="15.75" customHeight="1">
      <c r="A700" s="249" t="s">
        <v>7154</v>
      </c>
      <c r="B700" s="73"/>
      <c r="C700" s="214" t="s">
        <v>6118</v>
      </c>
      <c r="D700" s="280">
        <v>50.518545</v>
      </c>
      <c r="E700" s="280">
        <v>30.490492</v>
      </c>
      <c r="F700" s="286">
        <v>2.0</v>
      </c>
      <c r="G700" s="273" t="s">
        <v>7293</v>
      </c>
      <c r="H700" s="274"/>
      <c r="I700" s="275" t="s">
        <v>7294</v>
      </c>
      <c r="J700" s="276" t="s">
        <v>7295</v>
      </c>
      <c r="K700" s="277"/>
      <c r="L700" s="110" t="s">
        <v>3542</v>
      </c>
      <c r="M700" s="92" t="s">
        <v>5827</v>
      </c>
      <c r="N700" s="111"/>
      <c r="O700" s="92" t="s">
        <v>6121</v>
      </c>
      <c r="P700" s="67" t="str">
        <f t="shared" si="1"/>
        <v>50.518545, 30.490492</v>
      </c>
      <c r="Q700" s="67" t="str">
        <f t="shared" si="2"/>
        <v>50.517937, 30.490419</v>
      </c>
      <c r="R700" s="67">
        <f t="shared" si="3"/>
        <v>50.517937</v>
      </c>
      <c r="S700" s="67">
        <f t="shared" si="4"/>
        <v>30.490419</v>
      </c>
      <c r="T700" s="161"/>
      <c r="U700" s="69"/>
      <c r="V700" s="169" t="s">
        <v>7296</v>
      </c>
      <c r="W700" s="161"/>
      <c r="X700" s="17" t="s">
        <v>9</v>
      </c>
      <c r="Y700" s="216" t="s">
        <v>75</v>
      </c>
      <c r="Z700" s="73"/>
      <c r="AA700" s="73"/>
      <c r="AB700" s="73"/>
      <c r="AC700" s="73"/>
      <c r="AD700" s="73"/>
      <c r="AE700" s="73"/>
      <c r="AF700" s="73"/>
      <c r="AG700" s="73"/>
      <c r="AH700" s="73"/>
      <c r="AI700" s="73"/>
      <c r="AJ700" s="75"/>
      <c r="AK700" s="76" t="s">
        <v>6276</v>
      </c>
      <c r="AL700" s="83" t="s">
        <v>7297</v>
      </c>
      <c r="AM700" s="71" t="s">
        <v>7298</v>
      </c>
      <c r="AN700" s="84" t="s">
        <v>7299</v>
      </c>
      <c r="AO700" s="71" t="s">
        <v>7300</v>
      </c>
      <c r="AP700" s="161" t="str">
        <f>IMAGE("https://bellingcat-archive.nyc3.cdn.digitaloceanspaces.com/Ukraine_Witness_Datasheet/Worksheet/telegram_f639bcb149/out2.jpg")</f>
        <v/>
      </c>
      <c r="AQ700" s="84" t="s">
        <v>7301</v>
      </c>
      <c r="AR700" s="84" t="s">
        <v>7293</v>
      </c>
      <c r="AS700" s="161"/>
      <c r="AT700" s="71">
        <v>6.0</v>
      </c>
      <c r="AU700" s="89"/>
      <c r="AV700" s="162"/>
      <c r="AW700" s="81"/>
    </row>
    <row r="701" ht="15.75" customHeight="1">
      <c r="A701" s="249" t="s">
        <v>7154</v>
      </c>
      <c r="B701" s="73"/>
      <c r="C701" s="278" t="s">
        <v>6118</v>
      </c>
      <c r="D701" s="284" t="s">
        <v>7302</v>
      </c>
      <c r="E701" s="284" t="s">
        <v>7303</v>
      </c>
      <c r="F701" s="286">
        <v>2.0</v>
      </c>
      <c r="G701" s="273" t="s">
        <v>7304</v>
      </c>
      <c r="H701" s="274"/>
      <c r="I701" s="275" t="s">
        <v>7294</v>
      </c>
      <c r="J701" s="276" t="s">
        <v>7295</v>
      </c>
      <c r="K701" s="277"/>
      <c r="L701" s="110" t="s">
        <v>3542</v>
      </c>
      <c r="M701" s="92" t="s">
        <v>5827</v>
      </c>
      <c r="N701" s="111"/>
      <c r="O701" s="92" t="s">
        <v>6121</v>
      </c>
      <c r="P701" s="67" t="str">
        <f t="shared" si="1"/>
        <v>50.518545, 30.490492</v>
      </c>
      <c r="Q701" s="67" t="str">
        <f t="shared" si="2"/>
        <v>50.517824, 30.490232</v>
      </c>
      <c r="R701" s="67">
        <f t="shared" si="3"/>
        <v>50.517824</v>
      </c>
      <c r="S701" s="67">
        <f t="shared" si="4"/>
        <v>30.490232</v>
      </c>
      <c r="T701" s="161"/>
      <c r="U701" s="69"/>
      <c r="V701" s="169" t="s">
        <v>7305</v>
      </c>
      <c r="W701" s="161"/>
      <c r="X701" s="17" t="s">
        <v>9</v>
      </c>
      <c r="Y701" s="216" t="s">
        <v>75</v>
      </c>
      <c r="Z701" s="73"/>
      <c r="AA701" s="73"/>
      <c r="AB701" s="73"/>
      <c r="AC701" s="73"/>
      <c r="AD701" s="73"/>
      <c r="AE701" s="73"/>
      <c r="AF701" s="73"/>
      <c r="AG701" s="73"/>
      <c r="AH701" s="73"/>
      <c r="AI701" s="73"/>
      <c r="AJ701" s="75"/>
      <c r="AK701" s="76" t="s">
        <v>6276</v>
      </c>
      <c r="AL701" s="83" t="s">
        <v>7306</v>
      </c>
      <c r="AM701" s="71" t="s">
        <v>7307</v>
      </c>
      <c r="AN701" s="84" t="s">
        <v>7308</v>
      </c>
      <c r="AO701" s="71" t="s">
        <v>7309</v>
      </c>
      <c r="AP701" s="161" t="str">
        <f>IMAGE("https://bellingcat-archive.nyc3.cdn.digitaloceanspaces.com/Ukraine_Witness_Datasheet/Worksheet/telegram_f9f24c71fe/out2.jpg")</f>
        <v/>
      </c>
      <c r="AQ701" s="84" t="s">
        <v>7310</v>
      </c>
      <c r="AR701" s="84" t="s">
        <v>7304</v>
      </c>
      <c r="AS701" s="71" t="s">
        <v>7311</v>
      </c>
      <c r="AT701" s="71">
        <v>15.0</v>
      </c>
      <c r="AU701" s="89"/>
      <c r="AV701" s="162"/>
      <c r="AW701" s="81"/>
    </row>
    <row r="702" ht="15.75" customHeight="1">
      <c r="A702" s="249" t="s">
        <v>7154</v>
      </c>
      <c r="B702" s="73"/>
      <c r="C702" s="278" t="s">
        <v>6118</v>
      </c>
      <c r="D702" s="284" t="s">
        <v>7302</v>
      </c>
      <c r="E702" s="284" t="s">
        <v>7303</v>
      </c>
      <c r="F702" s="286">
        <v>2.0</v>
      </c>
      <c r="G702" s="273" t="s">
        <v>7312</v>
      </c>
      <c r="H702" s="274"/>
      <c r="I702" s="275" t="s">
        <v>7294</v>
      </c>
      <c r="J702" s="276" t="s">
        <v>7295</v>
      </c>
      <c r="K702" s="277"/>
      <c r="L702" s="110" t="s">
        <v>3542</v>
      </c>
      <c r="M702" s="92" t="s">
        <v>5827</v>
      </c>
      <c r="N702" s="111"/>
      <c r="O702" s="92" t="s">
        <v>6121</v>
      </c>
      <c r="P702" s="67" t="str">
        <f t="shared" si="1"/>
        <v>50.518545, 30.490492</v>
      </c>
      <c r="Q702" s="67" t="str">
        <f t="shared" si="2"/>
        <v>50.518026, 30.49058</v>
      </c>
      <c r="R702" s="67">
        <f t="shared" si="3"/>
        <v>50.518026</v>
      </c>
      <c r="S702" s="67">
        <f t="shared" si="4"/>
        <v>30.49058</v>
      </c>
      <c r="T702" s="161"/>
      <c r="U702" s="69"/>
      <c r="V702" s="169" t="s">
        <v>7313</v>
      </c>
      <c r="W702" s="161"/>
      <c r="X702" s="17" t="s">
        <v>9</v>
      </c>
      <c r="Y702" s="216" t="s">
        <v>75</v>
      </c>
      <c r="Z702" s="73"/>
      <c r="AA702" s="73"/>
      <c r="AB702" s="73"/>
      <c r="AC702" s="73"/>
      <c r="AD702" s="73"/>
      <c r="AE702" s="73"/>
      <c r="AF702" s="73"/>
      <c r="AG702" s="73"/>
      <c r="AH702" s="73"/>
      <c r="AI702" s="73"/>
      <c r="AJ702" s="75"/>
      <c r="AK702" s="76" t="s">
        <v>6276</v>
      </c>
      <c r="AL702" s="83" t="s">
        <v>7314</v>
      </c>
      <c r="AM702" s="71" t="s">
        <v>7315</v>
      </c>
      <c r="AN702" s="84" t="s">
        <v>7316</v>
      </c>
      <c r="AO702" s="71" t="s">
        <v>7317</v>
      </c>
      <c r="AP702" s="161" t="str">
        <f>IMAGE("https://bellingcat-archive.nyc3.cdn.digitaloceanspaces.com/Ukraine_Witness_Datasheet/Worksheet/telegram_6ce5e82fb0/out2.jpg")</f>
        <v/>
      </c>
      <c r="AQ702" s="84" t="s">
        <v>7318</v>
      </c>
      <c r="AR702" s="84" t="s">
        <v>7312</v>
      </c>
      <c r="AS702" s="71" t="s">
        <v>7319</v>
      </c>
      <c r="AT702" s="71">
        <v>6.0</v>
      </c>
      <c r="AU702" s="89"/>
      <c r="AV702" s="162"/>
      <c r="AW702" s="81"/>
    </row>
    <row r="703" ht="15.75" customHeight="1">
      <c r="A703" s="249" t="s">
        <v>7154</v>
      </c>
      <c r="B703" s="73"/>
      <c r="C703" s="278" t="s">
        <v>6118</v>
      </c>
      <c r="D703" s="284" t="s">
        <v>7302</v>
      </c>
      <c r="E703" s="284" t="s">
        <v>7303</v>
      </c>
      <c r="F703" s="286">
        <v>2.0</v>
      </c>
      <c r="G703" s="273" t="s">
        <v>7320</v>
      </c>
      <c r="H703" s="274"/>
      <c r="I703" s="275" t="s">
        <v>7294</v>
      </c>
      <c r="J703" s="276" t="s">
        <v>7295</v>
      </c>
      <c r="K703" s="277"/>
      <c r="L703" s="110" t="s">
        <v>3542</v>
      </c>
      <c r="M703" s="92" t="s">
        <v>5827</v>
      </c>
      <c r="N703" s="111"/>
      <c r="O703" s="92" t="s">
        <v>6121</v>
      </c>
      <c r="P703" s="67" t="str">
        <f t="shared" si="1"/>
        <v>50.518545, 30.490492</v>
      </c>
      <c r="Q703" s="67" t="str">
        <f t="shared" si="2"/>
        <v>50.518056, 30.491464</v>
      </c>
      <c r="R703" s="67">
        <f t="shared" si="3"/>
        <v>50.518056</v>
      </c>
      <c r="S703" s="67">
        <f t="shared" si="4"/>
        <v>30.491464</v>
      </c>
      <c r="T703" s="161"/>
      <c r="U703" s="69"/>
      <c r="V703" s="169" t="s">
        <v>7321</v>
      </c>
      <c r="W703" s="161"/>
      <c r="X703" s="17" t="s">
        <v>9</v>
      </c>
      <c r="Y703" s="216" t="s">
        <v>75</v>
      </c>
      <c r="Z703" s="73"/>
      <c r="AA703" s="73"/>
      <c r="AB703" s="73"/>
      <c r="AC703" s="73"/>
      <c r="AD703" s="73"/>
      <c r="AE703" s="73"/>
      <c r="AF703" s="73"/>
      <c r="AG703" s="73"/>
      <c r="AH703" s="73"/>
      <c r="AI703" s="73"/>
      <c r="AJ703" s="75"/>
      <c r="AK703" s="76" t="s">
        <v>6276</v>
      </c>
      <c r="AL703" s="83" t="s">
        <v>7322</v>
      </c>
      <c r="AM703" s="71" t="s">
        <v>7323</v>
      </c>
      <c r="AN703" s="84" t="s">
        <v>7324</v>
      </c>
      <c r="AO703" s="71" t="s">
        <v>7325</v>
      </c>
      <c r="AP703" s="161"/>
      <c r="AQ703" s="161"/>
      <c r="AR703" s="161"/>
      <c r="AS703" s="161"/>
      <c r="AT703" s="161"/>
      <c r="AU703" s="89"/>
      <c r="AV703" s="162"/>
      <c r="AW703" s="81"/>
    </row>
    <row r="704" ht="15.75" customHeight="1">
      <c r="A704" s="249" t="s">
        <v>7154</v>
      </c>
      <c r="B704" s="73"/>
      <c r="C704" s="278" t="s">
        <v>6118</v>
      </c>
      <c r="D704" s="285" t="s">
        <v>7302</v>
      </c>
      <c r="E704" s="285" t="s">
        <v>7303</v>
      </c>
      <c r="F704" s="286">
        <v>2.0</v>
      </c>
      <c r="G704" s="273" t="s">
        <v>7326</v>
      </c>
      <c r="H704" s="274"/>
      <c r="I704" s="275" t="s">
        <v>7294</v>
      </c>
      <c r="J704" s="276" t="s">
        <v>7295</v>
      </c>
      <c r="K704" s="277"/>
      <c r="L704" s="110" t="s">
        <v>3542</v>
      </c>
      <c r="M704" s="92" t="s">
        <v>5827</v>
      </c>
      <c r="N704" s="111"/>
      <c r="O704" s="92" t="s">
        <v>6121</v>
      </c>
      <c r="P704" s="67" t="str">
        <f t="shared" si="1"/>
        <v>50.518545, 30.490492</v>
      </c>
      <c r="Q704" s="67" t="str">
        <f t="shared" si="2"/>
        <v>50.518287, 30.489899</v>
      </c>
      <c r="R704" s="67">
        <f t="shared" si="3"/>
        <v>50.518287</v>
      </c>
      <c r="S704" s="67">
        <f t="shared" si="4"/>
        <v>30.489899</v>
      </c>
      <c r="T704" s="161"/>
      <c r="U704" s="69"/>
      <c r="V704" s="169" t="s">
        <v>7327</v>
      </c>
      <c r="W704" s="161"/>
      <c r="X704" s="17" t="s">
        <v>9</v>
      </c>
      <c r="Y704" s="216" t="s">
        <v>75</v>
      </c>
      <c r="Z704" s="73"/>
      <c r="AA704" s="73"/>
      <c r="AB704" s="73"/>
      <c r="AC704" s="73"/>
      <c r="AD704" s="73"/>
      <c r="AE704" s="73"/>
      <c r="AF704" s="73"/>
      <c r="AG704" s="73"/>
      <c r="AH704" s="73"/>
      <c r="AI704" s="73"/>
      <c r="AJ704" s="75"/>
      <c r="AK704" s="76" t="s">
        <v>798</v>
      </c>
      <c r="AL704" s="83" t="s">
        <v>7328</v>
      </c>
      <c r="AM704" s="71" t="s">
        <v>7329</v>
      </c>
      <c r="AN704" s="84" t="s">
        <v>7330</v>
      </c>
      <c r="AO704" s="71" t="s">
        <v>7331</v>
      </c>
      <c r="AP704" s="161" t="str">
        <f>IMAGE("https://bellingcat-archive.nyc3.cdn.digitaloceanspaces.com/Ukraine_Witness_Datasheet/Worksheet/youtube_dl_1497178406617759745/out2.jpg")</f>
        <v/>
      </c>
      <c r="AQ704" s="84" t="s">
        <v>7332</v>
      </c>
      <c r="AR704" s="71" t="s">
        <v>7333</v>
      </c>
      <c r="AS704" s="71" t="s">
        <v>7334</v>
      </c>
      <c r="AT704" s="71">
        <v>24.6</v>
      </c>
      <c r="AU704" s="89"/>
      <c r="AV704" s="162"/>
      <c r="AW704" s="81"/>
    </row>
    <row r="705" ht="15.75" customHeight="1">
      <c r="A705" s="249" t="s">
        <v>7154</v>
      </c>
      <c r="B705" s="73"/>
      <c r="C705" s="278" t="s">
        <v>6118</v>
      </c>
      <c r="D705" s="285" t="s">
        <v>7302</v>
      </c>
      <c r="E705" s="285" t="s">
        <v>7303</v>
      </c>
      <c r="F705" s="286">
        <v>2.0</v>
      </c>
      <c r="G705" s="273" t="s">
        <v>7335</v>
      </c>
      <c r="H705" s="274"/>
      <c r="I705" s="275" t="s">
        <v>7294</v>
      </c>
      <c r="J705" s="276" t="s">
        <v>7295</v>
      </c>
      <c r="K705" s="277"/>
      <c r="L705" s="110" t="s">
        <v>3542</v>
      </c>
      <c r="M705" s="92" t="s">
        <v>5827</v>
      </c>
      <c r="N705" s="111"/>
      <c r="O705" s="92" t="s">
        <v>6121</v>
      </c>
      <c r="P705" s="67" t="str">
        <f t="shared" si="1"/>
        <v>50.518545, 30.490492</v>
      </c>
      <c r="Q705" s="67" t="str">
        <f t="shared" si="2"/>
        <v>50.51824, 30.490801</v>
      </c>
      <c r="R705" s="67">
        <f t="shared" si="3"/>
        <v>50.51824</v>
      </c>
      <c r="S705" s="67">
        <f t="shared" si="4"/>
        <v>30.490801</v>
      </c>
      <c r="T705" s="161"/>
      <c r="U705" s="69"/>
      <c r="V705" s="169" t="s">
        <v>7336</v>
      </c>
      <c r="W705" s="161"/>
      <c r="X705" s="17" t="s">
        <v>9</v>
      </c>
      <c r="Y705" s="216" t="s">
        <v>75</v>
      </c>
      <c r="Z705" s="73"/>
      <c r="AA705" s="73"/>
      <c r="AB705" s="73"/>
      <c r="AC705" s="73"/>
      <c r="AD705" s="73"/>
      <c r="AE705" s="73"/>
      <c r="AF705" s="73"/>
      <c r="AG705" s="73"/>
      <c r="AH705" s="73"/>
      <c r="AI705" s="73"/>
      <c r="AJ705" s="75"/>
      <c r="AK705" s="76" t="s">
        <v>6276</v>
      </c>
      <c r="AL705" s="83" t="s">
        <v>7337</v>
      </c>
      <c r="AM705" s="71" t="s">
        <v>7338</v>
      </c>
      <c r="AN705" s="84" t="s">
        <v>7339</v>
      </c>
      <c r="AO705" s="71" t="s">
        <v>7340</v>
      </c>
      <c r="AP705" s="161"/>
      <c r="AQ705" s="161"/>
      <c r="AR705" s="161"/>
      <c r="AS705" s="161"/>
      <c r="AT705" s="161"/>
      <c r="AU705" s="89"/>
      <c r="AV705" s="162"/>
      <c r="AW705" s="81"/>
    </row>
    <row r="706" ht="15.75" customHeight="1">
      <c r="A706" s="249" t="s">
        <v>6809</v>
      </c>
      <c r="B706" s="73"/>
      <c r="C706" s="214" t="s">
        <v>6118</v>
      </c>
      <c r="D706" s="284" t="s">
        <v>7341</v>
      </c>
      <c r="E706" s="284" t="s">
        <v>7342</v>
      </c>
      <c r="F706" s="286">
        <v>1.0</v>
      </c>
      <c r="G706" s="273" t="s">
        <v>7343</v>
      </c>
      <c r="H706" s="274"/>
      <c r="I706" s="275" t="s">
        <v>7344</v>
      </c>
      <c r="J706" s="276" t="s">
        <v>7345</v>
      </c>
      <c r="K706" s="277"/>
      <c r="L706" s="110" t="s">
        <v>3542</v>
      </c>
      <c r="M706" s="92" t="s">
        <v>5590</v>
      </c>
      <c r="N706" s="111"/>
      <c r="O706" s="92" t="s">
        <v>5626</v>
      </c>
      <c r="P706" s="67" t="str">
        <f t="shared" si="1"/>
        <v>49.99086467, 36.26782525</v>
      </c>
      <c r="Q706" s="67" t="str">
        <f t="shared" si="2"/>
        <v>49.990576, 36.267485</v>
      </c>
      <c r="R706" s="67">
        <f t="shared" si="3"/>
        <v>49.990576</v>
      </c>
      <c r="S706" s="67">
        <f t="shared" si="4"/>
        <v>36.267485</v>
      </c>
      <c r="T706" s="161"/>
      <c r="U706" s="69"/>
      <c r="V706" s="169" t="s">
        <v>7346</v>
      </c>
      <c r="W706" s="161"/>
      <c r="X706" s="17" t="s">
        <v>9</v>
      </c>
      <c r="Y706" s="216" t="s">
        <v>5820</v>
      </c>
      <c r="Z706" s="73"/>
      <c r="AA706" s="73"/>
      <c r="AB706" s="73"/>
      <c r="AC706" s="73"/>
      <c r="AD706" s="73"/>
      <c r="AE706" s="73"/>
      <c r="AF706" s="73"/>
      <c r="AG706" s="73"/>
      <c r="AH706" s="73"/>
      <c r="AI706" s="73"/>
      <c r="AJ706" s="75"/>
      <c r="AK706" s="76" t="s">
        <v>6276</v>
      </c>
      <c r="AL706" s="83" t="s">
        <v>7347</v>
      </c>
      <c r="AM706" s="71" t="s">
        <v>7348</v>
      </c>
      <c r="AN706" s="84" t="s">
        <v>7349</v>
      </c>
      <c r="AO706" s="71" t="s">
        <v>7350</v>
      </c>
      <c r="AP706" s="161" t="str">
        <f>IMAGE("https://bellingcat-archive.nyc3.cdn.digitaloceanspaces.com/Ukraine_Witness_Datasheet/Worksheet/telegram_cPDyd0rPDFS7ZeV5jd5bszrIByjjgo2-ILNQpykdVZfpGbJnEo1743ls82THhWDjVr7EDFNgTKMhVCJgb19ZhTvBBAoG0T0DyK4AuZRG9AdZ2brL6NtslNj9XRAMqiyg.jpg")</f>
        <v/>
      </c>
      <c r="AQ706" s="161"/>
      <c r="AR706" s="161"/>
      <c r="AS706" s="161"/>
      <c r="AT706" s="161"/>
      <c r="AU706" s="89"/>
      <c r="AV706" s="162"/>
      <c r="AW706" s="81"/>
    </row>
    <row r="707" ht="15.75" customHeight="1">
      <c r="A707" s="249" t="s">
        <v>6809</v>
      </c>
      <c r="B707" s="73"/>
      <c r="C707" s="214" t="s">
        <v>6118</v>
      </c>
      <c r="D707" s="287" t="s">
        <v>7351</v>
      </c>
      <c r="E707" s="287" t="s">
        <v>7352</v>
      </c>
      <c r="F707" s="286">
        <v>1.0</v>
      </c>
      <c r="G707" s="273" t="s">
        <v>7353</v>
      </c>
      <c r="H707" s="274"/>
      <c r="I707" s="275" t="s">
        <v>7354</v>
      </c>
      <c r="J707" s="276" t="s">
        <v>7355</v>
      </c>
      <c r="K707" s="277"/>
      <c r="L707" s="110" t="s">
        <v>3542</v>
      </c>
      <c r="M707" s="92" t="s">
        <v>5827</v>
      </c>
      <c r="N707" s="111"/>
      <c r="O707" s="92" t="s">
        <v>5868</v>
      </c>
      <c r="P707" s="67" t="str">
        <f t="shared" si="1"/>
        <v>50.54633094, 30.20583369</v>
      </c>
      <c r="Q707" s="67" t="str">
        <f t="shared" si="2"/>
        <v>50.546227, 30.207083</v>
      </c>
      <c r="R707" s="67">
        <f t="shared" si="3"/>
        <v>50.546227</v>
      </c>
      <c r="S707" s="67">
        <f t="shared" si="4"/>
        <v>30.207083</v>
      </c>
      <c r="T707" s="161"/>
      <c r="U707" s="69"/>
      <c r="V707" s="169" t="s">
        <v>7356</v>
      </c>
      <c r="W707" s="161"/>
      <c r="X707" s="17" t="s">
        <v>9</v>
      </c>
      <c r="Y707" s="216" t="s">
        <v>5820</v>
      </c>
      <c r="Z707" s="73"/>
      <c r="AA707" s="73"/>
      <c r="AB707" s="73"/>
      <c r="AC707" s="73"/>
      <c r="AD707" s="73"/>
      <c r="AE707" s="73"/>
      <c r="AF707" s="73"/>
      <c r="AG707" s="73"/>
      <c r="AH707" s="73"/>
      <c r="AI707" s="73"/>
      <c r="AJ707" s="75"/>
      <c r="AK707" s="76" t="s">
        <v>798</v>
      </c>
      <c r="AL707" s="83" t="s">
        <v>7357</v>
      </c>
      <c r="AM707" s="71" t="s">
        <v>7358</v>
      </c>
      <c r="AN707" s="84" t="s">
        <v>7359</v>
      </c>
      <c r="AO707" s="71" t="s">
        <v>7360</v>
      </c>
      <c r="AP707" s="161" t="str">
        <f>IMAGE("https://bellingcat-archive.nyc3.cdn.digitaloceanspaces.com/Ukraine_Witness_Datasheet/Worksheet/youtube_dl_1497176385420464133/out2.jpg")</f>
        <v/>
      </c>
      <c r="AQ707" s="84" t="s">
        <v>7361</v>
      </c>
      <c r="AR707" s="71" t="s">
        <v>7362</v>
      </c>
      <c r="AS707" s="71" t="s">
        <v>7363</v>
      </c>
      <c r="AT707" s="71">
        <v>13.247</v>
      </c>
      <c r="AU707" s="89"/>
      <c r="AV707" s="162"/>
      <c r="AW707" s="81"/>
    </row>
    <row r="708" ht="15.75" customHeight="1">
      <c r="A708" s="249" t="s">
        <v>6809</v>
      </c>
      <c r="B708" s="73"/>
      <c r="C708" s="214" t="s">
        <v>6118</v>
      </c>
      <c r="D708" s="285" t="s">
        <v>7351</v>
      </c>
      <c r="E708" s="285" t="s">
        <v>7352</v>
      </c>
      <c r="F708" s="272"/>
      <c r="G708" s="273" t="s">
        <v>7364</v>
      </c>
      <c r="H708" s="274"/>
      <c r="I708" s="275" t="s">
        <v>7354</v>
      </c>
      <c r="J708" s="276" t="s">
        <v>7355</v>
      </c>
      <c r="K708" s="277"/>
      <c r="L708" s="110" t="s">
        <v>3542</v>
      </c>
      <c r="M708" s="92" t="s">
        <v>5827</v>
      </c>
      <c r="N708" s="111"/>
      <c r="O708" s="92" t="s">
        <v>5868</v>
      </c>
      <c r="P708" s="67" t="str">
        <f t="shared" si="1"/>
        <v>50.54633094, 30.20583369</v>
      </c>
      <c r="Q708" s="67" t="str">
        <f t="shared" si="2"/>
        <v>50.54578, 30.206366</v>
      </c>
      <c r="R708" s="67">
        <f t="shared" si="3"/>
        <v>50.54578</v>
      </c>
      <c r="S708" s="67">
        <f t="shared" si="4"/>
        <v>30.206366</v>
      </c>
      <c r="T708" s="161"/>
      <c r="U708" s="69"/>
      <c r="V708" s="169" t="s">
        <v>7365</v>
      </c>
      <c r="W708" s="161"/>
      <c r="X708" s="17" t="s">
        <v>9</v>
      </c>
      <c r="Y708" s="216" t="s">
        <v>5820</v>
      </c>
      <c r="Z708" s="73"/>
      <c r="AA708" s="73"/>
      <c r="AB708" s="73"/>
      <c r="AC708" s="73"/>
      <c r="AD708" s="73"/>
      <c r="AE708" s="73"/>
      <c r="AF708" s="73"/>
      <c r="AG708" s="73"/>
      <c r="AH708" s="73"/>
      <c r="AI708" s="73"/>
      <c r="AJ708" s="75"/>
      <c r="AK708" s="76" t="s">
        <v>1261</v>
      </c>
      <c r="AL708" s="83" t="s">
        <v>7366</v>
      </c>
      <c r="AM708" s="71" t="s">
        <v>7367</v>
      </c>
      <c r="AN708" s="84" t="s">
        <v>7368</v>
      </c>
      <c r="AO708" s="161"/>
      <c r="AP708" s="161"/>
      <c r="AQ708" s="161"/>
      <c r="AR708" s="71" t="s">
        <v>2228</v>
      </c>
      <c r="AS708" s="161"/>
      <c r="AT708" s="161"/>
      <c r="AU708" s="89"/>
      <c r="AV708" s="162"/>
      <c r="AW708" s="81"/>
    </row>
    <row r="709" ht="15.75" customHeight="1">
      <c r="A709" s="249" t="s">
        <v>6809</v>
      </c>
      <c r="B709" s="73"/>
      <c r="C709" s="214" t="s">
        <v>6118</v>
      </c>
      <c r="D709" s="285" t="s">
        <v>7351</v>
      </c>
      <c r="E709" s="285" t="s">
        <v>7352</v>
      </c>
      <c r="F709" s="272"/>
      <c r="G709" s="273" t="s">
        <v>7369</v>
      </c>
      <c r="H709" s="274"/>
      <c r="I709" s="275" t="s">
        <v>7354</v>
      </c>
      <c r="J709" s="276" t="s">
        <v>7355</v>
      </c>
      <c r="K709" s="277"/>
      <c r="L709" s="110" t="s">
        <v>3542</v>
      </c>
      <c r="M709" s="92" t="s">
        <v>5827</v>
      </c>
      <c r="N709" s="111"/>
      <c r="O709" s="92" t="s">
        <v>5868</v>
      </c>
      <c r="P709" s="67" t="str">
        <f t="shared" si="1"/>
        <v>50.54633094, 30.20583369</v>
      </c>
      <c r="Q709" s="67" t="str">
        <f t="shared" si="2"/>
        <v>50.545659, 30.205601</v>
      </c>
      <c r="R709" s="67">
        <f t="shared" si="3"/>
        <v>50.545659</v>
      </c>
      <c r="S709" s="67">
        <f t="shared" si="4"/>
        <v>30.205601</v>
      </c>
      <c r="T709" s="288"/>
      <c r="U709" s="69"/>
      <c r="V709" s="169" t="s">
        <v>7370</v>
      </c>
      <c r="W709" s="161"/>
      <c r="X709" s="17" t="s">
        <v>9</v>
      </c>
      <c r="Y709" s="216" t="s">
        <v>5820</v>
      </c>
      <c r="Z709" s="73"/>
      <c r="AA709" s="73"/>
      <c r="AB709" s="73"/>
      <c r="AC709" s="73"/>
      <c r="AD709" s="73"/>
      <c r="AE709" s="73"/>
      <c r="AF709" s="73"/>
      <c r="AG709" s="73"/>
      <c r="AH709" s="73"/>
      <c r="AI709" s="73"/>
      <c r="AJ709" s="75"/>
      <c r="AK709" s="76" t="s">
        <v>1261</v>
      </c>
      <c r="AL709" s="83" t="s">
        <v>7371</v>
      </c>
      <c r="AM709" s="71" t="s">
        <v>7372</v>
      </c>
      <c r="AN709" s="84" t="s">
        <v>7373</v>
      </c>
      <c r="AO709" s="161"/>
      <c r="AP709" s="161"/>
      <c r="AQ709" s="161"/>
      <c r="AR709" s="71" t="s">
        <v>2228</v>
      </c>
      <c r="AS709" s="161"/>
      <c r="AT709" s="161"/>
      <c r="AU709" s="89"/>
      <c r="AV709" s="162"/>
      <c r="AW709" s="81"/>
    </row>
    <row r="710" ht="15.75" customHeight="1">
      <c r="A710" s="249" t="s">
        <v>6809</v>
      </c>
      <c r="B710" s="73"/>
      <c r="C710" s="214" t="s">
        <v>6118</v>
      </c>
      <c r="D710" s="285" t="s">
        <v>7351</v>
      </c>
      <c r="E710" s="285" t="s">
        <v>7352</v>
      </c>
      <c r="F710" s="272"/>
      <c r="G710" s="273" t="s">
        <v>7374</v>
      </c>
      <c r="H710" s="274"/>
      <c r="I710" s="275" t="s">
        <v>7354</v>
      </c>
      <c r="J710" s="276" t="s">
        <v>7355</v>
      </c>
      <c r="K710" s="277"/>
      <c r="L710" s="110" t="s">
        <v>3542</v>
      </c>
      <c r="M710" s="92" t="s">
        <v>5827</v>
      </c>
      <c r="N710" s="111"/>
      <c r="O710" s="92" t="s">
        <v>5868</v>
      </c>
      <c r="P710" s="67" t="str">
        <f t="shared" si="1"/>
        <v>50.54633094, 30.20583369</v>
      </c>
      <c r="Q710" s="67" t="str">
        <f t="shared" si="2"/>
        <v>50.545916, 30.204772</v>
      </c>
      <c r="R710" s="67">
        <f t="shared" si="3"/>
        <v>50.545916</v>
      </c>
      <c r="S710" s="67">
        <f t="shared" si="4"/>
        <v>30.204772</v>
      </c>
      <c r="T710" s="288"/>
      <c r="U710" s="69"/>
      <c r="V710" s="169" t="s">
        <v>7375</v>
      </c>
      <c r="W710" s="161"/>
      <c r="X710" s="17" t="s">
        <v>9</v>
      </c>
      <c r="Y710" s="216" t="s">
        <v>5820</v>
      </c>
      <c r="Z710" s="73"/>
      <c r="AA710" s="73"/>
      <c r="AB710" s="73"/>
      <c r="AC710" s="73"/>
      <c r="AD710" s="73"/>
      <c r="AE710" s="73"/>
      <c r="AF710" s="73"/>
      <c r="AG710" s="73"/>
      <c r="AH710" s="73"/>
      <c r="AI710" s="73"/>
      <c r="AJ710" s="75"/>
      <c r="AK710" s="76" t="s">
        <v>798</v>
      </c>
      <c r="AL710" s="83" t="s">
        <v>7376</v>
      </c>
      <c r="AM710" s="71" t="s">
        <v>7377</v>
      </c>
      <c r="AN710" s="84" t="s">
        <v>7378</v>
      </c>
      <c r="AO710" s="71" t="s">
        <v>7379</v>
      </c>
      <c r="AP710" s="161" t="str">
        <f>IMAGE("https://bellingcat-archive.nyc3.cdn.digitaloceanspaces.com/Ukraine_Witness_Datasheet/Worksheet/youtube_dl_1497161918586499109/out2.jpg")</f>
        <v/>
      </c>
      <c r="AQ710" s="84" t="s">
        <v>7380</v>
      </c>
      <c r="AR710" s="71" t="s">
        <v>7381</v>
      </c>
      <c r="AS710" s="71" t="s">
        <v>7382</v>
      </c>
      <c r="AT710" s="71">
        <v>8.833</v>
      </c>
      <c r="AU710" s="89"/>
      <c r="AV710" s="162"/>
      <c r="AW710" s="81"/>
    </row>
    <row r="711" ht="15.75" customHeight="1">
      <c r="A711" s="249" t="s">
        <v>7092</v>
      </c>
      <c r="B711" s="73"/>
      <c r="C711" s="214" t="s">
        <v>6118</v>
      </c>
      <c r="D711" s="285" t="s">
        <v>7383</v>
      </c>
      <c r="E711" s="285" t="s">
        <v>7384</v>
      </c>
      <c r="F711" s="272"/>
      <c r="G711" s="273" t="s">
        <v>7385</v>
      </c>
      <c r="H711" s="274"/>
      <c r="I711" s="275" t="s">
        <v>7386</v>
      </c>
      <c r="J711" s="276" t="s">
        <v>7387</v>
      </c>
      <c r="K711" s="277"/>
      <c r="L711" s="110" t="s">
        <v>3542</v>
      </c>
      <c r="M711" s="92" t="s">
        <v>5590</v>
      </c>
      <c r="N711" s="111"/>
      <c r="O711" s="92" t="s">
        <v>5626</v>
      </c>
      <c r="P711" s="67" t="str">
        <f t="shared" si="1"/>
        <v>50.047178, 36.354722</v>
      </c>
      <c r="Q711" s="67" t="str">
        <f t="shared" si="2"/>
        <v>50.047016, 36.355312</v>
      </c>
      <c r="R711" s="67">
        <f t="shared" si="3"/>
        <v>50.047016</v>
      </c>
      <c r="S711" s="67">
        <f t="shared" si="4"/>
        <v>36.355312</v>
      </c>
      <c r="T711" s="227" t="s">
        <v>7388</v>
      </c>
      <c r="U711" s="69"/>
      <c r="V711" s="169" t="s">
        <v>7389</v>
      </c>
      <c r="W711" s="161"/>
      <c r="X711" s="17" t="s">
        <v>9</v>
      </c>
      <c r="Y711" s="216" t="s">
        <v>5820</v>
      </c>
      <c r="Z711" s="73"/>
      <c r="AA711" s="73"/>
      <c r="AB711" s="73"/>
      <c r="AC711" s="73"/>
      <c r="AD711" s="73"/>
      <c r="AE711" s="73"/>
      <c r="AF711" s="73"/>
      <c r="AG711" s="73"/>
      <c r="AH711" s="73"/>
      <c r="AI711" s="73"/>
      <c r="AJ711" s="75"/>
      <c r="AK711" s="76" t="s">
        <v>6276</v>
      </c>
      <c r="AL711" s="83" t="s">
        <v>7390</v>
      </c>
      <c r="AM711" s="71" t="s">
        <v>7391</v>
      </c>
      <c r="AN711" s="84" t="s">
        <v>7392</v>
      </c>
      <c r="AO711" s="71" t="s">
        <v>7393</v>
      </c>
      <c r="AP711" s="161" t="str">
        <f>IMAGE("https://bellingcat-archive.nyc3.cdn.digitaloceanspaces.com/Ukraine_Witness_Datasheet/Worksheet/telegram_d80fc48bc8/out5.jpg")</f>
        <v/>
      </c>
      <c r="AQ711" s="84" t="s">
        <v>7394</v>
      </c>
      <c r="AR711" s="84" t="s">
        <v>7385</v>
      </c>
      <c r="AS711" s="71" t="s">
        <v>7395</v>
      </c>
      <c r="AT711" s="71">
        <v>165.0</v>
      </c>
      <c r="AU711" s="89"/>
      <c r="AV711" s="162"/>
      <c r="AW711" s="81"/>
    </row>
    <row r="712" ht="15.75" customHeight="1">
      <c r="A712" s="259" t="s">
        <v>6924</v>
      </c>
      <c r="B712" s="73"/>
      <c r="C712" s="214" t="s">
        <v>6118</v>
      </c>
      <c r="D712" s="289"/>
      <c r="E712" s="289"/>
      <c r="F712" s="272"/>
      <c r="G712" s="273" t="s">
        <v>7396</v>
      </c>
      <c r="H712" s="274"/>
      <c r="I712" s="275" t="s">
        <v>7397</v>
      </c>
      <c r="J712" s="290" t="s">
        <v>7398</v>
      </c>
      <c r="K712" s="277"/>
      <c r="L712" s="134"/>
      <c r="M712" s="111"/>
      <c r="N712" s="111"/>
      <c r="O712" s="111"/>
      <c r="P712" s="67" t="str">
        <f t="shared" si="1"/>
        <v/>
      </c>
      <c r="Q712" s="67" t="str">
        <f t="shared" si="2"/>
        <v/>
      </c>
      <c r="R712" s="67" t="str">
        <f t="shared" si="3"/>
        <v/>
      </c>
      <c r="S712" s="67" t="str">
        <f t="shared" si="4"/>
        <v/>
      </c>
      <c r="T712" s="288"/>
      <c r="U712" s="69"/>
      <c r="V712" s="169" t="s">
        <v>7399</v>
      </c>
      <c r="W712" s="161"/>
      <c r="X712" s="194"/>
      <c r="Y712" s="216" t="s">
        <v>5820</v>
      </c>
      <c r="Z712" s="73"/>
      <c r="AA712" s="73"/>
      <c r="AB712" s="73"/>
      <c r="AC712" s="73"/>
      <c r="AD712" s="73"/>
      <c r="AE712" s="73"/>
      <c r="AF712" s="73"/>
      <c r="AG712" s="73"/>
      <c r="AH712" s="73"/>
      <c r="AI712" s="73"/>
      <c r="AJ712" s="75"/>
      <c r="AK712" s="76" t="s">
        <v>6276</v>
      </c>
      <c r="AL712" s="83" t="s">
        <v>7400</v>
      </c>
      <c r="AM712" s="71" t="s">
        <v>7401</v>
      </c>
      <c r="AN712" s="84" t="s">
        <v>7402</v>
      </c>
      <c r="AO712" s="71" t="s">
        <v>7403</v>
      </c>
      <c r="AP712" s="161"/>
      <c r="AQ712" s="161"/>
      <c r="AR712" s="161"/>
      <c r="AS712" s="161"/>
      <c r="AT712" s="161"/>
      <c r="AU712" s="89"/>
      <c r="AV712" s="162"/>
      <c r="AW712" s="81"/>
    </row>
    <row r="713" ht="15.75" customHeight="1">
      <c r="A713" s="259" t="s">
        <v>6924</v>
      </c>
      <c r="B713" s="73"/>
      <c r="C713" s="214" t="s">
        <v>6118</v>
      </c>
      <c r="D713" s="289"/>
      <c r="E713" s="289"/>
      <c r="F713" s="272"/>
      <c r="G713" s="283" t="s">
        <v>7404</v>
      </c>
      <c r="H713" s="274"/>
      <c r="I713" s="275" t="s">
        <v>7397</v>
      </c>
      <c r="J713" s="290" t="s">
        <v>7398</v>
      </c>
      <c r="K713" s="277"/>
      <c r="L713" s="134"/>
      <c r="M713" s="111"/>
      <c r="N713" s="111"/>
      <c r="O713" s="111"/>
      <c r="P713" s="67" t="str">
        <f t="shared" si="1"/>
        <v/>
      </c>
      <c r="Q713" s="67" t="str">
        <f t="shared" si="2"/>
        <v/>
      </c>
      <c r="R713" s="67" t="str">
        <f t="shared" si="3"/>
        <v/>
      </c>
      <c r="S713" s="67" t="str">
        <f t="shared" si="4"/>
        <v/>
      </c>
      <c r="T713" s="288"/>
      <c r="U713" s="69"/>
      <c r="V713" s="169" t="s">
        <v>7405</v>
      </c>
      <c r="W713" s="161"/>
      <c r="X713" s="194"/>
      <c r="Y713" s="216" t="s">
        <v>5820</v>
      </c>
      <c r="Z713" s="73"/>
      <c r="AA713" s="73"/>
      <c r="AB713" s="73"/>
      <c r="AC713" s="73"/>
      <c r="AD713" s="73"/>
      <c r="AE713" s="73"/>
      <c r="AF713" s="73"/>
      <c r="AG713" s="73"/>
      <c r="AH713" s="73"/>
      <c r="AI713" s="73"/>
      <c r="AJ713" s="75"/>
      <c r="AK713" s="76" t="s">
        <v>1261</v>
      </c>
      <c r="AL713" s="83" t="s">
        <v>7406</v>
      </c>
      <c r="AM713" s="71" t="s">
        <v>7407</v>
      </c>
      <c r="AN713" s="84" t="s">
        <v>7408</v>
      </c>
      <c r="AO713" s="161"/>
      <c r="AP713" s="161"/>
      <c r="AQ713" s="161"/>
      <c r="AR713" s="71" t="s">
        <v>7409</v>
      </c>
      <c r="AS713" s="161"/>
      <c r="AT713" s="161"/>
      <c r="AU713" s="89"/>
      <c r="AV713" s="162"/>
      <c r="AW713" s="81"/>
    </row>
    <row r="714" ht="15.75" customHeight="1">
      <c r="A714" s="249" t="s">
        <v>6809</v>
      </c>
      <c r="B714" s="73"/>
      <c r="C714" s="214" t="s">
        <v>6118</v>
      </c>
      <c r="D714" s="285" t="s">
        <v>7410</v>
      </c>
      <c r="E714" s="285" t="s">
        <v>7411</v>
      </c>
      <c r="F714" s="272"/>
      <c r="G714" s="273" t="s">
        <v>7412</v>
      </c>
      <c r="H714" s="274"/>
      <c r="I714" s="275" t="s">
        <v>7413</v>
      </c>
      <c r="J714" s="290" t="s">
        <v>7414</v>
      </c>
      <c r="K714" s="277"/>
      <c r="L714" s="110" t="s">
        <v>3542</v>
      </c>
      <c r="M714" s="92" t="s">
        <v>5590</v>
      </c>
      <c r="N714" s="111"/>
      <c r="O714" s="92" t="s">
        <v>5626</v>
      </c>
      <c r="P714" s="67" t="str">
        <f t="shared" si="1"/>
        <v>50.0438511, 36.35590634</v>
      </c>
      <c r="Q714" s="67" t="str">
        <f t="shared" si="2"/>
        <v>50.043438, 36.355828</v>
      </c>
      <c r="R714" s="67">
        <f t="shared" si="3"/>
        <v>50.043438</v>
      </c>
      <c r="S714" s="67">
        <f t="shared" si="4"/>
        <v>36.355828</v>
      </c>
      <c r="T714" s="288"/>
      <c r="U714" s="69"/>
      <c r="V714" s="169" t="s">
        <v>7415</v>
      </c>
      <c r="W714" s="161"/>
      <c r="X714" s="17" t="s">
        <v>9</v>
      </c>
      <c r="Y714" s="216" t="s">
        <v>5820</v>
      </c>
      <c r="Z714" s="73"/>
      <c r="AA714" s="73"/>
      <c r="AB714" s="73"/>
      <c r="AC714" s="73"/>
      <c r="AD714" s="73"/>
      <c r="AE714" s="73"/>
      <c r="AF714" s="73"/>
      <c r="AG714" s="73"/>
      <c r="AH714" s="73"/>
      <c r="AI714" s="73"/>
      <c r="AJ714" s="75"/>
      <c r="AK714" s="76" t="s">
        <v>6276</v>
      </c>
      <c r="AL714" s="83" t="s">
        <v>7416</v>
      </c>
      <c r="AM714" s="71" t="s">
        <v>7417</v>
      </c>
      <c r="AN714" s="84" t="s">
        <v>7418</v>
      </c>
      <c r="AO714" s="71" t="s">
        <v>7419</v>
      </c>
      <c r="AP714" s="161"/>
      <c r="AQ714" s="161"/>
      <c r="AR714" s="161"/>
      <c r="AS714" s="161"/>
      <c r="AT714" s="161"/>
      <c r="AU714" s="89"/>
      <c r="AV714" s="162"/>
      <c r="AW714" s="81"/>
    </row>
    <row r="715" ht="15.75" customHeight="1">
      <c r="A715" s="175"/>
      <c r="B715" s="73"/>
      <c r="C715" s="214" t="s">
        <v>6118</v>
      </c>
      <c r="D715" s="192"/>
      <c r="E715" s="192"/>
      <c r="F715" s="272"/>
      <c r="G715" s="273" t="s">
        <v>7420</v>
      </c>
      <c r="H715" s="274"/>
      <c r="I715" s="275" t="s">
        <v>7413</v>
      </c>
      <c r="J715" s="290" t="s">
        <v>7414</v>
      </c>
      <c r="K715" s="277"/>
      <c r="L715" s="134"/>
      <c r="M715" s="111"/>
      <c r="N715" s="111"/>
      <c r="O715" s="111"/>
      <c r="P715" s="67" t="str">
        <f t="shared" si="1"/>
        <v/>
      </c>
      <c r="Q715" s="67" t="str">
        <f t="shared" si="2"/>
        <v/>
      </c>
      <c r="R715" s="67" t="str">
        <f t="shared" si="3"/>
        <v/>
      </c>
      <c r="S715" s="67" t="str">
        <f t="shared" si="4"/>
        <v/>
      </c>
      <c r="T715" s="288"/>
      <c r="U715" s="69"/>
      <c r="V715" s="169" t="s">
        <v>7421</v>
      </c>
      <c r="W715" s="161"/>
      <c r="X715" s="194"/>
      <c r="Y715" s="73"/>
      <c r="Z715" s="73"/>
      <c r="AA715" s="73"/>
      <c r="AB715" s="73"/>
      <c r="AC715" s="73"/>
      <c r="AD715" s="73"/>
      <c r="AE715" s="73"/>
      <c r="AF715" s="73"/>
      <c r="AG715" s="73"/>
      <c r="AH715" s="73"/>
      <c r="AI715" s="73"/>
      <c r="AJ715" s="75"/>
      <c r="AK715" s="76" t="s">
        <v>6276</v>
      </c>
      <c r="AL715" s="83" t="s">
        <v>7422</v>
      </c>
      <c r="AM715" s="71" t="s">
        <v>7423</v>
      </c>
      <c r="AN715" s="84" t="s">
        <v>7424</v>
      </c>
      <c r="AO715" s="71" t="s">
        <v>7425</v>
      </c>
      <c r="AP715" s="161" t="str">
        <f>IMAGE("https://bellingcat-archive.nyc3.cdn.digitaloceanspaces.com/Ukraine_Witness_Datasheet/Worksheet/telegram_zLCAX_W7QlkoVKELyZ7ZzHVsmxbQ4qMlvuUH-jGG2tXMfTtrLtfT2VfhufEyagAwvRSZ3YFcI-9TD3Onjw147zDTS6du1fyMbpa_3jAJaFrAHPeGn9PeH5esNvLHUqDw.jpg")</f>
        <v/>
      </c>
      <c r="AQ715" s="161"/>
      <c r="AR715" s="161"/>
      <c r="AS715" s="161"/>
      <c r="AT715" s="161"/>
      <c r="AU715" s="89"/>
      <c r="AV715" s="162"/>
      <c r="AW715" s="81"/>
    </row>
    <row r="716" ht="15.75" customHeight="1">
      <c r="A716" s="249" t="s">
        <v>6682</v>
      </c>
      <c r="B716" s="73"/>
      <c r="C716" s="214" t="s">
        <v>6118</v>
      </c>
      <c r="D716" s="285" t="s">
        <v>7426</v>
      </c>
      <c r="E716" s="285" t="s">
        <v>7427</v>
      </c>
      <c r="F716" s="286"/>
      <c r="G716" s="291" t="s">
        <v>7428</v>
      </c>
      <c r="H716" s="274"/>
      <c r="I716" s="275" t="s">
        <v>7429</v>
      </c>
      <c r="J716" s="276" t="s">
        <v>7430</v>
      </c>
      <c r="K716" s="277"/>
      <c r="L716" s="110" t="s">
        <v>3542</v>
      </c>
      <c r="M716" s="92" t="s">
        <v>5702</v>
      </c>
      <c r="N716" s="111"/>
      <c r="O716" s="92" t="s">
        <v>7098</v>
      </c>
      <c r="P716" s="67" t="str">
        <f t="shared" si="1"/>
        <v>46.609028, 32.845163</v>
      </c>
      <c r="Q716" s="67" t="str">
        <f t="shared" si="2"/>
        <v>46.608622, 32.845617</v>
      </c>
      <c r="R716" s="67">
        <f t="shared" si="3"/>
        <v>46.608622</v>
      </c>
      <c r="S716" s="67">
        <f t="shared" si="4"/>
        <v>32.845617</v>
      </c>
      <c r="T716" s="288"/>
      <c r="U716" s="69"/>
      <c r="V716" s="169" t="s">
        <v>7431</v>
      </c>
      <c r="W716" s="161"/>
      <c r="X716" s="17" t="s">
        <v>9</v>
      </c>
      <c r="Y716" s="216" t="s">
        <v>75</v>
      </c>
      <c r="Z716" s="73"/>
      <c r="AA716" s="73"/>
      <c r="AB716" s="73"/>
      <c r="AC716" s="73"/>
      <c r="AD716" s="73"/>
      <c r="AE716" s="73"/>
      <c r="AF716" s="73"/>
      <c r="AG716" s="73"/>
      <c r="AH716" s="73"/>
      <c r="AI716" s="73"/>
      <c r="AJ716" s="75"/>
      <c r="AK716" s="76" t="s">
        <v>6276</v>
      </c>
      <c r="AL716" s="83" t="s">
        <v>7432</v>
      </c>
      <c r="AM716" s="71" t="s">
        <v>7433</v>
      </c>
      <c r="AN716" s="84" t="s">
        <v>7434</v>
      </c>
      <c r="AO716" s="71" t="s">
        <v>7435</v>
      </c>
      <c r="AP716" s="161"/>
      <c r="AQ716" s="161"/>
      <c r="AR716" s="161"/>
      <c r="AS716" s="161"/>
      <c r="AT716" s="161"/>
      <c r="AU716" s="89"/>
      <c r="AV716" s="162"/>
      <c r="AW716" s="81"/>
    </row>
    <row r="717" ht="15.75" customHeight="1">
      <c r="A717" s="259" t="s">
        <v>6924</v>
      </c>
      <c r="B717" s="73"/>
      <c r="C717" s="214" t="s">
        <v>6118</v>
      </c>
      <c r="D717" s="285" t="s">
        <v>7436</v>
      </c>
      <c r="E717" s="285" t="s">
        <v>7437</v>
      </c>
      <c r="F717" s="286">
        <v>2.0</v>
      </c>
      <c r="G717" s="273" t="s">
        <v>7438</v>
      </c>
      <c r="H717" s="274"/>
      <c r="I717" s="275" t="s">
        <v>7439</v>
      </c>
      <c r="J717" s="276" t="s">
        <v>7440</v>
      </c>
      <c r="K717" s="292"/>
      <c r="L717" s="134"/>
      <c r="M717" s="111"/>
      <c r="N717" s="111"/>
      <c r="O717" s="111"/>
      <c r="P717" s="67" t="str">
        <f t="shared" si="1"/>
        <v>50.016577, 36.278364</v>
      </c>
      <c r="Q717" s="67" t="str">
        <f t="shared" si="2"/>
        <v>50.016027, 36.278265</v>
      </c>
      <c r="R717" s="67">
        <f t="shared" si="3"/>
        <v>50.016027</v>
      </c>
      <c r="S717" s="67">
        <f t="shared" si="4"/>
        <v>36.278265</v>
      </c>
      <c r="T717" s="288"/>
      <c r="U717" s="69"/>
      <c r="V717" s="169" t="s">
        <v>7441</v>
      </c>
      <c r="W717" s="161"/>
      <c r="X717" s="194"/>
      <c r="Y717" s="216" t="s">
        <v>75</v>
      </c>
      <c r="Z717" s="73"/>
      <c r="AA717" s="73"/>
      <c r="AB717" s="73"/>
      <c r="AC717" s="73"/>
      <c r="AD717" s="73"/>
      <c r="AE717" s="73"/>
      <c r="AF717" s="73"/>
      <c r="AG717" s="73"/>
      <c r="AH717" s="73"/>
      <c r="AI717" s="73"/>
      <c r="AJ717" s="75"/>
      <c r="AK717" s="76" t="s">
        <v>4410</v>
      </c>
      <c r="AL717" s="83" t="s">
        <v>7442</v>
      </c>
      <c r="AM717" s="71" t="s">
        <v>7443</v>
      </c>
      <c r="AN717" s="84" t="s">
        <v>7444</v>
      </c>
      <c r="AO717" s="71" t="s">
        <v>7445</v>
      </c>
      <c r="AP717" s="161" t="str">
        <f>IMAGE("https://bellingcat-archive.nyc3.cdn.digitaloceanspaces.com/Ukraine_Witness_Datasheet/Worksheet/telegram_c9fbbbd681/out2.jpg")</f>
        <v/>
      </c>
      <c r="AQ717" s="84" t="s">
        <v>7446</v>
      </c>
      <c r="AR717" s="84" t="s">
        <v>7438</v>
      </c>
      <c r="AS717" s="71" t="s">
        <v>7447</v>
      </c>
      <c r="AT717" s="71">
        <v>36.0</v>
      </c>
      <c r="AU717" s="89"/>
      <c r="AV717" s="162"/>
      <c r="AW717" s="81"/>
    </row>
    <row r="718" ht="15.75" customHeight="1">
      <c r="A718" s="217" t="s">
        <v>5457</v>
      </c>
      <c r="B718" s="73"/>
      <c r="C718" s="214" t="s">
        <v>6118</v>
      </c>
      <c r="D718" s="293">
        <v>50.554566</v>
      </c>
      <c r="E718" s="294">
        <v>30.274828</v>
      </c>
      <c r="F718" s="211">
        <v>2.0</v>
      </c>
      <c r="G718" s="295" t="s">
        <v>7448</v>
      </c>
      <c r="H718" s="274"/>
      <c r="I718" s="275" t="s">
        <v>7449</v>
      </c>
      <c r="J718" s="276" t="s">
        <v>7450</v>
      </c>
      <c r="K718" s="277"/>
      <c r="L718" s="110" t="s">
        <v>3542</v>
      </c>
      <c r="M718" s="92" t="s">
        <v>5827</v>
      </c>
      <c r="N718" s="111"/>
      <c r="O718" s="92" t="s">
        <v>5868</v>
      </c>
      <c r="P718" s="67" t="str">
        <f t="shared" si="1"/>
        <v>50.554566, 30.274828</v>
      </c>
      <c r="Q718" s="67" t="str">
        <f t="shared" si="2"/>
        <v>50.554367, 30.275982</v>
      </c>
      <c r="R718" s="67">
        <f t="shared" si="3"/>
        <v>50.554367</v>
      </c>
      <c r="S718" s="67">
        <f t="shared" si="4"/>
        <v>30.275982</v>
      </c>
      <c r="T718" s="288"/>
      <c r="U718" s="69"/>
      <c r="V718" s="169" t="s">
        <v>7451</v>
      </c>
      <c r="W718" s="71" t="s">
        <v>6641</v>
      </c>
      <c r="X718" s="72" t="s">
        <v>75</v>
      </c>
      <c r="Y718" s="216" t="s">
        <v>75</v>
      </c>
      <c r="Z718" s="73"/>
      <c r="AA718" s="73"/>
      <c r="AB718" s="73"/>
      <c r="AC718" s="73"/>
      <c r="AD718" s="73"/>
      <c r="AE718" s="73"/>
      <c r="AF718" s="73"/>
      <c r="AG718" s="73"/>
      <c r="AH718" s="73"/>
      <c r="AI718" s="73"/>
      <c r="AJ718" s="75"/>
      <c r="AK718" s="76" t="s">
        <v>930</v>
      </c>
      <c r="AL718" s="83" t="s">
        <v>7452</v>
      </c>
      <c r="AM718" s="71" t="s">
        <v>7453</v>
      </c>
      <c r="AN718" s="84" t="s">
        <v>7454</v>
      </c>
      <c r="AO718" s="71" t="s">
        <v>6634</v>
      </c>
      <c r="AP718" s="161" t="str">
        <f>IMAGE("https://bellingcat-archive.nyc3.cdn.digitaloceanspaces.com/Ukraine_Witness_Datasheet/Worksheet/youtube_dl_1497238121183944707/out2.jpg")</f>
        <v/>
      </c>
      <c r="AQ718" s="84" t="s">
        <v>7455</v>
      </c>
      <c r="AR718" s="71" t="s">
        <v>7456</v>
      </c>
      <c r="AS718" s="71" t="s">
        <v>7457</v>
      </c>
      <c r="AT718" s="71">
        <v>58.8</v>
      </c>
      <c r="AU718" s="89"/>
      <c r="AV718" s="162"/>
      <c r="AW718" s="81"/>
    </row>
    <row r="719" ht="15.75" customHeight="1">
      <c r="A719" s="296" t="s">
        <v>6924</v>
      </c>
      <c r="B719" s="73"/>
      <c r="C719" s="214" t="s">
        <v>6118</v>
      </c>
      <c r="D719" s="241" t="s">
        <v>7458</v>
      </c>
      <c r="E719" s="265" t="s">
        <v>7459</v>
      </c>
      <c r="F719" s="79">
        <v>1.0</v>
      </c>
      <c r="G719" s="84" t="s">
        <v>7460</v>
      </c>
      <c r="H719" s="73"/>
      <c r="I719" s="62" t="s">
        <v>7461</v>
      </c>
      <c r="J719" s="64" t="s">
        <v>7462</v>
      </c>
      <c r="K719" s="69"/>
      <c r="L719" s="134"/>
      <c r="M719" s="111"/>
      <c r="N719" s="111"/>
      <c r="O719" s="92" t="s">
        <v>5626</v>
      </c>
      <c r="P719" s="67" t="str">
        <f t="shared" si="1"/>
        <v>50.0152, 36.152353</v>
      </c>
      <c r="Q719" s="67" t="str">
        <f t="shared" si="2"/>
        <v>50.015141, 36.151415</v>
      </c>
      <c r="R719" s="67">
        <f t="shared" si="3"/>
        <v>50.015141</v>
      </c>
      <c r="S719" s="67">
        <f t="shared" si="4"/>
        <v>36.151415</v>
      </c>
      <c r="T719" s="288"/>
      <c r="U719" s="69"/>
      <c r="V719" s="169" t="s">
        <v>7463</v>
      </c>
      <c r="W719" s="161"/>
      <c r="X719" s="194"/>
      <c r="Y719" s="216" t="s">
        <v>5820</v>
      </c>
      <c r="Z719" s="73"/>
      <c r="AA719" s="73"/>
      <c r="AB719" s="73"/>
      <c r="AC719" s="73"/>
      <c r="AD719" s="73"/>
      <c r="AE719" s="73"/>
      <c r="AF719" s="73"/>
      <c r="AG719" s="73"/>
      <c r="AH719" s="73"/>
      <c r="AI719" s="73"/>
      <c r="AJ719" s="75"/>
      <c r="AK719" s="76" t="s">
        <v>798</v>
      </c>
      <c r="AL719" s="83" t="s">
        <v>7464</v>
      </c>
      <c r="AM719" s="71" t="s">
        <v>7465</v>
      </c>
      <c r="AN719" s="84" t="s">
        <v>7466</v>
      </c>
      <c r="AO719" s="71" t="s">
        <v>7467</v>
      </c>
      <c r="AP719" s="161" t="str">
        <f>IMAGE("https://bellingcat-archive.nyc3.cdn.digitaloceanspaces.com/Ukraine_Witness_Datasheet/Worksheet/youtube_dl_1497264217317154816/out2.jpg")</f>
        <v/>
      </c>
      <c r="AQ719" s="84" t="s">
        <v>7468</v>
      </c>
      <c r="AR719" s="71" t="s">
        <v>7469</v>
      </c>
      <c r="AS719" s="71" t="s">
        <v>7470</v>
      </c>
      <c r="AT719" s="71">
        <v>41.374</v>
      </c>
      <c r="AU719" s="89"/>
      <c r="AV719" s="162"/>
      <c r="AW719" s="81"/>
    </row>
    <row r="720" ht="15.75" customHeight="1">
      <c r="A720" s="172"/>
      <c r="B720" s="73"/>
      <c r="C720" s="101" t="s">
        <v>6118</v>
      </c>
      <c r="D720" s="121"/>
      <c r="E720" s="268"/>
      <c r="F720" s="79">
        <v>1.0</v>
      </c>
      <c r="G720" s="84" t="s">
        <v>7471</v>
      </c>
      <c r="H720" s="73"/>
      <c r="I720" s="75"/>
      <c r="J720" s="64" t="s">
        <v>7472</v>
      </c>
      <c r="K720" s="69"/>
      <c r="L720" s="134"/>
      <c r="M720" s="111"/>
      <c r="N720" s="111"/>
      <c r="O720" s="111"/>
      <c r="P720" s="67" t="str">
        <f t="shared" si="1"/>
        <v/>
      </c>
      <c r="Q720" s="67" t="str">
        <f t="shared" si="2"/>
        <v/>
      </c>
      <c r="R720" s="67" t="str">
        <f t="shared" si="3"/>
        <v/>
      </c>
      <c r="S720" s="67" t="str">
        <f t="shared" si="4"/>
        <v/>
      </c>
      <c r="T720" s="288"/>
      <c r="U720" s="69"/>
      <c r="V720" s="169" t="s">
        <v>7473</v>
      </c>
      <c r="W720" s="161"/>
      <c r="X720" s="194"/>
      <c r="Y720" s="73"/>
      <c r="Z720" s="73"/>
      <c r="AA720" s="73"/>
      <c r="AB720" s="73"/>
      <c r="AC720" s="73"/>
      <c r="AD720" s="73"/>
      <c r="AE720" s="73"/>
      <c r="AF720" s="73"/>
      <c r="AG720" s="73"/>
      <c r="AH720" s="73"/>
      <c r="AI720" s="73"/>
      <c r="AJ720" s="75"/>
      <c r="AK720" s="76" t="s">
        <v>798</v>
      </c>
      <c r="AL720" s="83" t="s">
        <v>7474</v>
      </c>
      <c r="AM720" s="71" t="s">
        <v>7475</v>
      </c>
      <c r="AN720" s="84" t="s">
        <v>7476</v>
      </c>
      <c r="AO720" s="71" t="s">
        <v>7477</v>
      </c>
      <c r="AP720" s="161" t="str">
        <f>IMAGE("https://bellingcat-archive.nyc3.cdn.digitaloceanspaces.com/Ukraine_Witness_Datasheet/Worksheet/youtube_dl_1497270853557493772/out2.jpg")</f>
        <v/>
      </c>
      <c r="AQ720" s="84" t="s">
        <v>7478</v>
      </c>
      <c r="AR720" s="71" t="s">
        <v>7479</v>
      </c>
      <c r="AS720" s="71" t="s">
        <v>7480</v>
      </c>
      <c r="AT720" s="71">
        <v>4.566</v>
      </c>
      <c r="AU720" s="89"/>
      <c r="AV720" s="162"/>
      <c r="AW720" s="81"/>
    </row>
    <row r="721" ht="15.75" customHeight="1">
      <c r="A721" s="296" t="s">
        <v>6924</v>
      </c>
      <c r="B721" s="73"/>
      <c r="C721" s="101" t="s">
        <v>6118</v>
      </c>
      <c r="D721" s="260"/>
      <c r="E721" s="262"/>
      <c r="F721" s="79">
        <v>4.0</v>
      </c>
      <c r="G721" s="297" t="s">
        <v>7481</v>
      </c>
      <c r="H721" s="73"/>
      <c r="I721" s="215" t="s">
        <v>7482</v>
      </c>
      <c r="J721" s="64" t="s">
        <v>7483</v>
      </c>
      <c r="K721" s="69"/>
      <c r="L721" s="134"/>
      <c r="M721" s="92" t="s">
        <v>3544</v>
      </c>
      <c r="N721" s="111"/>
      <c r="O721" s="92" t="s">
        <v>7142</v>
      </c>
      <c r="P721" s="67" t="str">
        <f t="shared" si="1"/>
        <v/>
      </c>
      <c r="Q721" s="67" t="str">
        <f t="shared" si="2"/>
        <v/>
      </c>
      <c r="R721" s="67" t="str">
        <f t="shared" si="3"/>
        <v/>
      </c>
      <c r="S721" s="67" t="str">
        <f t="shared" si="4"/>
        <v/>
      </c>
      <c r="T721" s="288"/>
      <c r="U721" s="69"/>
      <c r="V721" s="169" t="s">
        <v>7484</v>
      </c>
      <c r="W721" s="161"/>
      <c r="X721" s="194"/>
      <c r="Y721" s="216" t="s">
        <v>5820</v>
      </c>
      <c r="Z721" s="73"/>
      <c r="AA721" s="73"/>
      <c r="AB721" s="73"/>
      <c r="AC721" s="73"/>
      <c r="AD721" s="73"/>
      <c r="AE721" s="73"/>
      <c r="AF721" s="73"/>
      <c r="AG721" s="73"/>
      <c r="AH721" s="73"/>
      <c r="AI721" s="73"/>
      <c r="AJ721" s="75"/>
      <c r="AK721" s="76" t="s">
        <v>798</v>
      </c>
      <c r="AL721" s="83" t="s">
        <v>7485</v>
      </c>
      <c r="AM721" s="71" t="s">
        <v>7486</v>
      </c>
      <c r="AN721" s="84" t="s">
        <v>7487</v>
      </c>
      <c r="AO721" s="71" t="s">
        <v>6992</v>
      </c>
      <c r="AP721" s="161" t="str">
        <f>IMAGE("https://bellingcat-archive.nyc3.cdn.digitaloceanspaces.com/Ukraine_Witness_Datasheet/Worksheet/youtube_dl_1497257979883581442/out2.jpg")</f>
        <v/>
      </c>
      <c r="AQ721" s="84" t="s">
        <v>7488</v>
      </c>
      <c r="AR721" s="71" t="s">
        <v>7489</v>
      </c>
      <c r="AS721" s="71" t="s">
        <v>7490</v>
      </c>
      <c r="AT721" s="71">
        <v>28.484</v>
      </c>
      <c r="AU721" s="89"/>
      <c r="AV721" s="162"/>
      <c r="AW721" s="81"/>
    </row>
    <row r="722" ht="15.75" customHeight="1">
      <c r="A722" s="172"/>
      <c r="B722" s="73"/>
      <c r="C722" s="101" t="s">
        <v>6118</v>
      </c>
      <c r="D722" s="121"/>
      <c r="E722" s="268"/>
      <c r="F722" s="79">
        <v>2.0</v>
      </c>
      <c r="G722" s="60" t="s">
        <v>7491</v>
      </c>
      <c r="H722" s="73"/>
      <c r="I722" s="75"/>
      <c r="J722" s="64" t="s">
        <v>7492</v>
      </c>
      <c r="K722" s="69"/>
      <c r="L722" s="134"/>
      <c r="M722" s="111"/>
      <c r="N722" s="111"/>
      <c r="O722" s="111"/>
      <c r="P722" s="67" t="str">
        <f t="shared" si="1"/>
        <v/>
      </c>
      <c r="Q722" s="67" t="str">
        <f t="shared" si="2"/>
        <v/>
      </c>
      <c r="R722" s="67" t="str">
        <f t="shared" si="3"/>
        <v/>
      </c>
      <c r="S722" s="67" t="str">
        <f t="shared" si="4"/>
        <v/>
      </c>
      <c r="T722" s="288"/>
      <c r="U722" s="69"/>
      <c r="V722" s="169" t="s">
        <v>7493</v>
      </c>
      <c r="W722" s="161"/>
      <c r="X722" s="194"/>
      <c r="Y722" s="73"/>
      <c r="Z722" s="73"/>
      <c r="AA722" s="73"/>
      <c r="AB722" s="73"/>
      <c r="AC722" s="73"/>
      <c r="AD722" s="73"/>
      <c r="AE722" s="73"/>
      <c r="AF722" s="73"/>
      <c r="AG722" s="73"/>
      <c r="AH722" s="73"/>
      <c r="AI722" s="73"/>
      <c r="AJ722" s="75"/>
      <c r="AK722" s="76" t="s">
        <v>798</v>
      </c>
      <c r="AL722" s="83" t="s">
        <v>7494</v>
      </c>
      <c r="AM722" s="71" t="s">
        <v>7495</v>
      </c>
      <c r="AN722" s="84" t="s">
        <v>7496</v>
      </c>
      <c r="AO722" s="71" t="s">
        <v>7497</v>
      </c>
      <c r="AP722" s="161" t="str">
        <f>IMAGE("https://bellingcat-archive.nyc3.cdn.digitaloceanspaces.com/Ukraine_Witness_Datasheet/Worksheet/youtube_dl_1497272827489226754/out3.jpg")</f>
        <v/>
      </c>
      <c r="AQ722" s="84" t="s">
        <v>7498</v>
      </c>
      <c r="AR722" s="71" t="s">
        <v>7499</v>
      </c>
      <c r="AS722" s="71" t="s">
        <v>7500</v>
      </c>
      <c r="AT722" s="71">
        <v>60.581</v>
      </c>
      <c r="AU722" s="89"/>
      <c r="AV722" s="162"/>
      <c r="AW722" s="81"/>
    </row>
    <row r="723" ht="15.75" customHeight="1">
      <c r="A723" s="87" t="s">
        <v>63</v>
      </c>
      <c r="B723" s="73"/>
      <c r="C723" s="101" t="s">
        <v>6118</v>
      </c>
      <c r="D723" s="74">
        <v>50.048122</v>
      </c>
      <c r="E723" s="294">
        <v>36.189633</v>
      </c>
      <c r="F723" s="237">
        <v>3.0</v>
      </c>
      <c r="G723" s="60" t="s">
        <v>7501</v>
      </c>
      <c r="H723" s="73"/>
      <c r="I723" s="215" t="s">
        <v>7502</v>
      </c>
      <c r="J723" s="64" t="s">
        <v>7503</v>
      </c>
      <c r="K723" s="114" t="s">
        <v>7504</v>
      </c>
      <c r="L723" s="110" t="s">
        <v>3542</v>
      </c>
      <c r="M723" s="92" t="s">
        <v>7505</v>
      </c>
      <c r="N723" s="111"/>
      <c r="O723" s="92" t="s">
        <v>5626</v>
      </c>
      <c r="P723" s="67" t="str">
        <f t="shared" si="1"/>
        <v>50.048122, 36.189633</v>
      </c>
      <c r="Q723" s="67" t="str">
        <f t="shared" si="2"/>
        <v>50.048107, 36.189006</v>
      </c>
      <c r="R723" s="67">
        <f t="shared" si="3"/>
        <v>50.048107</v>
      </c>
      <c r="S723" s="67">
        <f t="shared" si="4"/>
        <v>36.189006</v>
      </c>
      <c r="T723" s="288"/>
      <c r="U723" s="69"/>
      <c r="V723" s="169" t="s">
        <v>7506</v>
      </c>
      <c r="W723" s="158" t="s">
        <v>5904</v>
      </c>
      <c r="X723" s="72" t="s">
        <v>75</v>
      </c>
      <c r="Y723" s="216" t="s">
        <v>5820</v>
      </c>
      <c r="Z723" s="73"/>
      <c r="AA723" s="73"/>
      <c r="AB723" s="73"/>
      <c r="AC723" s="73"/>
      <c r="AD723" s="73"/>
      <c r="AE723" s="73"/>
      <c r="AF723" s="73"/>
      <c r="AG723" s="73"/>
      <c r="AH723" s="73"/>
      <c r="AI723" s="73"/>
      <c r="AJ723" s="75"/>
      <c r="AK723" s="76" t="s">
        <v>798</v>
      </c>
      <c r="AL723" s="83" t="s">
        <v>7507</v>
      </c>
      <c r="AM723" s="71" t="s">
        <v>7508</v>
      </c>
      <c r="AN723" s="84" t="s">
        <v>7509</v>
      </c>
      <c r="AO723" s="71" t="s">
        <v>7510</v>
      </c>
      <c r="AP723" s="161" t="str">
        <f>IMAGE("https://bellingcat-archive.nyc3.cdn.digitaloceanspaces.com/Ukraine_Witness_Datasheet/Worksheet/youtube_dl_1497266803214532609/out2.jpg")</f>
        <v/>
      </c>
      <c r="AQ723" s="84" t="s">
        <v>7511</v>
      </c>
      <c r="AR723" s="71" t="s">
        <v>7512</v>
      </c>
      <c r="AS723" s="71" t="s">
        <v>7513</v>
      </c>
      <c r="AT723" s="71">
        <v>45.0</v>
      </c>
      <c r="AU723" s="89"/>
      <c r="AV723" s="80" t="s">
        <v>63</v>
      </c>
      <c r="AW723" s="81"/>
    </row>
    <row r="724" ht="15.75" customHeight="1">
      <c r="A724" s="95" t="s">
        <v>7203</v>
      </c>
      <c r="B724" s="73"/>
      <c r="C724" s="214" t="s">
        <v>5586</v>
      </c>
      <c r="D724" s="192">
        <v>47.121018</v>
      </c>
      <c r="E724" s="298">
        <v>37.681608</v>
      </c>
      <c r="F724" s="79">
        <v>2.0</v>
      </c>
      <c r="G724" s="84" t="s">
        <v>7514</v>
      </c>
      <c r="H724" s="73"/>
      <c r="I724" s="62" t="s">
        <v>7205</v>
      </c>
      <c r="J724" s="299" t="s">
        <v>7515</v>
      </c>
      <c r="K724" s="69"/>
      <c r="L724" s="110" t="s">
        <v>3542</v>
      </c>
      <c r="M724" s="92" t="s">
        <v>7207</v>
      </c>
      <c r="N724" s="111"/>
      <c r="O724" s="92" t="s">
        <v>6109</v>
      </c>
      <c r="P724" s="67" t="str">
        <f t="shared" si="1"/>
        <v>47.121018, 37.681608</v>
      </c>
      <c r="Q724" s="67" t="str">
        <f t="shared" si="2"/>
        <v>47.120318, 37.68205</v>
      </c>
      <c r="R724" s="67">
        <f t="shared" si="3"/>
        <v>47.120318</v>
      </c>
      <c r="S724" s="67">
        <f t="shared" si="4"/>
        <v>37.68205</v>
      </c>
      <c r="T724" s="93" t="s">
        <v>7209</v>
      </c>
      <c r="U724" s="69"/>
      <c r="V724" s="169" t="s">
        <v>7208</v>
      </c>
      <c r="W724" s="158" t="s">
        <v>5904</v>
      </c>
      <c r="X724" s="72" t="s">
        <v>75</v>
      </c>
      <c r="Y724" s="216" t="s">
        <v>5820</v>
      </c>
      <c r="Z724" s="73"/>
      <c r="AA724" s="73"/>
      <c r="AB724" s="73"/>
      <c r="AC724" s="73"/>
      <c r="AD724" s="73"/>
      <c r="AE724" s="73"/>
      <c r="AF724" s="73"/>
      <c r="AG724" s="73"/>
      <c r="AH724" s="73"/>
      <c r="AI724" s="73"/>
      <c r="AJ724" s="75"/>
      <c r="AK724" s="76" t="s">
        <v>6276</v>
      </c>
      <c r="AL724" s="83" t="s">
        <v>7516</v>
      </c>
      <c r="AM724" s="71" t="s">
        <v>7517</v>
      </c>
      <c r="AN724" s="84" t="s">
        <v>7518</v>
      </c>
      <c r="AO724" s="71" t="s">
        <v>7519</v>
      </c>
      <c r="AP724" s="161" t="str">
        <f>IMAGE("https://bellingcat-archive.nyc3.cdn.digitaloceanspaces.com/Ukraine_Witness_Datasheet/Worksheet/telegram_a032e796ac/out2.jpg")</f>
        <v/>
      </c>
      <c r="AQ724" s="84" t="s">
        <v>7520</v>
      </c>
      <c r="AR724" s="84" t="s">
        <v>7514</v>
      </c>
      <c r="AS724" s="71" t="s">
        <v>7521</v>
      </c>
      <c r="AT724" s="71">
        <v>16.0</v>
      </c>
      <c r="AU724" s="89"/>
      <c r="AV724" s="80" t="s">
        <v>63</v>
      </c>
      <c r="AW724" s="81"/>
    </row>
    <row r="725" ht="15.75" customHeight="1">
      <c r="A725" s="87" t="s">
        <v>63</v>
      </c>
      <c r="B725" s="73"/>
      <c r="C725" s="101" t="s">
        <v>6118</v>
      </c>
      <c r="D725" s="104">
        <v>49.987823</v>
      </c>
      <c r="E725" s="266">
        <v>36.261128</v>
      </c>
      <c r="F725" s="211">
        <v>2.0</v>
      </c>
      <c r="G725" s="84" t="s">
        <v>7522</v>
      </c>
      <c r="H725" s="73"/>
      <c r="I725" s="75"/>
      <c r="J725" s="64" t="s">
        <v>7523</v>
      </c>
      <c r="K725" s="69"/>
      <c r="L725" s="134"/>
      <c r="M725" s="92" t="s">
        <v>7524</v>
      </c>
      <c r="N725" s="111"/>
      <c r="O725" s="92" t="s">
        <v>7525</v>
      </c>
      <c r="P725" s="67" t="str">
        <f t="shared" si="1"/>
        <v>49.987823, 36.261128</v>
      </c>
      <c r="Q725" s="67" t="str">
        <f t="shared" si="2"/>
        <v>49.987214, 36.261352</v>
      </c>
      <c r="R725" s="67">
        <f t="shared" si="3"/>
        <v>49.987214</v>
      </c>
      <c r="S725" s="67">
        <f t="shared" si="4"/>
        <v>36.261352</v>
      </c>
      <c r="T725" s="288"/>
      <c r="U725" s="69"/>
      <c r="V725" s="169" t="s">
        <v>7526</v>
      </c>
      <c r="W725" s="158" t="s">
        <v>5904</v>
      </c>
      <c r="X725" s="72" t="s">
        <v>75</v>
      </c>
      <c r="Y725" s="73"/>
      <c r="Z725" s="73"/>
      <c r="AA725" s="73"/>
      <c r="AB725" s="73"/>
      <c r="AC725" s="73"/>
      <c r="AD725" s="73"/>
      <c r="AE725" s="73"/>
      <c r="AF725" s="73"/>
      <c r="AG725" s="73"/>
      <c r="AH725" s="73"/>
      <c r="AI725" s="73"/>
      <c r="AJ725" s="75"/>
      <c r="AK725" s="76" t="s">
        <v>2108</v>
      </c>
      <c r="AL725" s="83" t="s">
        <v>7527</v>
      </c>
      <c r="AM725" s="71" t="s">
        <v>7528</v>
      </c>
      <c r="AN725" s="84" t="s">
        <v>7529</v>
      </c>
      <c r="AO725" s="71" t="s">
        <v>7530</v>
      </c>
      <c r="AP725" s="161" t="str">
        <f>IMAGE("https://bellingcat-archive.nyc3.cdn.digitaloceanspaces.com/Ukraine_Witness_Datasheet/Worksheet/twitter__media_FMbxdqtXsAAE0XX.jpg")</f>
        <v/>
      </c>
      <c r="AQ725" s="161"/>
      <c r="AR725" s="161"/>
      <c r="AS725" s="161"/>
      <c r="AT725" s="161"/>
      <c r="AU725" s="89"/>
      <c r="AV725" s="80" t="s">
        <v>63</v>
      </c>
      <c r="AW725" s="81"/>
    </row>
    <row r="726" ht="15.75" customHeight="1">
      <c r="A726" s="87" t="s">
        <v>63</v>
      </c>
      <c r="B726" s="73"/>
      <c r="C726" s="101" t="s">
        <v>6118</v>
      </c>
      <c r="D726" s="74">
        <v>51.823803</v>
      </c>
      <c r="E726" s="74">
        <v>30.07364</v>
      </c>
      <c r="F726" s="79">
        <v>1.0</v>
      </c>
      <c r="G726" s="84" t="s">
        <v>7531</v>
      </c>
      <c r="H726" s="73"/>
      <c r="I726" s="75"/>
      <c r="J726" s="64" t="s">
        <v>7532</v>
      </c>
      <c r="K726" s="88" t="s">
        <v>7533</v>
      </c>
      <c r="L726" s="110" t="s">
        <v>69</v>
      </c>
      <c r="M726" s="92" t="s">
        <v>70</v>
      </c>
      <c r="N726" s="111"/>
      <c r="O726" s="92" t="s">
        <v>7534</v>
      </c>
      <c r="P726" s="67" t="str">
        <f t="shared" si="1"/>
        <v>51.823803, 30.07364</v>
      </c>
      <c r="Q726" s="67" t="str">
        <f t="shared" si="2"/>
        <v>51.823549, 30.074171</v>
      </c>
      <c r="R726" s="67">
        <f t="shared" si="3"/>
        <v>51.823549</v>
      </c>
      <c r="S726" s="67">
        <f t="shared" si="4"/>
        <v>30.074171</v>
      </c>
      <c r="T726" s="288"/>
      <c r="U726" s="69"/>
      <c r="V726" s="169" t="s">
        <v>7535</v>
      </c>
      <c r="W726" s="199" t="s">
        <v>74</v>
      </c>
      <c r="X726" s="72" t="s">
        <v>75</v>
      </c>
      <c r="Y726" s="73"/>
      <c r="Z726" s="73"/>
      <c r="AA726" s="73"/>
      <c r="AB726" s="73"/>
      <c r="AC726" s="73"/>
      <c r="AD726" s="73"/>
      <c r="AE726" s="73"/>
      <c r="AF726" s="73"/>
      <c r="AG726" s="73"/>
      <c r="AH726" s="73"/>
      <c r="AI726" s="73"/>
      <c r="AJ726" s="75"/>
      <c r="AK726" s="76" t="s">
        <v>2108</v>
      </c>
      <c r="AL726" s="83" t="s">
        <v>7536</v>
      </c>
      <c r="AM726" s="71" t="s">
        <v>7537</v>
      </c>
      <c r="AN726" s="84" t="s">
        <v>7538</v>
      </c>
      <c r="AO726" s="71" t="s">
        <v>7539</v>
      </c>
      <c r="AP726" s="161" t="str">
        <f>IMAGE("https://bellingcat-archive.nyc3.cdn.digitaloceanspaces.com/Ukraine_Witness_Datasheet/Worksheet/twitter__media_FMdq1KtWYAopJTe.jpg")</f>
        <v/>
      </c>
      <c r="AQ726" s="161"/>
      <c r="AR726" s="161"/>
      <c r="AS726" s="161"/>
      <c r="AT726" s="161"/>
      <c r="AU726" s="89"/>
      <c r="AV726" s="80" t="s">
        <v>63</v>
      </c>
      <c r="AW726" s="81"/>
    </row>
    <row r="727" ht="15.75" customHeight="1">
      <c r="A727" s="172"/>
      <c r="B727" s="73"/>
      <c r="C727" s="101" t="s">
        <v>6118</v>
      </c>
      <c r="D727" s="104">
        <v>46.86362</v>
      </c>
      <c r="E727" s="104">
        <v>35.38033</v>
      </c>
      <c r="F727" s="79">
        <v>2.0</v>
      </c>
      <c r="G727" s="84" t="s">
        <v>7540</v>
      </c>
      <c r="H727" s="73"/>
      <c r="I727" s="75"/>
      <c r="J727" s="64" t="s">
        <v>7541</v>
      </c>
      <c r="K727" s="69"/>
      <c r="L727" s="110" t="s">
        <v>3542</v>
      </c>
      <c r="M727" s="92" t="s">
        <v>6167</v>
      </c>
      <c r="N727" s="111"/>
      <c r="O727" s="92" t="s">
        <v>6168</v>
      </c>
      <c r="P727" s="67" t="str">
        <f t="shared" si="1"/>
        <v>46.86362, 35.38033</v>
      </c>
      <c r="Q727" s="67" t="str">
        <f t="shared" si="2"/>
        <v>46.863209, 35.379672</v>
      </c>
      <c r="R727" s="67">
        <f t="shared" si="3"/>
        <v>46.863209</v>
      </c>
      <c r="S727" s="67">
        <f t="shared" si="4"/>
        <v>35.379672</v>
      </c>
      <c r="T727" s="288"/>
      <c r="U727" s="64" t="s">
        <v>7542</v>
      </c>
      <c r="V727" s="169" t="s">
        <v>7543</v>
      </c>
      <c r="W727" s="161"/>
      <c r="X727" s="194"/>
      <c r="Y727" s="73"/>
      <c r="Z727" s="73"/>
      <c r="AA727" s="73"/>
      <c r="AB727" s="73"/>
      <c r="AC727" s="73"/>
      <c r="AD727" s="73"/>
      <c r="AE727" s="73"/>
      <c r="AF727" s="73"/>
      <c r="AG727" s="73"/>
      <c r="AH727" s="73"/>
      <c r="AI727" s="73"/>
      <c r="AJ727" s="75"/>
      <c r="AK727" s="76" t="s">
        <v>2108</v>
      </c>
      <c r="AL727" s="83" t="s">
        <v>7544</v>
      </c>
      <c r="AM727" s="71" t="s">
        <v>7545</v>
      </c>
      <c r="AN727" s="84" t="s">
        <v>7546</v>
      </c>
      <c r="AO727" s="71" t="s">
        <v>7547</v>
      </c>
      <c r="AP727" s="161" t="str">
        <f>IMAGE("https://bellingcat-archive.nyc3.cdn.digitaloceanspaces.com/Ukraine_Witness_Datasheet/Worksheet/twitter__media_FMdG-2fXoAILk7t.jpg")</f>
        <v/>
      </c>
      <c r="AQ727" s="161"/>
      <c r="AR727" s="161"/>
      <c r="AS727" s="161"/>
      <c r="AT727" s="161"/>
      <c r="AU727" s="89"/>
      <c r="AV727" s="162"/>
      <c r="AW727" s="81"/>
    </row>
    <row r="728" ht="15.75" customHeight="1">
      <c r="A728" s="95" t="s">
        <v>63</v>
      </c>
      <c r="B728" s="73"/>
      <c r="C728" s="101" t="s">
        <v>6118</v>
      </c>
      <c r="D728" s="74">
        <v>50.553231</v>
      </c>
      <c r="E728" s="74">
        <v>30.283844</v>
      </c>
      <c r="F728" s="79">
        <v>5.0</v>
      </c>
      <c r="G728" s="84" t="s">
        <v>7548</v>
      </c>
      <c r="H728" s="73"/>
      <c r="I728" s="75"/>
      <c r="J728" s="64" t="s">
        <v>7549</v>
      </c>
      <c r="K728" s="69"/>
      <c r="L728" s="110" t="s">
        <v>3542</v>
      </c>
      <c r="M728" s="92" t="s">
        <v>5827</v>
      </c>
      <c r="N728" s="111"/>
      <c r="O728" s="92" t="s">
        <v>7550</v>
      </c>
      <c r="P728" s="67" t="str">
        <f t="shared" si="1"/>
        <v>50.553231, 30.283844</v>
      </c>
      <c r="Q728" s="67" t="str">
        <f t="shared" si="2"/>
        <v>50.552951, 30.284539</v>
      </c>
      <c r="R728" s="67">
        <f t="shared" si="3"/>
        <v>50.552951</v>
      </c>
      <c r="S728" s="67">
        <f t="shared" si="4"/>
        <v>30.284539</v>
      </c>
      <c r="T728" s="93"/>
      <c r="U728" s="69"/>
      <c r="V728" s="169" t="s">
        <v>7551</v>
      </c>
      <c r="W728" s="227" t="s">
        <v>5739</v>
      </c>
      <c r="X728" s="72" t="s">
        <v>75</v>
      </c>
      <c r="Y728" s="73"/>
      <c r="Z728" s="73"/>
      <c r="AA728" s="73"/>
      <c r="AB728" s="73"/>
      <c r="AC728" s="73"/>
      <c r="AD728" s="73"/>
      <c r="AE728" s="73"/>
      <c r="AF728" s="73"/>
      <c r="AG728" s="73"/>
      <c r="AH728" s="73"/>
      <c r="AI728" s="73"/>
      <c r="AJ728" s="75"/>
      <c r="AK728" s="76" t="s">
        <v>798</v>
      </c>
      <c r="AL728" s="83" t="s">
        <v>7552</v>
      </c>
      <c r="AM728" s="71" t="s">
        <v>7553</v>
      </c>
      <c r="AN728" s="84" t="s">
        <v>7554</v>
      </c>
      <c r="AO728" s="71" t="s">
        <v>7555</v>
      </c>
      <c r="AP728" s="161" t="str">
        <f>IMAGE("https://bellingcat-archive.nyc3.cdn.digitaloceanspaces.com/Ukraine_Witness_Datasheet/Worksheet/youtube_dl_1497266735984037890/out2.jpg")</f>
        <v/>
      </c>
      <c r="AQ728" s="84" t="s">
        <v>7556</v>
      </c>
      <c r="AR728" s="71" t="s">
        <v>7557</v>
      </c>
      <c r="AS728" s="71" t="s">
        <v>7558</v>
      </c>
      <c r="AT728" s="71">
        <v>22.166</v>
      </c>
      <c r="AU728" s="89"/>
      <c r="AV728" s="162"/>
      <c r="AW728" s="81"/>
    </row>
    <row r="729" ht="15.75" customHeight="1">
      <c r="A729" s="175"/>
      <c r="B729" s="73"/>
      <c r="C729" s="176"/>
      <c r="D729" s="121"/>
      <c r="E729" s="121"/>
      <c r="F729" s="89"/>
      <c r="G729" s="84" t="s">
        <v>7559</v>
      </c>
      <c r="H729" s="73"/>
      <c r="I729" s="75"/>
      <c r="J729" s="64" t="s">
        <v>7560</v>
      </c>
      <c r="K729" s="69"/>
      <c r="L729" s="134"/>
      <c r="M729" s="111"/>
      <c r="N729" s="111"/>
      <c r="O729" s="111"/>
      <c r="P729" s="67" t="str">
        <f t="shared" si="1"/>
        <v/>
      </c>
      <c r="Q729" s="67" t="str">
        <f t="shared" si="2"/>
        <v/>
      </c>
      <c r="R729" s="67" t="str">
        <f t="shared" si="3"/>
        <v/>
      </c>
      <c r="S729" s="67" t="str">
        <f t="shared" si="4"/>
        <v/>
      </c>
      <c r="T729" s="161"/>
      <c r="U729" s="69"/>
      <c r="V729" s="169" t="s">
        <v>7561</v>
      </c>
      <c r="W729" s="161"/>
      <c r="X729" s="194"/>
      <c r="Y729" s="73"/>
      <c r="Z729" s="73"/>
      <c r="AA729" s="73"/>
      <c r="AB729" s="73"/>
      <c r="AC729" s="73"/>
      <c r="AD729" s="73"/>
      <c r="AE729" s="73"/>
      <c r="AF729" s="73"/>
      <c r="AG729" s="73"/>
      <c r="AH729" s="73"/>
      <c r="AI729" s="73"/>
      <c r="AJ729" s="75"/>
      <c r="AK729" s="76" t="s">
        <v>6276</v>
      </c>
      <c r="AL729" s="83" t="s">
        <v>7562</v>
      </c>
      <c r="AM729" s="71" t="s">
        <v>7563</v>
      </c>
      <c r="AN729" s="84" t="s">
        <v>7564</v>
      </c>
      <c r="AO729" s="71" t="s">
        <v>7565</v>
      </c>
      <c r="AP729" s="161" t="str">
        <f>IMAGE("https://bellingcat-archive.nyc3.cdn.digitaloceanspaces.com/Ukraine_Witness_Datasheet/Worksheet/telegram_2a070ae19b/out2.jpg")</f>
        <v/>
      </c>
      <c r="AQ729" s="84" t="s">
        <v>7566</v>
      </c>
      <c r="AR729" s="84" t="s">
        <v>7559</v>
      </c>
      <c r="AS729" s="71" t="s">
        <v>7567</v>
      </c>
      <c r="AT729" s="71">
        <v>37.0</v>
      </c>
      <c r="AU729" s="89"/>
      <c r="AV729" s="162"/>
      <c r="AW729" s="81"/>
    </row>
    <row r="730" ht="15.75" customHeight="1">
      <c r="A730" s="175"/>
      <c r="B730" s="73"/>
      <c r="C730" s="57" t="s">
        <v>6118</v>
      </c>
      <c r="D730" s="104">
        <v>48.952463</v>
      </c>
      <c r="E730" s="104">
        <v>40.295224</v>
      </c>
      <c r="F730" s="79">
        <v>2.0</v>
      </c>
      <c r="G730" s="84" t="s">
        <v>7568</v>
      </c>
      <c r="H730" s="73"/>
      <c r="I730" s="75"/>
      <c r="J730" s="64" t="s">
        <v>7569</v>
      </c>
      <c r="K730" s="69"/>
      <c r="L730" s="110" t="s">
        <v>873</v>
      </c>
      <c r="M730" s="92" t="s">
        <v>5082</v>
      </c>
      <c r="N730" s="111"/>
      <c r="O730" s="92" t="s">
        <v>1137</v>
      </c>
      <c r="P730" s="67" t="str">
        <f t="shared" si="1"/>
        <v>48.952463, 40.295224</v>
      </c>
      <c r="Q730" s="67" t="str">
        <f t="shared" si="2"/>
        <v>48.952227, 40.294683</v>
      </c>
      <c r="R730" s="67">
        <f t="shared" si="3"/>
        <v>48.952227</v>
      </c>
      <c r="S730" s="67">
        <f t="shared" si="4"/>
        <v>40.294683</v>
      </c>
      <c r="T730" s="161"/>
      <c r="U730" s="69"/>
      <c r="V730" s="169" t="s">
        <v>7570</v>
      </c>
      <c r="W730" s="71" t="s">
        <v>7571</v>
      </c>
      <c r="X730" s="194"/>
      <c r="Y730" s="73"/>
      <c r="Z730" s="73"/>
      <c r="AA730" s="73"/>
      <c r="AB730" s="73"/>
      <c r="AC730" s="73"/>
      <c r="AD730" s="73"/>
      <c r="AE730" s="73"/>
      <c r="AF730" s="73"/>
      <c r="AG730" s="73"/>
      <c r="AH730" s="73"/>
      <c r="AI730" s="73"/>
      <c r="AJ730" s="75"/>
      <c r="AK730" s="76" t="s">
        <v>2108</v>
      </c>
      <c r="AL730" s="83" t="s">
        <v>7572</v>
      </c>
      <c r="AM730" s="71" t="s">
        <v>7573</v>
      </c>
      <c r="AN730" s="84" t="s">
        <v>7574</v>
      </c>
      <c r="AO730" s="71" t="s">
        <v>7575</v>
      </c>
      <c r="AP730" s="161" t="str">
        <f>IMAGE("https://bellingcat-archive.nyc3.cdn.digitaloceanspaces.com/Ukraine_Witness_Datasheet/Worksheet/twitter__media_FMdWp5eXoAIpzaq.jpg")</f>
        <v/>
      </c>
      <c r="AQ730" s="161"/>
      <c r="AR730" s="161"/>
      <c r="AS730" s="161"/>
      <c r="AT730" s="161"/>
      <c r="AU730" s="89"/>
      <c r="AV730" s="162"/>
      <c r="AW730" s="81"/>
    </row>
    <row r="731" ht="15.75" customHeight="1">
      <c r="A731" s="175"/>
      <c r="B731" s="73"/>
      <c r="C731" s="57" t="s">
        <v>6118</v>
      </c>
      <c r="D731" s="104">
        <v>46.371678</v>
      </c>
      <c r="E731" s="300">
        <v>31.1215</v>
      </c>
      <c r="F731" s="79">
        <v>1.0</v>
      </c>
      <c r="G731" s="84" t="s">
        <v>7576</v>
      </c>
      <c r="H731" s="73"/>
      <c r="I731" s="75"/>
      <c r="J731" s="64" t="s">
        <v>7577</v>
      </c>
      <c r="K731" s="88" t="s">
        <v>7578</v>
      </c>
      <c r="L731" s="110" t="s">
        <v>3542</v>
      </c>
      <c r="M731" s="92" t="s">
        <v>7579</v>
      </c>
      <c r="N731" s="111"/>
      <c r="O731" s="111"/>
      <c r="P731" s="67" t="str">
        <f t="shared" si="1"/>
        <v>46.371678, 31.1215</v>
      </c>
      <c r="Q731" s="67" t="str">
        <f t="shared" si="2"/>
        <v>46.371284, 31.122418</v>
      </c>
      <c r="R731" s="67">
        <f t="shared" si="3"/>
        <v>46.371284</v>
      </c>
      <c r="S731" s="67">
        <f t="shared" si="4"/>
        <v>31.122418</v>
      </c>
      <c r="T731" s="161"/>
      <c r="U731" s="69"/>
      <c r="V731" s="169" t="s">
        <v>7580</v>
      </c>
      <c r="W731" s="161"/>
      <c r="X731" s="194"/>
      <c r="Y731" s="73"/>
      <c r="Z731" s="73"/>
      <c r="AA731" s="73"/>
      <c r="AB731" s="73"/>
      <c r="AC731" s="73"/>
      <c r="AD731" s="73"/>
      <c r="AE731" s="73"/>
      <c r="AF731" s="73"/>
      <c r="AG731" s="73"/>
      <c r="AH731" s="73"/>
      <c r="AI731" s="73"/>
      <c r="AJ731" s="75"/>
      <c r="AK731" s="76" t="s">
        <v>798</v>
      </c>
      <c r="AL731" s="83" t="s">
        <v>7581</v>
      </c>
      <c r="AM731" s="71" t="s">
        <v>7582</v>
      </c>
      <c r="AN731" s="84" t="s">
        <v>7583</v>
      </c>
      <c r="AO731" s="71" t="s">
        <v>7584</v>
      </c>
      <c r="AP731" s="161" t="str">
        <f>IMAGE("https://bellingcat-archive.nyc3.cdn.digitaloceanspaces.com/Ukraine_Witness_Datasheet/Worksheet/youtube_dl_1497206869986787330/out2.jpg")</f>
        <v/>
      </c>
      <c r="AQ731" s="84" t="s">
        <v>7585</v>
      </c>
      <c r="AR731" s="71" t="s">
        <v>7586</v>
      </c>
      <c r="AS731" s="71" t="s">
        <v>7587</v>
      </c>
      <c r="AT731" s="71">
        <v>30.9</v>
      </c>
      <c r="AU731" s="89"/>
      <c r="AV731" s="162"/>
      <c r="AW731" s="81"/>
    </row>
    <row r="732" ht="15.75" customHeight="1">
      <c r="A732" s="301" t="s">
        <v>3944</v>
      </c>
      <c r="B732" s="73"/>
      <c r="C732" s="57" t="s">
        <v>6118</v>
      </c>
      <c r="D732" s="104">
        <v>49.916806</v>
      </c>
      <c r="E732" s="104">
        <v>36.475056</v>
      </c>
      <c r="F732" s="79">
        <v>1.0</v>
      </c>
      <c r="G732" s="84" t="s">
        <v>7588</v>
      </c>
      <c r="H732" s="161"/>
      <c r="I732" s="75"/>
      <c r="J732" s="64"/>
      <c r="K732" s="88" t="s">
        <v>7589</v>
      </c>
      <c r="L732" s="110" t="s">
        <v>3542</v>
      </c>
      <c r="M732" s="111"/>
      <c r="N732" s="111"/>
      <c r="O732" s="92" t="s">
        <v>6314</v>
      </c>
      <c r="P732" s="67" t="str">
        <f t="shared" si="1"/>
        <v>49.916806, 36.475056</v>
      </c>
      <c r="Q732" s="67" t="str">
        <f t="shared" si="2"/>
        <v>49.916383, 36.474671</v>
      </c>
      <c r="R732" s="67">
        <f t="shared" si="3"/>
        <v>49.916383</v>
      </c>
      <c r="S732" s="67">
        <f t="shared" si="4"/>
        <v>36.474671</v>
      </c>
      <c r="T732" s="161"/>
      <c r="U732" s="69"/>
      <c r="V732" s="169" t="s">
        <v>7590</v>
      </c>
      <c r="W732" s="71" t="s">
        <v>7571</v>
      </c>
      <c r="X732" s="194"/>
      <c r="Y732" s="73"/>
      <c r="Z732" s="73"/>
      <c r="AA732" s="73"/>
      <c r="AB732" s="73"/>
      <c r="AC732" s="73"/>
      <c r="AD732" s="73"/>
      <c r="AE732" s="73"/>
      <c r="AF732" s="73"/>
      <c r="AG732" s="73"/>
      <c r="AH732" s="73"/>
      <c r="AI732" s="73"/>
      <c r="AJ732" s="75"/>
      <c r="AK732" s="76" t="s">
        <v>798</v>
      </c>
      <c r="AL732" s="83" t="s">
        <v>7591</v>
      </c>
      <c r="AM732" s="71" t="s">
        <v>7592</v>
      </c>
      <c r="AN732" s="84" t="s">
        <v>7593</v>
      </c>
      <c r="AO732" s="71" t="s">
        <v>7594</v>
      </c>
      <c r="AP732" s="161" t="str">
        <f>IMAGE("https://bellingcat-archive.nyc3.cdn.digitaloceanspaces.com/Ukraine_Witness_Datasheet/Worksheet/youtube_dl_1497235213713395723/out2.jpg")</f>
        <v/>
      </c>
      <c r="AQ732" s="84" t="s">
        <v>7595</v>
      </c>
      <c r="AR732" s="71" t="s">
        <v>7596</v>
      </c>
      <c r="AS732" s="71" t="s">
        <v>7597</v>
      </c>
      <c r="AT732" s="71">
        <v>44.5</v>
      </c>
      <c r="AU732" s="89"/>
      <c r="AV732" s="162"/>
      <c r="AW732" s="81"/>
    </row>
    <row r="733" ht="15.75" customHeight="1">
      <c r="A733" s="95" t="s">
        <v>63</v>
      </c>
      <c r="B733" s="73"/>
      <c r="C733" s="57" t="s">
        <v>6118</v>
      </c>
      <c r="D733" s="74">
        <v>46.948578</v>
      </c>
      <c r="E733" s="74">
        <v>32.052011</v>
      </c>
      <c r="F733" s="79">
        <v>2.0</v>
      </c>
      <c r="G733" s="84" t="s">
        <v>7598</v>
      </c>
      <c r="H733" s="161"/>
      <c r="I733" s="75"/>
      <c r="J733" s="64" t="s">
        <v>7599</v>
      </c>
      <c r="K733" s="69"/>
      <c r="L733" s="110" t="s">
        <v>3542</v>
      </c>
      <c r="M733" s="92" t="s">
        <v>6658</v>
      </c>
      <c r="N733" s="92"/>
      <c r="O733" s="92" t="s">
        <v>6658</v>
      </c>
      <c r="P733" s="67" t="str">
        <f t="shared" si="1"/>
        <v>46.948578, 32.052011</v>
      </c>
      <c r="Q733" s="67" t="str">
        <f t="shared" si="2"/>
        <v>46.947977, 32.052422</v>
      </c>
      <c r="R733" s="67">
        <f t="shared" si="3"/>
        <v>46.947977</v>
      </c>
      <c r="S733" s="67">
        <f t="shared" si="4"/>
        <v>32.052422</v>
      </c>
      <c r="T733" s="161"/>
      <c r="U733" s="69"/>
      <c r="V733" s="169" t="s">
        <v>7600</v>
      </c>
      <c r="W733" s="74" t="s">
        <v>5904</v>
      </c>
      <c r="X733" s="72" t="s">
        <v>75</v>
      </c>
      <c r="Y733" s="73"/>
      <c r="Z733" s="73"/>
      <c r="AA733" s="73"/>
      <c r="AB733" s="73"/>
      <c r="AC733" s="73"/>
      <c r="AD733" s="73"/>
      <c r="AE733" s="73"/>
      <c r="AF733" s="73"/>
      <c r="AG733" s="73"/>
      <c r="AH733" s="73"/>
      <c r="AI733" s="73"/>
      <c r="AJ733" s="75"/>
      <c r="AK733" s="76" t="s">
        <v>798</v>
      </c>
      <c r="AL733" s="83" t="s">
        <v>7601</v>
      </c>
      <c r="AM733" s="71" t="s">
        <v>7602</v>
      </c>
      <c r="AN733" s="84" t="s">
        <v>7603</v>
      </c>
      <c r="AO733" s="71" t="s">
        <v>7604</v>
      </c>
      <c r="AP733" s="161" t="str">
        <f>IMAGE("https://bellingcat-archive.nyc3.cdn.digitaloceanspaces.com/Ukraine_Witness_Datasheet/Worksheet/youtube_dl_1497307206374633472/out2.jpg")</f>
        <v/>
      </c>
      <c r="AQ733" s="84" t="s">
        <v>7605</v>
      </c>
      <c r="AR733" s="71" t="s">
        <v>7606</v>
      </c>
      <c r="AS733" s="71" t="s">
        <v>7607</v>
      </c>
      <c r="AT733" s="71">
        <v>19.84</v>
      </c>
      <c r="AU733" s="89"/>
      <c r="AV733" s="162"/>
      <c r="AW733" s="81"/>
    </row>
    <row r="734" ht="15.75" customHeight="1">
      <c r="A734" s="301" t="s">
        <v>3944</v>
      </c>
      <c r="B734" s="73"/>
      <c r="C734" s="57" t="s">
        <v>6118</v>
      </c>
      <c r="D734" s="104">
        <v>50.238472</v>
      </c>
      <c r="E734" s="104">
        <v>30.725583</v>
      </c>
      <c r="F734" s="79">
        <v>2.0</v>
      </c>
      <c r="G734" s="193" t="s">
        <v>7608</v>
      </c>
      <c r="H734" s="161"/>
      <c r="I734" s="75"/>
      <c r="J734" s="183"/>
      <c r="K734" s="302" t="s">
        <v>7609</v>
      </c>
      <c r="L734" s="110" t="s">
        <v>3542</v>
      </c>
      <c r="M734" s="92" t="s">
        <v>3542</v>
      </c>
      <c r="N734" s="92" t="s">
        <v>7610</v>
      </c>
      <c r="O734" s="92"/>
      <c r="P734" s="67" t="str">
        <f t="shared" si="1"/>
        <v>50.238472, 30.725583</v>
      </c>
      <c r="Q734" s="67" t="str">
        <f t="shared" si="2"/>
        <v>50.237908, 30.726091</v>
      </c>
      <c r="R734" s="67">
        <f t="shared" si="3"/>
        <v>50.237908</v>
      </c>
      <c r="S734" s="67">
        <f t="shared" si="4"/>
        <v>30.726091</v>
      </c>
      <c r="T734" s="161"/>
      <c r="U734" s="69"/>
      <c r="V734" s="169" t="s">
        <v>7611</v>
      </c>
      <c r="W734" s="71" t="s">
        <v>7571</v>
      </c>
      <c r="X734" s="194"/>
      <c r="Y734" s="73"/>
      <c r="Z734" s="73"/>
      <c r="AA734" s="73"/>
      <c r="AB734" s="73"/>
      <c r="AC734" s="73"/>
      <c r="AD734" s="73"/>
      <c r="AE734" s="73"/>
      <c r="AF734" s="73"/>
      <c r="AG734" s="73"/>
      <c r="AH734" s="73"/>
      <c r="AI734" s="73"/>
      <c r="AJ734" s="75"/>
      <c r="AK734" s="76" t="s">
        <v>930</v>
      </c>
      <c r="AL734" s="83" t="s">
        <v>5969</v>
      </c>
      <c r="AM734" s="71" t="s">
        <v>7612</v>
      </c>
      <c r="AN734" s="84" t="s">
        <v>7613</v>
      </c>
      <c r="AO734" s="71" t="s">
        <v>5972</v>
      </c>
      <c r="AP734" s="161" t="str">
        <f>IMAGE("https://bellingcat-archive.nyc3.cdn.digitaloceanspaces.com/Ukraine_Witness_Datasheet/Worksheet/youtube_dl_1496838814324641792/out2.jpg")</f>
        <v/>
      </c>
      <c r="AQ734" s="84" t="s">
        <v>5973</v>
      </c>
      <c r="AR734" s="71" t="s">
        <v>5974</v>
      </c>
      <c r="AS734" s="71" t="s">
        <v>5975</v>
      </c>
      <c r="AT734" s="71">
        <v>22.455</v>
      </c>
      <c r="AU734" s="89"/>
      <c r="AV734" s="162"/>
      <c r="AW734" s="81"/>
    </row>
    <row r="735" ht="15.75" customHeight="1">
      <c r="A735" s="301" t="s">
        <v>63</v>
      </c>
      <c r="B735" s="73"/>
      <c r="C735" s="57" t="s">
        <v>6118</v>
      </c>
      <c r="D735" s="121"/>
      <c r="E735" s="121"/>
      <c r="F735" s="79">
        <v>1.0</v>
      </c>
      <c r="G735" s="60" t="s">
        <v>7614</v>
      </c>
      <c r="H735" s="161"/>
      <c r="I735" s="75"/>
      <c r="J735" s="64" t="s">
        <v>7615</v>
      </c>
      <c r="K735" s="88" t="s">
        <v>7616</v>
      </c>
      <c r="L735" s="134"/>
      <c r="M735" s="111"/>
      <c r="N735" s="111"/>
      <c r="O735" s="111"/>
      <c r="P735" s="67" t="str">
        <f t="shared" si="1"/>
        <v/>
      </c>
      <c r="Q735" s="67" t="str">
        <f t="shared" si="2"/>
        <v/>
      </c>
      <c r="R735" s="67" t="str">
        <f t="shared" si="3"/>
        <v/>
      </c>
      <c r="S735" s="67" t="str">
        <f t="shared" si="4"/>
        <v/>
      </c>
      <c r="T735" s="161"/>
      <c r="U735" s="69"/>
      <c r="V735" s="169" t="s">
        <v>7617</v>
      </c>
      <c r="W735" s="161"/>
      <c r="X735" s="194"/>
      <c r="Y735" s="73"/>
      <c r="Z735" s="73"/>
      <c r="AA735" s="73"/>
      <c r="AB735" s="73"/>
      <c r="AC735" s="73"/>
      <c r="AD735" s="73"/>
      <c r="AE735" s="73"/>
      <c r="AF735" s="73"/>
      <c r="AG735" s="73"/>
      <c r="AH735" s="73"/>
      <c r="AI735" s="73"/>
      <c r="AJ735" s="75"/>
      <c r="AK735" s="76" t="s">
        <v>930</v>
      </c>
      <c r="AL735" s="83" t="s">
        <v>7591</v>
      </c>
      <c r="AM735" s="71" t="s">
        <v>7618</v>
      </c>
      <c r="AN735" s="84" t="s">
        <v>7619</v>
      </c>
      <c r="AO735" s="71" t="s">
        <v>7594</v>
      </c>
      <c r="AP735" s="161" t="str">
        <f>IMAGE("https://bellingcat-archive.nyc3.cdn.digitaloceanspaces.com/Ukraine_Witness_Datasheet/Worksheet/youtube_dl_1497235213713395723/out2.jpg")</f>
        <v/>
      </c>
      <c r="AQ735" s="84" t="s">
        <v>7595</v>
      </c>
      <c r="AR735" s="71" t="s">
        <v>7596</v>
      </c>
      <c r="AS735" s="71" t="s">
        <v>7597</v>
      </c>
      <c r="AT735" s="71">
        <v>44.5</v>
      </c>
      <c r="AU735" s="89"/>
      <c r="AV735" s="162"/>
      <c r="AW735" s="81"/>
    </row>
    <row r="736" ht="15.75" customHeight="1">
      <c r="A736" s="175"/>
      <c r="B736" s="73"/>
      <c r="C736" s="176"/>
      <c r="D736" s="121"/>
      <c r="E736" s="121"/>
      <c r="F736" s="89"/>
      <c r="G736" s="84" t="s">
        <v>7620</v>
      </c>
      <c r="H736" s="73"/>
      <c r="I736" s="75"/>
      <c r="J736" s="69"/>
      <c r="K736" s="69"/>
      <c r="L736" s="134"/>
      <c r="M736" s="111"/>
      <c r="N736" s="111"/>
      <c r="O736" s="111"/>
      <c r="P736" s="67" t="str">
        <f t="shared" si="1"/>
        <v/>
      </c>
      <c r="Q736" s="67" t="str">
        <f t="shared" si="2"/>
        <v/>
      </c>
      <c r="R736" s="67" t="str">
        <f t="shared" si="3"/>
        <v/>
      </c>
      <c r="S736" s="67" t="str">
        <f t="shared" si="4"/>
        <v/>
      </c>
      <c r="T736" s="161"/>
      <c r="U736" s="69"/>
      <c r="V736" s="169" t="s">
        <v>7621</v>
      </c>
      <c r="W736" s="161"/>
      <c r="X736" s="194"/>
      <c r="Y736" s="73"/>
      <c r="Z736" s="73"/>
      <c r="AA736" s="73"/>
      <c r="AB736" s="73"/>
      <c r="AC736" s="73"/>
      <c r="AD736" s="73"/>
      <c r="AE736" s="73"/>
      <c r="AF736" s="73"/>
      <c r="AG736" s="73"/>
      <c r="AH736" s="73"/>
      <c r="AI736" s="73"/>
      <c r="AJ736" s="75"/>
      <c r="AK736" s="76" t="s">
        <v>798</v>
      </c>
      <c r="AL736" s="83" t="s">
        <v>7622</v>
      </c>
      <c r="AM736" s="71" t="s">
        <v>7623</v>
      </c>
      <c r="AN736" s="84" t="s">
        <v>7624</v>
      </c>
      <c r="AO736" s="71" t="s">
        <v>7625</v>
      </c>
      <c r="AP736" s="161" t="str">
        <f>IMAGE("https://bellingcat-archive.nyc3.cdn.digitaloceanspaces.com/Ukraine_Witness_Datasheet/Worksheet/youtube_dl_1497344674092179459/out2.jpg")</f>
        <v/>
      </c>
      <c r="AQ736" s="84" t="s">
        <v>7626</v>
      </c>
      <c r="AR736" s="71" t="s">
        <v>7627</v>
      </c>
      <c r="AS736" s="71" t="s">
        <v>7628</v>
      </c>
      <c r="AT736" s="71">
        <v>5.066</v>
      </c>
      <c r="AU736" s="89"/>
      <c r="AV736" s="162"/>
      <c r="AW736" s="81"/>
    </row>
    <row r="737" ht="15.75" customHeight="1">
      <c r="A737" s="175"/>
      <c r="B737" s="73"/>
      <c r="C737" s="176"/>
      <c r="D737" s="121"/>
      <c r="E737" s="121"/>
      <c r="F737" s="89"/>
      <c r="G737" s="84" t="s">
        <v>7629</v>
      </c>
      <c r="H737" s="73"/>
      <c r="I737" s="75"/>
      <c r="J737" s="64" t="s">
        <v>7630</v>
      </c>
      <c r="K737" s="69"/>
      <c r="L737" s="134"/>
      <c r="M737" s="111"/>
      <c r="N737" s="111"/>
      <c r="O737" s="111"/>
      <c r="P737" s="67" t="str">
        <f t="shared" si="1"/>
        <v/>
      </c>
      <c r="Q737" s="67" t="str">
        <f t="shared" si="2"/>
        <v/>
      </c>
      <c r="R737" s="67" t="str">
        <f t="shared" si="3"/>
        <v/>
      </c>
      <c r="S737" s="67" t="str">
        <f t="shared" si="4"/>
        <v/>
      </c>
      <c r="T737" s="161"/>
      <c r="U737" s="69"/>
      <c r="V737" s="169" t="s">
        <v>7631</v>
      </c>
      <c r="W737" s="161"/>
      <c r="X737" s="194"/>
      <c r="Y737" s="73"/>
      <c r="Z737" s="73"/>
      <c r="AA737" s="73"/>
      <c r="AB737" s="73"/>
      <c r="AC737" s="73"/>
      <c r="AD737" s="73"/>
      <c r="AE737" s="73"/>
      <c r="AF737" s="73"/>
      <c r="AG737" s="73"/>
      <c r="AH737" s="73"/>
      <c r="AI737" s="73"/>
      <c r="AJ737" s="75"/>
      <c r="AK737" s="76" t="s">
        <v>2108</v>
      </c>
      <c r="AL737" s="83" t="s">
        <v>7632</v>
      </c>
      <c r="AM737" s="71" t="s">
        <v>7633</v>
      </c>
      <c r="AN737" s="84" t="s">
        <v>7634</v>
      </c>
      <c r="AO737" s="71" t="s">
        <v>7635</v>
      </c>
      <c r="AP737" s="161" t="str">
        <f>IMAGE("https://bellingcat-archive.nyc3.cdn.digitaloceanspaces.com/Ukraine_Witness_Datasheet/Worksheet/twitter__media_FMbTzZTWQAICfo5.jpg")</f>
        <v/>
      </c>
      <c r="AQ737" s="161"/>
      <c r="AR737" s="161"/>
      <c r="AS737" s="161"/>
      <c r="AT737" s="161"/>
      <c r="AU737" s="89"/>
      <c r="AV737" s="162"/>
      <c r="AW737" s="81"/>
    </row>
    <row r="738" ht="15.75" customHeight="1">
      <c r="A738" s="175"/>
      <c r="B738" s="73"/>
      <c r="C738" s="176"/>
      <c r="D738" s="121"/>
      <c r="E738" s="121"/>
      <c r="F738" s="89"/>
      <c r="G738" s="84" t="s">
        <v>7636</v>
      </c>
      <c r="H738" s="73"/>
      <c r="I738" s="75"/>
      <c r="J738" s="69"/>
      <c r="K738" s="69"/>
      <c r="L738" s="134"/>
      <c r="M738" s="111"/>
      <c r="N738" s="111"/>
      <c r="O738" s="111"/>
      <c r="P738" s="67" t="str">
        <f t="shared" si="1"/>
        <v/>
      </c>
      <c r="Q738" s="67" t="str">
        <f t="shared" si="2"/>
        <v/>
      </c>
      <c r="R738" s="67" t="str">
        <f t="shared" si="3"/>
        <v/>
      </c>
      <c r="S738" s="67" t="str">
        <f t="shared" si="4"/>
        <v/>
      </c>
      <c r="T738" s="161"/>
      <c r="U738" s="69"/>
      <c r="V738" s="169" t="s">
        <v>7637</v>
      </c>
      <c r="W738" s="161"/>
      <c r="X738" s="194"/>
      <c r="Y738" s="73"/>
      <c r="Z738" s="73"/>
      <c r="AA738" s="73"/>
      <c r="AB738" s="73"/>
      <c r="AC738" s="73"/>
      <c r="AD738" s="73"/>
      <c r="AE738" s="73"/>
      <c r="AF738" s="73"/>
      <c r="AG738" s="73"/>
      <c r="AH738" s="73"/>
      <c r="AI738" s="73"/>
      <c r="AJ738" s="75"/>
      <c r="AK738" s="76" t="s">
        <v>798</v>
      </c>
      <c r="AL738" s="83" t="s">
        <v>7638</v>
      </c>
      <c r="AM738" s="71" t="s">
        <v>7639</v>
      </c>
      <c r="AN738" s="84" t="s">
        <v>7640</v>
      </c>
      <c r="AO738" s="71" t="s">
        <v>7641</v>
      </c>
      <c r="AP738" s="161" t="str">
        <f>IMAGE("https://bellingcat-archive.nyc3.cdn.digitaloceanspaces.com/Ukraine_Witness_Datasheet/Worksheet/youtube_dl_1497381890386497543/out2.jpg")</f>
        <v/>
      </c>
      <c r="AQ738" s="84" t="s">
        <v>7642</v>
      </c>
      <c r="AR738" s="71" t="s">
        <v>7643</v>
      </c>
      <c r="AS738" s="71" t="s">
        <v>7644</v>
      </c>
      <c r="AT738" s="71">
        <v>47.262</v>
      </c>
      <c r="AU738" s="89"/>
      <c r="AV738" s="162"/>
      <c r="AW738" s="81"/>
    </row>
    <row r="739" ht="15.75" customHeight="1">
      <c r="A739" s="175"/>
      <c r="B739" s="73"/>
      <c r="C739" s="176"/>
      <c r="D739" s="121"/>
      <c r="E739" s="121"/>
      <c r="F739" s="89"/>
      <c r="G739" s="303" t="s">
        <v>7645</v>
      </c>
      <c r="H739" s="161"/>
      <c r="I739" s="75"/>
      <c r="J739" s="69"/>
      <c r="K739" s="69"/>
      <c r="L739" s="134"/>
      <c r="M739" s="111"/>
      <c r="N739" s="111"/>
      <c r="O739" s="111"/>
      <c r="P739" s="67" t="str">
        <f t="shared" si="1"/>
        <v/>
      </c>
      <c r="Q739" s="67" t="str">
        <f t="shared" si="2"/>
        <v/>
      </c>
      <c r="R739" s="67" t="str">
        <f t="shared" si="3"/>
        <v/>
      </c>
      <c r="S739" s="67" t="str">
        <f t="shared" si="4"/>
        <v/>
      </c>
      <c r="T739" s="161"/>
      <c r="U739" s="69"/>
      <c r="V739" s="169" t="s">
        <v>7646</v>
      </c>
      <c r="W739" s="161"/>
      <c r="X739" s="194"/>
      <c r="Y739" s="73"/>
      <c r="Z739" s="73"/>
      <c r="AA739" s="73"/>
      <c r="AB739" s="73"/>
      <c r="AC739" s="73"/>
      <c r="AD739" s="73"/>
      <c r="AE739" s="73"/>
      <c r="AF739" s="73"/>
      <c r="AG739" s="73"/>
      <c r="AH739" s="73"/>
      <c r="AI739" s="73"/>
      <c r="AJ739" s="75"/>
      <c r="AK739" s="76" t="s">
        <v>798</v>
      </c>
      <c r="AL739" s="83" t="s">
        <v>7647</v>
      </c>
      <c r="AM739" s="71" t="s">
        <v>7648</v>
      </c>
      <c r="AN739" s="84" t="s">
        <v>7649</v>
      </c>
      <c r="AO739" s="71" t="s">
        <v>7650</v>
      </c>
      <c r="AP739" s="161" t="str">
        <f>IMAGE("https://bellingcat-archive.nyc3.cdn.digitaloceanspaces.com/Ukraine_Witness_Datasheet/Worksheet/youtube_dl_1497382855248429065/out2.jpg")</f>
        <v/>
      </c>
      <c r="AQ739" s="84" t="s">
        <v>7651</v>
      </c>
      <c r="AR739" s="71" t="s">
        <v>7652</v>
      </c>
      <c r="AS739" s="71" t="s">
        <v>7653</v>
      </c>
      <c r="AT739" s="71">
        <v>16.7</v>
      </c>
      <c r="AU739" s="89"/>
      <c r="AV739" s="162"/>
      <c r="AW739" s="81"/>
    </row>
    <row r="740" ht="15.75" customHeight="1">
      <c r="A740" s="175"/>
      <c r="B740" s="73"/>
      <c r="C740" s="176"/>
      <c r="D740" s="121"/>
      <c r="E740" s="121"/>
      <c r="F740" s="89"/>
      <c r="G740" s="84" t="s">
        <v>7654</v>
      </c>
      <c r="H740" s="73"/>
      <c r="I740" s="75"/>
      <c r="J740" s="69"/>
      <c r="K740" s="69"/>
      <c r="L740" s="134"/>
      <c r="M740" s="111"/>
      <c r="N740" s="111"/>
      <c r="O740" s="111"/>
      <c r="P740" s="67" t="str">
        <f t="shared" si="1"/>
        <v/>
      </c>
      <c r="Q740" s="67" t="str">
        <f t="shared" si="2"/>
        <v/>
      </c>
      <c r="R740" s="67" t="str">
        <f t="shared" si="3"/>
        <v/>
      </c>
      <c r="S740" s="67" t="str">
        <f t="shared" si="4"/>
        <v/>
      </c>
      <c r="T740" s="161"/>
      <c r="U740" s="69"/>
      <c r="V740" s="169" t="s">
        <v>7655</v>
      </c>
      <c r="W740" s="161"/>
      <c r="X740" s="194"/>
      <c r="Y740" s="73"/>
      <c r="Z740" s="73"/>
      <c r="AA740" s="73"/>
      <c r="AB740" s="73"/>
      <c r="AC740" s="73"/>
      <c r="AD740" s="73"/>
      <c r="AE740" s="73"/>
      <c r="AF740" s="73"/>
      <c r="AG740" s="73"/>
      <c r="AH740" s="73"/>
      <c r="AI740" s="73"/>
      <c r="AJ740" s="75"/>
      <c r="AK740" s="76" t="s">
        <v>798</v>
      </c>
      <c r="AL740" s="83" t="s">
        <v>7656</v>
      </c>
      <c r="AM740" s="71" t="s">
        <v>7657</v>
      </c>
      <c r="AN740" s="84" t="s">
        <v>7658</v>
      </c>
      <c r="AO740" s="71" t="s">
        <v>7659</v>
      </c>
      <c r="AP740" s="161" t="str">
        <f>IMAGE("https://bellingcat-archive.nyc3.cdn.digitaloceanspaces.com/Ukraine_Witness_Datasheet/Worksheet/youtube_dl_1497384275561308168/out2.jpg")</f>
        <v/>
      </c>
      <c r="AQ740" s="84" t="s">
        <v>7660</v>
      </c>
      <c r="AR740" s="71" t="s">
        <v>7661</v>
      </c>
      <c r="AS740" s="71" t="s">
        <v>7662</v>
      </c>
      <c r="AT740" s="71">
        <v>22.633</v>
      </c>
      <c r="AU740" s="89"/>
      <c r="AV740" s="162"/>
      <c r="AW740" s="81"/>
    </row>
    <row r="741" ht="15.75" customHeight="1">
      <c r="A741" s="175"/>
      <c r="B741" s="73"/>
      <c r="C741" s="176"/>
      <c r="D741" s="121"/>
      <c r="E741" s="121"/>
      <c r="F741" s="89"/>
      <c r="G741" s="84" t="s">
        <v>7663</v>
      </c>
      <c r="H741" s="73"/>
      <c r="I741" s="75"/>
      <c r="J741" s="69"/>
      <c r="K741" s="69"/>
      <c r="L741" s="134"/>
      <c r="M741" s="111"/>
      <c r="N741" s="111"/>
      <c r="O741" s="111"/>
      <c r="P741" s="67" t="str">
        <f t="shared" si="1"/>
        <v/>
      </c>
      <c r="Q741" s="67" t="str">
        <f t="shared" si="2"/>
        <v/>
      </c>
      <c r="R741" s="67" t="str">
        <f t="shared" si="3"/>
        <v/>
      </c>
      <c r="S741" s="67" t="str">
        <f t="shared" si="4"/>
        <v/>
      </c>
      <c r="T741" s="161"/>
      <c r="U741" s="69"/>
      <c r="V741" s="169" t="s">
        <v>7664</v>
      </c>
      <c r="W741" s="161"/>
      <c r="X741" s="194"/>
      <c r="Y741" s="73"/>
      <c r="Z741" s="73"/>
      <c r="AA741" s="73"/>
      <c r="AB741" s="73"/>
      <c r="AC741" s="73"/>
      <c r="AD741" s="73"/>
      <c r="AE741" s="73"/>
      <c r="AF741" s="73"/>
      <c r="AG741" s="73"/>
      <c r="AH741" s="73"/>
      <c r="AI741" s="73"/>
      <c r="AJ741" s="75"/>
      <c r="AK741" s="76" t="s">
        <v>798</v>
      </c>
      <c r="AL741" s="83" t="s">
        <v>7665</v>
      </c>
      <c r="AM741" s="71" t="s">
        <v>7666</v>
      </c>
      <c r="AN741" s="84" t="s">
        <v>7667</v>
      </c>
      <c r="AO741" s="71" t="s">
        <v>7668</v>
      </c>
      <c r="AP741" s="161" t="str">
        <f>IMAGE("https://bellingcat-archive.nyc3.cdn.digitaloceanspaces.com/Ukraine_Witness_Datasheet/Worksheet/youtube_dl_1497384918053236740/out2.jpg")</f>
        <v/>
      </c>
      <c r="AQ741" s="84" t="s">
        <v>7669</v>
      </c>
      <c r="AR741" s="71" t="s">
        <v>7670</v>
      </c>
      <c r="AS741" s="71" t="s">
        <v>7671</v>
      </c>
      <c r="AT741" s="71">
        <v>13.433</v>
      </c>
      <c r="AU741" s="89"/>
      <c r="AV741" s="162"/>
      <c r="AW741" s="81"/>
    </row>
    <row r="742" ht="15.75" customHeight="1">
      <c r="A742" s="95" t="s">
        <v>63</v>
      </c>
      <c r="B742" s="73"/>
      <c r="C742" s="57" t="s">
        <v>7672</v>
      </c>
      <c r="D742" s="74">
        <v>50.422783</v>
      </c>
      <c r="E742" s="74">
        <v>50.422783</v>
      </c>
      <c r="F742" s="79">
        <v>2.0</v>
      </c>
      <c r="G742" s="60" t="s">
        <v>7673</v>
      </c>
      <c r="H742" s="73"/>
      <c r="I742" s="75"/>
      <c r="J742" s="64" t="s">
        <v>7674</v>
      </c>
      <c r="K742" s="69"/>
      <c r="L742" s="110" t="s">
        <v>3542</v>
      </c>
      <c r="M742" s="92" t="s">
        <v>5827</v>
      </c>
      <c r="N742" s="111"/>
      <c r="O742" s="92" t="s">
        <v>6121</v>
      </c>
      <c r="P742" s="67" t="str">
        <f t="shared" si="1"/>
        <v>50.422783, 50.422783</v>
      </c>
      <c r="Q742" s="67" t="str">
        <f t="shared" si="2"/>
        <v>50.422247, 50.422672</v>
      </c>
      <c r="R742" s="67">
        <f t="shared" si="3"/>
        <v>50.422247</v>
      </c>
      <c r="S742" s="67">
        <f t="shared" si="4"/>
        <v>50.422672</v>
      </c>
      <c r="T742" s="161"/>
      <c r="U742" s="69"/>
      <c r="V742" s="169" t="s">
        <v>7675</v>
      </c>
      <c r="W742" s="74" t="s">
        <v>5904</v>
      </c>
      <c r="X742" s="72" t="s">
        <v>75</v>
      </c>
      <c r="Y742" s="73"/>
      <c r="Z742" s="73"/>
      <c r="AA742" s="73"/>
      <c r="AB742" s="73"/>
      <c r="AC742" s="73"/>
      <c r="AD742" s="73"/>
      <c r="AE742" s="73"/>
      <c r="AF742" s="73"/>
      <c r="AG742" s="73"/>
      <c r="AH742" s="73"/>
      <c r="AI742" s="73"/>
      <c r="AJ742" s="75"/>
      <c r="AK742" s="76" t="s">
        <v>2108</v>
      </c>
      <c r="AL742" s="83" t="s">
        <v>7676</v>
      </c>
      <c r="AM742" s="71" t="s">
        <v>7677</v>
      </c>
      <c r="AN742" s="84" t="s">
        <v>7678</v>
      </c>
      <c r="AO742" s="71" t="s">
        <v>7679</v>
      </c>
      <c r="AP742" s="161" t="str">
        <f>IMAGE("https://bellingcat-archive.nyc3.cdn.digitaloceanspaces.com/Ukraine_Witness_Datasheet/Worksheet/twitter__media_FMgKpeQXwAYnkDM.jpg")</f>
        <v/>
      </c>
      <c r="AQ742" s="161"/>
      <c r="AR742" s="161"/>
      <c r="AS742" s="161"/>
      <c r="AT742" s="161"/>
      <c r="AU742" s="89"/>
      <c r="AV742" s="162"/>
      <c r="AW742" s="81"/>
    </row>
    <row r="743" ht="15.75" customHeight="1">
      <c r="A743" s="95" t="s">
        <v>63</v>
      </c>
      <c r="B743" s="73"/>
      <c r="C743" s="57" t="s">
        <v>7672</v>
      </c>
      <c r="D743" s="74">
        <v>46.8396</v>
      </c>
      <c r="E743" s="74">
        <v>35.374024</v>
      </c>
      <c r="F743" s="79">
        <v>2.0</v>
      </c>
      <c r="G743" s="84" t="s">
        <v>7680</v>
      </c>
      <c r="H743" s="73"/>
      <c r="I743" s="75"/>
      <c r="J743" s="64" t="s">
        <v>7681</v>
      </c>
      <c r="K743" s="69"/>
      <c r="L743" s="110" t="s">
        <v>3542</v>
      </c>
      <c r="M743" s="92" t="s">
        <v>6167</v>
      </c>
      <c r="N743" s="111"/>
      <c r="O743" s="92" t="s">
        <v>6168</v>
      </c>
      <c r="P743" s="67" t="str">
        <f t="shared" si="1"/>
        <v>46.8396, 35.374024</v>
      </c>
      <c r="Q743" s="67" t="str">
        <f t="shared" si="2"/>
        <v>46.838916, 35.373429</v>
      </c>
      <c r="R743" s="67">
        <f t="shared" si="3"/>
        <v>46.838916</v>
      </c>
      <c r="S743" s="67">
        <f t="shared" si="4"/>
        <v>35.373429</v>
      </c>
      <c r="T743" s="161"/>
      <c r="U743" s="69"/>
      <c r="V743" s="169" t="s">
        <v>7682</v>
      </c>
      <c r="W743" s="304" t="s">
        <v>74</v>
      </c>
      <c r="X743" s="72" t="s">
        <v>75</v>
      </c>
      <c r="Y743" s="73"/>
      <c r="Z743" s="73"/>
      <c r="AA743" s="73"/>
      <c r="AB743" s="73"/>
      <c r="AC743" s="73"/>
      <c r="AD743" s="73"/>
      <c r="AE743" s="73"/>
      <c r="AF743" s="73"/>
      <c r="AG743" s="73"/>
      <c r="AH743" s="73"/>
      <c r="AI743" s="73"/>
      <c r="AJ743" s="75"/>
      <c r="AK743" s="76" t="s">
        <v>798</v>
      </c>
      <c r="AL743" s="83" t="s">
        <v>7683</v>
      </c>
      <c r="AM743" s="71" t="s">
        <v>7684</v>
      </c>
      <c r="AN743" s="84" t="s">
        <v>7685</v>
      </c>
      <c r="AO743" s="71" t="s">
        <v>7686</v>
      </c>
      <c r="AP743" s="161" t="str">
        <f>IMAGE("https://bellingcat-archive.nyc3.cdn.digitaloceanspaces.com/Ukraine_Witness_Datasheet/Worksheet/youtube_dl_1497427184729923584/out2.jpg")</f>
        <v/>
      </c>
      <c r="AQ743" s="84" t="s">
        <v>7687</v>
      </c>
      <c r="AR743" s="71" t="s">
        <v>7688</v>
      </c>
      <c r="AS743" s="71" t="s">
        <v>7689</v>
      </c>
      <c r="AT743" s="71">
        <v>10.705</v>
      </c>
      <c r="AU743" s="89"/>
      <c r="AV743" s="162"/>
      <c r="AW743" s="81"/>
    </row>
    <row r="744" ht="15.75" customHeight="1">
      <c r="A744" s="95" t="s">
        <v>63</v>
      </c>
      <c r="B744" s="73"/>
      <c r="C744" s="57" t="s">
        <v>6118</v>
      </c>
      <c r="D744" s="74">
        <v>50.229105</v>
      </c>
      <c r="E744" s="74">
        <v>32.101815</v>
      </c>
      <c r="F744" s="305">
        <v>3.0</v>
      </c>
      <c r="G744" s="84" t="s">
        <v>7690</v>
      </c>
      <c r="H744" s="73"/>
      <c r="I744" s="75"/>
      <c r="J744" s="64" t="s">
        <v>7691</v>
      </c>
      <c r="K744" s="69"/>
      <c r="L744" s="110" t="s">
        <v>3542</v>
      </c>
      <c r="M744" s="92" t="s">
        <v>5827</v>
      </c>
      <c r="N744" s="92" t="s">
        <v>7692</v>
      </c>
      <c r="O744" s="92" t="s">
        <v>7693</v>
      </c>
      <c r="P744" s="67" t="str">
        <f t="shared" si="1"/>
        <v>50.229105, 32.101815</v>
      </c>
      <c r="Q744" s="67" t="str">
        <f t="shared" si="2"/>
        <v>50.228905, 32.100645</v>
      </c>
      <c r="R744" s="67">
        <f t="shared" si="3"/>
        <v>50.228905</v>
      </c>
      <c r="S744" s="67">
        <f t="shared" si="4"/>
        <v>32.100645</v>
      </c>
      <c r="T744" s="161"/>
      <c r="U744" s="69"/>
      <c r="V744" s="169" t="s">
        <v>7694</v>
      </c>
      <c r="W744" s="71" t="s">
        <v>7695</v>
      </c>
      <c r="X744" s="72" t="s">
        <v>75</v>
      </c>
      <c r="Y744" s="73"/>
      <c r="Z744" s="73"/>
      <c r="AA744" s="73"/>
      <c r="AB744" s="73"/>
      <c r="AC744" s="73"/>
      <c r="AD744" s="73"/>
      <c r="AE744" s="73"/>
      <c r="AF744" s="73"/>
      <c r="AG744" s="73"/>
      <c r="AH744" s="73"/>
      <c r="AI744" s="73"/>
      <c r="AJ744" s="75"/>
      <c r="AK744" s="76" t="s">
        <v>798</v>
      </c>
      <c r="AL744" s="83" t="s">
        <v>7696</v>
      </c>
      <c r="AM744" s="71" t="s">
        <v>7697</v>
      </c>
      <c r="AN744" s="84" t="s">
        <v>7698</v>
      </c>
      <c r="AO744" s="71" t="s">
        <v>7699</v>
      </c>
      <c r="AP744" s="161" t="str">
        <f>IMAGE("https://bellingcat-archive.nyc3.cdn.digitaloceanspaces.com/Ukraine_Witness_Datasheet/Worksheet/youtube_dl_1497379389041958913/out2.jpg")</f>
        <v/>
      </c>
      <c r="AQ744" s="84" t="s">
        <v>7700</v>
      </c>
      <c r="AR744" s="71" t="s">
        <v>7701</v>
      </c>
      <c r="AS744" s="71" t="s">
        <v>7702</v>
      </c>
      <c r="AT744" s="71">
        <v>30.066</v>
      </c>
      <c r="AU744" s="89"/>
      <c r="AV744" s="162"/>
      <c r="AW744" s="81"/>
    </row>
    <row r="745" ht="15.75" customHeight="1">
      <c r="A745" s="175"/>
      <c r="B745" s="73"/>
      <c r="C745" s="176"/>
      <c r="D745" s="121"/>
      <c r="E745" s="121"/>
      <c r="F745" s="305">
        <v>3.0</v>
      </c>
      <c r="G745" s="84" t="s">
        <v>7703</v>
      </c>
      <c r="H745" s="73"/>
      <c r="I745" s="75"/>
      <c r="J745" s="64" t="s">
        <v>7704</v>
      </c>
      <c r="K745" s="69"/>
      <c r="L745" s="134"/>
      <c r="M745" s="111"/>
      <c r="N745" s="111"/>
      <c r="O745" s="111"/>
      <c r="P745" s="67" t="str">
        <f t="shared" si="1"/>
        <v/>
      </c>
      <c r="Q745" s="67" t="str">
        <f t="shared" si="2"/>
        <v/>
      </c>
      <c r="R745" s="67" t="str">
        <f t="shared" si="3"/>
        <v/>
      </c>
      <c r="S745" s="67" t="str">
        <f t="shared" si="4"/>
        <v/>
      </c>
      <c r="T745" s="161"/>
      <c r="U745" s="69"/>
      <c r="V745" s="169" t="s">
        <v>7705</v>
      </c>
      <c r="W745" s="161"/>
      <c r="X745" s="194"/>
      <c r="Y745" s="73"/>
      <c r="Z745" s="73"/>
      <c r="AA745" s="73"/>
      <c r="AB745" s="73"/>
      <c r="AC745" s="73"/>
      <c r="AD745" s="73"/>
      <c r="AE745" s="73"/>
      <c r="AF745" s="73"/>
      <c r="AG745" s="73"/>
      <c r="AH745" s="73"/>
      <c r="AI745" s="73"/>
      <c r="AJ745" s="75"/>
      <c r="AK745" s="76" t="s">
        <v>798</v>
      </c>
      <c r="AL745" s="83" t="s">
        <v>7706</v>
      </c>
      <c r="AM745" s="71" t="s">
        <v>7707</v>
      </c>
      <c r="AN745" s="84" t="s">
        <v>7708</v>
      </c>
      <c r="AO745" s="71" t="s">
        <v>7709</v>
      </c>
      <c r="AP745" s="161" t="str">
        <f>IMAGE("https://bellingcat-archive.nyc3.cdn.digitaloceanspaces.com/Ukraine_Witness_Datasheet/Worksheet/youtube_dl_1497510588498395137/out2.jpg")</f>
        <v/>
      </c>
      <c r="AQ745" s="84" t="s">
        <v>7710</v>
      </c>
      <c r="AR745" s="71" t="s">
        <v>7711</v>
      </c>
      <c r="AS745" s="71" t="s">
        <v>7712</v>
      </c>
      <c r="AT745" s="71">
        <v>20.133</v>
      </c>
      <c r="AU745" s="89"/>
      <c r="AV745" s="162"/>
      <c r="AW745" s="81"/>
    </row>
    <row r="746" ht="15.75" customHeight="1">
      <c r="A746" s="87" t="s">
        <v>5457</v>
      </c>
      <c r="B746" s="73"/>
      <c r="C746" s="57" t="s">
        <v>6118</v>
      </c>
      <c r="D746" s="66">
        <v>50.016577</v>
      </c>
      <c r="E746" s="104">
        <v>36.278364</v>
      </c>
      <c r="F746" s="305">
        <v>3.0</v>
      </c>
      <c r="G746" s="130" t="s">
        <v>7713</v>
      </c>
      <c r="H746" s="73"/>
      <c r="I746" s="75"/>
      <c r="J746" s="64" t="s">
        <v>7714</v>
      </c>
      <c r="K746" s="131" t="s">
        <v>7715</v>
      </c>
      <c r="L746" s="110" t="s">
        <v>3542</v>
      </c>
      <c r="M746" s="92" t="s">
        <v>5626</v>
      </c>
      <c r="N746" s="111"/>
      <c r="O746" s="92" t="s">
        <v>5626</v>
      </c>
      <c r="P746" s="67" t="str">
        <f t="shared" si="1"/>
        <v>50.016577, 36.278364</v>
      </c>
      <c r="Q746" s="67" t="str">
        <f t="shared" si="2"/>
        <v>50.016314, 36.278913</v>
      </c>
      <c r="R746" s="67">
        <f t="shared" si="3"/>
        <v>50.016314</v>
      </c>
      <c r="S746" s="67">
        <f t="shared" si="4"/>
        <v>36.278913</v>
      </c>
      <c r="T746" s="161"/>
      <c r="U746" s="69"/>
      <c r="V746" s="169" t="s">
        <v>7716</v>
      </c>
      <c r="W746" s="161"/>
      <c r="X746" s="72" t="s">
        <v>75</v>
      </c>
      <c r="Y746" s="73"/>
      <c r="Z746" s="73"/>
      <c r="AA746" s="73"/>
      <c r="AB746" s="73"/>
      <c r="AC746" s="73"/>
      <c r="AD746" s="73"/>
      <c r="AE746" s="73"/>
      <c r="AF746" s="73"/>
      <c r="AG746" s="73"/>
      <c r="AH746" s="73"/>
      <c r="AI746" s="73"/>
      <c r="AJ746" s="75"/>
      <c r="AK746" s="76" t="s">
        <v>798</v>
      </c>
      <c r="AL746" s="83" t="s">
        <v>7717</v>
      </c>
      <c r="AM746" s="71" t="s">
        <v>7718</v>
      </c>
      <c r="AN746" s="84" t="s">
        <v>7719</v>
      </c>
      <c r="AO746" s="71" t="s">
        <v>7720</v>
      </c>
      <c r="AP746" s="161" t="str">
        <f>IMAGE("https://bellingcat-archive.nyc3.cdn.digitaloceanspaces.com/Ukraine_Witness_Datasheet/Worksheet/youtube_dl_1497437744125128709/out2.jpg")</f>
        <v/>
      </c>
      <c r="AQ746" s="84" t="s">
        <v>7721</v>
      </c>
      <c r="AR746" s="71" t="s">
        <v>7722</v>
      </c>
      <c r="AS746" s="71" t="s">
        <v>7723</v>
      </c>
      <c r="AT746" s="71">
        <v>36.333</v>
      </c>
      <c r="AU746" s="89"/>
      <c r="AV746" s="162"/>
      <c r="AW746" s="81"/>
    </row>
    <row r="747" ht="15.75" customHeight="1">
      <c r="A747" s="95" t="s">
        <v>63</v>
      </c>
      <c r="B747" s="73"/>
      <c r="C747" s="57" t="s">
        <v>7672</v>
      </c>
      <c r="D747" s="74">
        <v>50.422783</v>
      </c>
      <c r="E747" s="92">
        <v>30.465312</v>
      </c>
      <c r="F747" s="237">
        <v>3.0</v>
      </c>
      <c r="G747" s="84" t="s">
        <v>7724</v>
      </c>
      <c r="H747" s="73"/>
      <c r="I747" s="75"/>
      <c r="J747" s="64" t="s">
        <v>7725</v>
      </c>
      <c r="K747" s="69"/>
      <c r="L747" s="110" t="s">
        <v>3542</v>
      </c>
      <c r="M747" s="92" t="s">
        <v>5827</v>
      </c>
      <c r="N747" s="111"/>
      <c r="O747" s="92" t="s">
        <v>6121</v>
      </c>
      <c r="P747" s="67" t="str">
        <f t="shared" si="1"/>
        <v>50.422783, 30.465312</v>
      </c>
      <c r="Q747" s="67" t="str">
        <f t="shared" si="2"/>
        <v>50.4223, 30.465496</v>
      </c>
      <c r="R747" s="67">
        <f t="shared" si="3"/>
        <v>50.4223</v>
      </c>
      <c r="S747" s="67">
        <f t="shared" si="4"/>
        <v>30.465496</v>
      </c>
      <c r="T747" s="161"/>
      <c r="U747" s="69"/>
      <c r="V747" s="169" t="s">
        <v>7726</v>
      </c>
      <c r="W747" s="71" t="s">
        <v>5904</v>
      </c>
      <c r="X747" s="72" t="s">
        <v>75</v>
      </c>
      <c r="Y747" s="73"/>
      <c r="Z747" s="73"/>
      <c r="AA747" s="73"/>
      <c r="AB747" s="73"/>
      <c r="AC747" s="73"/>
      <c r="AD747" s="73"/>
      <c r="AE747" s="73"/>
      <c r="AF747" s="73"/>
      <c r="AG747" s="73"/>
      <c r="AH747" s="73"/>
      <c r="AI747" s="73"/>
      <c r="AJ747" s="75"/>
      <c r="AK747" s="76" t="s">
        <v>798</v>
      </c>
      <c r="AL747" s="83" t="s">
        <v>7727</v>
      </c>
      <c r="AM747" s="71" t="s">
        <v>7728</v>
      </c>
      <c r="AN747" s="84" t="s">
        <v>7729</v>
      </c>
      <c r="AO747" s="71" t="s">
        <v>7730</v>
      </c>
      <c r="AP747" s="161" t="str">
        <f>IMAGE("https://bellingcat-archive.nyc3.cdn.digitaloceanspaces.com/Ukraine_Witness_Datasheet/Worksheet/youtube_dl_1497484254137225216/out2.jpg")</f>
        <v/>
      </c>
      <c r="AQ747" s="84" t="s">
        <v>7731</v>
      </c>
      <c r="AR747" s="71" t="s">
        <v>7732</v>
      </c>
      <c r="AS747" s="71" t="s">
        <v>7733</v>
      </c>
      <c r="AT747" s="71">
        <v>9.676</v>
      </c>
      <c r="AU747" s="89"/>
      <c r="AV747" s="80"/>
      <c r="AW747" s="81"/>
    </row>
    <row r="748" ht="15.75" customHeight="1">
      <c r="A748" s="175"/>
      <c r="B748" s="73"/>
      <c r="C748" s="176"/>
      <c r="D748" s="121"/>
      <c r="E748" s="121"/>
      <c r="F748" s="237">
        <v>4.0</v>
      </c>
      <c r="G748" s="84" t="s">
        <v>7734</v>
      </c>
      <c r="H748" s="73"/>
      <c r="I748" s="75"/>
      <c r="J748" s="64" t="s">
        <v>7735</v>
      </c>
      <c r="K748" s="69"/>
      <c r="L748" s="134"/>
      <c r="M748" s="111"/>
      <c r="N748" s="111"/>
      <c r="O748" s="111"/>
      <c r="P748" s="67" t="str">
        <f t="shared" si="1"/>
        <v/>
      </c>
      <c r="Q748" s="67" t="str">
        <f t="shared" si="2"/>
        <v/>
      </c>
      <c r="R748" s="67" t="str">
        <f t="shared" si="3"/>
        <v/>
      </c>
      <c r="S748" s="67" t="str">
        <f t="shared" si="4"/>
        <v/>
      </c>
      <c r="T748" s="161"/>
      <c r="U748" s="69"/>
      <c r="V748" s="169" t="s">
        <v>7736</v>
      </c>
      <c r="W748" s="161"/>
      <c r="X748" s="194"/>
      <c r="Y748" s="73"/>
      <c r="Z748" s="73"/>
      <c r="AA748" s="73"/>
      <c r="AB748" s="73"/>
      <c r="AC748" s="73"/>
      <c r="AD748" s="73"/>
      <c r="AE748" s="73"/>
      <c r="AF748" s="73"/>
      <c r="AG748" s="73"/>
      <c r="AH748" s="73"/>
      <c r="AI748" s="73"/>
      <c r="AJ748" s="75"/>
      <c r="AK748" s="76" t="s">
        <v>798</v>
      </c>
      <c r="AL748" s="83" t="s">
        <v>7737</v>
      </c>
      <c r="AM748" s="71" t="s">
        <v>7738</v>
      </c>
      <c r="AN748" s="84" t="s">
        <v>7739</v>
      </c>
      <c r="AO748" s="71" t="s">
        <v>7740</v>
      </c>
      <c r="AP748" s="161" t="str">
        <f>IMAGE("https://bellingcat-archive.nyc3.cdn.digitaloceanspaces.com/Ukraine_Witness_Datasheet/Worksheet/youtube_dl_1497504221742125056/out2.jpg")</f>
        <v/>
      </c>
      <c r="AQ748" s="84" t="s">
        <v>7741</v>
      </c>
      <c r="AR748" s="71" t="s">
        <v>7742</v>
      </c>
      <c r="AS748" s="71" t="s">
        <v>7743</v>
      </c>
      <c r="AT748" s="71">
        <v>44.991</v>
      </c>
      <c r="AU748" s="89"/>
      <c r="AV748" s="162"/>
      <c r="AW748" s="81"/>
    </row>
    <row r="749" ht="15.75" customHeight="1">
      <c r="A749" s="175"/>
      <c r="B749" s="73"/>
      <c r="C749" s="176"/>
      <c r="D749" s="121"/>
      <c r="E749" s="121"/>
      <c r="F749" s="306">
        <v>3.0</v>
      </c>
      <c r="G749" s="84" t="s">
        <v>7744</v>
      </c>
      <c r="H749" s="73"/>
      <c r="I749" s="75"/>
      <c r="J749" s="64" t="s">
        <v>7745</v>
      </c>
      <c r="K749" s="69"/>
      <c r="L749" s="134"/>
      <c r="M749" s="111"/>
      <c r="N749" s="111"/>
      <c r="O749" s="111"/>
      <c r="P749" s="67" t="str">
        <f t="shared" si="1"/>
        <v/>
      </c>
      <c r="Q749" s="67" t="str">
        <f t="shared" si="2"/>
        <v/>
      </c>
      <c r="R749" s="67" t="str">
        <f t="shared" si="3"/>
        <v/>
      </c>
      <c r="S749" s="67" t="str">
        <f t="shared" si="4"/>
        <v/>
      </c>
      <c r="T749" s="161"/>
      <c r="U749" s="69"/>
      <c r="V749" s="169" t="s">
        <v>7746</v>
      </c>
      <c r="W749" s="161"/>
      <c r="X749" s="194"/>
      <c r="Y749" s="73"/>
      <c r="Z749" s="73"/>
      <c r="AA749" s="73"/>
      <c r="AB749" s="73"/>
      <c r="AC749" s="73"/>
      <c r="AD749" s="73"/>
      <c r="AE749" s="73"/>
      <c r="AF749" s="73"/>
      <c r="AG749" s="73"/>
      <c r="AH749" s="73"/>
      <c r="AI749" s="73"/>
      <c r="AJ749" s="75"/>
      <c r="AK749" s="76" t="s">
        <v>798</v>
      </c>
      <c r="AL749" s="83" t="s">
        <v>7747</v>
      </c>
      <c r="AM749" s="71" t="s">
        <v>7748</v>
      </c>
      <c r="AN749" s="84" t="s">
        <v>7749</v>
      </c>
      <c r="AO749" s="71" t="s">
        <v>7750</v>
      </c>
      <c r="AP749" s="161" t="str">
        <f>IMAGE("https://bellingcat-archive.nyc3.cdn.digitaloceanspaces.com/Ukraine_Witness_Datasheet/Worksheet/youtube_dl_1497503135098675201/out2.jpg")</f>
        <v/>
      </c>
      <c r="AQ749" s="84" t="s">
        <v>7751</v>
      </c>
      <c r="AR749" s="71" t="s">
        <v>7752</v>
      </c>
      <c r="AS749" s="71" t="s">
        <v>7753</v>
      </c>
      <c r="AT749" s="71">
        <v>44.84</v>
      </c>
      <c r="AU749" s="89"/>
      <c r="AV749" s="162"/>
      <c r="AW749" s="81"/>
    </row>
    <row r="750" ht="15.75" customHeight="1">
      <c r="A750" s="95" t="s">
        <v>7754</v>
      </c>
      <c r="B750" s="73"/>
      <c r="C750" s="57" t="s">
        <v>7672</v>
      </c>
      <c r="D750" s="104">
        <v>46.842024</v>
      </c>
      <c r="E750" s="104">
        <v>35.384467</v>
      </c>
      <c r="F750" s="307">
        <v>1.0</v>
      </c>
      <c r="G750" s="84" t="s">
        <v>7755</v>
      </c>
      <c r="H750" s="73"/>
      <c r="I750" s="75"/>
      <c r="J750" s="64" t="s">
        <v>7756</v>
      </c>
      <c r="K750" s="69"/>
      <c r="L750" s="110" t="s">
        <v>3542</v>
      </c>
      <c r="M750" s="92" t="s">
        <v>6167</v>
      </c>
      <c r="N750" s="111"/>
      <c r="O750" s="92" t="s">
        <v>6168</v>
      </c>
      <c r="P750" s="67" t="str">
        <f t="shared" si="1"/>
        <v>46.842024, 35.384467</v>
      </c>
      <c r="Q750" s="67" t="str">
        <f t="shared" si="2"/>
        <v>46.841495, 35.384097</v>
      </c>
      <c r="R750" s="67">
        <f t="shared" si="3"/>
        <v>46.841495</v>
      </c>
      <c r="S750" s="67">
        <f t="shared" si="4"/>
        <v>35.384097</v>
      </c>
      <c r="T750" s="161"/>
      <c r="U750" s="69"/>
      <c r="V750" s="169" t="s">
        <v>7757</v>
      </c>
      <c r="W750" s="71" t="s">
        <v>6262</v>
      </c>
      <c r="X750" s="72" t="s">
        <v>2982</v>
      </c>
      <c r="Y750" s="73"/>
      <c r="Z750" s="73"/>
      <c r="AA750" s="73"/>
      <c r="AB750" s="73"/>
      <c r="AC750" s="73"/>
      <c r="AD750" s="73"/>
      <c r="AE750" s="73"/>
      <c r="AF750" s="73"/>
      <c r="AG750" s="73"/>
      <c r="AH750" s="73"/>
      <c r="AI750" s="73"/>
      <c r="AJ750" s="75"/>
      <c r="AK750" s="76" t="s">
        <v>798</v>
      </c>
      <c r="AL750" s="83" t="s">
        <v>7758</v>
      </c>
      <c r="AM750" s="71" t="s">
        <v>7759</v>
      </c>
      <c r="AN750" s="84" t="s">
        <v>7760</v>
      </c>
      <c r="AO750" s="71" t="s">
        <v>7761</v>
      </c>
      <c r="AP750" s="161" t="str">
        <f>IMAGE("https://bellingcat-archive.nyc3.cdn.digitaloceanspaces.com/Ukraine_Witness_Datasheet/Worksheet/youtube_dl_1497502573510766595/out2.jpg")</f>
        <v/>
      </c>
      <c r="AQ750" s="84" t="s">
        <v>7762</v>
      </c>
      <c r="AR750" s="71" t="s">
        <v>7763</v>
      </c>
      <c r="AS750" s="71" t="s">
        <v>7764</v>
      </c>
      <c r="AT750" s="71">
        <v>11.438</v>
      </c>
      <c r="AU750" s="89"/>
      <c r="AV750" s="80" t="s">
        <v>63</v>
      </c>
      <c r="AW750" s="81"/>
    </row>
    <row r="751" ht="15.75" customHeight="1">
      <c r="A751" s="301" t="s">
        <v>7754</v>
      </c>
      <c r="B751" s="73"/>
      <c r="C751" s="57" t="s">
        <v>7672</v>
      </c>
      <c r="D751" s="104">
        <v>46.831822</v>
      </c>
      <c r="E751" s="104">
        <v>35.362888</v>
      </c>
      <c r="F751" s="307">
        <v>1.0</v>
      </c>
      <c r="G751" s="84" t="s">
        <v>7765</v>
      </c>
      <c r="H751" s="73"/>
      <c r="I751" s="75"/>
      <c r="J751" s="64" t="s">
        <v>7766</v>
      </c>
      <c r="K751" s="69"/>
      <c r="L751" s="110" t="s">
        <v>3542</v>
      </c>
      <c r="M751" s="92" t="s">
        <v>6167</v>
      </c>
      <c r="N751" s="111"/>
      <c r="O751" s="92" t="s">
        <v>6168</v>
      </c>
      <c r="P751" s="67" t="str">
        <f t="shared" si="1"/>
        <v>46.831822, 35.362888</v>
      </c>
      <c r="Q751" s="67" t="str">
        <f t="shared" si="2"/>
        <v>46.831035, 35.362592</v>
      </c>
      <c r="R751" s="67">
        <f t="shared" si="3"/>
        <v>46.831035</v>
      </c>
      <c r="S751" s="67">
        <f t="shared" si="4"/>
        <v>35.362592</v>
      </c>
      <c r="T751" s="161"/>
      <c r="U751" s="69"/>
      <c r="V751" s="169" t="s">
        <v>7767</v>
      </c>
      <c r="W751" s="71" t="s">
        <v>6262</v>
      </c>
      <c r="X751" s="194"/>
      <c r="Y751" s="73"/>
      <c r="Z751" s="73"/>
      <c r="AA751" s="73"/>
      <c r="AB751" s="73"/>
      <c r="AC751" s="73"/>
      <c r="AD751" s="73"/>
      <c r="AE751" s="73"/>
      <c r="AF751" s="73"/>
      <c r="AG751" s="73"/>
      <c r="AH751" s="73"/>
      <c r="AI751" s="73"/>
      <c r="AJ751" s="75"/>
      <c r="AK751" s="76" t="s">
        <v>798</v>
      </c>
      <c r="AL751" s="83" t="s">
        <v>7768</v>
      </c>
      <c r="AM751" s="71" t="s">
        <v>7769</v>
      </c>
      <c r="AN751" s="84" t="s">
        <v>7770</v>
      </c>
      <c r="AO751" s="71" t="s">
        <v>7771</v>
      </c>
      <c r="AP751" s="161" t="str">
        <f>IMAGE("https://bellingcat-archive.nyc3.cdn.digitaloceanspaces.com/Ukraine_Witness_Datasheet/Worksheet/youtube_dl_1497523845288402949/out2.jpg")</f>
        <v/>
      </c>
      <c r="AQ751" s="84" t="s">
        <v>7772</v>
      </c>
      <c r="AR751" s="71" t="s">
        <v>7773</v>
      </c>
      <c r="AS751" s="71" t="s">
        <v>7774</v>
      </c>
      <c r="AT751" s="71">
        <v>12.3</v>
      </c>
      <c r="AU751" s="89"/>
      <c r="AV751" s="162"/>
      <c r="AW751" s="81"/>
    </row>
    <row r="752" ht="15.75" customHeight="1">
      <c r="A752" s="87" t="s">
        <v>63</v>
      </c>
      <c r="B752" s="73"/>
      <c r="C752" s="57" t="s">
        <v>6118</v>
      </c>
      <c r="D752" s="74">
        <v>46.609114</v>
      </c>
      <c r="E752" s="74">
        <v>32.85049</v>
      </c>
      <c r="F752" s="307">
        <v>1.0</v>
      </c>
      <c r="G752" s="84" t="s">
        <v>7775</v>
      </c>
      <c r="H752" s="73"/>
      <c r="I752" s="75"/>
      <c r="J752" s="64" t="s">
        <v>7776</v>
      </c>
      <c r="K752" s="88" t="s">
        <v>7777</v>
      </c>
      <c r="L752" s="110" t="s">
        <v>3542</v>
      </c>
      <c r="M752" s="92" t="s">
        <v>5702</v>
      </c>
      <c r="N752" s="111"/>
      <c r="O752" s="92" t="s">
        <v>7778</v>
      </c>
      <c r="P752" s="67" t="str">
        <f t="shared" si="1"/>
        <v>46.609114, 32.85049</v>
      </c>
      <c r="Q752" s="67" t="str">
        <f t="shared" si="2"/>
        <v>46.608614, 32.850578</v>
      </c>
      <c r="R752" s="67">
        <f t="shared" si="3"/>
        <v>46.608614</v>
      </c>
      <c r="S752" s="67">
        <f t="shared" si="4"/>
        <v>32.850578</v>
      </c>
      <c r="T752" s="161"/>
      <c r="U752" s="69"/>
      <c r="V752" s="169" t="s">
        <v>7779</v>
      </c>
      <c r="W752" s="71" t="s">
        <v>7695</v>
      </c>
      <c r="X752" s="72" t="s">
        <v>75</v>
      </c>
      <c r="Y752" s="73"/>
      <c r="Z752" s="73"/>
      <c r="AA752" s="73"/>
      <c r="AB752" s="73"/>
      <c r="AC752" s="73"/>
      <c r="AD752" s="73"/>
      <c r="AE752" s="73"/>
      <c r="AF752" s="73"/>
      <c r="AG752" s="73"/>
      <c r="AH752" s="73"/>
      <c r="AI752" s="73"/>
      <c r="AJ752" s="75"/>
      <c r="AK752" s="76" t="s">
        <v>798</v>
      </c>
      <c r="AL752" s="83" t="s">
        <v>7780</v>
      </c>
      <c r="AM752" s="71" t="s">
        <v>7781</v>
      </c>
      <c r="AN752" s="84" t="s">
        <v>7782</v>
      </c>
      <c r="AO752" s="71" t="s">
        <v>7783</v>
      </c>
      <c r="AP752" s="161" t="str">
        <f>IMAGE("https://bellingcat-archive.nyc3.cdn.digitaloceanspaces.com/Ukraine_Witness_Datasheet/Worksheet/youtube_dl_1497232990728069134/out5.jpg")</f>
        <v/>
      </c>
      <c r="AQ752" s="84" t="s">
        <v>7784</v>
      </c>
      <c r="AR752" s="71" t="s">
        <v>7785</v>
      </c>
      <c r="AS752" s="71" t="s">
        <v>7786</v>
      </c>
      <c r="AT752" s="71">
        <v>120.116</v>
      </c>
      <c r="AU752" s="89"/>
      <c r="AV752" s="80" t="s">
        <v>63</v>
      </c>
      <c r="AW752" s="81"/>
    </row>
    <row r="753" ht="15.75" customHeight="1">
      <c r="A753" s="87" t="s">
        <v>63</v>
      </c>
      <c r="B753" s="73"/>
      <c r="C753" s="57" t="s">
        <v>6118</v>
      </c>
      <c r="D753" s="92">
        <v>46.609084</v>
      </c>
      <c r="E753" s="92">
        <v>32.846917</v>
      </c>
      <c r="F753" s="307">
        <v>1.0</v>
      </c>
      <c r="G753" s="84" t="s">
        <v>7787</v>
      </c>
      <c r="H753" s="73"/>
      <c r="I753" s="75"/>
      <c r="J753" s="64" t="s">
        <v>7776</v>
      </c>
      <c r="K753" s="88" t="s">
        <v>7777</v>
      </c>
      <c r="L753" s="110" t="s">
        <v>3542</v>
      </c>
      <c r="M753" s="92" t="s">
        <v>5702</v>
      </c>
      <c r="N753" s="111"/>
      <c r="O753" s="92" t="s">
        <v>7778</v>
      </c>
      <c r="P753" s="67" t="str">
        <f t="shared" si="1"/>
        <v>46.609084, 32.846917</v>
      </c>
      <c r="Q753" s="67" t="str">
        <f t="shared" si="2"/>
        <v>46.608482, 32.8472</v>
      </c>
      <c r="R753" s="67">
        <f t="shared" si="3"/>
        <v>46.608482</v>
      </c>
      <c r="S753" s="67">
        <f t="shared" si="4"/>
        <v>32.8472</v>
      </c>
      <c r="T753" s="161"/>
      <c r="U753" s="69"/>
      <c r="V753" s="169" t="s">
        <v>7788</v>
      </c>
      <c r="W753" s="71" t="s">
        <v>7695</v>
      </c>
      <c r="X753" s="72" t="s">
        <v>75</v>
      </c>
      <c r="Y753" s="73"/>
      <c r="Z753" s="73"/>
      <c r="AA753" s="73"/>
      <c r="AB753" s="73"/>
      <c r="AC753" s="73"/>
      <c r="AD753" s="73"/>
      <c r="AE753" s="73"/>
      <c r="AF753" s="73"/>
      <c r="AG753" s="73"/>
      <c r="AH753" s="73"/>
      <c r="AI753" s="73"/>
      <c r="AJ753" s="75"/>
      <c r="AK753" s="76" t="s">
        <v>798</v>
      </c>
      <c r="AL753" s="83" t="s">
        <v>7789</v>
      </c>
      <c r="AM753" s="71" t="s">
        <v>7790</v>
      </c>
      <c r="AN753" s="84" t="s">
        <v>7791</v>
      </c>
      <c r="AO753" s="71" t="s">
        <v>7792</v>
      </c>
      <c r="AP753" s="161" t="str">
        <f>IMAGE("https://bellingcat-archive.nyc3.cdn.digitaloceanspaces.com/Ukraine_Witness_Datasheet/Worksheet/youtube_dl_1497233053608988679/out3.jpg")</f>
        <v/>
      </c>
      <c r="AQ753" s="84" t="s">
        <v>7793</v>
      </c>
      <c r="AR753" s="71" t="s">
        <v>7794</v>
      </c>
      <c r="AS753" s="71" t="s">
        <v>7795</v>
      </c>
      <c r="AT753" s="71">
        <v>109.365</v>
      </c>
      <c r="AU753" s="89"/>
      <c r="AV753" s="80" t="s">
        <v>63</v>
      </c>
      <c r="AW753" s="81"/>
    </row>
    <row r="754" ht="15.75" customHeight="1">
      <c r="A754" s="165"/>
      <c r="B754" s="73"/>
      <c r="C754" s="176"/>
      <c r="D754" s="121"/>
      <c r="E754" s="121"/>
      <c r="F754" s="79">
        <v>3.0</v>
      </c>
      <c r="G754" s="84" t="s">
        <v>7796</v>
      </c>
      <c r="H754" s="73"/>
      <c r="I754" s="75"/>
      <c r="J754" s="64" t="s">
        <v>7797</v>
      </c>
      <c r="K754" s="69"/>
      <c r="L754" s="134"/>
      <c r="M754" s="111"/>
      <c r="N754" s="111"/>
      <c r="O754" s="111"/>
      <c r="P754" s="67" t="str">
        <f t="shared" si="1"/>
        <v/>
      </c>
      <c r="Q754" s="67" t="str">
        <f t="shared" si="2"/>
        <v/>
      </c>
      <c r="R754" s="67" t="str">
        <f t="shared" si="3"/>
        <v/>
      </c>
      <c r="S754" s="67" t="str">
        <f t="shared" si="4"/>
        <v/>
      </c>
      <c r="T754" s="161"/>
      <c r="U754" s="69"/>
      <c r="V754" s="169" t="s">
        <v>7798</v>
      </c>
      <c r="W754" s="161"/>
      <c r="X754" s="194"/>
      <c r="Y754" s="73"/>
      <c r="Z754" s="73"/>
      <c r="AA754" s="73"/>
      <c r="AB754" s="73"/>
      <c r="AC754" s="73"/>
      <c r="AD754" s="73"/>
      <c r="AE754" s="73"/>
      <c r="AF754" s="73"/>
      <c r="AG754" s="73"/>
      <c r="AH754" s="73"/>
      <c r="AI754" s="73"/>
      <c r="AJ754" s="75"/>
      <c r="AK754" s="76" t="s">
        <v>2108</v>
      </c>
      <c r="AL754" s="83" t="s">
        <v>7799</v>
      </c>
      <c r="AM754" s="71" t="s">
        <v>7800</v>
      </c>
      <c r="AN754" s="84" t="s">
        <v>7801</v>
      </c>
      <c r="AO754" s="71" t="s">
        <v>7802</v>
      </c>
      <c r="AP754" s="161" t="str">
        <f>IMAGE("https://bellingcat-archive.nyc3.cdn.digitaloceanspaces.com/Ukraine_Witness_Datasheet/Worksheet/twitter__media_FMhHHBkWQAEfa8J.jpg")</f>
        <v/>
      </c>
      <c r="AQ754" s="161"/>
      <c r="AR754" s="161"/>
      <c r="AS754" s="161"/>
      <c r="AT754" s="161"/>
      <c r="AU754" s="89"/>
      <c r="AV754" s="162"/>
      <c r="AW754" s="81"/>
    </row>
    <row r="755" ht="15.75" customHeight="1">
      <c r="A755" s="87" t="s">
        <v>63</v>
      </c>
      <c r="B755" s="73"/>
      <c r="C755" s="57" t="s">
        <v>7672</v>
      </c>
      <c r="D755" s="74">
        <v>50.019711</v>
      </c>
      <c r="E755" s="74">
        <v>36.27788</v>
      </c>
      <c r="F755" s="79">
        <v>2.0</v>
      </c>
      <c r="G755" s="84" t="s">
        <v>7803</v>
      </c>
      <c r="H755" s="73"/>
      <c r="I755" s="75"/>
      <c r="J755" s="64" t="s">
        <v>7804</v>
      </c>
      <c r="K755" s="88" t="s">
        <v>7805</v>
      </c>
      <c r="L755" s="110" t="s">
        <v>3542</v>
      </c>
      <c r="M755" s="92" t="s">
        <v>5626</v>
      </c>
      <c r="N755" s="111"/>
      <c r="O755" s="92" t="s">
        <v>5626</v>
      </c>
      <c r="P755" s="67" t="str">
        <f t="shared" si="1"/>
        <v>50.019711, 36.27788</v>
      </c>
      <c r="Q755" s="67" t="str">
        <f t="shared" si="2"/>
        <v>50.019529, 36.277036</v>
      </c>
      <c r="R755" s="67">
        <f t="shared" si="3"/>
        <v>50.019529</v>
      </c>
      <c r="S755" s="67">
        <f t="shared" si="4"/>
        <v>36.277036</v>
      </c>
      <c r="T755" s="161"/>
      <c r="U755" s="69"/>
      <c r="V755" s="169" t="s">
        <v>7806</v>
      </c>
      <c r="W755" s="71" t="s">
        <v>5904</v>
      </c>
      <c r="X755" s="72" t="s">
        <v>75</v>
      </c>
      <c r="Y755" s="73"/>
      <c r="Z755" s="73"/>
      <c r="AA755" s="73"/>
      <c r="AB755" s="73"/>
      <c r="AC755" s="73"/>
      <c r="AD755" s="73"/>
      <c r="AE755" s="73"/>
      <c r="AF755" s="73"/>
      <c r="AG755" s="73"/>
      <c r="AH755" s="73"/>
      <c r="AI755" s="73"/>
      <c r="AJ755" s="75"/>
      <c r="AK755" s="76" t="s">
        <v>930</v>
      </c>
      <c r="AL755" s="83" t="s">
        <v>7717</v>
      </c>
      <c r="AM755" s="71" t="s">
        <v>7807</v>
      </c>
      <c r="AN755" s="84" t="s">
        <v>7808</v>
      </c>
      <c r="AO755" s="71" t="s">
        <v>7720</v>
      </c>
      <c r="AP755" s="161" t="str">
        <f>IMAGE("https://bellingcat-archive.nyc3.cdn.digitaloceanspaces.com/Ukraine_Witness_Datasheet/Worksheet/youtube_dl_1497437744125128709/out2.jpg")</f>
        <v/>
      </c>
      <c r="AQ755" s="84" t="s">
        <v>7721</v>
      </c>
      <c r="AR755" s="71" t="s">
        <v>7722</v>
      </c>
      <c r="AS755" s="71" t="s">
        <v>7723</v>
      </c>
      <c r="AT755" s="71">
        <v>36.333</v>
      </c>
      <c r="AU755" s="89"/>
      <c r="AV755" s="80" t="s">
        <v>63</v>
      </c>
      <c r="AW755" s="81"/>
    </row>
    <row r="756" ht="15.75" customHeight="1">
      <c r="A756" s="87" t="s">
        <v>63</v>
      </c>
      <c r="B756" s="73"/>
      <c r="C756" s="57" t="s">
        <v>7672</v>
      </c>
      <c r="D756" s="74">
        <v>50.014717</v>
      </c>
      <c r="E756" s="74">
        <v>36.272072</v>
      </c>
      <c r="F756" s="79">
        <v>2.0</v>
      </c>
      <c r="G756" s="84" t="s">
        <v>7809</v>
      </c>
      <c r="H756" s="73"/>
      <c r="I756" s="75"/>
      <c r="J756" s="64" t="s">
        <v>7810</v>
      </c>
      <c r="K756" s="88" t="s">
        <v>7811</v>
      </c>
      <c r="L756" s="110" t="s">
        <v>3542</v>
      </c>
      <c r="M756" s="92" t="s">
        <v>5626</v>
      </c>
      <c r="N756" s="111"/>
      <c r="O756" s="92" t="s">
        <v>5626</v>
      </c>
      <c r="P756" s="67" t="str">
        <f t="shared" si="1"/>
        <v>50.014717, 36.272072</v>
      </c>
      <c r="Q756" s="67" t="str">
        <f t="shared" si="2"/>
        <v>50.014402, 36.271758</v>
      </c>
      <c r="R756" s="67">
        <f t="shared" si="3"/>
        <v>50.014402</v>
      </c>
      <c r="S756" s="67">
        <f t="shared" si="4"/>
        <v>36.271758</v>
      </c>
      <c r="T756" s="161"/>
      <c r="U756" s="69"/>
      <c r="V756" s="169" t="s">
        <v>7812</v>
      </c>
      <c r="W756" s="71" t="s">
        <v>5904</v>
      </c>
      <c r="X756" s="72" t="s">
        <v>75</v>
      </c>
      <c r="Y756" s="73"/>
      <c r="Z756" s="73"/>
      <c r="AA756" s="73"/>
      <c r="AB756" s="73"/>
      <c r="AC756" s="73"/>
      <c r="AD756" s="73"/>
      <c r="AE756" s="73"/>
      <c r="AF756" s="73"/>
      <c r="AG756" s="73"/>
      <c r="AH756" s="73"/>
      <c r="AI756" s="73"/>
      <c r="AJ756" s="75"/>
      <c r="AK756" s="76" t="s">
        <v>798</v>
      </c>
      <c r="AL756" s="83" t="s">
        <v>7813</v>
      </c>
      <c r="AM756" s="71" t="s">
        <v>7814</v>
      </c>
      <c r="AN756" s="84" t="s">
        <v>7815</v>
      </c>
      <c r="AO756" s="71" t="s">
        <v>7816</v>
      </c>
      <c r="AP756" s="161" t="str">
        <f>IMAGE("https://bellingcat-archive.nyc3.cdn.digitaloceanspaces.com/Ukraine_Witness_Datasheet/Worksheet/youtube_dl_1497448045637783553/out2.jpg")</f>
        <v/>
      </c>
      <c r="AQ756" s="84" t="s">
        <v>7817</v>
      </c>
      <c r="AR756" s="71" t="s">
        <v>7818</v>
      </c>
      <c r="AS756" s="71" t="s">
        <v>7819</v>
      </c>
      <c r="AT756" s="71">
        <v>44.766</v>
      </c>
      <c r="AU756" s="89"/>
      <c r="AV756" s="80" t="s">
        <v>63</v>
      </c>
      <c r="AW756" s="81"/>
    </row>
    <row r="757" ht="15.75" customHeight="1">
      <c r="A757" s="87" t="s">
        <v>63</v>
      </c>
      <c r="B757" s="73"/>
      <c r="C757" s="57" t="s">
        <v>7672</v>
      </c>
      <c r="D757" s="74">
        <v>50.016106</v>
      </c>
      <c r="E757" s="74">
        <v>36.263946</v>
      </c>
      <c r="F757" s="79">
        <v>1.0</v>
      </c>
      <c r="G757" s="84" t="s">
        <v>7820</v>
      </c>
      <c r="H757" s="73"/>
      <c r="I757" s="75"/>
      <c r="J757" s="64" t="s">
        <v>7810</v>
      </c>
      <c r="K757" s="88" t="s">
        <v>7821</v>
      </c>
      <c r="L757" s="110" t="s">
        <v>3542</v>
      </c>
      <c r="M757" s="92" t="s">
        <v>5626</v>
      </c>
      <c r="N757" s="111"/>
      <c r="O757" s="92" t="s">
        <v>5626</v>
      </c>
      <c r="P757" s="67" t="str">
        <f t="shared" si="1"/>
        <v>50.016106, 36.263946</v>
      </c>
      <c r="Q757" s="67" t="str">
        <f t="shared" si="2"/>
        <v>50.016084, 36.263185</v>
      </c>
      <c r="R757" s="67">
        <f t="shared" si="3"/>
        <v>50.016084</v>
      </c>
      <c r="S757" s="67">
        <f t="shared" si="4"/>
        <v>36.263185</v>
      </c>
      <c r="T757" s="161"/>
      <c r="U757" s="69"/>
      <c r="V757" s="169" t="s">
        <v>7822</v>
      </c>
      <c r="W757" s="71" t="s">
        <v>5904</v>
      </c>
      <c r="X757" s="72" t="s">
        <v>75</v>
      </c>
      <c r="Y757" s="73"/>
      <c r="Z757" s="73"/>
      <c r="AA757" s="73"/>
      <c r="AB757" s="73"/>
      <c r="AC757" s="73"/>
      <c r="AD757" s="73"/>
      <c r="AE757" s="73"/>
      <c r="AF757" s="73"/>
      <c r="AG757" s="73"/>
      <c r="AH757" s="73"/>
      <c r="AI757" s="73"/>
      <c r="AJ757" s="75"/>
      <c r="AK757" s="76" t="s">
        <v>798</v>
      </c>
      <c r="AL757" s="83" t="s">
        <v>7823</v>
      </c>
      <c r="AM757" s="71" t="s">
        <v>7824</v>
      </c>
      <c r="AN757" s="84" t="s">
        <v>7825</v>
      </c>
      <c r="AO757" s="71" t="s">
        <v>7826</v>
      </c>
      <c r="AP757" s="161" t="str">
        <f>IMAGE("https://bellingcat-archive.nyc3.cdn.digitaloceanspaces.com/Ukraine_Witness_Datasheet/Worksheet/youtube_dl_1497381257092681729/out2.jpg")</f>
        <v/>
      </c>
      <c r="AQ757" s="84" t="s">
        <v>7827</v>
      </c>
      <c r="AR757" s="71" t="s">
        <v>7828</v>
      </c>
      <c r="AS757" s="71" t="s">
        <v>7829</v>
      </c>
      <c r="AT757" s="71">
        <v>9.933</v>
      </c>
      <c r="AU757" s="89"/>
      <c r="AV757" s="80" t="s">
        <v>63</v>
      </c>
      <c r="AW757" s="81"/>
    </row>
    <row r="758" ht="15.75" customHeight="1">
      <c r="A758" s="95" t="s">
        <v>63</v>
      </c>
      <c r="B758" s="73"/>
      <c r="C758" s="57" t="s">
        <v>7672</v>
      </c>
      <c r="D758" s="74">
        <v>50.659129</v>
      </c>
      <c r="E758" s="74">
        <v>29.966325</v>
      </c>
      <c r="F758" s="79">
        <v>2.0</v>
      </c>
      <c r="G758" s="84" t="s">
        <v>7830</v>
      </c>
      <c r="H758" s="73"/>
      <c r="I758" s="75"/>
      <c r="J758" s="64" t="s">
        <v>7831</v>
      </c>
      <c r="K758" s="69"/>
      <c r="L758" s="110" t="s">
        <v>3542</v>
      </c>
      <c r="M758" s="92" t="s">
        <v>5827</v>
      </c>
      <c r="N758" s="111"/>
      <c r="O758" s="92" t="s">
        <v>7832</v>
      </c>
      <c r="P758" s="67" t="str">
        <f t="shared" si="1"/>
        <v>50.659129, 29.966325</v>
      </c>
      <c r="Q758" s="67" t="str">
        <f t="shared" si="2"/>
        <v>50.659012, 29.965653</v>
      </c>
      <c r="R758" s="67">
        <f t="shared" si="3"/>
        <v>50.659012</v>
      </c>
      <c r="S758" s="67">
        <f t="shared" si="4"/>
        <v>29.965653</v>
      </c>
      <c r="T758" s="161"/>
      <c r="U758" s="69"/>
      <c r="V758" s="169" t="s">
        <v>7833</v>
      </c>
      <c r="W758" s="71" t="s">
        <v>6641</v>
      </c>
      <c r="X758" s="72" t="s">
        <v>75</v>
      </c>
      <c r="Y758" s="73"/>
      <c r="Z758" s="73"/>
      <c r="AA758" s="73"/>
      <c r="AB758" s="73"/>
      <c r="AC758" s="73"/>
      <c r="AD758" s="73"/>
      <c r="AE758" s="73"/>
      <c r="AF758" s="73"/>
      <c r="AG758" s="73"/>
      <c r="AH758" s="73"/>
      <c r="AI758" s="73"/>
      <c r="AJ758" s="75"/>
      <c r="AK758" s="76" t="s">
        <v>798</v>
      </c>
      <c r="AL758" s="83" t="s">
        <v>7834</v>
      </c>
      <c r="AM758" s="71" t="s">
        <v>7835</v>
      </c>
      <c r="AN758" s="84" t="s">
        <v>7836</v>
      </c>
      <c r="AO758" s="71" t="s">
        <v>7837</v>
      </c>
      <c r="AP758" s="161" t="str">
        <f>IMAGE("https://bellingcat-archive.nyc3.cdn.digitaloceanspaces.com/Ukraine_Witness_Datasheet/Worksheet/youtube_dl_1497594417456238592/out2.jpg")</f>
        <v/>
      </c>
      <c r="AQ758" s="84" t="s">
        <v>7838</v>
      </c>
      <c r="AR758" s="71" t="s">
        <v>7839</v>
      </c>
      <c r="AS758" s="71" t="s">
        <v>7840</v>
      </c>
      <c r="AT758" s="71">
        <v>9.453</v>
      </c>
      <c r="AU758" s="89"/>
      <c r="AV758" s="162"/>
      <c r="AW758" s="81"/>
    </row>
    <row r="759" ht="15.75" customHeight="1">
      <c r="A759" s="87" t="s">
        <v>63</v>
      </c>
      <c r="B759" s="73"/>
      <c r="C759" s="57" t="s">
        <v>7672</v>
      </c>
      <c r="D759" s="74">
        <v>50.593381</v>
      </c>
      <c r="E759" s="74">
        <v>30.204936</v>
      </c>
      <c r="F759" s="79">
        <v>1.0</v>
      </c>
      <c r="G759" s="84" t="s">
        <v>7841</v>
      </c>
      <c r="H759" s="73"/>
      <c r="I759" s="75"/>
      <c r="J759" s="64" t="s">
        <v>7842</v>
      </c>
      <c r="K759" s="69"/>
      <c r="L759" s="110" t="s">
        <v>3542</v>
      </c>
      <c r="M759" s="92" t="s">
        <v>5827</v>
      </c>
      <c r="N759" s="111"/>
      <c r="O759" s="92" t="s">
        <v>5828</v>
      </c>
      <c r="P759" s="67" t="str">
        <f t="shared" si="1"/>
        <v>50.593381, 30.204936</v>
      </c>
      <c r="Q759" s="67" t="str">
        <f t="shared" si="2"/>
        <v>50.592693, 30.204583</v>
      </c>
      <c r="R759" s="67">
        <f t="shared" si="3"/>
        <v>50.592693</v>
      </c>
      <c r="S759" s="67">
        <f t="shared" si="4"/>
        <v>30.204583</v>
      </c>
      <c r="T759" s="161"/>
      <c r="U759" s="69"/>
      <c r="V759" s="169" t="s">
        <v>7843</v>
      </c>
      <c r="W759" s="71" t="s">
        <v>7844</v>
      </c>
      <c r="X759" s="72" t="s">
        <v>75</v>
      </c>
      <c r="Y759" s="73"/>
      <c r="Z759" s="73"/>
      <c r="AA759" s="73"/>
      <c r="AB759" s="73"/>
      <c r="AC759" s="73"/>
      <c r="AD759" s="73"/>
      <c r="AE759" s="73"/>
      <c r="AF759" s="73"/>
      <c r="AG759" s="73"/>
      <c r="AH759" s="73"/>
      <c r="AI759" s="73"/>
      <c r="AJ759" s="75"/>
      <c r="AK759" s="76" t="s">
        <v>2108</v>
      </c>
      <c r="AL759" s="83" t="s">
        <v>7845</v>
      </c>
      <c r="AM759" s="71" t="s">
        <v>7846</v>
      </c>
      <c r="AN759" s="84" t="s">
        <v>7847</v>
      </c>
      <c r="AO759" s="71" t="s">
        <v>7848</v>
      </c>
      <c r="AP759" s="161" t="str">
        <f>IMAGE("https://bellingcat-archive.nyc3.cdn.digitaloceanspaces.com/Ukraine_Witness_Datasheet/Worksheet/twitter__media_FMiA_lTXsAYk_2F.jpg")</f>
        <v/>
      </c>
      <c r="AQ759" s="161"/>
      <c r="AR759" s="161"/>
      <c r="AS759" s="161"/>
      <c r="AT759" s="161"/>
      <c r="AU759" s="89"/>
      <c r="AV759" s="80" t="s">
        <v>63</v>
      </c>
      <c r="AW759" s="81"/>
    </row>
    <row r="760" ht="15.75" customHeight="1">
      <c r="A760" s="95" t="s">
        <v>7849</v>
      </c>
      <c r="B760" s="73"/>
      <c r="C760" s="57" t="s">
        <v>7672</v>
      </c>
      <c r="D760" s="74">
        <v>51.176438</v>
      </c>
      <c r="E760" s="74">
        <v>32.82851</v>
      </c>
      <c r="F760" s="79">
        <v>1.0</v>
      </c>
      <c r="G760" s="84" t="s">
        <v>7850</v>
      </c>
      <c r="H760" s="73"/>
      <c r="I760" s="75"/>
      <c r="J760" s="64" t="s">
        <v>7851</v>
      </c>
      <c r="K760" s="88" t="s">
        <v>7852</v>
      </c>
      <c r="L760" s="110" t="s">
        <v>3542</v>
      </c>
      <c r="M760" s="92" t="s">
        <v>7853</v>
      </c>
      <c r="N760" s="111"/>
      <c r="O760" s="92" t="s">
        <v>7854</v>
      </c>
      <c r="P760" s="67" t="str">
        <f t="shared" si="1"/>
        <v>51.176438, 32.82851</v>
      </c>
      <c r="Q760" s="67" t="str">
        <f t="shared" si="2"/>
        <v>51.176045, 32.829532</v>
      </c>
      <c r="R760" s="67">
        <f t="shared" si="3"/>
        <v>51.176045</v>
      </c>
      <c r="S760" s="67">
        <f t="shared" si="4"/>
        <v>32.829532</v>
      </c>
      <c r="T760" s="161"/>
      <c r="U760" s="69"/>
      <c r="V760" s="169" t="s">
        <v>7855</v>
      </c>
      <c r="W760" s="304" t="s">
        <v>74</v>
      </c>
      <c r="X760" s="72" t="s">
        <v>75</v>
      </c>
      <c r="Y760" s="73"/>
      <c r="Z760" s="73"/>
      <c r="AA760" s="73"/>
      <c r="AB760" s="73"/>
      <c r="AC760" s="73"/>
      <c r="AD760" s="73"/>
      <c r="AE760" s="73"/>
      <c r="AF760" s="73"/>
      <c r="AG760" s="73"/>
      <c r="AH760" s="73"/>
      <c r="AI760" s="73"/>
      <c r="AJ760" s="75"/>
      <c r="AK760" s="76" t="s">
        <v>798</v>
      </c>
      <c r="AL760" s="83" t="s">
        <v>7856</v>
      </c>
      <c r="AM760" s="71" t="s">
        <v>7857</v>
      </c>
      <c r="AN760" s="84" t="s">
        <v>7858</v>
      </c>
      <c r="AO760" s="71" t="s">
        <v>7859</v>
      </c>
      <c r="AP760" s="161" t="str">
        <f>IMAGE("https://bellingcat-archive.nyc3.cdn.digitaloceanspaces.com/Ukraine_Witness_Datasheet/Worksheet/youtube_dl_1497587909393887236/out2.jpg")</f>
        <v/>
      </c>
      <c r="AQ760" s="84" t="s">
        <v>7860</v>
      </c>
      <c r="AR760" s="71" t="s">
        <v>7861</v>
      </c>
      <c r="AS760" s="71" t="s">
        <v>7862</v>
      </c>
      <c r="AT760" s="71">
        <v>49.286</v>
      </c>
      <c r="AU760" s="89"/>
      <c r="AV760" s="80" t="s">
        <v>63</v>
      </c>
      <c r="AW760" s="81"/>
    </row>
    <row r="761" ht="15.75" customHeight="1">
      <c r="A761" s="87" t="s">
        <v>3944</v>
      </c>
      <c r="B761" s="73"/>
      <c r="C761" s="57" t="s">
        <v>7672</v>
      </c>
      <c r="D761" s="104">
        <v>50.590984</v>
      </c>
      <c r="E761" s="104">
        <v>30.220272</v>
      </c>
      <c r="F761" s="79">
        <v>1.0</v>
      </c>
      <c r="G761" s="193" t="s">
        <v>7863</v>
      </c>
      <c r="H761" s="73"/>
      <c r="I761" s="75"/>
      <c r="J761" s="64" t="s">
        <v>7864</v>
      </c>
      <c r="K761" s="88" t="s">
        <v>7865</v>
      </c>
      <c r="L761" s="110" t="s">
        <v>3542</v>
      </c>
      <c r="M761" s="92" t="s">
        <v>5827</v>
      </c>
      <c r="N761" s="111"/>
      <c r="O761" s="92" t="s">
        <v>5828</v>
      </c>
      <c r="P761" s="67" t="str">
        <f t="shared" si="1"/>
        <v>50.590984, 30.220272</v>
      </c>
      <c r="Q761" s="67" t="str">
        <f t="shared" si="2"/>
        <v>50.59051, 30.219651</v>
      </c>
      <c r="R761" s="67">
        <f t="shared" si="3"/>
        <v>50.59051</v>
      </c>
      <c r="S761" s="67">
        <f t="shared" si="4"/>
        <v>30.219651</v>
      </c>
      <c r="T761" s="161"/>
      <c r="U761" s="69"/>
      <c r="V761" s="169" t="s">
        <v>7866</v>
      </c>
      <c r="W761" s="304" t="s">
        <v>74</v>
      </c>
      <c r="X761" s="72" t="s">
        <v>75</v>
      </c>
      <c r="Y761" s="73"/>
      <c r="Z761" s="73"/>
      <c r="AA761" s="73"/>
      <c r="AB761" s="73"/>
      <c r="AC761" s="73"/>
      <c r="AD761" s="73"/>
      <c r="AE761" s="73"/>
      <c r="AF761" s="73"/>
      <c r="AG761" s="73"/>
      <c r="AH761" s="73"/>
      <c r="AI761" s="73"/>
      <c r="AJ761" s="75"/>
      <c r="AK761" s="76" t="s">
        <v>798</v>
      </c>
      <c r="AL761" s="83" t="s">
        <v>7867</v>
      </c>
      <c r="AM761" s="71" t="s">
        <v>7868</v>
      </c>
      <c r="AN761" s="84" t="s">
        <v>7869</v>
      </c>
      <c r="AO761" s="71" t="s">
        <v>7870</v>
      </c>
      <c r="AP761" s="161" t="str">
        <f>IMAGE("https://bellingcat-archive.nyc3.cdn.digitaloceanspaces.com/Ukraine_Witness_Datasheet/Worksheet/youtube_dl_1497552887144235008/out2.jpg")</f>
        <v/>
      </c>
      <c r="AQ761" s="84" t="s">
        <v>7871</v>
      </c>
      <c r="AR761" s="71" t="s">
        <v>7872</v>
      </c>
      <c r="AS761" s="71" t="s">
        <v>7873</v>
      </c>
      <c r="AT761" s="71">
        <v>34.594</v>
      </c>
      <c r="AU761" s="89"/>
      <c r="AV761" s="162"/>
      <c r="AW761" s="81"/>
    </row>
    <row r="762" ht="15.75" customHeight="1">
      <c r="A762" s="87" t="s">
        <v>3944</v>
      </c>
      <c r="B762" s="73"/>
      <c r="C762" s="57" t="s">
        <v>7672</v>
      </c>
      <c r="D762" s="104">
        <v>50.951173</v>
      </c>
      <c r="E762" s="210">
        <v>29.880348</v>
      </c>
      <c r="F762" s="79">
        <v>2.0</v>
      </c>
      <c r="G762" s="84" t="s">
        <v>7874</v>
      </c>
      <c r="H762" s="73"/>
      <c r="I762" s="75"/>
      <c r="J762" s="64" t="s">
        <v>7875</v>
      </c>
      <c r="K762" s="88" t="s">
        <v>7876</v>
      </c>
      <c r="L762" s="110" t="s">
        <v>3542</v>
      </c>
      <c r="M762" s="92" t="s">
        <v>7877</v>
      </c>
      <c r="N762" s="111"/>
      <c r="O762" s="111"/>
      <c r="P762" s="67" t="str">
        <f t="shared" si="1"/>
        <v>50.951173, 29.880348</v>
      </c>
      <c r="Q762" s="67" t="str">
        <f t="shared" si="2"/>
        <v>50.950453, 29.88064</v>
      </c>
      <c r="R762" s="67">
        <f t="shared" si="3"/>
        <v>50.950453</v>
      </c>
      <c r="S762" s="67">
        <f t="shared" si="4"/>
        <v>29.88064</v>
      </c>
      <c r="T762" s="161"/>
      <c r="U762" s="69"/>
      <c r="V762" s="169" t="s">
        <v>7878</v>
      </c>
      <c r="W762" s="71" t="s">
        <v>7571</v>
      </c>
      <c r="X762" s="72" t="s">
        <v>75</v>
      </c>
      <c r="Y762" s="73"/>
      <c r="Z762" s="73"/>
      <c r="AA762" s="73"/>
      <c r="AB762" s="73"/>
      <c r="AC762" s="73"/>
      <c r="AD762" s="73"/>
      <c r="AE762" s="73"/>
      <c r="AF762" s="73"/>
      <c r="AG762" s="73"/>
      <c r="AH762" s="73"/>
      <c r="AI762" s="73"/>
      <c r="AJ762" s="75"/>
      <c r="AK762" s="76" t="s">
        <v>798</v>
      </c>
      <c r="AL762" s="83" t="s">
        <v>7879</v>
      </c>
      <c r="AM762" s="71" t="s">
        <v>7880</v>
      </c>
      <c r="AN762" s="84" t="s">
        <v>7881</v>
      </c>
      <c r="AO762" s="71" t="s">
        <v>7882</v>
      </c>
      <c r="AP762" s="161" t="str">
        <f>IMAGE("https://bellingcat-archive.nyc3.cdn.digitaloceanspaces.com/Ukraine_Witness_Datasheet/Worksheet/youtube_dl_1497584916443578373/out3.jpg")</f>
        <v/>
      </c>
      <c r="AQ762" s="84" t="s">
        <v>7883</v>
      </c>
      <c r="AR762" s="71" t="s">
        <v>7884</v>
      </c>
      <c r="AS762" s="71" t="s">
        <v>7885</v>
      </c>
      <c r="AT762" s="71">
        <v>78.599</v>
      </c>
      <c r="AU762" s="89"/>
      <c r="AV762" s="162"/>
      <c r="AW762" s="81"/>
    </row>
    <row r="763" ht="15.75" customHeight="1">
      <c r="A763" s="95" t="s">
        <v>7849</v>
      </c>
      <c r="B763" s="73"/>
      <c r="C763" s="57" t="s">
        <v>7672</v>
      </c>
      <c r="D763" s="74">
        <v>46.963534</v>
      </c>
      <c r="E763" s="74">
        <v>32.02258</v>
      </c>
      <c r="F763" s="79">
        <v>2.0</v>
      </c>
      <c r="G763" s="84" t="s">
        <v>7886</v>
      </c>
      <c r="H763" s="73"/>
      <c r="I763" s="75"/>
      <c r="J763" s="64" t="s">
        <v>7887</v>
      </c>
      <c r="K763" s="88" t="s">
        <v>7888</v>
      </c>
      <c r="L763" s="110" t="s">
        <v>3542</v>
      </c>
      <c r="M763" s="92" t="s">
        <v>7889</v>
      </c>
      <c r="N763" s="111"/>
      <c r="O763" s="92" t="s">
        <v>6658</v>
      </c>
      <c r="P763" s="67" t="str">
        <f t="shared" si="1"/>
        <v>46.963534, 32.02258</v>
      </c>
      <c r="Q763" s="67" t="str">
        <f t="shared" si="2"/>
        <v>46.96297, 32.022988</v>
      </c>
      <c r="R763" s="67">
        <f t="shared" si="3"/>
        <v>46.96297</v>
      </c>
      <c r="S763" s="67">
        <f t="shared" si="4"/>
        <v>32.022988</v>
      </c>
      <c r="T763" s="161"/>
      <c r="U763" s="69"/>
      <c r="V763" s="169" t="s">
        <v>7890</v>
      </c>
      <c r="W763" s="227" t="s">
        <v>5739</v>
      </c>
      <c r="X763" s="72" t="s">
        <v>75</v>
      </c>
      <c r="Y763" s="73"/>
      <c r="Z763" s="73"/>
      <c r="AA763" s="73"/>
      <c r="AB763" s="73"/>
      <c r="AC763" s="73"/>
      <c r="AD763" s="73"/>
      <c r="AE763" s="73"/>
      <c r="AF763" s="73"/>
      <c r="AG763" s="73"/>
      <c r="AH763" s="73"/>
      <c r="AI763" s="73"/>
      <c r="AJ763" s="75"/>
      <c r="AK763" s="76" t="s">
        <v>798</v>
      </c>
      <c r="AL763" s="83" t="s">
        <v>7891</v>
      </c>
      <c r="AM763" s="71" t="s">
        <v>7892</v>
      </c>
      <c r="AN763" s="84" t="s">
        <v>7893</v>
      </c>
      <c r="AO763" s="71" t="s">
        <v>7894</v>
      </c>
      <c r="AP763" s="161" t="str">
        <f>IMAGE("https://bellingcat-archive.nyc3.cdn.digitaloceanspaces.com/Ukraine_Witness_Datasheet/Worksheet/youtube_dl_1497617235199893512/out2.jpg")</f>
        <v/>
      </c>
      <c r="AQ763" s="84" t="s">
        <v>7895</v>
      </c>
      <c r="AR763" s="71" t="s">
        <v>7896</v>
      </c>
      <c r="AS763" s="71" t="s">
        <v>7897</v>
      </c>
      <c r="AT763" s="71">
        <v>27.6</v>
      </c>
      <c r="AU763" s="89"/>
      <c r="AV763" s="80" t="s">
        <v>63</v>
      </c>
      <c r="AW763" s="81"/>
    </row>
    <row r="764" ht="15.75" customHeight="1">
      <c r="A764" s="175"/>
      <c r="B764" s="73"/>
      <c r="C764" s="57" t="s">
        <v>7672</v>
      </c>
      <c r="D764" s="121"/>
      <c r="E764" s="121"/>
      <c r="F764" s="79">
        <v>2.0</v>
      </c>
      <c r="G764" s="84" t="s">
        <v>7898</v>
      </c>
      <c r="H764" s="73"/>
      <c r="I764" s="75"/>
      <c r="J764" s="69"/>
      <c r="K764" s="88" t="s">
        <v>7899</v>
      </c>
      <c r="L764" s="110" t="s">
        <v>3542</v>
      </c>
      <c r="M764" s="92" t="s">
        <v>5827</v>
      </c>
      <c r="N764" s="111"/>
      <c r="O764" s="92" t="s">
        <v>6121</v>
      </c>
      <c r="P764" s="67" t="str">
        <f t="shared" si="1"/>
        <v/>
      </c>
      <c r="Q764" s="67" t="str">
        <f t="shared" si="2"/>
        <v/>
      </c>
      <c r="R764" s="67" t="str">
        <f t="shared" si="3"/>
        <v/>
      </c>
      <c r="S764" s="67" t="str">
        <f t="shared" si="4"/>
        <v/>
      </c>
      <c r="T764" s="161"/>
      <c r="U764" s="69"/>
      <c r="V764" s="169" t="s">
        <v>7900</v>
      </c>
      <c r="W764" s="161"/>
      <c r="X764" s="194"/>
      <c r="Y764" s="73"/>
      <c r="Z764" s="73"/>
      <c r="AA764" s="73"/>
      <c r="AB764" s="73"/>
      <c r="AC764" s="73"/>
      <c r="AD764" s="73"/>
      <c r="AE764" s="73"/>
      <c r="AF764" s="73"/>
      <c r="AG764" s="73"/>
      <c r="AH764" s="73"/>
      <c r="AI764" s="73"/>
      <c r="AJ764" s="75"/>
      <c r="AK764" s="76" t="s">
        <v>798</v>
      </c>
      <c r="AL764" s="83" t="s">
        <v>7901</v>
      </c>
      <c r="AM764" s="71" t="s">
        <v>7902</v>
      </c>
      <c r="AN764" s="84" t="s">
        <v>7903</v>
      </c>
      <c r="AO764" s="71" t="s">
        <v>7904</v>
      </c>
      <c r="AP764" s="161" t="str">
        <f>IMAGE("https://bellingcat-archive.nyc3.cdn.digitaloceanspaces.com/Ukraine_Witness_Datasheet/Worksheet/youtube_dl_1497637312229822466/out2.jpg")</f>
        <v/>
      </c>
      <c r="AQ764" s="84" t="s">
        <v>7905</v>
      </c>
      <c r="AR764" s="71" t="s">
        <v>7906</v>
      </c>
      <c r="AS764" s="71" t="s">
        <v>7907</v>
      </c>
      <c r="AT764" s="71">
        <v>45.001</v>
      </c>
      <c r="AU764" s="89"/>
      <c r="AV764" s="162"/>
      <c r="AW764" s="81"/>
    </row>
    <row r="765" ht="15.75" customHeight="1">
      <c r="A765" s="175"/>
      <c r="B765" s="73"/>
      <c r="C765" s="176"/>
      <c r="D765" s="121"/>
      <c r="E765" s="121"/>
      <c r="F765" s="89"/>
      <c r="G765" s="84" t="s">
        <v>7908</v>
      </c>
      <c r="H765" s="73"/>
      <c r="I765" s="75"/>
      <c r="J765" s="69"/>
      <c r="K765" s="69"/>
      <c r="L765" s="134"/>
      <c r="M765" s="111"/>
      <c r="N765" s="111"/>
      <c r="O765" s="111"/>
      <c r="P765" s="67" t="str">
        <f t="shared" si="1"/>
        <v/>
      </c>
      <c r="Q765" s="67" t="str">
        <f t="shared" si="2"/>
        <v/>
      </c>
      <c r="R765" s="67" t="str">
        <f t="shared" si="3"/>
        <v/>
      </c>
      <c r="S765" s="67" t="str">
        <f t="shared" si="4"/>
        <v/>
      </c>
      <c r="T765" s="161"/>
      <c r="U765" s="69"/>
      <c r="V765" s="169" t="s">
        <v>7909</v>
      </c>
      <c r="W765" s="161"/>
      <c r="X765" s="194"/>
      <c r="Y765" s="73"/>
      <c r="Z765" s="73"/>
      <c r="AA765" s="73"/>
      <c r="AB765" s="73"/>
      <c r="AC765" s="73"/>
      <c r="AD765" s="73"/>
      <c r="AE765" s="73"/>
      <c r="AF765" s="73"/>
      <c r="AG765" s="73"/>
      <c r="AH765" s="73"/>
      <c r="AI765" s="73"/>
      <c r="AJ765" s="75"/>
      <c r="AK765" s="76" t="s">
        <v>798</v>
      </c>
      <c r="AL765" s="83" t="s">
        <v>7910</v>
      </c>
      <c r="AM765" s="71" t="s">
        <v>7911</v>
      </c>
      <c r="AN765" s="84" t="s">
        <v>7912</v>
      </c>
      <c r="AO765" s="71" t="s">
        <v>7913</v>
      </c>
      <c r="AP765" s="161" t="str">
        <f>IMAGE("https://bellingcat-archive.nyc3.cdn.digitaloceanspaces.com/Ukraine_Witness_Datasheet/Worksheet/youtube_dl_1497638657829879810/out2.jpg")</f>
        <v/>
      </c>
      <c r="AQ765" s="84" t="s">
        <v>7914</v>
      </c>
      <c r="AR765" s="71" t="s">
        <v>7915</v>
      </c>
      <c r="AS765" s="71" t="s">
        <v>7916</v>
      </c>
      <c r="AT765" s="71">
        <v>53.801</v>
      </c>
      <c r="AU765" s="89"/>
      <c r="AV765" s="162"/>
      <c r="AW765" s="81"/>
    </row>
    <row r="766" ht="15.75" customHeight="1">
      <c r="A766" s="172"/>
      <c r="B766" s="73"/>
      <c r="C766" s="176"/>
      <c r="D766" s="121"/>
      <c r="E766" s="121"/>
      <c r="F766" s="89"/>
      <c r="G766" s="84" t="s">
        <v>7917</v>
      </c>
      <c r="H766" s="73"/>
      <c r="I766" s="75"/>
      <c r="J766" s="69"/>
      <c r="K766" s="88" t="s">
        <v>7918</v>
      </c>
      <c r="L766" s="134"/>
      <c r="M766" s="111"/>
      <c r="N766" s="111"/>
      <c r="O766" s="111"/>
      <c r="P766" s="67" t="str">
        <f t="shared" si="1"/>
        <v/>
      </c>
      <c r="Q766" s="67" t="str">
        <f t="shared" si="2"/>
        <v/>
      </c>
      <c r="R766" s="67" t="str">
        <f t="shared" si="3"/>
        <v/>
      </c>
      <c r="S766" s="67" t="str">
        <f t="shared" si="4"/>
        <v/>
      </c>
      <c r="T766" s="161"/>
      <c r="U766" s="69"/>
      <c r="V766" s="169" t="s">
        <v>7919</v>
      </c>
      <c r="W766" s="161"/>
      <c r="X766" s="194"/>
      <c r="Y766" s="73"/>
      <c r="Z766" s="73"/>
      <c r="AA766" s="73"/>
      <c r="AB766" s="73"/>
      <c r="AC766" s="73"/>
      <c r="AD766" s="73"/>
      <c r="AE766" s="73"/>
      <c r="AF766" s="73"/>
      <c r="AG766" s="73"/>
      <c r="AH766" s="73"/>
      <c r="AI766" s="73"/>
      <c r="AJ766" s="75"/>
      <c r="AK766" s="76" t="s">
        <v>798</v>
      </c>
      <c r="AL766" s="83" t="s">
        <v>7920</v>
      </c>
      <c r="AM766" s="71" t="s">
        <v>7921</v>
      </c>
      <c r="AN766" s="84" t="s">
        <v>7922</v>
      </c>
      <c r="AO766" s="71" t="s">
        <v>7923</v>
      </c>
      <c r="AP766" s="161" t="str">
        <f>IMAGE("https://bellingcat-archive.nyc3.cdn.digitaloceanspaces.com/Ukraine_Witness_Datasheet/Worksheet/youtube_dl_1497638132988223490/out3.jpg")</f>
        <v/>
      </c>
      <c r="AQ766" s="84" t="s">
        <v>7924</v>
      </c>
      <c r="AR766" s="71" t="s">
        <v>7925</v>
      </c>
      <c r="AS766" s="71" t="s">
        <v>7926</v>
      </c>
      <c r="AT766" s="71">
        <v>85.166</v>
      </c>
      <c r="AU766" s="89"/>
      <c r="AV766" s="162"/>
      <c r="AW766" s="81"/>
    </row>
    <row r="767" ht="15.75" customHeight="1">
      <c r="A767" s="172"/>
      <c r="B767" s="73"/>
      <c r="C767" s="176"/>
      <c r="D767" s="121"/>
      <c r="E767" s="121"/>
      <c r="F767" s="89"/>
      <c r="G767" s="84" t="s">
        <v>7927</v>
      </c>
      <c r="H767" s="73"/>
      <c r="I767" s="75"/>
      <c r="J767" s="69"/>
      <c r="K767" s="69"/>
      <c r="L767" s="134"/>
      <c r="M767" s="111"/>
      <c r="N767" s="111"/>
      <c r="O767" s="111"/>
      <c r="P767" s="67" t="str">
        <f t="shared" si="1"/>
        <v/>
      </c>
      <c r="Q767" s="67" t="str">
        <f t="shared" si="2"/>
        <v/>
      </c>
      <c r="R767" s="67" t="str">
        <f t="shared" si="3"/>
        <v/>
      </c>
      <c r="S767" s="67" t="str">
        <f t="shared" si="4"/>
        <v/>
      </c>
      <c r="T767" s="161"/>
      <c r="U767" s="69"/>
      <c r="V767" s="169" t="s">
        <v>7928</v>
      </c>
      <c r="W767" s="161"/>
      <c r="X767" s="194"/>
      <c r="Y767" s="73"/>
      <c r="Z767" s="73"/>
      <c r="AA767" s="73"/>
      <c r="AB767" s="73"/>
      <c r="AC767" s="73"/>
      <c r="AD767" s="73"/>
      <c r="AE767" s="73"/>
      <c r="AF767" s="73"/>
      <c r="AG767" s="73"/>
      <c r="AH767" s="73"/>
      <c r="AI767" s="73"/>
      <c r="AJ767" s="75"/>
      <c r="AK767" s="76" t="s">
        <v>798</v>
      </c>
      <c r="AL767" s="83" t="s">
        <v>7929</v>
      </c>
      <c r="AM767" s="71" t="s">
        <v>7930</v>
      </c>
      <c r="AN767" s="84" t="s">
        <v>7931</v>
      </c>
      <c r="AO767" s="71" t="s">
        <v>7932</v>
      </c>
      <c r="AP767" s="161" t="str">
        <f>IMAGE("https://bellingcat-archive.nyc3.cdn.digitaloceanspaces.com/Ukraine_Witness_Datasheet/Worksheet/youtube_dl_1497557369336877059/out3.jpg")</f>
        <v/>
      </c>
      <c r="AQ767" s="84" t="s">
        <v>7933</v>
      </c>
      <c r="AR767" s="71" t="s">
        <v>7934</v>
      </c>
      <c r="AS767" s="71" t="s">
        <v>7935</v>
      </c>
      <c r="AT767" s="71">
        <v>64.998</v>
      </c>
      <c r="AU767" s="89"/>
      <c r="AV767" s="162"/>
      <c r="AW767" s="81"/>
    </row>
    <row r="768" ht="15.75" customHeight="1">
      <c r="A768" s="172"/>
      <c r="B768" s="73"/>
      <c r="C768" s="176"/>
      <c r="D768" s="121"/>
      <c r="E768" s="121"/>
      <c r="F768" s="89"/>
      <c r="G768" s="84" t="s">
        <v>7936</v>
      </c>
      <c r="H768" s="73"/>
      <c r="I768" s="75"/>
      <c r="J768" s="69"/>
      <c r="K768" s="69"/>
      <c r="L768" s="134"/>
      <c r="M768" s="111"/>
      <c r="N768" s="111"/>
      <c r="O768" s="111"/>
      <c r="P768" s="67" t="str">
        <f t="shared" si="1"/>
        <v/>
      </c>
      <c r="Q768" s="67" t="str">
        <f t="shared" si="2"/>
        <v/>
      </c>
      <c r="R768" s="67" t="str">
        <f t="shared" si="3"/>
        <v/>
      </c>
      <c r="S768" s="67" t="str">
        <f t="shared" si="4"/>
        <v/>
      </c>
      <c r="T768" s="161"/>
      <c r="U768" s="69"/>
      <c r="V768" s="169" t="s">
        <v>7937</v>
      </c>
      <c r="W768" s="161"/>
      <c r="X768" s="194"/>
      <c r="Y768" s="73"/>
      <c r="Z768" s="73"/>
      <c r="AA768" s="73"/>
      <c r="AB768" s="73"/>
      <c r="AC768" s="73"/>
      <c r="AD768" s="73"/>
      <c r="AE768" s="73"/>
      <c r="AF768" s="73"/>
      <c r="AG768" s="73"/>
      <c r="AH768" s="73"/>
      <c r="AI768" s="73"/>
      <c r="AJ768" s="75"/>
      <c r="AK768" s="76" t="s">
        <v>798</v>
      </c>
      <c r="AL768" s="83" t="s">
        <v>7938</v>
      </c>
      <c r="AM768" s="71" t="s">
        <v>7939</v>
      </c>
      <c r="AN768" s="84" t="s">
        <v>7940</v>
      </c>
      <c r="AO768" s="71" t="s">
        <v>7941</v>
      </c>
      <c r="AP768" s="161" t="str">
        <f>IMAGE("https://bellingcat-archive.nyc3.cdn.digitaloceanspaces.com/Ukraine_Witness_Datasheet/Worksheet/youtube_dl_1497552237081489412/out2.jpg")</f>
        <v/>
      </c>
      <c r="AQ768" s="84" t="s">
        <v>7942</v>
      </c>
      <c r="AR768" s="71" t="s">
        <v>7943</v>
      </c>
      <c r="AS768" s="71" t="s">
        <v>7944</v>
      </c>
      <c r="AT768" s="71">
        <v>16.766</v>
      </c>
      <c r="AU768" s="89"/>
      <c r="AV768" s="162"/>
      <c r="AW768" s="81"/>
    </row>
    <row r="769" ht="15.75" customHeight="1">
      <c r="A769" s="95" t="s">
        <v>5520</v>
      </c>
      <c r="B769" s="73"/>
      <c r="C769" s="57" t="s">
        <v>7672</v>
      </c>
      <c r="D769" s="104">
        <v>46.8432029</v>
      </c>
      <c r="E769" s="104">
        <v>35.38171</v>
      </c>
      <c r="F769" s="79">
        <v>1.0</v>
      </c>
      <c r="G769" s="84" t="s">
        <v>7945</v>
      </c>
      <c r="H769" s="73"/>
      <c r="I769" s="75"/>
      <c r="J769" s="64" t="s">
        <v>7946</v>
      </c>
      <c r="K769" s="88" t="s">
        <v>7945</v>
      </c>
      <c r="L769" s="110" t="s">
        <v>3542</v>
      </c>
      <c r="M769" s="92" t="s">
        <v>7947</v>
      </c>
      <c r="N769" s="92"/>
      <c r="O769" s="92" t="s">
        <v>7948</v>
      </c>
      <c r="P769" s="67" t="str">
        <f t="shared" si="1"/>
        <v>46.8432029, 35.38171</v>
      </c>
      <c r="Q769" s="67" t="str">
        <f t="shared" si="2"/>
        <v>46.842554, 35.381076</v>
      </c>
      <c r="R769" s="67">
        <f t="shared" si="3"/>
        <v>46.842554</v>
      </c>
      <c r="S769" s="67">
        <f t="shared" si="4"/>
        <v>35.381076</v>
      </c>
      <c r="T769" s="71" t="s">
        <v>7949</v>
      </c>
      <c r="U769" s="64"/>
      <c r="V769" s="169" t="s">
        <v>7950</v>
      </c>
      <c r="W769" s="71" t="s">
        <v>811</v>
      </c>
      <c r="X769" s="72" t="s">
        <v>2982</v>
      </c>
      <c r="Y769" s="73"/>
      <c r="Z769" s="73"/>
      <c r="AA769" s="73"/>
      <c r="AB769" s="73"/>
      <c r="AC769" s="73"/>
      <c r="AD769" s="73"/>
      <c r="AE769" s="73"/>
      <c r="AF769" s="73"/>
      <c r="AG769" s="73"/>
      <c r="AH769" s="73"/>
      <c r="AI769" s="73"/>
      <c r="AJ769" s="75"/>
      <c r="AK769" s="76" t="s">
        <v>798</v>
      </c>
      <c r="AL769" s="83" t="s">
        <v>7951</v>
      </c>
      <c r="AM769" s="71" t="s">
        <v>7952</v>
      </c>
      <c r="AN769" s="84" t="s">
        <v>7953</v>
      </c>
      <c r="AO769" s="71" t="s">
        <v>7954</v>
      </c>
      <c r="AP769" s="161" t="str">
        <f>IMAGE("https://bellingcat-archive.nyc3.cdn.digitaloceanspaces.com/Ukraine_Witness_Datasheet/Worksheet/youtube_dl_1497622951667109900/out2.jpg")</f>
        <v/>
      </c>
      <c r="AQ769" s="84" t="s">
        <v>7955</v>
      </c>
      <c r="AR769" s="71" t="s">
        <v>7956</v>
      </c>
      <c r="AS769" s="71" t="s">
        <v>7957</v>
      </c>
      <c r="AT769" s="71">
        <v>12.747</v>
      </c>
      <c r="AU769" s="89"/>
      <c r="AV769" s="80" t="s">
        <v>3944</v>
      </c>
      <c r="AW769" s="81"/>
    </row>
    <row r="770" ht="15.75" customHeight="1">
      <c r="A770" s="95" t="s">
        <v>5520</v>
      </c>
      <c r="B770" s="73"/>
      <c r="C770" s="57" t="s">
        <v>6118</v>
      </c>
      <c r="D770" s="104">
        <v>46.839793</v>
      </c>
      <c r="E770" s="104">
        <v>35.373877</v>
      </c>
      <c r="F770" s="79">
        <v>1.0</v>
      </c>
      <c r="G770" s="84" t="s">
        <v>7958</v>
      </c>
      <c r="H770" s="73"/>
      <c r="I770" s="75"/>
      <c r="J770" s="64" t="s">
        <v>7959</v>
      </c>
      <c r="K770" s="69"/>
      <c r="L770" s="110" t="s">
        <v>3542</v>
      </c>
      <c r="M770" s="92" t="s">
        <v>7947</v>
      </c>
      <c r="N770" s="92"/>
      <c r="O770" s="92" t="s">
        <v>7948</v>
      </c>
      <c r="P770" s="67" t="str">
        <f t="shared" si="1"/>
        <v>46.839793, 35.373877</v>
      </c>
      <c r="Q770" s="67" t="str">
        <f t="shared" si="2"/>
        <v>46.839635, 35.37451</v>
      </c>
      <c r="R770" s="67">
        <f t="shared" si="3"/>
        <v>46.839635</v>
      </c>
      <c r="S770" s="67">
        <f t="shared" si="4"/>
        <v>35.37451</v>
      </c>
      <c r="T770" s="161"/>
      <c r="U770" s="69"/>
      <c r="V770" s="169" t="s">
        <v>7960</v>
      </c>
      <c r="W770" s="308" t="s">
        <v>74</v>
      </c>
      <c r="X770" s="72" t="s">
        <v>75</v>
      </c>
      <c r="Y770" s="73"/>
      <c r="Z770" s="73"/>
      <c r="AA770" s="73"/>
      <c r="AB770" s="73"/>
      <c r="AC770" s="73"/>
      <c r="AD770" s="73"/>
      <c r="AE770" s="73"/>
      <c r="AF770" s="73"/>
      <c r="AG770" s="73"/>
      <c r="AH770" s="73"/>
      <c r="AI770" s="73"/>
      <c r="AJ770" s="75"/>
      <c r="AK770" s="76" t="s">
        <v>798</v>
      </c>
      <c r="AL770" s="83" t="s">
        <v>7961</v>
      </c>
      <c r="AM770" s="71" t="s">
        <v>7962</v>
      </c>
      <c r="AN770" s="84" t="s">
        <v>7963</v>
      </c>
      <c r="AO770" s="71" t="s">
        <v>7964</v>
      </c>
      <c r="AP770" s="161" t="str">
        <f>IMAGE("https://bellingcat-archive.nyc3.cdn.digitaloceanspaces.com/Ukraine_Witness_Datasheet/Worksheet/youtube_dl_1497088601896542210/out2.jpg")</f>
        <v/>
      </c>
      <c r="AQ770" s="84" t="s">
        <v>7965</v>
      </c>
      <c r="AR770" s="71" t="s">
        <v>7966</v>
      </c>
      <c r="AS770" s="71" t="s">
        <v>7967</v>
      </c>
      <c r="AT770" s="71">
        <v>18.986</v>
      </c>
      <c r="AU770" s="89"/>
      <c r="AV770" s="80" t="s">
        <v>63</v>
      </c>
      <c r="AW770" s="81"/>
    </row>
    <row r="771" ht="15.75" customHeight="1">
      <c r="A771" s="144" t="s">
        <v>7968</v>
      </c>
      <c r="B771" s="73"/>
      <c r="C771" s="57" t="s">
        <v>7672</v>
      </c>
      <c r="D771" s="121"/>
      <c r="E771" s="121"/>
      <c r="F771" s="89"/>
      <c r="G771" s="130" t="s">
        <v>7969</v>
      </c>
      <c r="H771" s="73"/>
      <c r="I771" s="75"/>
      <c r="J771" s="64" t="s">
        <v>7970</v>
      </c>
      <c r="K771" s="69"/>
      <c r="L771" s="110" t="s">
        <v>5670</v>
      </c>
      <c r="M771" s="92" t="s">
        <v>6563</v>
      </c>
      <c r="N771" s="92" t="s">
        <v>7971</v>
      </c>
      <c r="O771" s="111"/>
      <c r="P771" s="67" t="str">
        <f t="shared" si="1"/>
        <v/>
      </c>
      <c r="Q771" s="67" t="str">
        <f t="shared" si="2"/>
        <v/>
      </c>
      <c r="R771" s="67" t="str">
        <f t="shared" si="3"/>
        <v/>
      </c>
      <c r="S771" s="67" t="str">
        <f t="shared" si="4"/>
        <v/>
      </c>
      <c r="T771" s="161"/>
      <c r="U771" s="69"/>
      <c r="V771" s="169" t="s">
        <v>7972</v>
      </c>
      <c r="W771" s="161"/>
      <c r="X771" s="194"/>
      <c r="Y771" s="73"/>
      <c r="Z771" s="73"/>
      <c r="AA771" s="73"/>
      <c r="AB771" s="73"/>
      <c r="AC771" s="73"/>
      <c r="AD771" s="73"/>
      <c r="AE771" s="73"/>
      <c r="AF771" s="73"/>
      <c r="AG771" s="73"/>
      <c r="AH771" s="73"/>
      <c r="AI771" s="73"/>
      <c r="AJ771" s="75"/>
      <c r="AK771" s="76" t="s">
        <v>798</v>
      </c>
      <c r="AL771" s="83" t="s">
        <v>7973</v>
      </c>
      <c r="AM771" s="71" t="s">
        <v>7974</v>
      </c>
      <c r="AN771" s="84" t="s">
        <v>7975</v>
      </c>
      <c r="AO771" s="71" t="s">
        <v>7976</v>
      </c>
      <c r="AP771" s="161" t="str">
        <f>IMAGE("https://bellingcat-archive.nyc3.cdn.digitaloceanspaces.com/Ukraine_Witness_Datasheet/Worksheet/youtube_dl_1497672421263958022/out2.jpg")</f>
        <v/>
      </c>
      <c r="AQ771" s="84" t="s">
        <v>7977</v>
      </c>
      <c r="AR771" s="71" t="s">
        <v>7978</v>
      </c>
      <c r="AS771" s="71" t="s">
        <v>7979</v>
      </c>
      <c r="AT771" s="71">
        <v>56.5</v>
      </c>
      <c r="AU771" s="89"/>
      <c r="AV771" s="162"/>
      <c r="AW771" s="81"/>
    </row>
    <row r="772" ht="15.75" customHeight="1">
      <c r="A772" s="144" t="s">
        <v>5520</v>
      </c>
      <c r="B772" s="73"/>
      <c r="C772" s="57" t="s">
        <v>7672</v>
      </c>
      <c r="D772" s="121"/>
      <c r="E772" s="121"/>
      <c r="F772" s="79">
        <v>1.0</v>
      </c>
      <c r="G772" s="84" t="s">
        <v>7980</v>
      </c>
      <c r="H772" s="73"/>
      <c r="I772" s="75"/>
      <c r="J772" s="64" t="s">
        <v>7981</v>
      </c>
      <c r="K772" s="69"/>
      <c r="L772" s="134"/>
      <c r="M772" s="111"/>
      <c r="N772" s="111"/>
      <c r="O772" s="111"/>
      <c r="P772" s="67" t="str">
        <f t="shared" si="1"/>
        <v/>
      </c>
      <c r="Q772" s="67" t="str">
        <f t="shared" si="2"/>
        <v/>
      </c>
      <c r="R772" s="67" t="str">
        <f t="shared" si="3"/>
        <v/>
      </c>
      <c r="S772" s="67" t="str">
        <f t="shared" si="4"/>
        <v/>
      </c>
      <c r="T772" s="161"/>
      <c r="U772" s="69"/>
      <c r="V772" s="169" t="s">
        <v>7982</v>
      </c>
      <c r="W772" s="161"/>
      <c r="X772" s="194"/>
      <c r="Y772" s="73"/>
      <c r="Z772" s="73"/>
      <c r="AA772" s="73"/>
      <c r="AB772" s="73"/>
      <c r="AC772" s="73"/>
      <c r="AD772" s="73"/>
      <c r="AE772" s="73"/>
      <c r="AF772" s="73"/>
      <c r="AG772" s="73"/>
      <c r="AH772" s="73"/>
      <c r="AI772" s="73"/>
      <c r="AJ772" s="75"/>
      <c r="AK772" s="76" t="s">
        <v>798</v>
      </c>
      <c r="AL772" s="83" t="s">
        <v>7983</v>
      </c>
      <c r="AM772" s="71" t="s">
        <v>7984</v>
      </c>
      <c r="AN772" s="84" t="s">
        <v>7985</v>
      </c>
      <c r="AO772" s="71" t="s">
        <v>7986</v>
      </c>
      <c r="AP772" s="161" t="str">
        <f>IMAGE("https://bellingcat-archive.nyc3.cdn.digitaloceanspaces.com/Ukraine_Witness_Datasheet/Worksheet/youtube_dl_1497560505690505219/out2.jpg")</f>
        <v/>
      </c>
      <c r="AQ772" s="84" t="s">
        <v>7987</v>
      </c>
      <c r="AR772" s="71" t="s">
        <v>7988</v>
      </c>
      <c r="AS772" s="71" t="s">
        <v>7989</v>
      </c>
      <c r="AT772" s="71">
        <v>35.758</v>
      </c>
      <c r="AU772" s="89"/>
      <c r="AV772" s="162"/>
      <c r="AW772" s="81"/>
    </row>
    <row r="773" ht="15.75" customHeight="1">
      <c r="A773" s="95" t="s">
        <v>7849</v>
      </c>
      <c r="B773" s="73"/>
      <c r="C773" s="57" t="s">
        <v>7672</v>
      </c>
      <c r="D773" s="74">
        <v>51.778956</v>
      </c>
      <c r="E773" s="74">
        <v>30.261499</v>
      </c>
      <c r="F773" s="79">
        <v>1.0</v>
      </c>
      <c r="G773" s="84" t="s">
        <v>7990</v>
      </c>
      <c r="H773" s="73"/>
      <c r="I773" s="75"/>
      <c r="J773" s="64" t="s">
        <v>7991</v>
      </c>
      <c r="K773" s="88" t="s">
        <v>7992</v>
      </c>
      <c r="L773" s="110" t="s">
        <v>69</v>
      </c>
      <c r="M773" s="92" t="s">
        <v>70</v>
      </c>
      <c r="N773" s="92"/>
      <c r="O773" s="92" t="s">
        <v>2738</v>
      </c>
      <c r="P773" s="67" t="str">
        <f t="shared" si="1"/>
        <v>51.778956, 30.261499</v>
      </c>
      <c r="Q773" s="67" t="str">
        <f t="shared" si="2"/>
        <v>51.778937, 30.260527</v>
      </c>
      <c r="R773" s="67">
        <f t="shared" si="3"/>
        <v>51.778937</v>
      </c>
      <c r="S773" s="67">
        <f t="shared" si="4"/>
        <v>30.260527</v>
      </c>
      <c r="T773" s="161"/>
      <c r="U773" s="69"/>
      <c r="V773" s="169" t="s">
        <v>7993</v>
      </c>
      <c r="W773" s="308" t="s">
        <v>74</v>
      </c>
      <c r="X773" s="72" t="s">
        <v>75</v>
      </c>
      <c r="Y773" s="73"/>
      <c r="Z773" s="73"/>
      <c r="AA773" s="73"/>
      <c r="AB773" s="73"/>
      <c r="AC773" s="73"/>
      <c r="AD773" s="73"/>
      <c r="AE773" s="73"/>
      <c r="AF773" s="73"/>
      <c r="AG773" s="73"/>
      <c r="AH773" s="73"/>
      <c r="AI773" s="73"/>
      <c r="AJ773" s="75"/>
      <c r="AK773" s="76" t="s">
        <v>798</v>
      </c>
      <c r="AL773" s="83" t="s">
        <v>7994</v>
      </c>
      <c r="AM773" s="71" t="s">
        <v>7995</v>
      </c>
      <c r="AN773" s="84" t="s">
        <v>7996</v>
      </c>
      <c r="AO773" s="71" t="s">
        <v>7997</v>
      </c>
      <c r="AP773" s="161" t="str">
        <f>IMAGE("https://bellingcat-archive.nyc3.cdn.digitaloceanspaces.com/Ukraine_Witness_Datasheet/Worksheet/youtube_dl_1497682664404525056/out3.jpg")</f>
        <v/>
      </c>
      <c r="AQ773" s="84" t="s">
        <v>7998</v>
      </c>
      <c r="AR773" s="71" t="s">
        <v>7999</v>
      </c>
      <c r="AS773" s="71" t="s">
        <v>8000</v>
      </c>
      <c r="AT773" s="71">
        <v>72.2</v>
      </c>
      <c r="AU773" s="89"/>
      <c r="AV773" s="80" t="s">
        <v>63</v>
      </c>
      <c r="AW773" s="81"/>
    </row>
    <row r="774" ht="15.75" customHeight="1">
      <c r="A774" s="301" t="s">
        <v>5520</v>
      </c>
      <c r="B774" s="73"/>
      <c r="C774" s="57" t="s">
        <v>7672</v>
      </c>
      <c r="D774" s="104">
        <v>46.831637</v>
      </c>
      <c r="E774" s="104">
        <v>35.363054</v>
      </c>
      <c r="F774" s="79">
        <v>1.0</v>
      </c>
      <c r="G774" s="60" t="s">
        <v>8001</v>
      </c>
      <c r="H774" s="73"/>
      <c r="I774" s="75"/>
      <c r="J774" s="64" t="s">
        <v>8002</v>
      </c>
      <c r="K774" s="114" t="s">
        <v>8001</v>
      </c>
      <c r="L774" s="110" t="s">
        <v>3542</v>
      </c>
      <c r="M774" s="92" t="s">
        <v>7947</v>
      </c>
      <c r="N774" s="92"/>
      <c r="O774" s="92" t="s">
        <v>7948</v>
      </c>
      <c r="P774" s="67" t="str">
        <f t="shared" si="1"/>
        <v>46.831637, 35.363054</v>
      </c>
      <c r="Q774" s="67" t="str">
        <f t="shared" si="2"/>
        <v>46.831199, 35.362779</v>
      </c>
      <c r="R774" s="67">
        <f t="shared" si="3"/>
        <v>46.831199</v>
      </c>
      <c r="S774" s="67">
        <f t="shared" si="4"/>
        <v>35.362779</v>
      </c>
      <c r="T774" s="161"/>
      <c r="U774" s="69"/>
      <c r="V774" s="169" t="s">
        <v>8003</v>
      </c>
      <c r="W774" s="161"/>
      <c r="X774" s="194"/>
      <c r="Y774" s="73"/>
      <c r="Z774" s="73"/>
      <c r="AA774" s="73"/>
      <c r="AB774" s="73"/>
      <c r="AC774" s="73"/>
      <c r="AD774" s="73"/>
      <c r="AE774" s="73"/>
      <c r="AF774" s="73"/>
      <c r="AG774" s="73"/>
      <c r="AH774" s="73"/>
      <c r="AI774" s="73"/>
      <c r="AJ774" s="75"/>
      <c r="AK774" s="76" t="s">
        <v>798</v>
      </c>
      <c r="AL774" s="83" t="s">
        <v>8004</v>
      </c>
      <c r="AM774" s="71" t="s">
        <v>8005</v>
      </c>
      <c r="AN774" s="84" t="s">
        <v>8006</v>
      </c>
      <c r="AO774" s="71" t="s">
        <v>8007</v>
      </c>
      <c r="AP774" s="161" t="str">
        <f>IMAGE("https://bellingcat-archive.nyc3.cdn.digitaloceanspaces.com/Ukraine_Witness_Datasheet/Worksheet/youtube_dl_1497415617674104832/out2.jpg")</f>
        <v/>
      </c>
      <c r="AQ774" s="84" t="s">
        <v>8008</v>
      </c>
      <c r="AR774" s="71" t="s">
        <v>7688</v>
      </c>
      <c r="AS774" s="71" t="s">
        <v>8009</v>
      </c>
      <c r="AT774" s="71">
        <v>12.3</v>
      </c>
      <c r="AU774" s="89"/>
      <c r="AV774" s="162"/>
      <c r="AW774" s="81"/>
    </row>
    <row r="775" ht="15.75" customHeight="1">
      <c r="A775" s="301" t="s">
        <v>7754</v>
      </c>
      <c r="B775" s="73"/>
      <c r="C775" s="57" t="s">
        <v>7672</v>
      </c>
      <c r="D775" s="104">
        <v>50.226431</v>
      </c>
      <c r="E775" s="104">
        <v>30.290424</v>
      </c>
      <c r="F775" s="79">
        <v>3.0</v>
      </c>
      <c r="G775" s="84" t="s">
        <v>8010</v>
      </c>
      <c r="H775" s="73"/>
      <c r="I775" s="75"/>
      <c r="J775" s="64" t="s">
        <v>8011</v>
      </c>
      <c r="K775" s="309" t="s">
        <v>8012</v>
      </c>
      <c r="L775" s="110" t="s">
        <v>3542</v>
      </c>
      <c r="M775" s="92" t="s">
        <v>5827</v>
      </c>
      <c r="N775" s="92"/>
      <c r="O775" s="92" t="s">
        <v>8013</v>
      </c>
      <c r="P775" s="67" t="str">
        <f t="shared" si="1"/>
        <v>50.226431, 30.290424</v>
      </c>
      <c r="Q775" s="67" t="str">
        <f t="shared" si="2"/>
        <v>50.2261, 30.291216</v>
      </c>
      <c r="R775" s="67">
        <f t="shared" si="3"/>
        <v>50.2261</v>
      </c>
      <c r="S775" s="67">
        <f t="shared" si="4"/>
        <v>30.291216</v>
      </c>
      <c r="T775" s="71" t="s">
        <v>8014</v>
      </c>
      <c r="U775" s="69"/>
      <c r="V775" s="169" t="s">
        <v>8015</v>
      </c>
      <c r="W775" s="71" t="s">
        <v>3546</v>
      </c>
      <c r="X775" s="194"/>
      <c r="Y775" s="73"/>
      <c r="Z775" s="73"/>
      <c r="AA775" s="73"/>
      <c r="AB775" s="73"/>
      <c r="AC775" s="73"/>
      <c r="AD775" s="73"/>
      <c r="AE775" s="73"/>
      <c r="AF775" s="73"/>
      <c r="AG775" s="73"/>
      <c r="AH775" s="73"/>
      <c r="AI775" s="73"/>
      <c r="AJ775" s="75"/>
      <c r="AK775" s="76" t="s">
        <v>798</v>
      </c>
      <c r="AL775" s="83" t="s">
        <v>8016</v>
      </c>
      <c r="AM775" s="71" t="s">
        <v>8017</v>
      </c>
      <c r="AN775" s="84" t="s">
        <v>8018</v>
      </c>
      <c r="AO775" s="71" t="s">
        <v>8019</v>
      </c>
      <c r="AP775" s="161" t="str">
        <f>IMAGE("https://bellingcat-archive.nyc3.cdn.digitaloceanspaces.com/Ukraine_Witness_Datasheet/Worksheet/youtube_dl_1497713932718546944/out2.jpg")</f>
        <v/>
      </c>
      <c r="AQ775" s="84" t="s">
        <v>8020</v>
      </c>
      <c r="AR775" s="71" t="s">
        <v>8021</v>
      </c>
      <c r="AS775" s="71" t="s">
        <v>8022</v>
      </c>
      <c r="AT775" s="71">
        <v>25.733</v>
      </c>
      <c r="AU775" s="89"/>
      <c r="AV775" s="162"/>
      <c r="AW775" s="81"/>
    </row>
    <row r="776" ht="15.75" customHeight="1">
      <c r="A776" s="95" t="s">
        <v>8023</v>
      </c>
      <c r="B776" s="61" t="s">
        <v>8024</v>
      </c>
      <c r="C776" s="57" t="s">
        <v>8024</v>
      </c>
      <c r="D776" s="104">
        <v>50.2114412</v>
      </c>
      <c r="E776" s="104">
        <v>30.3175826</v>
      </c>
      <c r="F776" s="79">
        <v>1.0</v>
      </c>
      <c r="G776" s="84" t="s">
        <v>8025</v>
      </c>
      <c r="H776" s="73"/>
      <c r="I776" s="75"/>
      <c r="J776" s="64" t="s">
        <v>8026</v>
      </c>
      <c r="K776" s="69"/>
      <c r="L776" s="110" t="s">
        <v>3542</v>
      </c>
      <c r="M776" s="92" t="s">
        <v>5827</v>
      </c>
      <c r="N776" s="111"/>
      <c r="O776" s="92" t="s">
        <v>8013</v>
      </c>
      <c r="P776" s="67" t="str">
        <f t="shared" si="1"/>
        <v>50.2114412, 30.3175826</v>
      </c>
      <c r="Q776" s="67" t="str">
        <f t="shared" si="2"/>
        <v>50.211078, 30.316849</v>
      </c>
      <c r="R776" s="67">
        <f t="shared" si="3"/>
        <v>50.211078</v>
      </c>
      <c r="S776" s="67">
        <f t="shared" si="4"/>
        <v>30.316849</v>
      </c>
      <c r="T776" s="161"/>
      <c r="U776" s="69"/>
      <c r="V776" s="169" t="s">
        <v>8027</v>
      </c>
      <c r="W776" s="161"/>
      <c r="X776" s="72" t="s">
        <v>75</v>
      </c>
      <c r="Y776" s="73"/>
      <c r="Z776" s="73"/>
      <c r="AA776" s="73"/>
      <c r="AB776" s="73"/>
      <c r="AC776" s="73"/>
      <c r="AD776" s="73"/>
      <c r="AE776" s="73"/>
      <c r="AF776" s="73"/>
      <c r="AG776" s="73"/>
      <c r="AH776" s="73"/>
      <c r="AI776" s="73"/>
      <c r="AJ776" s="75"/>
      <c r="AK776" s="76" t="s">
        <v>798</v>
      </c>
      <c r="AL776" s="83" t="s">
        <v>8028</v>
      </c>
      <c r="AM776" s="71" t="s">
        <v>8029</v>
      </c>
      <c r="AN776" s="84" t="s">
        <v>8030</v>
      </c>
      <c r="AO776" s="71" t="s">
        <v>8031</v>
      </c>
      <c r="AP776" s="161" t="str">
        <f>IMAGE("https://bellingcat-archive.nyc3.cdn.digitaloceanspaces.com/Ukraine_Witness_Datasheet/Worksheet/youtube_dl_1497498221966348288/out2.jpg")</f>
        <v/>
      </c>
      <c r="AQ776" s="84" t="s">
        <v>8032</v>
      </c>
      <c r="AR776" s="71" t="s">
        <v>8033</v>
      </c>
      <c r="AS776" s="71" t="s">
        <v>8034</v>
      </c>
      <c r="AT776" s="71">
        <v>32.511</v>
      </c>
      <c r="AU776" s="89"/>
      <c r="AV776" s="80" t="s">
        <v>63</v>
      </c>
      <c r="AW776" s="81"/>
    </row>
    <row r="777" ht="15.75" customHeight="1">
      <c r="A777" s="175"/>
      <c r="B777" s="73"/>
      <c r="C777" s="176"/>
      <c r="D777" s="121"/>
      <c r="E777" s="121"/>
      <c r="F777" s="89"/>
      <c r="G777" s="84" t="s">
        <v>8035</v>
      </c>
      <c r="H777" s="73"/>
      <c r="I777" s="75"/>
      <c r="J777" s="69"/>
      <c r="K777" s="69"/>
      <c r="L777" s="134"/>
      <c r="M777" s="111"/>
      <c r="N777" s="111"/>
      <c r="O777" s="111"/>
      <c r="P777" s="67" t="str">
        <f t="shared" si="1"/>
        <v/>
      </c>
      <c r="Q777" s="67" t="str">
        <f t="shared" si="2"/>
        <v/>
      </c>
      <c r="R777" s="67" t="str">
        <f t="shared" si="3"/>
        <v/>
      </c>
      <c r="S777" s="67" t="str">
        <f t="shared" si="4"/>
        <v/>
      </c>
      <c r="T777" s="161"/>
      <c r="U777" s="69"/>
      <c r="V777" s="169" t="s">
        <v>8027</v>
      </c>
      <c r="W777" s="161"/>
      <c r="X777" s="194"/>
      <c r="Y777" s="73"/>
      <c r="Z777" s="73"/>
      <c r="AA777" s="73"/>
      <c r="AB777" s="73"/>
      <c r="AC777" s="73"/>
      <c r="AD777" s="73"/>
      <c r="AE777" s="73"/>
      <c r="AF777" s="73"/>
      <c r="AG777" s="73"/>
      <c r="AH777" s="73"/>
      <c r="AI777" s="73"/>
      <c r="AJ777" s="75"/>
      <c r="AK777" s="76" t="s">
        <v>798</v>
      </c>
      <c r="AL777" s="83" t="s">
        <v>8036</v>
      </c>
      <c r="AM777" s="71" t="s">
        <v>8037</v>
      </c>
      <c r="AN777" s="84" t="s">
        <v>8038</v>
      </c>
      <c r="AO777" s="71" t="s">
        <v>8039</v>
      </c>
      <c r="AP777" s="161" t="str">
        <f>IMAGE("https://bellingcat-archive.nyc3.cdn.digitaloceanspaces.com/Ukraine_Witness_Datasheet/Worksheet/youtube_dl_1497691846557982721/out2.jpg")</f>
        <v/>
      </c>
      <c r="AQ777" s="84" t="s">
        <v>8040</v>
      </c>
      <c r="AR777" s="71" t="s">
        <v>8041</v>
      </c>
      <c r="AS777" s="71" t="s">
        <v>8042</v>
      </c>
      <c r="AT777" s="71">
        <v>16.44</v>
      </c>
      <c r="AU777" s="89"/>
      <c r="AV777" s="162"/>
      <c r="AW777" s="81"/>
    </row>
    <row r="778" ht="15.75" customHeight="1">
      <c r="A778" s="175"/>
      <c r="B778" s="73"/>
      <c r="C778" s="176"/>
      <c r="D778" s="121"/>
      <c r="E778" s="121"/>
      <c r="F778" s="89"/>
      <c r="G778" s="84" t="s">
        <v>8043</v>
      </c>
      <c r="H778" s="73"/>
      <c r="I778" s="75"/>
      <c r="J778" s="69"/>
      <c r="K778" s="69"/>
      <c r="L778" s="134"/>
      <c r="M778" s="111"/>
      <c r="N778" s="111"/>
      <c r="O778" s="111"/>
      <c r="P778" s="67" t="str">
        <f t="shared" si="1"/>
        <v/>
      </c>
      <c r="Q778" s="67" t="str">
        <f t="shared" si="2"/>
        <v/>
      </c>
      <c r="R778" s="67" t="str">
        <f t="shared" si="3"/>
        <v/>
      </c>
      <c r="S778" s="67" t="str">
        <f t="shared" si="4"/>
        <v/>
      </c>
      <c r="T778" s="161"/>
      <c r="U778" s="69"/>
      <c r="V778" s="169" t="s">
        <v>8044</v>
      </c>
      <c r="W778" s="161"/>
      <c r="X778" s="194"/>
      <c r="Y778" s="73"/>
      <c r="Z778" s="73"/>
      <c r="AA778" s="73"/>
      <c r="AB778" s="73"/>
      <c r="AC778" s="73"/>
      <c r="AD778" s="73"/>
      <c r="AE778" s="73"/>
      <c r="AF778" s="73"/>
      <c r="AG778" s="73"/>
      <c r="AH778" s="73"/>
      <c r="AI778" s="73"/>
      <c r="AJ778" s="75"/>
      <c r="AK778" s="76" t="s">
        <v>798</v>
      </c>
      <c r="AL778" s="83" t="s">
        <v>8045</v>
      </c>
      <c r="AM778" s="71" t="s">
        <v>8046</v>
      </c>
      <c r="AN778" s="84" t="s">
        <v>8047</v>
      </c>
      <c r="AO778" s="71" t="s">
        <v>8048</v>
      </c>
      <c r="AP778" s="161" t="str">
        <f>IMAGE("https://bellingcat-archive.nyc3.cdn.digitaloceanspaces.com/Ukraine_Witness_Datasheet/Worksheet/youtube_dl_1497643100373766144/out2.jpg")</f>
        <v/>
      </c>
      <c r="AQ778" s="84" t="s">
        <v>8049</v>
      </c>
      <c r="AR778" s="71" t="s">
        <v>8050</v>
      </c>
      <c r="AS778" s="71" t="s">
        <v>8051</v>
      </c>
      <c r="AT778" s="71">
        <v>15.0</v>
      </c>
      <c r="AU778" s="89"/>
      <c r="AV778" s="162"/>
      <c r="AW778" s="81"/>
    </row>
    <row r="779" ht="15.75" customHeight="1">
      <c r="A779" s="95" t="s">
        <v>8023</v>
      </c>
      <c r="B779" s="73"/>
      <c r="C779" s="57" t="s">
        <v>8024</v>
      </c>
      <c r="D779" s="104">
        <v>50.2262705</v>
      </c>
      <c r="E779" s="104">
        <v>30.2907227</v>
      </c>
      <c r="F779" s="79">
        <v>4.0</v>
      </c>
      <c r="G779" s="84" t="s">
        <v>8052</v>
      </c>
      <c r="H779" s="73"/>
      <c r="I779" s="75"/>
      <c r="J779" s="64" t="s">
        <v>8053</v>
      </c>
      <c r="K779" s="69"/>
      <c r="L779" s="110" t="s">
        <v>3542</v>
      </c>
      <c r="M779" s="92" t="s">
        <v>5827</v>
      </c>
      <c r="N779" s="111"/>
      <c r="O779" s="92" t="s">
        <v>8054</v>
      </c>
      <c r="P779" s="67" t="str">
        <f t="shared" si="1"/>
        <v>50.2262705, 30.2907227</v>
      </c>
      <c r="Q779" s="67" t="str">
        <f t="shared" si="2"/>
        <v>50.225489, 30.290472</v>
      </c>
      <c r="R779" s="67">
        <f t="shared" si="3"/>
        <v>50.225489</v>
      </c>
      <c r="S779" s="67">
        <f t="shared" si="4"/>
        <v>30.290472</v>
      </c>
      <c r="T779" s="161"/>
      <c r="U779" s="69"/>
      <c r="V779" s="169" t="s">
        <v>8055</v>
      </c>
      <c r="W779" s="71" t="s">
        <v>3546</v>
      </c>
      <c r="X779" s="72" t="s">
        <v>2982</v>
      </c>
      <c r="Y779" s="73"/>
      <c r="Z779" s="73"/>
      <c r="AA779" s="73"/>
      <c r="AB779" s="73"/>
      <c r="AC779" s="73"/>
      <c r="AD779" s="73"/>
      <c r="AE779" s="73"/>
      <c r="AF779" s="73"/>
      <c r="AG779" s="73"/>
      <c r="AH779" s="73"/>
      <c r="AI779" s="73"/>
      <c r="AJ779" s="75"/>
      <c r="AK779" s="76" t="s">
        <v>798</v>
      </c>
      <c r="AL779" s="83" t="s">
        <v>8056</v>
      </c>
      <c r="AM779" s="71" t="s">
        <v>8057</v>
      </c>
      <c r="AN779" s="84" t="s">
        <v>8058</v>
      </c>
      <c r="AO779" s="71" t="s">
        <v>8059</v>
      </c>
      <c r="AP779" s="161" t="str">
        <f>IMAGE("https://bellingcat-archive.nyc3.cdn.digitaloceanspaces.com/Ukraine_Witness_Datasheet/Worksheet/youtube_dl_1497728930425491459/out2.jpg")</f>
        <v/>
      </c>
      <c r="AQ779" s="84" t="s">
        <v>8060</v>
      </c>
      <c r="AR779" s="71" t="s">
        <v>8061</v>
      </c>
      <c r="AS779" s="71" t="s">
        <v>8062</v>
      </c>
      <c r="AT779" s="71">
        <v>25.833</v>
      </c>
      <c r="AU779" s="89"/>
      <c r="AV779" s="80" t="s">
        <v>63</v>
      </c>
      <c r="AW779" s="81"/>
    </row>
    <row r="780" ht="15.75" customHeight="1">
      <c r="A780" s="95" t="s">
        <v>7754</v>
      </c>
      <c r="B780" s="73"/>
      <c r="C780" s="57" t="s">
        <v>7672</v>
      </c>
      <c r="D780" s="104">
        <v>50.21156</v>
      </c>
      <c r="E780" s="104">
        <v>30.317412</v>
      </c>
      <c r="F780" s="79">
        <v>1.0</v>
      </c>
      <c r="G780" s="84" t="s">
        <v>8063</v>
      </c>
      <c r="H780" s="73"/>
      <c r="I780" s="75"/>
      <c r="J780" s="64" t="s">
        <v>8064</v>
      </c>
      <c r="K780" s="69"/>
      <c r="L780" s="110" t="s">
        <v>3542</v>
      </c>
      <c r="M780" s="92" t="s">
        <v>5827</v>
      </c>
      <c r="N780" s="92"/>
      <c r="O780" s="92" t="s">
        <v>8013</v>
      </c>
      <c r="P780" s="67" t="str">
        <f t="shared" si="1"/>
        <v>50.21156, 30.317412</v>
      </c>
      <c r="Q780" s="67" t="str">
        <f t="shared" si="2"/>
        <v>50.211499, 30.316141</v>
      </c>
      <c r="R780" s="67">
        <f t="shared" si="3"/>
        <v>50.211499</v>
      </c>
      <c r="S780" s="67">
        <f t="shared" si="4"/>
        <v>30.316141</v>
      </c>
      <c r="T780" s="104"/>
      <c r="U780" s="69"/>
      <c r="V780" s="169" t="s">
        <v>8065</v>
      </c>
      <c r="W780" s="308" t="s">
        <v>74</v>
      </c>
      <c r="X780" s="72" t="s">
        <v>75</v>
      </c>
      <c r="Y780" s="73"/>
      <c r="Z780" s="73"/>
      <c r="AA780" s="73"/>
      <c r="AB780" s="73"/>
      <c r="AC780" s="73"/>
      <c r="AD780" s="73"/>
      <c r="AE780" s="73"/>
      <c r="AF780" s="73"/>
      <c r="AG780" s="73"/>
      <c r="AH780" s="73"/>
      <c r="AI780" s="73"/>
      <c r="AJ780" s="75"/>
      <c r="AK780" s="76" t="s">
        <v>930</v>
      </c>
      <c r="AL780" s="83" t="s">
        <v>8028</v>
      </c>
      <c r="AM780" s="71" t="s">
        <v>8066</v>
      </c>
      <c r="AN780" s="84" t="s">
        <v>8067</v>
      </c>
      <c r="AO780" s="71" t="s">
        <v>8031</v>
      </c>
      <c r="AP780" s="161" t="str">
        <f>IMAGE("https://bellingcat-archive.nyc3.cdn.digitaloceanspaces.com/Ukraine_Witness_Datasheet/Worksheet/youtube_dl_1497498221966348288/out2.jpg")</f>
        <v/>
      </c>
      <c r="AQ780" s="84" t="s">
        <v>8032</v>
      </c>
      <c r="AR780" s="71" t="s">
        <v>8033</v>
      </c>
      <c r="AS780" s="71" t="s">
        <v>8034</v>
      </c>
      <c r="AT780" s="71">
        <v>32.511</v>
      </c>
      <c r="AU780" s="89"/>
      <c r="AV780" s="80" t="s">
        <v>63</v>
      </c>
      <c r="AW780" s="81"/>
    </row>
    <row r="781" ht="15.75" customHeight="1">
      <c r="A781" s="95" t="s">
        <v>88</v>
      </c>
      <c r="B781" s="73"/>
      <c r="C781" s="196" t="s">
        <v>8024</v>
      </c>
      <c r="D781" s="104">
        <v>47.254835</v>
      </c>
      <c r="E781" s="74">
        <v>35.700568</v>
      </c>
      <c r="F781" s="79">
        <v>1.0</v>
      </c>
      <c r="G781" s="84" t="s">
        <v>8068</v>
      </c>
      <c r="H781" s="73"/>
      <c r="I781" s="75"/>
      <c r="J781" s="64" t="s">
        <v>8069</v>
      </c>
      <c r="K781" s="64"/>
      <c r="L781" s="110" t="s">
        <v>3542</v>
      </c>
      <c r="M781" s="92" t="s">
        <v>7160</v>
      </c>
      <c r="N781" s="111"/>
      <c r="O781" s="92" t="s">
        <v>8070</v>
      </c>
      <c r="P781" s="67" t="str">
        <f t="shared" si="1"/>
        <v>47.254835, 35.700568</v>
      </c>
      <c r="Q781" s="67" t="str">
        <f t="shared" si="2"/>
        <v>47.254606, 35.70097</v>
      </c>
      <c r="R781" s="67">
        <f t="shared" si="3"/>
        <v>47.254606</v>
      </c>
      <c r="S781" s="67">
        <f t="shared" si="4"/>
        <v>35.70097</v>
      </c>
      <c r="T781" s="84" t="s">
        <v>8071</v>
      </c>
      <c r="U781" s="69"/>
      <c r="V781" s="169" t="s">
        <v>8072</v>
      </c>
      <c r="W781" s="71" t="s">
        <v>7695</v>
      </c>
      <c r="X781" s="72" t="s">
        <v>75</v>
      </c>
      <c r="Y781" s="73"/>
      <c r="Z781" s="73"/>
      <c r="AA781" s="73"/>
      <c r="AB781" s="73"/>
      <c r="AC781" s="73"/>
      <c r="AD781" s="73"/>
      <c r="AE781" s="73"/>
      <c r="AF781" s="73"/>
      <c r="AG781" s="73"/>
      <c r="AH781" s="73"/>
      <c r="AI781" s="73"/>
      <c r="AJ781" s="75"/>
      <c r="AK781" s="76" t="s">
        <v>798</v>
      </c>
      <c r="AL781" s="83" t="s">
        <v>8073</v>
      </c>
      <c r="AM781" s="71" t="s">
        <v>8074</v>
      </c>
      <c r="AN781" s="84" t="s">
        <v>8075</v>
      </c>
      <c r="AO781" s="71" t="s">
        <v>8076</v>
      </c>
      <c r="AP781" s="161" t="str">
        <f>IMAGE("https://bellingcat-archive.nyc3.cdn.digitaloceanspaces.com/Ukraine_Witness_Datasheet/Worksheet/youtube_dl_1497766988881481732/out2.jpg")</f>
        <v/>
      </c>
      <c r="AQ781" s="84" t="s">
        <v>8077</v>
      </c>
      <c r="AR781" s="71" t="s">
        <v>8078</v>
      </c>
      <c r="AS781" s="71" t="s">
        <v>8079</v>
      </c>
      <c r="AT781" s="71">
        <v>55.513</v>
      </c>
      <c r="AU781" s="89"/>
      <c r="AV781" s="80" t="s">
        <v>63</v>
      </c>
      <c r="AW781" s="81"/>
    </row>
    <row r="782" ht="15.75" customHeight="1">
      <c r="A782" s="87" t="s">
        <v>88</v>
      </c>
      <c r="B782" s="73"/>
      <c r="C782" s="196" t="s">
        <v>7672</v>
      </c>
      <c r="D782" s="74">
        <v>47.26278</v>
      </c>
      <c r="E782" s="74">
        <v>35.70991</v>
      </c>
      <c r="F782" s="79">
        <v>1.0</v>
      </c>
      <c r="G782" s="84" t="s">
        <v>8080</v>
      </c>
      <c r="H782" s="73"/>
      <c r="I782" s="75"/>
      <c r="J782" s="64" t="s">
        <v>8081</v>
      </c>
      <c r="K782" s="88" t="s">
        <v>8080</v>
      </c>
      <c r="L782" s="110" t="s">
        <v>3542</v>
      </c>
      <c r="M782" s="92" t="s">
        <v>7160</v>
      </c>
      <c r="N782" s="111"/>
      <c r="O782" s="92" t="s">
        <v>8070</v>
      </c>
      <c r="P782" s="67" t="str">
        <f t="shared" si="1"/>
        <v>47.26278, 35.70991</v>
      </c>
      <c r="Q782" s="67" t="str">
        <f t="shared" si="2"/>
        <v>47.261947, 35.710028</v>
      </c>
      <c r="R782" s="67">
        <f t="shared" si="3"/>
        <v>47.261947</v>
      </c>
      <c r="S782" s="67">
        <f t="shared" si="4"/>
        <v>35.710028</v>
      </c>
      <c r="T782" s="161"/>
      <c r="U782" s="69"/>
      <c r="V782" s="169" t="s">
        <v>8082</v>
      </c>
      <c r="W782" s="308" t="s">
        <v>74</v>
      </c>
      <c r="X782" s="72" t="s">
        <v>75</v>
      </c>
      <c r="Y782" s="73"/>
      <c r="Z782" s="73"/>
      <c r="AA782" s="73"/>
      <c r="AB782" s="73"/>
      <c r="AC782" s="73"/>
      <c r="AD782" s="73"/>
      <c r="AE782" s="73"/>
      <c r="AF782" s="73"/>
      <c r="AG782" s="73"/>
      <c r="AH782" s="73"/>
      <c r="AI782" s="73"/>
      <c r="AJ782" s="75"/>
      <c r="AK782" s="76" t="s">
        <v>798</v>
      </c>
      <c r="AL782" s="83" t="s">
        <v>8083</v>
      </c>
      <c r="AM782" s="71" t="s">
        <v>8084</v>
      </c>
      <c r="AN782" s="84" t="s">
        <v>8085</v>
      </c>
      <c r="AO782" s="71" t="s">
        <v>8086</v>
      </c>
      <c r="AP782" s="161" t="str">
        <f>IMAGE("https://bellingcat-archive.nyc3.cdn.digitaloceanspaces.com/Ukraine_Witness_Datasheet/Worksheet/youtube_dl_1497624995610173444/out3.jpg")</f>
        <v/>
      </c>
      <c r="AQ782" s="84" t="s">
        <v>8087</v>
      </c>
      <c r="AR782" s="71" t="s">
        <v>8088</v>
      </c>
      <c r="AS782" s="71" t="s">
        <v>8089</v>
      </c>
      <c r="AT782" s="71">
        <v>85.033</v>
      </c>
      <c r="AU782" s="89"/>
      <c r="AV782" s="162"/>
      <c r="AW782" s="81"/>
    </row>
    <row r="783" ht="15.75" customHeight="1">
      <c r="A783" s="87" t="s">
        <v>88</v>
      </c>
      <c r="B783" s="73"/>
      <c r="C783" s="196" t="s">
        <v>8024</v>
      </c>
      <c r="D783" s="104">
        <v>46.729665</v>
      </c>
      <c r="E783" s="74">
        <v>35.656565</v>
      </c>
      <c r="F783" s="79">
        <v>1.0</v>
      </c>
      <c r="G783" s="84" t="s">
        <v>8090</v>
      </c>
      <c r="H783" s="73"/>
      <c r="I783" s="75"/>
      <c r="J783" s="64" t="s">
        <v>8091</v>
      </c>
      <c r="K783" s="88" t="s">
        <v>8092</v>
      </c>
      <c r="L783" s="110" t="s">
        <v>3542</v>
      </c>
      <c r="M783" s="310" t="s">
        <v>6167</v>
      </c>
      <c r="N783" s="111"/>
      <c r="O783" s="311" t="s">
        <v>8093</v>
      </c>
      <c r="P783" s="67" t="str">
        <f t="shared" si="1"/>
        <v>46.729665, 35.656565</v>
      </c>
      <c r="Q783" s="67" t="str">
        <f t="shared" si="2"/>
        <v>46.729342, 35.655414</v>
      </c>
      <c r="R783" s="67">
        <f t="shared" si="3"/>
        <v>46.729342</v>
      </c>
      <c r="S783" s="67">
        <f t="shared" si="4"/>
        <v>35.655414</v>
      </c>
      <c r="T783" s="161"/>
      <c r="U783" s="69"/>
      <c r="V783" s="169" t="s">
        <v>8094</v>
      </c>
      <c r="W783" s="308" t="s">
        <v>74</v>
      </c>
      <c r="X783" s="72" t="s">
        <v>75</v>
      </c>
      <c r="Y783" s="73"/>
      <c r="Z783" s="73"/>
      <c r="AA783" s="73"/>
      <c r="AB783" s="73"/>
      <c r="AC783" s="73"/>
      <c r="AD783" s="73"/>
      <c r="AE783" s="73"/>
      <c r="AF783" s="73"/>
      <c r="AG783" s="73"/>
      <c r="AH783" s="73"/>
      <c r="AI783" s="73"/>
      <c r="AJ783" s="75"/>
      <c r="AK783" s="76" t="s">
        <v>798</v>
      </c>
      <c r="AL783" s="83" t="s">
        <v>8095</v>
      </c>
      <c r="AM783" s="71" t="s">
        <v>8096</v>
      </c>
      <c r="AN783" s="84" t="s">
        <v>8097</v>
      </c>
      <c r="AO783" s="71" t="s">
        <v>8098</v>
      </c>
      <c r="AP783" s="161" t="str">
        <f>IMAGE("https://bellingcat-archive.nyc3.cdn.digitaloceanspaces.com/Ukraine_Witness_Datasheet/Worksheet/youtube_dl_1497773944723681280/out5.jpg")</f>
        <v/>
      </c>
      <c r="AQ783" s="84" t="s">
        <v>8099</v>
      </c>
      <c r="AR783" s="71" t="s">
        <v>8100</v>
      </c>
      <c r="AS783" s="71" t="s">
        <v>8101</v>
      </c>
      <c r="AT783" s="71">
        <v>140.0</v>
      </c>
      <c r="AU783" s="89"/>
      <c r="AV783" s="162"/>
      <c r="AW783" s="81"/>
    </row>
    <row r="784" ht="15.75" customHeight="1">
      <c r="A784" s="95" t="s">
        <v>88</v>
      </c>
      <c r="B784" s="73"/>
      <c r="C784" s="57" t="s">
        <v>8024</v>
      </c>
      <c r="D784" s="158">
        <v>47.205066</v>
      </c>
      <c r="E784" s="74">
        <v>36.160219</v>
      </c>
      <c r="F784" s="79">
        <v>1.0</v>
      </c>
      <c r="G784" s="84" t="s">
        <v>8102</v>
      </c>
      <c r="H784" s="73"/>
      <c r="I784" s="75"/>
      <c r="J784" s="64" t="s">
        <v>8103</v>
      </c>
      <c r="K784" s="64"/>
      <c r="L784" s="110" t="s">
        <v>3542</v>
      </c>
      <c r="M784" s="92" t="s">
        <v>7160</v>
      </c>
      <c r="N784" s="111"/>
      <c r="O784" s="92" t="s">
        <v>8104</v>
      </c>
      <c r="P784" s="67" t="str">
        <f t="shared" si="1"/>
        <v>47.205066, 36.160219</v>
      </c>
      <c r="Q784" s="67" t="str">
        <f t="shared" si="2"/>
        <v>47.204711, 36.160052</v>
      </c>
      <c r="R784" s="67">
        <f t="shared" si="3"/>
        <v>47.204711</v>
      </c>
      <c r="S784" s="67">
        <f t="shared" si="4"/>
        <v>36.160052</v>
      </c>
      <c r="T784" s="71"/>
      <c r="U784" s="69"/>
      <c r="V784" s="169" t="s">
        <v>8105</v>
      </c>
      <c r="W784" s="308" t="s">
        <v>74</v>
      </c>
      <c r="X784" s="72" t="s">
        <v>75</v>
      </c>
      <c r="Y784" s="61" t="s">
        <v>551</v>
      </c>
      <c r="Z784" s="61" t="s">
        <v>8106</v>
      </c>
      <c r="AA784" s="73"/>
      <c r="AB784" s="73"/>
      <c r="AC784" s="73"/>
      <c r="AD784" s="73"/>
      <c r="AE784" s="73"/>
      <c r="AF784" s="73"/>
      <c r="AG784" s="73"/>
      <c r="AH784" s="73"/>
      <c r="AI784" s="73"/>
      <c r="AJ784" s="75"/>
      <c r="AK784" s="76" t="s">
        <v>798</v>
      </c>
      <c r="AL784" s="83" t="s">
        <v>8107</v>
      </c>
      <c r="AM784" s="71" t="s">
        <v>8108</v>
      </c>
      <c r="AN784" s="84" t="s">
        <v>8109</v>
      </c>
      <c r="AO784" s="71" t="s">
        <v>8110</v>
      </c>
      <c r="AP784" s="161" t="str">
        <f>IMAGE("https://bellingcat-archive.nyc3.cdn.digitaloceanspaces.com/Ukraine_Witness_Datasheet/Worksheet/youtube_dl_1497776713589219328/out2.jpg")</f>
        <v/>
      </c>
      <c r="AQ784" s="84" t="s">
        <v>8111</v>
      </c>
      <c r="AR784" s="71" t="s">
        <v>8112</v>
      </c>
      <c r="AS784" s="71" t="s">
        <v>8113</v>
      </c>
      <c r="AT784" s="71">
        <v>34.233</v>
      </c>
      <c r="AU784" s="89"/>
      <c r="AV784" s="80" t="s">
        <v>63</v>
      </c>
      <c r="AW784" s="81"/>
    </row>
    <row r="785" ht="15.75" customHeight="1">
      <c r="A785" s="95" t="s">
        <v>88</v>
      </c>
      <c r="B785" s="73"/>
      <c r="C785" s="57" t="s">
        <v>8024</v>
      </c>
      <c r="D785" s="104">
        <v>50.066786</v>
      </c>
      <c r="E785" s="74">
        <v>36.201678</v>
      </c>
      <c r="F785" s="79">
        <v>1.0</v>
      </c>
      <c r="G785" s="84" t="s">
        <v>8114</v>
      </c>
      <c r="H785" s="73"/>
      <c r="I785" s="75"/>
      <c r="J785" s="64" t="s">
        <v>8115</v>
      </c>
      <c r="K785" s="64"/>
      <c r="L785" s="110" t="s">
        <v>3542</v>
      </c>
      <c r="M785" s="92" t="s">
        <v>5590</v>
      </c>
      <c r="N785" s="111"/>
      <c r="O785" s="92" t="s">
        <v>5626</v>
      </c>
      <c r="P785" s="67" t="str">
        <f t="shared" si="1"/>
        <v>50.066786, 36.201678</v>
      </c>
      <c r="Q785" s="67" t="str">
        <f t="shared" si="2"/>
        <v>50.066504, 36.201076</v>
      </c>
      <c r="R785" s="67">
        <f t="shared" si="3"/>
        <v>50.066504</v>
      </c>
      <c r="S785" s="67">
        <f t="shared" si="4"/>
        <v>36.201076</v>
      </c>
      <c r="T785" s="161"/>
      <c r="U785" s="69"/>
      <c r="V785" s="169" t="s">
        <v>8116</v>
      </c>
      <c r="W785" s="308" t="s">
        <v>74</v>
      </c>
      <c r="X785" s="72" t="s">
        <v>75</v>
      </c>
      <c r="Y785" s="61" t="s">
        <v>551</v>
      </c>
      <c r="Z785" s="61" t="s">
        <v>8106</v>
      </c>
      <c r="AA785" s="73"/>
      <c r="AB785" s="73"/>
      <c r="AC785" s="73"/>
      <c r="AD785" s="73"/>
      <c r="AE785" s="73"/>
      <c r="AF785" s="73"/>
      <c r="AG785" s="73"/>
      <c r="AH785" s="73"/>
      <c r="AI785" s="73"/>
      <c r="AJ785" s="75"/>
      <c r="AK785" s="76" t="s">
        <v>798</v>
      </c>
      <c r="AL785" s="83" t="s">
        <v>8117</v>
      </c>
      <c r="AM785" s="71" t="s">
        <v>8118</v>
      </c>
      <c r="AN785" s="84" t="s">
        <v>8119</v>
      </c>
      <c r="AO785" s="71" t="s">
        <v>8120</v>
      </c>
      <c r="AP785" s="161" t="str">
        <f>IMAGE("https://bellingcat-archive.nyc3.cdn.digitaloceanspaces.com/Ukraine_Witness_Datasheet/Worksheet/youtube_dl_1497809352979361798/out2.jpg")</f>
        <v/>
      </c>
      <c r="AQ785" s="84" t="s">
        <v>8121</v>
      </c>
      <c r="AR785" s="71" t="s">
        <v>8122</v>
      </c>
      <c r="AS785" s="71" t="s">
        <v>8123</v>
      </c>
      <c r="AT785" s="71">
        <v>34.433</v>
      </c>
      <c r="AU785" s="89"/>
      <c r="AV785" s="80" t="s">
        <v>63</v>
      </c>
      <c r="AW785" s="81"/>
    </row>
    <row r="786" ht="15.75" customHeight="1">
      <c r="A786" s="95" t="s">
        <v>88</v>
      </c>
      <c r="B786" s="73"/>
      <c r="C786" s="57" t="s">
        <v>8024</v>
      </c>
      <c r="D786" s="104">
        <v>50.059176</v>
      </c>
      <c r="E786" s="74">
        <v>36.202184</v>
      </c>
      <c r="F786" s="79">
        <v>1.0</v>
      </c>
      <c r="G786" s="84" t="s">
        <v>8124</v>
      </c>
      <c r="H786" s="73"/>
      <c r="I786" s="75"/>
      <c r="J786" s="64" t="s">
        <v>8115</v>
      </c>
      <c r="K786" s="64"/>
      <c r="L786" s="110" t="s">
        <v>3542</v>
      </c>
      <c r="M786" s="92" t="s">
        <v>5590</v>
      </c>
      <c r="N786" s="111"/>
      <c r="O786" s="92" t="s">
        <v>5626</v>
      </c>
      <c r="P786" s="67" t="str">
        <f t="shared" si="1"/>
        <v>50.059176, 36.202184</v>
      </c>
      <c r="Q786" s="67" t="str">
        <f t="shared" si="2"/>
        <v>50.058546, 36.201652</v>
      </c>
      <c r="R786" s="67">
        <f t="shared" si="3"/>
        <v>50.058546</v>
      </c>
      <c r="S786" s="67">
        <f t="shared" si="4"/>
        <v>36.201652</v>
      </c>
      <c r="T786" s="161"/>
      <c r="U786" s="69"/>
      <c r="V786" s="169" t="s">
        <v>8125</v>
      </c>
      <c r="W786" s="308" t="s">
        <v>74</v>
      </c>
      <c r="X786" s="72" t="s">
        <v>75</v>
      </c>
      <c r="Y786" s="73"/>
      <c r="Z786" s="73"/>
      <c r="AA786" s="73"/>
      <c r="AB786" s="73"/>
      <c r="AC786" s="73"/>
      <c r="AD786" s="73"/>
      <c r="AE786" s="73"/>
      <c r="AF786" s="73"/>
      <c r="AG786" s="73"/>
      <c r="AH786" s="73"/>
      <c r="AI786" s="73"/>
      <c r="AJ786" s="75"/>
      <c r="AK786" s="76" t="s">
        <v>798</v>
      </c>
      <c r="AL786" s="83" t="s">
        <v>8126</v>
      </c>
      <c r="AM786" s="71" t="s">
        <v>8127</v>
      </c>
      <c r="AN786" s="84" t="s">
        <v>8128</v>
      </c>
      <c r="AO786" s="71" t="s">
        <v>8129</v>
      </c>
      <c r="AP786" s="161" t="str">
        <f>IMAGE("https://bellingcat-archive.nyc3.cdn.digitaloceanspaces.com/Ukraine_Witness_Datasheet/Worksheet/youtube_dl_1497815578282631170/out2.jpg")</f>
        <v/>
      </c>
      <c r="AQ786" s="84" t="s">
        <v>8130</v>
      </c>
      <c r="AR786" s="71" t="s">
        <v>8131</v>
      </c>
      <c r="AS786" s="71" t="s">
        <v>8132</v>
      </c>
      <c r="AT786" s="71">
        <v>21.066</v>
      </c>
      <c r="AU786" s="89"/>
      <c r="AV786" s="80" t="s">
        <v>63</v>
      </c>
      <c r="AW786" s="81"/>
    </row>
    <row r="787" ht="15.75" customHeight="1">
      <c r="A787" s="87" t="s">
        <v>88</v>
      </c>
      <c r="B787" s="73"/>
      <c r="C787" s="57" t="s">
        <v>8024</v>
      </c>
      <c r="D787" s="104">
        <v>50.063276</v>
      </c>
      <c r="E787" s="74">
        <v>36.197372</v>
      </c>
      <c r="F787" s="79">
        <v>1.0</v>
      </c>
      <c r="G787" s="84" t="s">
        <v>8133</v>
      </c>
      <c r="H787" s="73"/>
      <c r="I787" s="75"/>
      <c r="J787" s="64" t="s">
        <v>8134</v>
      </c>
      <c r="K787" s="88" t="s">
        <v>8135</v>
      </c>
      <c r="L787" s="110" t="s">
        <v>3542</v>
      </c>
      <c r="M787" s="92" t="s">
        <v>5590</v>
      </c>
      <c r="N787" s="111"/>
      <c r="O787" s="92" t="s">
        <v>5626</v>
      </c>
      <c r="P787" s="67" t="str">
        <f t="shared" si="1"/>
        <v>50.063276, 36.197372</v>
      </c>
      <c r="Q787" s="67" t="str">
        <f t="shared" si="2"/>
        <v>50.062745, 36.197812</v>
      </c>
      <c r="R787" s="67">
        <f t="shared" si="3"/>
        <v>50.062745</v>
      </c>
      <c r="S787" s="67">
        <f t="shared" si="4"/>
        <v>36.197812</v>
      </c>
      <c r="T787" s="161"/>
      <c r="U787" s="69"/>
      <c r="V787" s="169" t="s">
        <v>8136</v>
      </c>
      <c r="W787" s="71" t="s">
        <v>7695</v>
      </c>
      <c r="X787" s="72" t="s">
        <v>75</v>
      </c>
      <c r="Y787" s="73"/>
      <c r="Z787" s="73"/>
      <c r="AA787" s="73"/>
      <c r="AB787" s="73"/>
      <c r="AC787" s="73"/>
      <c r="AD787" s="73"/>
      <c r="AE787" s="73"/>
      <c r="AF787" s="73"/>
      <c r="AG787" s="73"/>
      <c r="AH787" s="73"/>
      <c r="AI787" s="73"/>
      <c r="AJ787" s="75"/>
      <c r="AK787" s="76" t="s">
        <v>798</v>
      </c>
      <c r="AL787" s="83" t="s">
        <v>8137</v>
      </c>
      <c r="AM787" s="71" t="s">
        <v>8138</v>
      </c>
      <c r="AN787" s="84" t="s">
        <v>8139</v>
      </c>
      <c r="AO787" s="71" t="s">
        <v>8140</v>
      </c>
      <c r="AP787" s="161" t="str">
        <f>IMAGE("https://bellingcat-archive.nyc3.cdn.digitaloceanspaces.com/Ukraine_Witness_Datasheet/Worksheet/youtube_dl_1497821718907392001/out2.jpg")</f>
        <v/>
      </c>
      <c r="AQ787" s="84" t="s">
        <v>8141</v>
      </c>
      <c r="AR787" s="71" t="s">
        <v>8142</v>
      </c>
      <c r="AS787" s="71" t="s">
        <v>8143</v>
      </c>
      <c r="AT787" s="71">
        <v>19.0</v>
      </c>
      <c r="AU787" s="89"/>
      <c r="AV787" s="162"/>
      <c r="AW787" s="81"/>
    </row>
    <row r="788" ht="15.75" customHeight="1">
      <c r="A788" s="87" t="s">
        <v>88</v>
      </c>
      <c r="B788" s="73"/>
      <c r="C788" s="57" t="s">
        <v>8024</v>
      </c>
      <c r="D788" s="104">
        <v>50.275071</v>
      </c>
      <c r="E788" s="74">
        <v>39.301629</v>
      </c>
      <c r="F788" s="79">
        <v>1.0</v>
      </c>
      <c r="G788" s="84" t="s">
        <v>8144</v>
      </c>
      <c r="H788" s="73"/>
      <c r="I788" s="75"/>
      <c r="J788" s="64" t="s">
        <v>8145</v>
      </c>
      <c r="K788" s="88" t="s">
        <v>8146</v>
      </c>
      <c r="L788" s="110" t="s">
        <v>79</v>
      </c>
      <c r="M788" s="92" t="s">
        <v>3090</v>
      </c>
      <c r="N788" s="111"/>
      <c r="O788" s="311" t="s">
        <v>8147</v>
      </c>
      <c r="P788" s="67" t="str">
        <f t="shared" si="1"/>
        <v>50.275071, 39.301629</v>
      </c>
      <c r="Q788" s="67" t="str">
        <f t="shared" si="2"/>
        <v>50.275068, 39.302652</v>
      </c>
      <c r="R788" s="67">
        <f t="shared" si="3"/>
        <v>50.275068</v>
      </c>
      <c r="S788" s="67">
        <f t="shared" si="4"/>
        <v>39.302652</v>
      </c>
      <c r="T788" s="161"/>
      <c r="U788" s="69"/>
      <c r="V788" s="169" t="s">
        <v>8148</v>
      </c>
      <c r="W788" s="308" t="s">
        <v>74</v>
      </c>
      <c r="X788" s="72" t="s">
        <v>75</v>
      </c>
      <c r="Y788" s="73"/>
      <c r="Z788" s="73"/>
      <c r="AA788" s="73"/>
      <c r="AB788" s="73"/>
      <c r="AC788" s="73"/>
      <c r="AD788" s="73"/>
      <c r="AE788" s="73"/>
      <c r="AF788" s="73"/>
      <c r="AG788" s="73"/>
      <c r="AH788" s="73"/>
      <c r="AI788" s="73"/>
      <c r="AJ788" s="75"/>
      <c r="AK788" s="76" t="s">
        <v>798</v>
      </c>
      <c r="AL788" s="83" t="s">
        <v>8149</v>
      </c>
      <c r="AM788" s="71" t="s">
        <v>8150</v>
      </c>
      <c r="AN788" s="84" t="s">
        <v>8151</v>
      </c>
      <c r="AO788" s="71" t="s">
        <v>8152</v>
      </c>
      <c r="AP788" s="161" t="str">
        <f>IMAGE("https://bellingcat-archive.nyc3.cdn.digitaloceanspaces.com/Ukraine_Witness_Datasheet/Worksheet/youtube_dl_1497817497499840513/out3.jpg")</f>
        <v/>
      </c>
      <c r="AQ788" s="84" t="s">
        <v>8153</v>
      </c>
      <c r="AR788" s="71" t="s">
        <v>5974</v>
      </c>
      <c r="AS788" s="71" t="s">
        <v>8154</v>
      </c>
      <c r="AT788" s="71">
        <v>110.519</v>
      </c>
      <c r="AU788" s="89"/>
      <c r="AV788" s="162"/>
      <c r="AW788" s="81"/>
    </row>
    <row r="789" ht="15.75" customHeight="1">
      <c r="A789" s="87" t="s">
        <v>88</v>
      </c>
      <c r="B789" s="73"/>
      <c r="C789" s="57" t="s">
        <v>8024</v>
      </c>
      <c r="D789" s="104">
        <v>50.009572</v>
      </c>
      <c r="E789" s="74">
        <v>36.283866</v>
      </c>
      <c r="F789" s="79">
        <v>1.0</v>
      </c>
      <c r="G789" s="84" t="s">
        <v>8155</v>
      </c>
      <c r="H789" s="73"/>
      <c r="I789" s="75"/>
      <c r="J789" s="64" t="s">
        <v>8156</v>
      </c>
      <c r="K789" s="88" t="s">
        <v>8157</v>
      </c>
      <c r="L789" s="110" t="s">
        <v>3542</v>
      </c>
      <c r="M789" s="92" t="s">
        <v>5590</v>
      </c>
      <c r="N789" s="111"/>
      <c r="O789" s="92" t="s">
        <v>5626</v>
      </c>
      <c r="P789" s="67" t="str">
        <f t="shared" si="1"/>
        <v>50.009572, 36.283866</v>
      </c>
      <c r="Q789" s="67" t="str">
        <f t="shared" si="2"/>
        <v>50.00931, 36.283244</v>
      </c>
      <c r="R789" s="67">
        <f t="shared" si="3"/>
        <v>50.00931</v>
      </c>
      <c r="S789" s="67">
        <f t="shared" si="4"/>
        <v>36.283244</v>
      </c>
      <c r="T789" s="161"/>
      <c r="U789" s="69"/>
      <c r="V789" s="169" t="s">
        <v>8158</v>
      </c>
      <c r="W789" s="308" t="s">
        <v>74</v>
      </c>
      <c r="X789" s="72" t="s">
        <v>75</v>
      </c>
      <c r="Y789" s="73"/>
      <c r="Z789" s="73"/>
      <c r="AA789" s="73"/>
      <c r="AB789" s="73"/>
      <c r="AC789" s="73"/>
      <c r="AD789" s="73"/>
      <c r="AE789" s="73"/>
      <c r="AF789" s="73"/>
      <c r="AG789" s="73"/>
      <c r="AH789" s="73"/>
      <c r="AI789" s="73"/>
      <c r="AJ789" s="75"/>
      <c r="AK789" s="76" t="s">
        <v>2108</v>
      </c>
      <c r="AL789" s="83" t="s">
        <v>8159</v>
      </c>
      <c r="AM789" s="71" t="s">
        <v>8160</v>
      </c>
      <c r="AN789" s="84" t="s">
        <v>8161</v>
      </c>
      <c r="AO789" s="71" t="s">
        <v>8162</v>
      </c>
      <c r="AP789" s="161" t="str">
        <f>IMAGE("https://bellingcat-archive.nyc3.cdn.digitaloceanspaces.com/Ukraine_Witness_Datasheet/Worksheet/twitter__media_FMlYJriWYAY8iJ7.jpg")</f>
        <v/>
      </c>
      <c r="AQ789" s="161"/>
      <c r="AR789" s="161"/>
      <c r="AS789" s="161"/>
      <c r="AT789" s="161"/>
      <c r="AU789" s="89"/>
      <c r="AV789" s="80"/>
      <c r="AW789" s="81"/>
    </row>
    <row r="790" ht="15.75" customHeight="1">
      <c r="A790" s="95" t="s">
        <v>63</v>
      </c>
      <c r="B790" s="73"/>
      <c r="C790" s="57" t="s">
        <v>8024</v>
      </c>
      <c r="D790" s="74">
        <v>50.553611</v>
      </c>
      <c r="E790" s="74">
        <v>30.217778</v>
      </c>
      <c r="F790" s="79">
        <v>1.0</v>
      </c>
      <c r="G790" s="84" t="s">
        <v>8163</v>
      </c>
      <c r="H790" s="73"/>
      <c r="I790" s="75"/>
      <c r="J790" s="64" t="s">
        <v>8164</v>
      </c>
      <c r="K790" s="69"/>
      <c r="L790" s="110" t="s">
        <v>3542</v>
      </c>
      <c r="M790" s="92" t="s">
        <v>5827</v>
      </c>
      <c r="N790" s="111"/>
      <c r="O790" s="92" t="s">
        <v>5868</v>
      </c>
      <c r="P790" s="67" t="str">
        <f t="shared" si="1"/>
        <v>50.553611, 30.217778</v>
      </c>
      <c r="Q790" s="67" t="str">
        <f t="shared" si="2"/>
        <v>50.553554, 30.21692</v>
      </c>
      <c r="R790" s="67">
        <f t="shared" si="3"/>
        <v>50.553554</v>
      </c>
      <c r="S790" s="67">
        <f t="shared" si="4"/>
        <v>30.21692</v>
      </c>
      <c r="T790" s="161"/>
      <c r="U790" s="69"/>
      <c r="V790" s="169" t="s">
        <v>8165</v>
      </c>
      <c r="W790" s="71" t="s">
        <v>6641</v>
      </c>
      <c r="X790" s="72" t="s">
        <v>75</v>
      </c>
      <c r="Y790" s="73"/>
      <c r="Z790" s="73"/>
      <c r="AA790" s="73"/>
      <c r="AB790" s="73"/>
      <c r="AC790" s="73"/>
      <c r="AD790" s="73"/>
      <c r="AE790" s="73"/>
      <c r="AF790" s="73"/>
      <c r="AG790" s="73"/>
      <c r="AH790" s="73"/>
      <c r="AI790" s="73"/>
      <c r="AJ790" s="75"/>
      <c r="AK790" s="76" t="s">
        <v>2108</v>
      </c>
      <c r="AL790" s="83" t="s">
        <v>8166</v>
      </c>
      <c r="AM790" s="71" t="s">
        <v>8167</v>
      </c>
      <c r="AN790" s="84" t="s">
        <v>8168</v>
      </c>
      <c r="AO790" s="71" t="s">
        <v>8169</v>
      </c>
      <c r="AP790" s="161" t="str">
        <f>IMAGE("https://bellingcat-archive.nyc3.cdn.digitaloceanspaces.com/Ukraine_Witness_Datasheet/Worksheet/twitter__media_FMlYVZ6XEAAlmhB.jpg")</f>
        <v/>
      </c>
      <c r="AQ790" s="161"/>
      <c r="AR790" s="161"/>
      <c r="AS790" s="161"/>
      <c r="AT790" s="161"/>
      <c r="AU790" s="89"/>
      <c r="AV790" s="80"/>
      <c r="AW790" s="81"/>
    </row>
    <row r="791" ht="15.75" customHeight="1">
      <c r="A791" s="87" t="s">
        <v>63</v>
      </c>
      <c r="B791" s="73"/>
      <c r="C791" s="57" t="s">
        <v>8024</v>
      </c>
      <c r="D791" s="74">
        <v>50.030461</v>
      </c>
      <c r="E791" s="74">
        <v>36.293821</v>
      </c>
      <c r="F791" s="79">
        <v>2.0</v>
      </c>
      <c r="G791" s="84" t="s">
        <v>8170</v>
      </c>
      <c r="H791" s="61"/>
      <c r="I791" s="75"/>
      <c r="J791" s="64" t="s">
        <v>8171</v>
      </c>
      <c r="K791" s="88" t="s">
        <v>8172</v>
      </c>
      <c r="L791" s="110" t="s">
        <v>3542</v>
      </c>
      <c r="M791" s="92" t="s">
        <v>5590</v>
      </c>
      <c r="N791" s="111"/>
      <c r="O791" s="92" t="s">
        <v>5626</v>
      </c>
      <c r="P791" s="67" t="str">
        <f t="shared" si="1"/>
        <v>50.030461, 36.293821</v>
      </c>
      <c r="Q791" s="67" t="str">
        <f t="shared" si="2"/>
        <v>50.030013, 36.293558</v>
      </c>
      <c r="R791" s="67">
        <f t="shared" si="3"/>
        <v>50.030013</v>
      </c>
      <c r="S791" s="67">
        <f t="shared" si="4"/>
        <v>36.293558</v>
      </c>
      <c r="T791" s="161"/>
      <c r="U791" s="69"/>
      <c r="V791" s="169" t="s">
        <v>8173</v>
      </c>
      <c r="W791" s="308" t="s">
        <v>74</v>
      </c>
      <c r="X791" s="72" t="s">
        <v>75</v>
      </c>
      <c r="Y791" s="73"/>
      <c r="Z791" s="73"/>
      <c r="AA791" s="73"/>
      <c r="AB791" s="73"/>
      <c r="AC791" s="73"/>
      <c r="AD791" s="73"/>
      <c r="AE791" s="73"/>
      <c r="AF791" s="73"/>
      <c r="AG791" s="73"/>
      <c r="AH791" s="73"/>
      <c r="AI791" s="73"/>
      <c r="AJ791" s="75"/>
      <c r="AK791" s="76" t="s">
        <v>798</v>
      </c>
      <c r="AL791" s="83" t="s">
        <v>8174</v>
      </c>
      <c r="AM791" s="71" t="s">
        <v>8175</v>
      </c>
      <c r="AN791" s="84" t="s">
        <v>8176</v>
      </c>
      <c r="AO791" s="71" t="s">
        <v>8177</v>
      </c>
      <c r="AP791" s="161" t="str">
        <f>IMAGE("https://bellingcat-archive.nyc3.cdn.digitaloceanspaces.com/Ukraine_Witness_Datasheet/Worksheet/youtube_dl_1497830368803753984/out2.jpg")</f>
        <v/>
      </c>
      <c r="AQ791" s="84" t="s">
        <v>8178</v>
      </c>
      <c r="AR791" s="71" t="s">
        <v>8179</v>
      </c>
      <c r="AS791" s="71" t="s">
        <v>8180</v>
      </c>
      <c r="AT791" s="71">
        <v>33.033</v>
      </c>
      <c r="AU791" s="89"/>
      <c r="AV791" s="80" t="s">
        <v>63</v>
      </c>
      <c r="AW791" s="81"/>
    </row>
    <row r="792" ht="15.75" customHeight="1">
      <c r="A792" s="55" t="s">
        <v>8181</v>
      </c>
      <c r="B792" s="73"/>
      <c r="C792" s="57" t="s">
        <v>8024</v>
      </c>
      <c r="D792" s="104">
        <v>50.009901</v>
      </c>
      <c r="E792" s="104">
        <v>36.284352</v>
      </c>
      <c r="F792" s="312">
        <v>1.0</v>
      </c>
      <c r="G792" s="84" t="s">
        <v>8182</v>
      </c>
      <c r="H792" s="73"/>
      <c r="I792" s="75"/>
      <c r="J792" s="64" t="s">
        <v>8183</v>
      </c>
      <c r="K792" s="69"/>
      <c r="L792" s="110" t="s">
        <v>3542</v>
      </c>
      <c r="M792" s="92" t="s">
        <v>5590</v>
      </c>
      <c r="N792" s="111"/>
      <c r="O792" s="92" t="s">
        <v>5626</v>
      </c>
      <c r="P792" s="67" t="str">
        <f t="shared" si="1"/>
        <v>50.009901, 36.284352</v>
      </c>
      <c r="Q792" s="67" t="str">
        <f t="shared" si="2"/>
        <v>50.009775, 36.283236</v>
      </c>
      <c r="R792" s="67">
        <f t="shared" si="3"/>
        <v>50.009775</v>
      </c>
      <c r="S792" s="67">
        <f t="shared" si="4"/>
        <v>36.283236</v>
      </c>
      <c r="T792" s="161"/>
      <c r="U792" s="69"/>
      <c r="V792" s="169" t="s">
        <v>8184</v>
      </c>
      <c r="W792" s="71" t="s">
        <v>74</v>
      </c>
      <c r="X792" s="72" t="s">
        <v>75</v>
      </c>
      <c r="Y792" s="61" t="s">
        <v>76</v>
      </c>
      <c r="Z792" s="73"/>
      <c r="AA792" s="73"/>
      <c r="AB792" s="73"/>
      <c r="AC792" s="73"/>
      <c r="AD792" s="73"/>
      <c r="AE792" s="73"/>
      <c r="AF792" s="73"/>
      <c r="AG792" s="73"/>
      <c r="AH792" s="73"/>
      <c r="AI792" s="73"/>
      <c r="AJ792" s="75"/>
      <c r="AK792" s="76" t="s">
        <v>798</v>
      </c>
      <c r="AL792" s="83" t="s">
        <v>8185</v>
      </c>
      <c r="AM792" s="71" t="s">
        <v>8186</v>
      </c>
      <c r="AN792" s="84" t="s">
        <v>8187</v>
      </c>
      <c r="AO792" s="71" t="s">
        <v>8188</v>
      </c>
      <c r="AP792" s="161" t="str">
        <f>IMAGE("https://bellingcat-archive.nyc3.cdn.digitaloceanspaces.com/Ukraine_Witness_Datasheet/Worksheet/youtube_dl_1497851052112154627/out2.jpg")</f>
        <v/>
      </c>
      <c r="AQ792" s="84" t="s">
        <v>8189</v>
      </c>
      <c r="AR792" s="71" t="s">
        <v>8190</v>
      </c>
      <c r="AS792" s="71" t="s">
        <v>8191</v>
      </c>
      <c r="AT792" s="71">
        <v>40.973</v>
      </c>
      <c r="AU792" s="89"/>
      <c r="AV792" s="80" t="s">
        <v>63</v>
      </c>
      <c r="AW792" s="81"/>
    </row>
    <row r="793" ht="15.75" customHeight="1">
      <c r="A793" s="55" t="s">
        <v>5457</v>
      </c>
      <c r="B793" s="73"/>
      <c r="C793" s="57" t="s">
        <v>8024</v>
      </c>
      <c r="D793" s="104">
        <v>50.009901</v>
      </c>
      <c r="E793" s="104">
        <v>36.284352</v>
      </c>
      <c r="F793" s="79">
        <v>2.0</v>
      </c>
      <c r="G793" s="130" t="s">
        <v>8192</v>
      </c>
      <c r="H793" s="73"/>
      <c r="I793" s="75"/>
      <c r="J793" s="64" t="s">
        <v>8193</v>
      </c>
      <c r="K793" s="69"/>
      <c r="L793" s="110" t="s">
        <v>3542</v>
      </c>
      <c r="M793" s="92" t="s">
        <v>5590</v>
      </c>
      <c r="N793" s="73"/>
      <c r="O793" s="92" t="s">
        <v>5626</v>
      </c>
      <c r="P793" s="67" t="str">
        <f t="shared" si="1"/>
        <v>50.009901, 36.284352</v>
      </c>
      <c r="Q793" s="67" t="str">
        <f t="shared" si="2"/>
        <v>50.009726, 36.284967</v>
      </c>
      <c r="R793" s="67">
        <f t="shared" si="3"/>
        <v>50.009726</v>
      </c>
      <c r="S793" s="67">
        <f t="shared" si="4"/>
        <v>36.284967</v>
      </c>
      <c r="T793" s="161"/>
      <c r="U793" s="69"/>
      <c r="V793" s="169" t="s">
        <v>8194</v>
      </c>
      <c r="W793" s="71" t="s">
        <v>7571</v>
      </c>
      <c r="X793" s="72" t="s">
        <v>75</v>
      </c>
      <c r="Y793" s="73"/>
      <c r="Z793" s="73"/>
      <c r="AA793" s="73"/>
      <c r="AB793" s="73"/>
      <c r="AC793" s="73"/>
      <c r="AD793" s="73"/>
      <c r="AE793" s="73"/>
      <c r="AF793" s="73"/>
      <c r="AG793" s="73"/>
      <c r="AH793" s="73"/>
      <c r="AI793" s="73"/>
      <c r="AJ793" s="75"/>
      <c r="AK793" s="76" t="s">
        <v>798</v>
      </c>
      <c r="AL793" s="83" t="s">
        <v>8195</v>
      </c>
      <c r="AM793" s="71" t="s">
        <v>8196</v>
      </c>
      <c r="AN793" s="84" t="s">
        <v>8197</v>
      </c>
      <c r="AO793" s="71" t="s">
        <v>8198</v>
      </c>
      <c r="AP793" s="161" t="str">
        <f>IMAGE("https://bellingcat-archive.nyc3.cdn.digitaloceanspaces.com/Ukraine_Witness_Datasheet/Worksheet/youtube_dl_1497843560581902338/out2.jpg")</f>
        <v/>
      </c>
      <c r="AQ793" s="84" t="s">
        <v>8199</v>
      </c>
      <c r="AR793" s="71" t="s">
        <v>8200</v>
      </c>
      <c r="AS793" s="71" t="s">
        <v>8201</v>
      </c>
      <c r="AT793" s="71">
        <v>53.868</v>
      </c>
      <c r="AU793" s="89"/>
      <c r="AV793" s="80" t="s">
        <v>63</v>
      </c>
      <c r="AW793" s="81"/>
    </row>
    <row r="794" ht="15.75" customHeight="1">
      <c r="A794" s="55" t="s">
        <v>5457</v>
      </c>
      <c r="B794" s="73"/>
      <c r="C794" s="57" t="s">
        <v>8024</v>
      </c>
      <c r="D794" s="104">
        <v>50.537996</v>
      </c>
      <c r="E794" s="104">
        <v>30.23168</v>
      </c>
      <c r="F794" s="79">
        <v>2.0</v>
      </c>
      <c r="G794" s="130" t="s">
        <v>8202</v>
      </c>
      <c r="H794" s="73"/>
      <c r="I794" s="75"/>
      <c r="J794" s="64" t="s">
        <v>8203</v>
      </c>
      <c r="K794" s="69"/>
      <c r="L794" s="110" t="s">
        <v>3542</v>
      </c>
      <c r="M794" s="61" t="s">
        <v>5827</v>
      </c>
      <c r="N794" s="73"/>
      <c r="O794" s="93" t="s">
        <v>5868</v>
      </c>
      <c r="P794" s="67" t="str">
        <f t="shared" si="1"/>
        <v>50.537996, 30.23168</v>
      </c>
      <c r="Q794" s="67" t="str">
        <f t="shared" si="2"/>
        <v>50.537464, 30.232109</v>
      </c>
      <c r="R794" s="67">
        <f t="shared" si="3"/>
        <v>50.537464</v>
      </c>
      <c r="S794" s="67">
        <f t="shared" si="4"/>
        <v>30.232109</v>
      </c>
      <c r="T794" s="161"/>
      <c r="U794" s="69"/>
      <c r="V794" s="169" t="s">
        <v>8204</v>
      </c>
      <c r="W794" s="71" t="s">
        <v>6641</v>
      </c>
      <c r="X794" s="72" t="s">
        <v>75</v>
      </c>
      <c r="Y794" s="73"/>
      <c r="Z794" s="73"/>
      <c r="AA794" s="73"/>
      <c r="AB794" s="73"/>
      <c r="AC794" s="73"/>
      <c r="AD794" s="73"/>
      <c r="AE794" s="73"/>
      <c r="AF794" s="73"/>
      <c r="AG794" s="73"/>
      <c r="AH794" s="73"/>
      <c r="AI794" s="73"/>
      <c r="AJ794" s="75"/>
      <c r="AK794" s="76" t="s">
        <v>2108</v>
      </c>
      <c r="AL794" s="83" t="s">
        <v>8205</v>
      </c>
      <c r="AM794" s="71" t="s">
        <v>8206</v>
      </c>
      <c r="AN794" s="84" t="s">
        <v>8207</v>
      </c>
      <c r="AO794" s="71" t="s">
        <v>8208</v>
      </c>
      <c r="AP794" s="161" t="str">
        <f>IMAGE("https://bellingcat-archive.nyc3.cdn.digitaloceanspaces.com/Ukraine_Witness_Datasheet/Worksheet/twitter__media_FMllnMQXEAgaQTy.jpg")</f>
        <v/>
      </c>
      <c r="AQ794" s="161"/>
      <c r="AR794" s="161"/>
      <c r="AS794" s="161"/>
      <c r="AT794" s="161"/>
      <c r="AU794" s="89"/>
      <c r="AV794" s="80" t="s">
        <v>63</v>
      </c>
      <c r="AW794" s="81"/>
    </row>
    <row r="795" ht="15.75" customHeight="1">
      <c r="A795" s="144" t="s">
        <v>8209</v>
      </c>
      <c r="B795" s="73"/>
      <c r="C795" s="57" t="s">
        <v>8024</v>
      </c>
      <c r="D795" s="104">
        <v>48.0945179</v>
      </c>
      <c r="E795" s="74">
        <v>39.3606117</v>
      </c>
      <c r="F795" s="79">
        <v>1.0</v>
      </c>
      <c r="G795" s="303" t="s">
        <v>8210</v>
      </c>
      <c r="H795" s="73"/>
      <c r="I795" s="75"/>
      <c r="J795" s="64" t="s">
        <v>8211</v>
      </c>
      <c r="K795" s="313" t="s">
        <v>8212</v>
      </c>
      <c r="L795" s="65" t="s">
        <v>3542</v>
      </c>
      <c r="M795" s="61" t="s">
        <v>8213</v>
      </c>
      <c r="N795" s="73"/>
      <c r="O795" s="93" t="s">
        <v>8214</v>
      </c>
      <c r="P795" s="67" t="str">
        <f t="shared" si="1"/>
        <v>48.0945179, 39.3606117</v>
      </c>
      <c r="Q795" s="67" t="str">
        <f t="shared" si="2"/>
        <v>48.094, 39.359732</v>
      </c>
      <c r="R795" s="67">
        <f t="shared" si="3"/>
        <v>48.094</v>
      </c>
      <c r="S795" s="67">
        <f t="shared" si="4"/>
        <v>39.359732</v>
      </c>
      <c r="T795" s="71" t="s">
        <v>8215</v>
      </c>
      <c r="U795" s="69"/>
      <c r="V795" s="169" t="s">
        <v>8216</v>
      </c>
      <c r="W795" s="71" t="s">
        <v>6641</v>
      </c>
      <c r="X795" s="194"/>
      <c r="Y795" s="73"/>
      <c r="Z795" s="73"/>
      <c r="AA795" s="73"/>
      <c r="AB795" s="73"/>
      <c r="AC795" s="73"/>
      <c r="AD795" s="73"/>
      <c r="AE795" s="73"/>
      <c r="AF795" s="73"/>
      <c r="AG795" s="73"/>
      <c r="AH795" s="73"/>
      <c r="AI795" s="73"/>
      <c r="AJ795" s="75"/>
      <c r="AK795" s="76" t="s">
        <v>798</v>
      </c>
      <c r="AL795" s="83" t="s">
        <v>8217</v>
      </c>
      <c r="AM795" s="71" t="s">
        <v>8218</v>
      </c>
      <c r="AN795" s="84" t="s">
        <v>8219</v>
      </c>
      <c r="AO795" s="71" t="s">
        <v>8220</v>
      </c>
      <c r="AP795" s="161" t="str">
        <f>IMAGE("https://bellingcat-archive.nyc3.cdn.digitaloceanspaces.com/Ukraine_Witness_Datasheet/Worksheet/youtube_dl_1497693187825098755/out2.jpg")</f>
        <v/>
      </c>
      <c r="AQ795" s="84" t="s">
        <v>8221</v>
      </c>
      <c r="AR795" s="71" t="s">
        <v>8222</v>
      </c>
      <c r="AS795" s="71" t="s">
        <v>8223</v>
      </c>
      <c r="AT795" s="71">
        <v>44.996</v>
      </c>
      <c r="AU795" s="89"/>
      <c r="AV795" s="162"/>
      <c r="AW795" s="81"/>
    </row>
    <row r="796" ht="15.75" customHeight="1">
      <c r="A796" s="95" t="s">
        <v>63</v>
      </c>
      <c r="B796" s="73"/>
      <c r="C796" s="57" t="s">
        <v>8024</v>
      </c>
      <c r="D796" s="74">
        <v>50.535648</v>
      </c>
      <c r="E796" s="74">
        <v>30.233053</v>
      </c>
      <c r="F796" s="79">
        <v>5.0</v>
      </c>
      <c r="G796" s="84" t="s">
        <v>8224</v>
      </c>
      <c r="H796" s="73"/>
      <c r="I796" s="75"/>
      <c r="J796" s="64" t="s">
        <v>8225</v>
      </c>
      <c r="K796" s="69"/>
      <c r="L796" s="65" t="s">
        <v>3542</v>
      </c>
      <c r="M796" s="61" t="s">
        <v>5827</v>
      </c>
      <c r="N796" s="73"/>
      <c r="O796" s="93" t="s">
        <v>7550</v>
      </c>
      <c r="P796" s="67" t="str">
        <f t="shared" si="1"/>
        <v>50.535648, 30.233053</v>
      </c>
      <c r="Q796" s="67" t="str">
        <f t="shared" si="2"/>
        <v>50.535135, 30.232829</v>
      </c>
      <c r="R796" s="67">
        <f t="shared" si="3"/>
        <v>50.535135</v>
      </c>
      <c r="S796" s="67">
        <f t="shared" si="4"/>
        <v>30.232829</v>
      </c>
      <c r="T796" s="161"/>
      <c r="U796" s="69"/>
      <c r="V796" s="169" t="s">
        <v>8226</v>
      </c>
      <c r="W796" s="71" t="s">
        <v>7571</v>
      </c>
      <c r="X796" s="72" t="s">
        <v>75</v>
      </c>
      <c r="Y796" s="73"/>
      <c r="Z796" s="73"/>
      <c r="AA796" s="73"/>
      <c r="AB796" s="73"/>
      <c r="AC796" s="73"/>
      <c r="AD796" s="73"/>
      <c r="AE796" s="73"/>
      <c r="AF796" s="73"/>
      <c r="AG796" s="73"/>
      <c r="AH796" s="73"/>
      <c r="AI796" s="73"/>
      <c r="AJ796" s="75"/>
      <c r="AK796" s="76" t="s">
        <v>798</v>
      </c>
      <c r="AL796" s="83" t="s">
        <v>8227</v>
      </c>
      <c r="AM796" s="71" t="s">
        <v>8228</v>
      </c>
      <c r="AN796" s="84" t="s">
        <v>8229</v>
      </c>
      <c r="AO796" s="71" t="s">
        <v>8230</v>
      </c>
      <c r="AP796" s="161" t="str">
        <f>IMAGE("https://bellingcat-archive.nyc3.cdn.digitaloceanspaces.com/Ukraine_Witness_Datasheet/Worksheet/youtube_dl_1497862696758304770/out2.jpg")</f>
        <v/>
      </c>
      <c r="AQ796" s="84" t="s">
        <v>8231</v>
      </c>
      <c r="AR796" s="71" t="s">
        <v>8232</v>
      </c>
      <c r="AS796" s="71" t="s">
        <v>8233</v>
      </c>
      <c r="AT796" s="71">
        <v>22.918</v>
      </c>
      <c r="AU796" s="89"/>
      <c r="AV796" s="162"/>
      <c r="AW796" s="81"/>
    </row>
    <row r="797" ht="15.75" customHeight="1">
      <c r="A797" s="144" t="s">
        <v>8234</v>
      </c>
      <c r="B797" s="73"/>
      <c r="C797" s="57" t="s">
        <v>8024</v>
      </c>
      <c r="D797" s="104">
        <v>50.049663</v>
      </c>
      <c r="E797" s="104">
        <v>36.201074</v>
      </c>
      <c r="F797" s="89"/>
      <c r="G797" s="84" t="s">
        <v>8235</v>
      </c>
      <c r="H797" s="73"/>
      <c r="I797" s="75"/>
      <c r="J797" s="64" t="s">
        <v>8236</v>
      </c>
      <c r="K797" s="69"/>
      <c r="L797" s="65" t="s">
        <v>3542</v>
      </c>
      <c r="M797" s="92" t="s">
        <v>5590</v>
      </c>
      <c r="N797" s="73"/>
      <c r="O797" s="92" t="s">
        <v>5626</v>
      </c>
      <c r="P797" s="67" t="str">
        <f t="shared" si="1"/>
        <v>50.049663, 36.201074</v>
      </c>
      <c r="Q797" s="67" t="str">
        <f t="shared" si="2"/>
        <v>50.049646, 36.200451</v>
      </c>
      <c r="R797" s="67">
        <f t="shared" si="3"/>
        <v>50.049646</v>
      </c>
      <c r="S797" s="67">
        <f t="shared" si="4"/>
        <v>36.200451</v>
      </c>
      <c r="T797" s="161"/>
      <c r="U797" s="69"/>
      <c r="V797" s="169" t="s">
        <v>8237</v>
      </c>
      <c r="W797" s="161"/>
      <c r="X797" s="194"/>
      <c r="Y797" s="73"/>
      <c r="Z797" s="73"/>
      <c r="AA797" s="73"/>
      <c r="AB797" s="73"/>
      <c r="AC797" s="73"/>
      <c r="AD797" s="73"/>
      <c r="AE797" s="73"/>
      <c r="AF797" s="73"/>
      <c r="AG797" s="73"/>
      <c r="AH797" s="73"/>
      <c r="AI797" s="73"/>
      <c r="AJ797" s="75"/>
      <c r="AK797" s="76" t="s">
        <v>2108</v>
      </c>
      <c r="AL797" s="83" t="s">
        <v>8238</v>
      </c>
      <c r="AM797" s="71" t="s">
        <v>8239</v>
      </c>
      <c r="AN797" s="84" t="s">
        <v>8240</v>
      </c>
      <c r="AO797" s="71" t="s">
        <v>8241</v>
      </c>
      <c r="AP797" s="161" t="str">
        <f>IMAGE("https://bellingcat-archive.nyc3.cdn.digitaloceanspaces.com/Ukraine_Witness_Datasheet/Worksheet/twitter__media_FMl18tgXwAI_cUz.jpg")</f>
        <v/>
      </c>
      <c r="AQ797" s="161"/>
      <c r="AR797" s="161"/>
      <c r="AS797" s="161"/>
      <c r="AT797" s="161"/>
      <c r="AU797" s="89"/>
      <c r="AV797" s="162"/>
      <c r="AW797" s="81"/>
    </row>
    <row r="798" ht="15.75" customHeight="1">
      <c r="A798" s="95" t="s">
        <v>63</v>
      </c>
      <c r="B798" s="73"/>
      <c r="C798" s="57" t="s">
        <v>8024</v>
      </c>
      <c r="D798" s="74">
        <v>50.535532</v>
      </c>
      <c r="E798" s="74">
        <v>30.233061</v>
      </c>
      <c r="F798" s="79">
        <v>3.0</v>
      </c>
      <c r="G798" s="84" t="s">
        <v>8242</v>
      </c>
      <c r="H798" s="73"/>
      <c r="I798" s="75"/>
      <c r="J798" s="64" t="s">
        <v>8225</v>
      </c>
      <c r="K798" s="69"/>
      <c r="L798" s="65" t="s">
        <v>3542</v>
      </c>
      <c r="M798" s="61" t="s">
        <v>5827</v>
      </c>
      <c r="N798" s="73"/>
      <c r="O798" s="93" t="s">
        <v>7550</v>
      </c>
      <c r="P798" s="67" t="str">
        <f t="shared" si="1"/>
        <v>50.535532, 30.233061</v>
      </c>
      <c r="Q798" s="67" t="str">
        <f t="shared" si="2"/>
        <v>50.535318, 30.233714</v>
      </c>
      <c r="R798" s="67">
        <f t="shared" si="3"/>
        <v>50.535318</v>
      </c>
      <c r="S798" s="67">
        <f t="shared" si="4"/>
        <v>30.233714</v>
      </c>
      <c r="T798" s="161"/>
      <c r="U798" s="69"/>
      <c r="V798" s="169" t="s">
        <v>8243</v>
      </c>
      <c r="W798" s="71" t="s">
        <v>7571</v>
      </c>
      <c r="X798" s="72" t="s">
        <v>75</v>
      </c>
      <c r="Y798" s="73"/>
      <c r="Z798" s="73"/>
      <c r="AA798" s="73"/>
      <c r="AB798" s="73"/>
      <c r="AC798" s="73"/>
      <c r="AD798" s="73"/>
      <c r="AE798" s="73"/>
      <c r="AF798" s="73"/>
      <c r="AG798" s="73"/>
      <c r="AH798" s="73"/>
      <c r="AI798" s="73"/>
      <c r="AJ798" s="75"/>
      <c r="AK798" s="76" t="s">
        <v>798</v>
      </c>
      <c r="AL798" s="83" t="s">
        <v>8244</v>
      </c>
      <c r="AM798" s="71" t="s">
        <v>8245</v>
      </c>
      <c r="AN798" s="84" t="s">
        <v>8246</v>
      </c>
      <c r="AO798" s="71" t="s">
        <v>8247</v>
      </c>
      <c r="AP798" s="161" t="str">
        <f>IMAGE("https://bellingcat-archive.nyc3.cdn.digitaloceanspaces.com/Ukraine_Witness_Datasheet/Worksheet/youtube_dl_1497865530660700160/out2.jpg")</f>
        <v/>
      </c>
      <c r="AQ798" s="84" t="s">
        <v>8248</v>
      </c>
      <c r="AR798" s="71" t="s">
        <v>8249</v>
      </c>
      <c r="AS798" s="71" t="s">
        <v>8250</v>
      </c>
      <c r="AT798" s="71">
        <v>20.316</v>
      </c>
      <c r="AU798" s="89"/>
      <c r="AV798" s="162"/>
      <c r="AW798" s="81"/>
    </row>
    <row r="799" ht="15.75" customHeight="1">
      <c r="A799" s="95" t="s">
        <v>63</v>
      </c>
      <c r="B799" s="73"/>
      <c r="C799" s="57" t="s">
        <v>8024</v>
      </c>
      <c r="D799" s="74">
        <v>50.535566</v>
      </c>
      <c r="E799" s="74">
        <v>30.233179</v>
      </c>
      <c r="F799" s="79">
        <v>3.0</v>
      </c>
      <c r="G799" s="84" t="s">
        <v>8251</v>
      </c>
      <c r="H799" s="73"/>
      <c r="I799" s="75"/>
      <c r="J799" s="64" t="s">
        <v>8225</v>
      </c>
      <c r="K799" s="69"/>
      <c r="L799" s="65" t="s">
        <v>3542</v>
      </c>
      <c r="M799" s="61" t="s">
        <v>5827</v>
      </c>
      <c r="N799" s="73"/>
      <c r="O799" s="93" t="s">
        <v>7550</v>
      </c>
      <c r="P799" s="67" t="str">
        <f t="shared" si="1"/>
        <v>50.535566, 30.233179</v>
      </c>
      <c r="Q799" s="67" t="str">
        <f t="shared" si="2"/>
        <v>50.534999, 30.234027</v>
      </c>
      <c r="R799" s="67">
        <f t="shared" si="3"/>
        <v>50.534999</v>
      </c>
      <c r="S799" s="67">
        <f t="shared" si="4"/>
        <v>30.234027</v>
      </c>
      <c r="T799" s="161"/>
      <c r="U799" s="69"/>
      <c r="V799" s="169" t="s">
        <v>8252</v>
      </c>
      <c r="W799" s="71" t="s">
        <v>7571</v>
      </c>
      <c r="X799" s="72" t="s">
        <v>75</v>
      </c>
      <c r="Y799" s="73"/>
      <c r="Z799" s="73"/>
      <c r="AA799" s="73"/>
      <c r="AB799" s="73"/>
      <c r="AC799" s="73"/>
      <c r="AD799" s="73"/>
      <c r="AE799" s="73"/>
      <c r="AF799" s="73"/>
      <c r="AG799" s="73"/>
      <c r="AH799" s="73"/>
      <c r="AI799" s="73"/>
      <c r="AJ799" s="75"/>
      <c r="AK799" s="76" t="s">
        <v>798</v>
      </c>
      <c r="AL799" s="83" t="s">
        <v>8253</v>
      </c>
      <c r="AM799" s="71" t="s">
        <v>8254</v>
      </c>
      <c r="AN799" s="84" t="s">
        <v>8255</v>
      </c>
      <c r="AO799" s="71" t="s">
        <v>8256</v>
      </c>
      <c r="AP799" s="161" t="str">
        <f>IMAGE("https://bellingcat-archive.nyc3.cdn.digitaloceanspaces.com/Ukraine_Witness_Datasheet/Worksheet/youtube_dl_1497865957053812738/out2.jpg")</f>
        <v/>
      </c>
      <c r="AQ799" s="84" t="s">
        <v>8257</v>
      </c>
      <c r="AR799" s="71" t="s">
        <v>8258</v>
      </c>
      <c r="AS799" s="71" t="s">
        <v>8259</v>
      </c>
      <c r="AT799" s="71">
        <v>29.914</v>
      </c>
      <c r="AU799" s="89"/>
      <c r="AV799" s="162"/>
      <c r="AW799" s="81"/>
    </row>
    <row r="800" ht="15.75" customHeight="1">
      <c r="A800" s="87" t="s">
        <v>63</v>
      </c>
      <c r="B800" s="73"/>
      <c r="C800" s="57" t="s">
        <v>8024</v>
      </c>
      <c r="D800" s="74">
        <v>50.052934</v>
      </c>
      <c r="E800" s="74">
        <v>36.34027</v>
      </c>
      <c r="F800" s="79">
        <v>1.0</v>
      </c>
      <c r="G800" s="84" t="s">
        <v>8260</v>
      </c>
      <c r="H800" s="73"/>
      <c r="I800" s="75"/>
      <c r="J800" s="64" t="s">
        <v>8261</v>
      </c>
      <c r="K800" s="88" t="s">
        <v>8262</v>
      </c>
      <c r="L800" s="65" t="s">
        <v>3542</v>
      </c>
      <c r="M800" s="92" t="s">
        <v>5590</v>
      </c>
      <c r="N800" s="314"/>
      <c r="O800" s="92" t="s">
        <v>5626</v>
      </c>
      <c r="P800" s="67" t="str">
        <f t="shared" si="1"/>
        <v>50.052934, 36.34027</v>
      </c>
      <c r="Q800" s="67" t="str">
        <f t="shared" si="2"/>
        <v>50.05251, 36.34029</v>
      </c>
      <c r="R800" s="67">
        <f t="shared" si="3"/>
        <v>50.05251</v>
      </c>
      <c r="S800" s="67">
        <f t="shared" si="4"/>
        <v>36.34029</v>
      </c>
      <c r="T800" s="161"/>
      <c r="U800" s="69"/>
      <c r="V800" s="169" t="s">
        <v>8263</v>
      </c>
      <c r="W800" s="71" t="s">
        <v>6641</v>
      </c>
      <c r="X800" s="72" t="s">
        <v>75</v>
      </c>
      <c r="Y800" s="73"/>
      <c r="Z800" s="73"/>
      <c r="AA800" s="73"/>
      <c r="AB800" s="73"/>
      <c r="AC800" s="73"/>
      <c r="AD800" s="73"/>
      <c r="AE800" s="73"/>
      <c r="AF800" s="73"/>
      <c r="AG800" s="73"/>
      <c r="AH800" s="73"/>
      <c r="AI800" s="73"/>
      <c r="AJ800" s="75"/>
      <c r="AK800" s="76" t="s">
        <v>798</v>
      </c>
      <c r="AL800" s="83" t="s">
        <v>8264</v>
      </c>
      <c r="AM800" s="71" t="s">
        <v>8265</v>
      </c>
      <c r="AN800" s="84" t="s">
        <v>8266</v>
      </c>
      <c r="AO800" s="71" t="s">
        <v>8267</v>
      </c>
      <c r="AP800" s="161" t="str">
        <f>IMAGE("https://bellingcat-archive.nyc3.cdn.digitaloceanspaces.com/Ukraine_Witness_Datasheet/Worksheet/youtube_dl_1497764072019922945/out2.jpg")</f>
        <v/>
      </c>
      <c r="AQ800" s="84" t="s">
        <v>8268</v>
      </c>
      <c r="AR800" s="71" t="s">
        <v>8269</v>
      </c>
      <c r="AS800" s="71" t="s">
        <v>8270</v>
      </c>
      <c r="AT800" s="71">
        <v>13.1</v>
      </c>
      <c r="AU800" s="89"/>
      <c r="AV800" s="80" t="s">
        <v>63</v>
      </c>
      <c r="AW800" s="81"/>
    </row>
    <row r="801" ht="15.75" customHeight="1">
      <c r="A801" s="87" t="s">
        <v>63</v>
      </c>
      <c r="B801" s="73"/>
      <c r="C801" s="57" t="s">
        <v>8024</v>
      </c>
      <c r="D801" s="74">
        <v>50.052917</v>
      </c>
      <c r="E801" s="74">
        <v>36.340301</v>
      </c>
      <c r="F801" s="79">
        <v>1.0</v>
      </c>
      <c r="G801" s="84" t="s">
        <v>8271</v>
      </c>
      <c r="H801" s="73"/>
      <c r="I801" s="75"/>
      <c r="J801" s="64" t="s">
        <v>8261</v>
      </c>
      <c r="K801" s="88" t="s">
        <v>8262</v>
      </c>
      <c r="L801" s="65" t="s">
        <v>3542</v>
      </c>
      <c r="M801" s="92" t="s">
        <v>5590</v>
      </c>
      <c r="N801" s="314"/>
      <c r="O801" s="92" t="s">
        <v>5626</v>
      </c>
      <c r="P801" s="67" t="str">
        <f t="shared" si="1"/>
        <v>50.052917, 36.340301</v>
      </c>
      <c r="Q801" s="67" t="str">
        <f t="shared" si="2"/>
        <v>50.052847, 36.34092</v>
      </c>
      <c r="R801" s="67">
        <f t="shared" si="3"/>
        <v>50.052847</v>
      </c>
      <c r="S801" s="67">
        <f t="shared" si="4"/>
        <v>36.34092</v>
      </c>
      <c r="T801" s="161"/>
      <c r="U801" s="69"/>
      <c r="V801" s="169" t="s">
        <v>8272</v>
      </c>
      <c r="W801" s="71" t="s">
        <v>6641</v>
      </c>
      <c r="X801" s="72" t="s">
        <v>75</v>
      </c>
      <c r="Y801" s="73"/>
      <c r="Z801" s="73"/>
      <c r="AA801" s="73"/>
      <c r="AB801" s="73"/>
      <c r="AC801" s="73"/>
      <c r="AD801" s="73"/>
      <c r="AE801" s="73"/>
      <c r="AF801" s="73"/>
      <c r="AG801" s="73"/>
      <c r="AH801" s="73"/>
      <c r="AI801" s="73"/>
      <c r="AJ801" s="75"/>
      <c r="AK801" s="76" t="s">
        <v>798</v>
      </c>
      <c r="AL801" s="83" t="s">
        <v>8273</v>
      </c>
      <c r="AM801" s="71" t="s">
        <v>8274</v>
      </c>
      <c r="AN801" s="84" t="s">
        <v>8275</v>
      </c>
      <c r="AO801" s="71" t="s">
        <v>8276</v>
      </c>
      <c r="AP801" s="161" t="str">
        <f>IMAGE("https://bellingcat-archive.nyc3.cdn.digitaloceanspaces.com/Ukraine_Witness_Datasheet/Worksheet/youtube_dl_1497711570956206088/out2.jpg")</f>
        <v/>
      </c>
      <c r="AQ801" s="84" t="s">
        <v>8277</v>
      </c>
      <c r="AR801" s="71" t="s">
        <v>8278</v>
      </c>
      <c r="AS801" s="71" t="s">
        <v>8279</v>
      </c>
      <c r="AT801" s="71">
        <v>26.533</v>
      </c>
      <c r="AU801" s="89"/>
      <c r="AV801" s="80" t="s">
        <v>63</v>
      </c>
      <c r="AW801" s="81"/>
    </row>
    <row r="802" ht="15.75" customHeight="1">
      <c r="A802" s="87" t="s">
        <v>63</v>
      </c>
      <c r="B802" s="73"/>
      <c r="C802" s="57" t="s">
        <v>8024</v>
      </c>
      <c r="D802" s="74">
        <v>50.050232</v>
      </c>
      <c r="E802" s="74">
        <v>36.341546</v>
      </c>
      <c r="F802" s="79">
        <v>1.0</v>
      </c>
      <c r="G802" s="84" t="s">
        <v>8280</v>
      </c>
      <c r="H802" s="73"/>
      <c r="I802" s="75"/>
      <c r="J802" s="64" t="s">
        <v>8281</v>
      </c>
      <c r="K802" s="88" t="s">
        <v>8282</v>
      </c>
      <c r="L802" s="65" t="s">
        <v>3542</v>
      </c>
      <c r="M802" s="92" t="s">
        <v>5590</v>
      </c>
      <c r="N802" s="314"/>
      <c r="O802" s="92" t="s">
        <v>5626</v>
      </c>
      <c r="P802" s="67" t="str">
        <f t="shared" si="1"/>
        <v>50.050232, 36.341546</v>
      </c>
      <c r="Q802" s="67" t="str">
        <f t="shared" si="2"/>
        <v>50.049893, 36.342713</v>
      </c>
      <c r="R802" s="67">
        <f t="shared" si="3"/>
        <v>50.049893</v>
      </c>
      <c r="S802" s="67">
        <f t="shared" si="4"/>
        <v>36.342713</v>
      </c>
      <c r="T802" s="161"/>
      <c r="U802" s="69"/>
      <c r="V802" s="169" t="s">
        <v>8283</v>
      </c>
      <c r="W802" s="71" t="s">
        <v>6641</v>
      </c>
      <c r="X802" s="72" t="s">
        <v>75</v>
      </c>
      <c r="Y802" s="73"/>
      <c r="Z802" s="73"/>
      <c r="AA802" s="73"/>
      <c r="AB802" s="73"/>
      <c r="AC802" s="73"/>
      <c r="AD802" s="73"/>
      <c r="AE802" s="73"/>
      <c r="AF802" s="73"/>
      <c r="AG802" s="73"/>
      <c r="AH802" s="73"/>
      <c r="AI802" s="73"/>
      <c r="AJ802" s="75"/>
      <c r="AK802" s="76" t="s">
        <v>798</v>
      </c>
      <c r="AL802" s="83" t="s">
        <v>8284</v>
      </c>
      <c r="AM802" s="71" t="s">
        <v>8285</v>
      </c>
      <c r="AN802" s="84" t="s">
        <v>8286</v>
      </c>
      <c r="AO802" s="71" t="s">
        <v>8287</v>
      </c>
      <c r="AP802" s="161" t="str">
        <f>IMAGE("https://bellingcat-archive.nyc3.cdn.digitaloceanspaces.com/Ukraine_Witness_Datasheet/Worksheet/youtube_dl_1497787772144345089/out2.jpg")</f>
        <v/>
      </c>
      <c r="AQ802" s="84" t="s">
        <v>8288</v>
      </c>
      <c r="AR802" s="71" t="s">
        <v>8289</v>
      </c>
      <c r="AS802" s="71" t="s">
        <v>8290</v>
      </c>
      <c r="AT802" s="71">
        <v>36.266</v>
      </c>
      <c r="AU802" s="89"/>
      <c r="AV802" s="80" t="s">
        <v>63</v>
      </c>
      <c r="AW802" s="81"/>
    </row>
    <row r="803" ht="15.75" customHeight="1">
      <c r="A803" s="144" t="s">
        <v>8209</v>
      </c>
      <c r="B803" s="61" t="s">
        <v>8024</v>
      </c>
      <c r="C803" s="57" t="s">
        <v>8024</v>
      </c>
      <c r="D803" s="104">
        <v>50.2268103</v>
      </c>
      <c r="E803" s="74">
        <v>30.2963167</v>
      </c>
      <c r="F803" s="79">
        <v>1.0</v>
      </c>
      <c r="G803" s="84" t="s">
        <v>8291</v>
      </c>
      <c r="H803" s="73"/>
      <c r="I803" s="75"/>
      <c r="J803" s="64" t="s">
        <v>8292</v>
      </c>
      <c r="K803" s="69"/>
      <c r="L803" s="65" t="s">
        <v>3542</v>
      </c>
      <c r="M803" s="93" t="s">
        <v>5827</v>
      </c>
      <c r="N803" s="314"/>
      <c r="O803" s="93" t="s">
        <v>8293</v>
      </c>
      <c r="P803" s="67" t="str">
        <f t="shared" si="1"/>
        <v>50.2268103, 30.2963167</v>
      </c>
      <c r="Q803" s="67" t="str">
        <f t="shared" si="2"/>
        <v>50.226603, 30.295187</v>
      </c>
      <c r="R803" s="67">
        <f t="shared" si="3"/>
        <v>50.226603</v>
      </c>
      <c r="S803" s="67">
        <f t="shared" si="4"/>
        <v>30.295187</v>
      </c>
      <c r="T803" s="161"/>
      <c r="U803" s="69"/>
      <c r="V803" s="169" t="s">
        <v>8294</v>
      </c>
      <c r="W803" s="71" t="s">
        <v>6641</v>
      </c>
      <c r="X803" s="194"/>
      <c r="Y803" s="73"/>
      <c r="Z803" s="73"/>
      <c r="AA803" s="73"/>
      <c r="AB803" s="73"/>
      <c r="AC803" s="73"/>
      <c r="AD803" s="73"/>
      <c r="AE803" s="73"/>
      <c r="AF803" s="73"/>
      <c r="AG803" s="73"/>
      <c r="AH803" s="73"/>
      <c r="AI803" s="73"/>
      <c r="AJ803" s="75"/>
      <c r="AK803" s="76" t="s">
        <v>798</v>
      </c>
      <c r="AL803" s="83" t="s">
        <v>8295</v>
      </c>
      <c r="AM803" s="71" t="s">
        <v>8296</v>
      </c>
      <c r="AN803" s="84" t="s">
        <v>8297</v>
      </c>
      <c r="AO803" s="71" t="s">
        <v>8298</v>
      </c>
      <c r="AP803" s="161" t="str">
        <f>IMAGE("https://bellingcat-archive.nyc3.cdn.digitaloceanspaces.com/Ukraine_Witness_Datasheet/Worksheet/youtube_dl_1497709487104397318/out2.jpg")</f>
        <v/>
      </c>
      <c r="AQ803" s="84" t="s">
        <v>8299</v>
      </c>
      <c r="AR803" s="71" t="s">
        <v>8300</v>
      </c>
      <c r="AS803" s="71" t="s">
        <v>8301</v>
      </c>
      <c r="AT803" s="71">
        <v>8.966</v>
      </c>
      <c r="AU803" s="89"/>
      <c r="AV803" s="162"/>
      <c r="AW803" s="81"/>
    </row>
    <row r="804" ht="15.75" customHeight="1">
      <c r="A804" s="95" t="s">
        <v>5457</v>
      </c>
      <c r="B804" s="73"/>
      <c r="C804" s="315" t="s">
        <v>8024</v>
      </c>
      <c r="D804" s="74">
        <v>49.717085</v>
      </c>
      <c r="E804" s="92">
        <v>37.609044</v>
      </c>
      <c r="F804" s="59">
        <v>1.0</v>
      </c>
      <c r="G804" s="226" t="s">
        <v>8302</v>
      </c>
      <c r="H804" s="314"/>
      <c r="I804" s="109"/>
      <c r="J804" s="156" t="s">
        <v>8081</v>
      </c>
      <c r="K804" s="316"/>
      <c r="L804" s="65" t="s">
        <v>3542</v>
      </c>
      <c r="M804" s="311" t="s">
        <v>5590</v>
      </c>
      <c r="N804" s="314"/>
      <c r="O804" s="311" t="s">
        <v>8303</v>
      </c>
      <c r="P804" s="67" t="str">
        <f t="shared" si="1"/>
        <v>49.717085, 37.609044</v>
      </c>
      <c r="Q804" s="67" t="str">
        <f t="shared" si="2"/>
        <v>49.716338, 37.608688</v>
      </c>
      <c r="R804" s="67">
        <f t="shared" si="3"/>
        <v>49.716338</v>
      </c>
      <c r="S804" s="67">
        <f t="shared" si="4"/>
        <v>37.608688</v>
      </c>
      <c r="T804" s="161"/>
      <c r="U804" s="69"/>
      <c r="V804" s="169" t="s">
        <v>8304</v>
      </c>
      <c r="W804" s="71" t="s">
        <v>74</v>
      </c>
      <c r="X804" s="72" t="s">
        <v>75</v>
      </c>
      <c r="Y804" s="73"/>
      <c r="Z804" s="73"/>
      <c r="AA804" s="73"/>
      <c r="AB804" s="73"/>
      <c r="AC804" s="73"/>
      <c r="AD804" s="73"/>
      <c r="AE804" s="73"/>
      <c r="AF804" s="73"/>
      <c r="AG804" s="73"/>
      <c r="AH804" s="73"/>
      <c r="AI804" s="73"/>
      <c r="AJ804" s="75"/>
      <c r="AK804" s="76" t="s">
        <v>798</v>
      </c>
      <c r="AL804" s="83" t="s">
        <v>8305</v>
      </c>
      <c r="AM804" s="71" t="s">
        <v>8306</v>
      </c>
      <c r="AN804" s="84" t="s">
        <v>8307</v>
      </c>
      <c r="AO804" s="71" t="s">
        <v>8308</v>
      </c>
      <c r="AP804" s="161" t="str">
        <f>IMAGE("https://bellingcat-archive.nyc3.cdn.digitaloceanspaces.com/Ukraine_Witness_Datasheet/Worksheet/youtube_dl_1497870407214456832/out3.jpg")</f>
        <v/>
      </c>
      <c r="AQ804" s="84" t="s">
        <v>8309</v>
      </c>
      <c r="AR804" s="71" t="s">
        <v>8310</v>
      </c>
      <c r="AS804" s="71" t="s">
        <v>8311</v>
      </c>
      <c r="AT804" s="71">
        <v>61.5</v>
      </c>
      <c r="AU804" s="89"/>
      <c r="AV804" s="80" t="s">
        <v>63</v>
      </c>
      <c r="AW804" s="81"/>
    </row>
    <row r="805" ht="15.75" customHeight="1">
      <c r="A805" s="175"/>
      <c r="B805" s="73"/>
      <c r="C805" s="57" t="s">
        <v>8024</v>
      </c>
      <c r="D805" s="121"/>
      <c r="E805" s="121"/>
      <c r="F805" s="79">
        <v>3.0</v>
      </c>
      <c r="G805" s="130" t="s">
        <v>8312</v>
      </c>
      <c r="H805" s="73"/>
      <c r="I805" s="75"/>
      <c r="J805" s="64" t="s">
        <v>8313</v>
      </c>
      <c r="K805" s="69"/>
      <c r="L805" s="70"/>
      <c r="M805" s="314"/>
      <c r="N805" s="314"/>
      <c r="O805" s="314"/>
      <c r="P805" s="67" t="str">
        <f t="shared" si="1"/>
        <v/>
      </c>
      <c r="Q805" s="67" t="str">
        <f t="shared" si="2"/>
        <v/>
      </c>
      <c r="R805" s="67" t="str">
        <f t="shared" si="3"/>
        <v/>
      </c>
      <c r="S805" s="67" t="str">
        <f t="shared" si="4"/>
        <v/>
      </c>
      <c r="T805" s="161"/>
      <c r="U805" s="69"/>
      <c r="V805" s="169" t="s">
        <v>8314</v>
      </c>
      <c r="W805" s="161"/>
      <c r="X805" s="194"/>
      <c r="Y805" s="73"/>
      <c r="Z805" s="73"/>
      <c r="AA805" s="73"/>
      <c r="AB805" s="73"/>
      <c r="AC805" s="73"/>
      <c r="AD805" s="73"/>
      <c r="AE805" s="73"/>
      <c r="AF805" s="73"/>
      <c r="AG805" s="73"/>
      <c r="AH805" s="73"/>
      <c r="AI805" s="73"/>
      <c r="AJ805" s="75"/>
      <c r="AK805" s="76" t="s">
        <v>798</v>
      </c>
      <c r="AL805" s="83" t="s">
        <v>8315</v>
      </c>
      <c r="AM805" s="71" t="s">
        <v>8316</v>
      </c>
      <c r="AN805" s="84" t="s">
        <v>8317</v>
      </c>
      <c r="AO805" s="71" t="s">
        <v>8318</v>
      </c>
      <c r="AP805" s="161" t="str">
        <f>IMAGE("https://bellingcat-archive.nyc3.cdn.digitaloceanspaces.com/Ukraine_Witness_Datasheet/Worksheet/youtube_dl_1497858945981071360/out2.jpg")</f>
        <v/>
      </c>
      <c r="AQ805" s="84" t="s">
        <v>8319</v>
      </c>
      <c r="AR805" s="71" t="s">
        <v>8320</v>
      </c>
      <c r="AS805" s="71" t="s">
        <v>8321</v>
      </c>
      <c r="AT805" s="71">
        <v>38.103</v>
      </c>
      <c r="AU805" s="89"/>
      <c r="AV805" s="162"/>
      <c r="AW805" s="81"/>
    </row>
    <row r="806" ht="15.75" customHeight="1">
      <c r="A806" s="55" t="s">
        <v>63</v>
      </c>
      <c r="B806" s="73"/>
      <c r="C806" s="57" t="s">
        <v>8024</v>
      </c>
      <c r="D806" s="74">
        <v>46.9642</v>
      </c>
      <c r="E806" s="74">
        <v>32.026888</v>
      </c>
      <c r="F806" s="79">
        <v>2.0</v>
      </c>
      <c r="G806" s="60" t="s">
        <v>8322</v>
      </c>
      <c r="H806" s="73"/>
      <c r="I806" s="62" t="s">
        <v>8323</v>
      </c>
      <c r="J806" s="64" t="s">
        <v>8324</v>
      </c>
      <c r="K806" s="69"/>
      <c r="L806" s="65" t="s">
        <v>3542</v>
      </c>
      <c r="M806" s="311" t="s">
        <v>8325</v>
      </c>
      <c r="N806" s="314"/>
      <c r="O806" s="311" t="s">
        <v>6658</v>
      </c>
      <c r="P806" s="67" t="str">
        <f t="shared" si="1"/>
        <v>46.9642, 32.026888</v>
      </c>
      <c r="Q806" s="67" t="str">
        <f t="shared" si="2"/>
        <v>46.96343, 32.027085</v>
      </c>
      <c r="R806" s="67">
        <f t="shared" si="3"/>
        <v>46.96343</v>
      </c>
      <c r="S806" s="67">
        <f t="shared" si="4"/>
        <v>32.027085</v>
      </c>
      <c r="T806" s="161"/>
      <c r="U806" s="69"/>
      <c r="V806" s="169" t="s">
        <v>8326</v>
      </c>
      <c r="W806" s="71" t="s">
        <v>7571</v>
      </c>
      <c r="X806" s="72" t="s">
        <v>75</v>
      </c>
      <c r="Y806" s="216" t="s">
        <v>5820</v>
      </c>
      <c r="Z806" s="73"/>
      <c r="AA806" s="73"/>
      <c r="AB806" s="73"/>
      <c r="AC806" s="73"/>
      <c r="AD806" s="73"/>
      <c r="AE806" s="73"/>
      <c r="AF806" s="73"/>
      <c r="AG806" s="73"/>
      <c r="AH806" s="73"/>
      <c r="AI806" s="73"/>
      <c r="AJ806" s="75"/>
      <c r="AK806" s="76" t="s">
        <v>798</v>
      </c>
      <c r="AL806" s="83" t="s">
        <v>8327</v>
      </c>
      <c r="AM806" s="71" t="s">
        <v>8328</v>
      </c>
      <c r="AN806" s="84" t="s">
        <v>8329</v>
      </c>
      <c r="AO806" s="71" t="s">
        <v>8330</v>
      </c>
      <c r="AP806" s="161" t="str">
        <f>IMAGE("https://bellingcat-archive.nyc3.cdn.digitaloceanspaces.com/Ukraine_Witness_Datasheet/Worksheet/youtube_dl_1497868180492017664/out2.jpg")</f>
        <v/>
      </c>
      <c r="AQ806" s="84" t="s">
        <v>8331</v>
      </c>
      <c r="AR806" s="71" t="s">
        <v>8332</v>
      </c>
      <c r="AS806" s="71" t="s">
        <v>8333</v>
      </c>
      <c r="AT806" s="71">
        <v>20.266</v>
      </c>
      <c r="AU806" s="89"/>
      <c r="AV806" s="162"/>
      <c r="AW806" s="81"/>
    </row>
    <row r="807" ht="15.75" customHeight="1">
      <c r="A807" s="95" t="s">
        <v>63</v>
      </c>
      <c r="B807" s="73"/>
      <c r="C807" s="57" t="s">
        <v>8024</v>
      </c>
      <c r="D807" s="74">
        <v>49.7097</v>
      </c>
      <c r="E807" s="74">
        <v>37.61272</v>
      </c>
      <c r="F807" s="59">
        <v>1.0</v>
      </c>
      <c r="G807" s="84" t="s">
        <v>8334</v>
      </c>
      <c r="H807" s="73"/>
      <c r="I807" s="75"/>
      <c r="J807" s="64" t="s">
        <v>8335</v>
      </c>
      <c r="K807" s="69"/>
      <c r="L807" s="65" t="s">
        <v>3542</v>
      </c>
      <c r="M807" s="311" t="s">
        <v>5590</v>
      </c>
      <c r="N807" s="314"/>
      <c r="O807" s="311" t="s">
        <v>8303</v>
      </c>
      <c r="P807" s="67" t="str">
        <f t="shared" si="1"/>
        <v>49.7097, 37.61272</v>
      </c>
      <c r="Q807" s="67" t="str">
        <f t="shared" si="2"/>
        <v>49.709693, 37.613351</v>
      </c>
      <c r="R807" s="67">
        <f t="shared" si="3"/>
        <v>49.709693</v>
      </c>
      <c r="S807" s="67">
        <f t="shared" si="4"/>
        <v>37.613351</v>
      </c>
      <c r="T807" s="161"/>
      <c r="U807" s="69"/>
      <c r="V807" s="169" t="s">
        <v>8336</v>
      </c>
      <c r="W807" s="71" t="s">
        <v>74</v>
      </c>
      <c r="X807" s="72" t="s">
        <v>75</v>
      </c>
      <c r="Y807" s="73"/>
      <c r="Z807" s="73"/>
      <c r="AA807" s="73"/>
      <c r="AB807" s="73"/>
      <c r="AC807" s="73"/>
      <c r="AD807" s="73"/>
      <c r="AE807" s="73"/>
      <c r="AF807" s="73"/>
      <c r="AG807" s="73"/>
      <c r="AH807" s="73"/>
      <c r="AI807" s="73"/>
      <c r="AJ807" s="75"/>
      <c r="AK807" s="76" t="s">
        <v>798</v>
      </c>
      <c r="AL807" s="83" t="s">
        <v>8337</v>
      </c>
      <c r="AM807" s="71" t="s">
        <v>8338</v>
      </c>
      <c r="AN807" s="84" t="s">
        <v>8339</v>
      </c>
      <c r="AO807" s="71" t="s">
        <v>8340</v>
      </c>
      <c r="AP807" s="161" t="str">
        <f>IMAGE("https://bellingcat-archive.nyc3.cdn.digitaloceanspaces.com/Ukraine_Witness_Datasheet/Worksheet/youtube_dl_1497865284048326656/out2.jpg")</f>
        <v/>
      </c>
      <c r="AQ807" s="84" t="s">
        <v>8341</v>
      </c>
      <c r="AR807" s="71" t="s">
        <v>8342</v>
      </c>
      <c r="AS807" s="71" t="s">
        <v>8343</v>
      </c>
      <c r="AT807" s="71">
        <v>44.033</v>
      </c>
      <c r="AU807" s="89"/>
      <c r="AV807" s="162"/>
      <c r="AW807" s="81"/>
    </row>
    <row r="808" ht="15.75" customHeight="1">
      <c r="A808" s="95" t="s">
        <v>5457</v>
      </c>
      <c r="B808" s="73"/>
      <c r="C808" s="57" t="s">
        <v>8024</v>
      </c>
      <c r="D808" s="104">
        <v>50.554472</v>
      </c>
      <c r="E808" s="104">
        <v>30.216654</v>
      </c>
      <c r="F808" s="79">
        <v>2.0</v>
      </c>
      <c r="G808" s="84" t="s">
        <v>8344</v>
      </c>
      <c r="H808" s="73"/>
      <c r="I808" s="75"/>
      <c r="J808" s="64" t="s">
        <v>8345</v>
      </c>
      <c r="K808" s="69"/>
      <c r="L808" s="65" t="s">
        <v>3542</v>
      </c>
      <c r="M808" s="93" t="s">
        <v>5827</v>
      </c>
      <c r="N808" s="314"/>
      <c r="O808" s="93" t="s">
        <v>5868</v>
      </c>
      <c r="P808" s="67" t="str">
        <f t="shared" si="1"/>
        <v>50.554472, 30.216654</v>
      </c>
      <c r="Q808" s="67" t="str">
        <f t="shared" si="2"/>
        <v>50.55417, 30.217095</v>
      </c>
      <c r="R808" s="67">
        <f t="shared" si="3"/>
        <v>50.55417</v>
      </c>
      <c r="S808" s="67">
        <f t="shared" si="4"/>
        <v>30.217095</v>
      </c>
      <c r="T808" s="161"/>
      <c r="U808" s="69"/>
      <c r="V808" s="169" t="s">
        <v>8346</v>
      </c>
      <c r="W808" s="71" t="s">
        <v>74</v>
      </c>
      <c r="X808" s="72" t="s">
        <v>75</v>
      </c>
      <c r="Y808" s="73"/>
      <c r="Z808" s="73"/>
      <c r="AA808" s="73"/>
      <c r="AB808" s="73"/>
      <c r="AC808" s="73"/>
      <c r="AD808" s="73"/>
      <c r="AE808" s="73"/>
      <c r="AF808" s="73"/>
      <c r="AG808" s="73"/>
      <c r="AH808" s="73"/>
      <c r="AI808" s="73"/>
      <c r="AJ808" s="75"/>
      <c r="AK808" s="76" t="s">
        <v>798</v>
      </c>
      <c r="AL808" s="83" t="s">
        <v>8347</v>
      </c>
      <c r="AM808" s="71" t="s">
        <v>8348</v>
      </c>
      <c r="AN808" s="84" t="s">
        <v>8349</v>
      </c>
      <c r="AO808" s="71" t="s">
        <v>8350</v>
      </c>
      <c r="AP808" s="161" t="str">
        <f>IMAGE("https://bellingcat-archive.nyc3.cdn.digitaloceanspaces.com/Ukraine_Witness_Datasheet/Worksheet/youtube_dl_1497839452013666306/out2.jpg")</f>
        <v/>
      </c>
      <c r="AQ808" s="84" t="s">
        <v>8351</v>
      </c>
      <c r="AR808" s="71" t="s">
        <v>8352</v>
      </c>
      <c r="AS808" s="71" t="s">
        <v>8353</v>
      </c>
      <c r="AT808" s="71">
        <v>20.852</v>
      </c>
      <c r="AU808" s="89"/>
      <c r="AV808" s="80" t="s">
        <v>63</v>
      </c>
      <c r="AW808" s="81"/>
    </row>
    <row r="809" ht="15.75" customHeight="1">
      <c r="A809" s="95" t="s">
        <v>63</v>
      </c>
      <c r="B809" s="73"/>
      <c r="C809" s="57" t="s">
        <v>8024</v>
      </c>
      <c r="D809" s="74">
        <v>46.964223</v>
      </c>
      <c r="E809" s="74">
        <v>32.026754</v>
      </c>
      <c r="F809" s="79">
        <v>2.0</v>
      </c>
      <c r="G809" s="317" t="s">
        <v>8354</v>
      </c>
      <c r="H809" s="73"/>
      <c r="I809" s="75"/>
      <c r="J809" s="64" t="s">
        <v>8324</v>
      </c>
      <c r="K809" s="69"/>
      <c r="L809" s="65" t="s">
        <v>3542</v>
      </c>
      <c r="M809" s="311" t="s">
        <v>8325</v>
      </c>
      <c r="N809" s="314"/>
      <c r="O809" s="311" t="s">
        <v>6658</v>
      </c>
      <c r="P809" s="67" t="str">
        <f t="shared" si="1"/>
        <v>46.964223, 32.026754</v>
      </c>
      <c r="Q809" s="67" t="str">
        <f t="shared" si="2"/>
        <v>46.963884, 32.026932</v>
      </c>
      <c r="R809" s="67">
        <f t="shared" si="3"/>
        <v>46.963884</v>
      </c>
      <c r="S809" s="67">
        <f t="shared" si="4"/>
        <v>32.026932</v>
      </c>
      <c r="T809" s="161"/>
      <c r="U809" s="69"/>
      <c r="V809" s="169" t="s">
        <v>8355</v>
      </c>
      <c r="W809" s="71" t="s">
        <v>7571</v>
      </c>
      <c r="X809" s="72" t="s">
        <v>75</v>
      </c>
      <c r="Y809" s="73"/>
      <c r="Z809" s="73"/>
      <c r="AA809" s="73"/>
      <c r="AB809" s="73"/>
      <c r="AC809" s="73"/>
      <c r="AD809" s="73"/>
      <c r="AE809" s="73"/>
      <c r="AF809" s="73"/>
      <c r="AG809" s="73"/>
      <c r="AH809" s="73"/>
      <c r="AI809" s="73"/>
      <c r="AJ809" s="75"/>
      <c r="AK809" s="76" t="s">
        <v>798</v>
      </c>
      <c r="AL809" s="83" t="s">
        <v>8356</v>
      </c>
      <c r="AM809" s="71" t="s">
        <v>8357</v>
      </c>
      <c r="AN809" s="84" t="s">
        <v>8358</v>
      </c>
      <c r="AO809" s="71" t="s">
        <v>8359</v>
      </c>
      <c r="AP809" s="161" t="str">
        <f>IMAGE("https://bellingcat-archive.nyc3.cdn.digitaloceanspaces.com/Ukraine_Witness_Datasheet/Worksheet/youtube_dl_1497847575965224960/out2.jpg")</f>
        <v/>
      </c>
      <c r="AQ809" s="84" t="s">
        <v>8360</v>
      </c>
      <c r="AR809" s="71" t="s">
        <v>8361</v>
      </c>
      <c r="AS809" s="71" t="s">
        <v>8362</v>
      </c>
      <c r="AT809" s="71">
        <v>41.2</v>
      </c>
      <c r="AU809" s="89"/>
      <c r="AV809" s="162"/>
      <c r="AW809" s="81"/>
    </row>
    <row r="810" ht="15.75" customHeight="1">
      <c r="A810" s="175"/>
      <c r="B810" s="73"/>
      <c r="C810" s="57" t="s">
        <v>8024</v>
      </c>
      <c r="D810" s="121"/>
      <c r="E810" s="121"/>
      <c r="F810" s="79">
        <v>3.0</v>
      </c>
      <c r="G810" s="317" t="s">
        <v>8363</v>
      </c>
      <c r="H810" s="73"/>
      <c r="I810" s="75"/>
      <c r="J810" s="64" t="s">
        <v>8364</v>
      </c>
      <c r="K810" s="69"/>
      <c r="L810" s="70"/>
      <c r="M810" s="73"/>
      <c r="N810" s="73"/>
      <c r="O810" s="73"/>
      <c r="P810" s="67" t="str">
        <f t="shared" si="1"/>
        <v/>
      </c>
      <c r="Q810" s="67" t="str">
        <f t="shared" si="2"/>
        <v/>
      </c>
      <c r="R810" s="67" t="str">
        <f t="shared" si="3"/>
        <v/>
      </c>
      <c r="S810" s="67" t="str">
        <f t="shared" si="4"/>
        <v/>
      </c>
      <c r="T810" s="161"/>
      <c r="U810" s="69"/>
      <c r="V810" s="169" t="s">
        <v>8365</v>
      </c>
      <c r="W810" s="161"/>
      <c r="X810" s="194"/>
      <c r="Y810" s="73"/>
      <c r="Z810" s="73"/>
      <c r="AA810" s="73"/>
      <c r="AB810" s="73"/>
      <c r="AC810" s="73"/>
      <c r="AD810" s="73"/>
      <c r="AE810" s="73"/>
      <c r="AF810" s="73"/>
      <c r="AG810" s="73"/>
      <c r="AH810" s="73"/>
      <c r="AI810" s="73"/>
      <c r="AJ810" s="75"/>
      <c r="AK810" s="76" t="s">
        <v>798</v>
      </c>
      <c r="AL810" s="83" t="s">
        <v>8366</v>
      </c>
      <c r="AM810" s="71" t="s">
        <v>8367</v>
      </c>
      <c r="AN810" s="84" t="s">
        <v>8368</v>
      </c>
      <c r="AO810" s="71" t="s">
        <v>8369</v>
      </c>
      <c r="AP810" s="161" t="str">
        <f>IMAGE("https://bellingcat-archive.nyc3.cdn.digitaloceanspaces.com/Ukraine_Witness_Datasheet/Worksheet/youtube_dl_1497877696939970564/out2.jpg")</f>
        <v/>
      </c>
      <c r="AQ810" s="84" t="s">
        <v>8370</v>
      </c>
      <c r="AR810" s="71" t="s">
        <v>8371</v>
      </c>
      <c r="AS810" s="71" t="s">
        <v>8372</v>
      </c>
      <c r="AT810" s="71">
        <v>4.199</v>
      </c>
      <c r="AU810" s="89"/>
      <c r="AV810" s="162"/>
      <c r="AW810" s="81"/>
    </row>
    <row r="811" ht="15.75" customHeight="1">
      <c r="A811" s="95" t="s">
        <v>5457</v>
      </c>
      <c r="B811" s="73"/>
      <c r="C811" s="57" t="s">
        <v>8024</v>
      </c>
      <c r="D811" s="74">
        <v>46.798392</v>
      </c>
      <c r="E811" s="104">
        <v>32.278859</v>
      </c>
      <c r="F811" s="59">
        <v>1.0</v>
      </c>
      <c r="G811" s="60" t="s">
        <v>8373</v>
      </c>
      <c r="H811" s="73"/>
      <c r="I811" s="75"/>
      <c r="J811" s="64" t="s">
        <v>8374</v>
      </c>
      <c r="K811" s="69"/>
      <c r="L811" s="65" t="s">
        <v>3542</v>
      </c>
      <c r="M811" s="61" t="s">
        <v>5702</v>
      </c>
      <c r="N811" s="73"/>
      <c r="O811" s="311" t="s">
        <v>8375</v>
      </c>
      <c r="P811" s="67" t="str">
        <f t="shared" si="1"/>
        <v>46.798392, 32.278859</v>
      </c>
      <c r="Q811" s="67" t="str">
        <f t="shared" si="2"/>
        <v>46.798226, 32.279341</v>
      </c>
      <c r="R811" s="67">
        <f t="shared" si="3"/>
        <v>46.798226</v>
      </c>
      <c r="S811" s="67">
        <f t="shared" si="4"/>
        <v>32.279341</v>
      </c>
      <c r="T811" s="161"/>
      <c r="U811" s="69"/>
      <c r="V811" s="169" t="s">
        <v>8376</v>
      </c>
      <c r="W811" s="71" t="s">
        <v>7571</v>
      </c>
      <c r="X811" s="72" t="s">
        <v>75</v>
      </c>
      <c r="Y811" s="73"/>
      <c r="Z811" s="73"/>
      <c r="AA811" s="73"/>
      <c r="AB811" s="73"/>
      <c r="AC811" s="73"/>
      <c r="AD811" s="73"/>
      <c r="AE811" s="73"/>
      <c r="AF811" s="73"/>
      <c r="AG811" s="73"/>
      <c r="AH811" s="73"/>
      <c r="AI811" s="73"/>
      <c r="AJ811" s="75"/>
      <c r="AK811" s="76" t="s">
        <v>798</v>
      </c>
      <c r="AL811" s="83" t="s">
        <v>8377</v>
      </c>
      <c r="AM811" s="71" t="s">
        <v>8378</v>
      </c>
      <c r="AN811" s="84" t="s">
        <v>8379</v>
      </c>
      <c r="AO811" s="71" t="s">
        <v>8380</v>
      </c>
      <c r="AP811" s="161" t="str">
        <f>IMAGE("https://bellingcat-archive.nyc3.cdn.digitaloceanspaces.com/Ukraine_Witness_Datasheet/Worksheet/youtube_dl_1497879296546799617/out2.jpg")</f>
        <v/>
      </c>
      <c r="AQ811" s="84" t="s">
        <v>8381</v>
      </c>
      <c r="AR811" s="71" t="s">
        <v>8382</v>
      </c>
      <c r="AS811" s="71" t="s">
        <v>8383</v>
      </c>
      <c r="AT811" s="71">
        <v>7.143</v>
      </c>
      <c r="AU811" s="89"/>
      <c r="AV811" s="80" t="s">
        <v>63</v>
      </c>
      <c r="AW811" s="81"/>
    </row>
    <row r="812" ht="15.75" customHeight="1">
      <c r="A812" s="95" t="s">
        <v>5457</v>
      </c>
      <c r="B812" s="73"/>
      <c r="C812" s="57" t="s">
        <v>8024</v>
      </c>
      <c r="D812" s="74">
        <v>46.964203</v>
      </c>
      <c r="E812" s="74">
        <v>32.026965</v>
      </c>
      <c r="F812" s="79">
        <v>2.0</v>
      </c>
      <c r="G812" s="60" t="s">
        <v>8384</v>
      </c>
      <c r="H812" s="161"/>
      <c r="I812" s="75"/>
      <c r="J812" s="64" t="s">
        <v>8385</v>
      </c>
      <c r="K812" s="69"/>
      <c r="L812" s="65" t="s">
        <v>3542</v>
      </c>
      <c r="M812" s="311" t="s">
        <v>8325</v>
      </c>
      <c r="N812" s="73"/>
      <c r="O812" s="311" t="s">
        <v>6658</v>
      </c>
      <c r="P812" s="67" t="str">
        <f t="shared" si="1"/>
        <v>46.964203, 32.026965</v>
      </c>
      <c r="Q812" s="67" t="str">
        <f t="shared" si="2"/>
        <v>46.963884, 32.027707</v>
      </c>
      <c r="R812" s="67">
        <f t="shared" si="3"/>
        <v>46.963884</v>
      </c>
      <c r="S812" s="67">
        <f t="shared" si="4"/>
        <v>32.027707</v>
      </c>
      <c r="T812" s="161"/>
      <c r="U812" s="69"/>
      <c r="V812" s="169" t="s">
        <v>8386</v>
      </c>
      <c r="W812" s="71" t="s">
        <v>7571</v>
      </c>
      <c r="X812" s="72" t="s">
        <v>75</v>
      </c>
      <c r="Y812" s="73"/>
      <c r="Z812" s="73"/>
      <c r="AA812" s="73"/>
      <c r="AB812" s="73"/>
      <c r="AC812" s="73"/>
      <c r="AD812" s="73"/>
      <c r="AE812" s="73"/>
      <c r="AF812" s="73"/>
      <c r="AG812" s="73"/>
      <c r="AH812" s="73"/>
      <c r="AI812" s="73"/>
      <c r="AJ812" s="75"/>
      <c r="AK812" s="76" t="s">
        <v>798</v>
      </c>
      <c r="AL812" s="83" t="s">
        <v>8387</v>
      </c>
      <c r="AM812" s="71" t="s">
        <v>8388</v>
      </c>
      <c r="AN812" s="84" t="s">
        <v>8389</v>
      </c>
      <c r="AO812" s="71" t="s">
        <v>8390</v>
      </c>
      <c r="AP812" s="161" t="str">
        <f>IMAGE("https://bellingcat-archive.nyc3.cdn.digitaloceanspaces.com/Ukraine_Witness_Datasheet/Worksheet/youtube_dl_1497824101116878848/out2.jpg")</f>
        <v/>
      </c>
      <c r="AQ812" s="84" t="s">
        <v>8391</v>
      </c>
      <c r="AR812" s="71" t="s">
        <v>8392</v>
      </c>
      <c r="AS812" s="71" t="s">
        <v>8393</v>
      </c>
      <c r="AT812" s="71">
        <v>20.8</v>
      </c>
      <c r="AU812" s="89"/>
      <c r="AV812" s="80" t="s">
        <v>63</v>
      </c>
      <c r="AW812" s="81"/>
    </row>
    <row r="813" ht="15.75" customHeight="1">
      <c r="A813" s="175"/>
      <c r="B813" s="73"/>
      <c r="C813" s="57" t="s">
        <v>6118</v>
      </c>
      <c r="D813" s="121"/>
      <c r="E813" s="121"/>
      <c r="F813" s="89"/>
      <c r="G813" s="318" t="s">
        <v>7460</v>
      </c>
      <c r="H813" s="161"/>
      <c r="I813" s="62" t="s">
        <v>7461</v>
      </c>
      <c r="J813" s="64" t="s">
        <v>8394</v>
      </c>
      <c r="K813" s="64"/>
      <c r="L813" s="65" t="s">
        <v>3542</v>
      </c>
      <c r="M813" s="73"/>
      <c r="N813" s="73"/>
      <c r="O813" s="73"/>
      <c r="P813" s="67" t="str">
        <f t="shared" si="1"/>
        <v/>
      </c>
      <c r="Q813" s="67" t="str">
        <f t="shared" si="2"/>
        <v/>
      </c>
      <c r="R813" s="67" t="str">
        <f t="shared" si="3"/>
        <v/>
      </c>
      <c r="S813" s="67" t="str">
        <f t="shared" si="4"/>
        <v/>
      </c>
      <c r="T813" s="161"/>
      <c r="U813" s="69"/>
      <c r="V813" s="169" t="s">
        <v>8395</v>
      </c>
      <c r="W813" s="161"/>
      <c r="X813" s="194"/>
      <c r="Y813" s="73"/>
      <c r="Z813" s="73"/>
      <c r="AA813" s="73"/>
      <c r="AB813" s="73"/>
      <c r="AC813" s="73"/>
      <c r="AD813" s="73"/>
      <c r="AE813" s="73"/>
      <c r="AF813" s="73"/>
      <c r="AG813" s="73"/>
      <c r="AH813" s="73"/>
      <c r="AI813" s="73"/>
      <c r="AJ813" s="75"/>
      <c r="AK813" s="76" t="s">
        <v>930</v>
      </c>
      <c r="AL813" s="83" t="s">
        <v>7464</v>
      </c>
      <c r="AM813" s="71" t="s">
        <v>8396</v>
      </c>
      <c r="AN813" s="84" t="s">
        <v>8397</v>
      </c>
      <c r="AO813" s="71" t="s">
        <v>7467</v>
      </c>
      <c r="AP813" s="161" t="str">
        <f>IMAGE("https://bellingcat-archive.nyc3.cdn.digitaloceanspaces.com/Ukraine_Witness_Datasheet/Worksheet/youtube_dl_1497264217317154816/out2.jpg")</f>
        <v/>
      </c>
      <c r="AQ813" s="84" t="s">
        <v>7468</v>
      </c>
      <c r="AR813" s="71" t="s">
        <v>7469</v>
      </c>
      <c r="AS813" s="71" t="s">
        <v>7470</v>
      </c>
      <c r="AT813" s="71">
        <v>41.374</v>
      </c>
      <c r="AU813" s="89"/>
      <c r="AV813" s="162"/>
      <c r="AW813" s="81"/>
    </row>
    <row r="814" ht="15.75" customHeight="1">
      <c r="A814" s="172"/>
      <c r="B814" s="73"/>
      <c r="C814" s="57" t="s">
        <v>6118</v>
      </c>
      <c r="D814" s="121">
        <v>50.048421863218</v>
      </c>
      <c r="E814" s="121">
        <v>36.1892865993203</v>
      </c>
      <c r="F814" s="89"/>
      <c r="G814" s="319" t="s">
        <v>7501</v>
      </c>
      <c r="H814" s="161"/>
      <c r="I814" s="62" t="s">
        <v>7502</v>
      </c>
      <c r="J814" s="64" t="s">
        <v>8398</v>
      </c>
      <c r="K814" s="320"/>
      <c r="L814" s="65" t="s">
        <v>3542</v>
      </c>
      <c r="M814" s="61" t="s">
        <v>7505</v>
      </c>
      <c r="N814" s="61" t="s">
        <v>8399</v>
      </c>
      <c r="O814" s="61" t="s">
        <v>8400</v>
      </c>
      <c r="P814" s="67" t="str">
        <f t="shared" si="1"/>
        <v>50.048421863218, 36.1892865993203</v>
      </c>
      <c r="Q814" s="67" t="str">
        <f t="shared" si="2"/>
        <v>50.04802, 36.189134</v>
      </c>
      <c r="R814" s="67">
        <f t="shared" si="3"/>
        <v>50.04802</v>
      </c>
      <c r="S814" s="67">
        <f t="shared" si="4"/>
        <v>36.189134</v>
      </c>
      <c r="T814" s="121"/>
      <c r="U814" s="69"/>
      <c r="V814" s="169" t="s">
        <v>8401</v>
      </c>
      <c r="W814" s="161"/>
      <c r="X814" s="194"/>
      <c r="Y814" s="73"/>
      <c r="Z814" s="73"/>
      <c r="AA814" s="73"/>
      <c r="AB814" s="73"/>
      <c r="AC814" s="73"/>
      <c r="AD814" s="73"/>
      <c r="AE814" s="73"/>
      <c r="AF814" s="73"/>
      <c r="AG814" s="73"/>
      <c r="AH814" s="73"/>
      <c r="AI814" s="73"/>
      <c r="AJ814" s="75"/>
      <c r="AK814" s="76" t="s">
        <v>930</v>
      </c>
      <c r="AL814" s="83" t="s">
        <v>7507</v>
      </c>
      <c r="AM814" s="71" t="s">
        <v>8402</v>
      </c>
      <c r="AN814" s="84" t="s">
        <v>8403</v>
      </c>
      <c r="AO814" s="71" t="s">
        <v>7510</v>
      </c>
      <c r="AP814" s="161" t="str">
        <f>IMAGE("https://bellingcat-archive.nyc3.cdn.digitaloceanspaces.com/Ukraine_Witness_Datasheet/Worksheet/youtube_dl_1497266803214532609/out2.jpg")</f>
        <v/>
      </c>
      <c r="AQ814" s="84" t="s">
        <v>7511</v>
      </c>
      <c r="AR814" s="71" t="s">
        <v>7512</v>
      </c>
      <c r="AS814" s="71" t="s">
        <v>7513</v>
      </c>
      <c r="AT814" s="71">
        <v>45.0</v>
      </c>
      <c r="AU814" s="89"/>
      <c r="AV814" s="162"/>
      <c r="AW814" s="81"/>
    </row>
    <row r="815" ht="15.75" customHeight="1">
      <c r="A815" s="95" t="s">
        <v>5457</v>
      </c>
      <c r="B815" s="73"/>
      <c r="C815" s="57" t="s">
        <v>6118</v>
      </c>
      <c r="D815" s="104">
        <v>47.640548</v>
      </c>
      <c r="E815" s="74">
        <v>37.549303</v>
      </c>
      <c r="F815" s="79">
        <v>2.0</v>
      </c>
      <c r="G815" s="321" t="s">
        <v>8404</v>
      </c>
      <c r="H815" s="161"/>
      <c r="I815" s="62" t="s">
        <v>8405</v>
      </c>
      <c r="J815" s="64" t="s">
        <v>8406</v>
      </c>
      <c r="K815" s="69"/>
      <c r="L815" s="65" t="s">
        <v>3542</v>
      </c>
      <c r="M815" s="61" t="s">
        <v>5750</v>
      </c>
      <c r="N815" s="61"/>
      <c r="O815" s="61" t="s">
        <v>8407</v>
      </c>
      <c r="P815" s="67" t="str">
        <f t="shared" si="1"/>
        <v>47.640548, 37.549303</v>
      </c>
      <c r="Q815" s="67" t="str">
        <f t="shared" si="2"/>
        <v>47.639925, 37.54973</v>
      </c>
      <c r="R815" s="67">
        <f t="shared" si="3"/>
        <v>47.639925</v>
      </c>
      <c r="S815" s="67">
        <f t="shared" si="4"/>
        <v>37.54973</v>
      </c>
      <c r="T815" s="161"/>
      <c r="U815" s="69"/>
      <c r="V815" s="169" t="s">
        <v>8408</v>
      </c>
      <c r="W815" s="71" t="s">
        <v>6641</v>
      </c>
      <c r="X815" s="72" t="s">
        <v>75</v>
      </c>
      <c r="Y815" s="216" t="s">
        <v>5820</v>
      </c>
      <c r="Z815" s="73"/>
      <c r="AA815" s="73"/>
      <c r="AB815" s="73"/>
      <c r="AC815" s="73"/>
      <c r="AD815" s="73"/>
      <c r="AE815" s="73"/>
      <c r="AF815" s="73"/>
      <c r="AG815" s="73"/>
      <c r="AH815" s="73"/>
      <c r="AI815" s="73"/>
      <c r="AJ815" s="75"/>
      <c r="AK815" s="76" t="s">
        <v>798</v>
      </c>
      <c r="AL815" s="83" t="s">
        <v>8409</v>
      </c>
      <c r="AM815" s="71" t="s">
        <v>8410</v>
      </c>
      <c r="AN815" s="84" t="s">
        <v>8411</v>
      </c>
      <c r="AO815" s="71" t="s">
        <v>8412</v>
      </c>
      <c r="AP815" s="161" t="str">
        <f>IMAGE("https://bellingcat-archive.nyc3.cdn.digitaloceanspaces.com/Ukraine_Witness_Datasheet/Worksheet/youtube_dl_1497275830094942209/out2.jpg")</f>
        <v/>
      </c>
      <c r="AQ815" s="84" t="s">
        <v>8413</v>
      </c>
      <c r="AR815" s="71" t="s">
        <v>8414</v>
      </c>
      <c r="AS815" s="71" t="s">
        <v>8415</v>
      </c>
      <c r="AT815" s="71">
        <v>54.472</v>
      </c>
      <c r="AU815" s="89"/>
      <c r="AV815" s="80" t="s">
        <v>63</v>
      </c>
      <c r="AW815" s="81"/>
    </row>
    <row r="816" ht="15.75" customHeight="1">
      <c r="A816" s="296" t="s">
        <v>6924</v>
      </c>
      <c r="B816" s="73"/>
      <c r="C816" s="57" t="s">
        <v>6118</v>
      </c>
      <c r="D816" s="260"/>
      <c r="E816" s="260"/>
      <c r="F816" s="89"/>
      <c r="G816" s="322" t="s">
        <v>8416</v>
      </c>
      <c r="H816" s="161"/>
      <c r="I816" s="62" t="s">
        <v>8417</v>
      </c>
      <c r="J816" s="64" t="s">
        <v>8418</v>
      </c>
      <c r="K816" s="69"/>
      <c r="L816" s="65" t="s">
        <v>3542</v>
      </c>
      <c r="M816" s="73"/>
      <c r="N816" s="73"/>
      <c r="O816" s="73"/>
      <c r="P816" s="67" t="str">
        <f t="shared" si="1"/>
        <v/>
      </c>
      <c r="Q816" s="67" t="str">
        <f t="shared" si="2"/>
        <v/>
      </c>
      <c r="R816" s="67" t="str">
        <f t="shared" si="3"/>
        <v/>
      </c>
      <c r="S816" s="67" t="str">
        <f t="shared" si="4"/>
        <v/>
      </c>
      <c r="T816" s="161"/>
      <c r="U816" s="69"/>
      <c r="V816" s="169" t="s">
        <v>8419</v>
      </c>
      <c r="W816" s="161"/>
      <c r="X816" s="194"/>
      <c r="Y816" s="216" t="s">
        <v>5820</v>
      </c>
      <c r="Z816" s="73"/>
      <c r="AA816" s="73"/>
      <c r="AB816" s="73"/>
      <c r="AC816" s="73"/>
      <c r="AD816" s="73"/>
      <c r="AE816" s="73"/>
      <c r="AF816" s="73"/>
      <c r="AG816" s="73"/>
      <c r="AH816" s="73"/>
      <c r="AI816" s="73"/>
      <c r="AJ816" s="75"/>
      <c r="AK816" s="76" t="s">
        <v>6276</v>
      </c>
      <c r="AL816" s="83" t="s">
        <v>8420</v>
      </c>
      <c r="AM816" s="71" t="s">
        <v>8421</v>
      </c>
      <c r="AN816" s="84" t="s">
        <v>8422</v>
      </c>
      <c r="AO816" s="71" t="s">
        <v>8423</v>
      </c>
      <c r="AP816" s="161" t="str">
        <f>IMAGE("https://bellingcat-archive.nyc3.cdn.digitaloceanspaces.com/Ukraine_Witness_Datasheet/Worksheet/telegram_985fdf2aa0/out2.jpg")</f>
        <v/>
      </c>
      <c r="AQ816" s="84" t="s">
        <v>8424</v>
      </c>
      <c r="AR816" s="84" t="s">
        <v>8416</v>
      </c>
      <c r="AS816" s="71" t="s">
        <v>8425</v>
      </c>
      <c r="AT816" s="71">
        <v>11.0</v>
      </c>
      <c r="AU816" s="89"/>
      <c r="AV816" s="162"/>
      <c r="AW816" s="81"/>
    </row>
    <row r="817" ht="15.75" customHeight="1">
      <c r="A817" s="95" t="s">
        <v>8023</v>
      </c>
      <c r="B817" s="73"/>
      <c r="C817" s="57" t="s">
        <v>6118</v>
      </c>
      <c r="D817" s="104">
        <v>50.101969</v>
      </c>
      <c r="E817" s="104">
        <v>36.280121</v>
      </c>
      <c r="F817" s="79">
        <v>2.0</v>
      </c>
      <c r="G817" s="322" t="s">
        <v>8426</v>
      </c>
      <c r="H817" s="161"/>
      <c r="I817" s="62" t="s">
        <v>8427</v>
      </c>
      <c r="J817" s="64" t="s">
        <v>8428</v>
      </c>
      <c r="K817" s="69"/>
      <c r="L817" s="65" t="s">
        <v>3542</v>
      </c>
      <c r="M817" s="61" t="s">
        <v>7505</v>
      </c>
      <c r="N817" s="73"/>
      <c r="O817" s="61" t="s">
        <v>5626</v>
      </c>
      <c r="P817" s="67" t="str">
        <f t="shared" si="1"/>
        <v>50.101969, 36.280121</v>
      </c>
      <c r="Q817" s="67" t="str">
        <f t="shared" si="2"/>
        <v>50.101782, 36.280624</v>
      </c>
      <c r="R817" s="67">
        <f t="shared" si="3"/>
        <v>50.101782</v>
      </c>
      <c r="S817" s="67">
        <f t="shared" si="4"/>
        <v>36.280624</v>
      </c>
      <c r="T817" s="161"/>
      <c r="U817" s="69"/>
      <c r="V817" s="169" t="s">
        <v>8429</v>
      </c>
      <c r="W817" s="71" t="s">
        <v>6641</v>
      </c>
      <c r="X817" s="72" t="s">
        <v>2982</v>
      </c>
      <c r="Y817" s="216" t="s">
        <v>5820</v>
      </c>
      <c r="Z817" s="73"/>
      <c r="AA817" s="73"/>
      <c r="AB817" s="73"/>
      <c r="AC817" s="73"/>
      <c r="AD817" s="73"/>
      <c r="AE817" s="73"/>
      <c r="AF817" s="73"/>
      <c r="AG817" s="73"/>
      <c r="AH817" s="73"/>
      <c r="AI817" s="73"/>
      <c r="AJ817" s="75"/>
      <c r="AK817" s="76" t="s">
        <v>6276</v>
      </c>
      <c r="AL817" s="83" t="s">
        <v>8430</v>
      </c>
      <c r="AM817" s="71" t="s">
        <v>8431</v>
      </c>
      <c r="AN817" s="84" t="s">
        <v>8432</v>
      </c>
      <c r="AO817" s="71" t="s">
        <v>8433</v>
      </c>
      <c r="AP817" s="161" t="str">
        <f>IMAGE("https://bellingcat-archive.nyc3.cdn.digitaloceanspaces.com/Ukraine_Witness_Datasheet/Worksheet/telegram_96103dc370/out2.jpg")</f>
        <v/>
      </c>
      <c r="AQ817" s="84" t="s">
        <v>8434</v>
      </c>
      <c r="AR817" s="84" t="s">
        <v>8426</v>
      </c>
      <c r="AS817" s="71" t="s">
        <v>8435</v>
      </c>
      <c r="AT817" s="71">
        <v>21.0</v>
      </c>
      <c r="AU817" s="89"/>
      <c r="AV817" s="80" t="s">
        <v>63</v>
      </c>
      <c r="AW817" s="81"/>
    </row>
    <row r="818" ht="15.75" customHeight="1">
      <c r="A818" s="95" t="s">
        <v>5457</v>
      </c>
      <c r="B818" s="73"/>
      <c r="C818" s="57" t="s">
        <v>6118</v>
      </c>
      <c r="D818" s="74">
        <v>50.875449</v>
      </c>
      <c r="E818" s="74">
        <v>34.903983</v>
      </c>
      <c r="F818" s="79">
        <v>2.0</v>
      </c>
      <c r="G818" s="322" t="s">
        <v>8436</v>
      </c>
      <c r="H818" s="161"/>
      <c r="I818" s="75"/>
      <c r="J818" s="64" t="s">
        <v>8437</v>
      </c>
      <c r="K818" s="69"/>
      <c r="L818" s="65" t="s">
        <v>3542</v>
      </c>
      <c r="M818" s="61" t="s">
        <v>5978</v>
      </c>
      <c r="N818" s="73"/>
      <c r="O818" s="61" t="s">
        <v>5979</v>
      </c>
      <c r="P818" s="67" t="str">
        <f t="shared" si="1"/>
        <v>50.875449, 34.903983</v>
      </c>
      <c r="Q818" s="67" t="str">
        <f t="shared" si="2"/>
        <v>50.874979, 34.903747</v>
      </c>
      <c r="R818" s="67">
        <f t="shared" si="3"/>
        <v>50.874979</v>
      </c>
      <c r="S818" s="67">
        <f t="shared" si="4"/>
        <v>34.903747</v>
      </c>
      <c r="T818" s="161"/>
      <c r="U818" s="69"/>
      <c r="V818" s="169" t="s">
        <v>8438</v>
      </c>
      <c r="W818" s="71" t="s">
        <v>7571</v>
      </c>
      <c r="X818" s="72" t="s">
        <v>75</v>
      </c>
      <c r="Y818" s="73"/>
      <c r="Z818" s="73"/>
      <c r="AA818" s="73"/>
      <c r="AB818" s="73"/>
      <c r="AC818" s="73"/>
      <c r="AD818" s="73"/>
      <c r="AE818" s="73"/>
      <c r="AF818" s="73"/>
      <c r="AG818" s="73"/>
      <c r="AH818" s="73"/>
      <c r="AI818" s="73"/>
      <c r="AJ818" s="75"/>
      <c r="AK818" s="76" t="s">
        <v>798</v>
      </c>
      <c r="AL818" s="83" t="s">
        <v>8439</v>
      </c>
      <c r="AM818" s="71" t="s">
        <v>8440</v>
      </c>
      <c r="AN818" s="84" t="s">
        <v>8441</v>
      </c>
      <c r="AO818" s="71" t="s">
        <v>8442</v>
      </c>
      <c r="AP818" s="161" t="str">
        <f>IMAGE("https://bellingcat-archive.nyc3.cdn.digitaloceanspaces.com/Ukraine_Witness_Datasheet/Worksheet/youtube_dl_1497882691135410176/out2.jpg")</f>
        <v/>
      </c>
      <c r="AQ818" s="84" t="s">
        <v>8443</v>
      </c>
      <c r="AR818" s="71" t="s">
        <v>8444</v>
      </c>
      <c r="AS818" s="71" t="s">
        <v>8445</v>
      </c>
      <c r="AT818" s="71">
        <v>18.39</v>
      </c>
      <c r="AU818" s="89"/>
      <c r="AV818" s="80" t="s">
        <v>63</v>
      </c>
      <c r="AW818" s="81"/>
    </row>
    <row r="819" ht="15.75" customHeight="1">
      <c r="A819" s="95" t="s">
        <v>63</v>
      </c>
      <c r="B819" s="73"/>
      <c r="C819" s="57" t="s">
        <v>7672</v>
      </c>
      <c r="D819" s="74">
        <v>50.422798</v>
      </c>
      <c r="E819" s="74">
        <v>30.465421</v>
      </c>
      <c r="F819" s="79">
        <v>2.0</v>
      </c>
      <c r="G819" s="322" t="s">
        <v>8446</v>
      </c>
      <c r="H819" s="161"/>
      <c r="I819" s="62" t="s">
        <v>8447</v>
      </c>
      <c r="J819" s="64" t="s">
        <v>8448</v>
      </c>
      <c r="K819" s="156"/>
      <c r="L819" s="65" t="s">
        <v>3542</v>
      </c>
      <c r="M819" s="61" t="s">
        <v>6121</v>
      </c>
      <c r="N819" s="73"/>
      <c r="O819" s="61" t="s">
        <v>6121</v>
      </c>
      <c r="P819" s="67" t="str">
        <f t="shared" si="1"/>
        <v>50.422798, 30.465421</v>
      </c>
      <c r="Q819" s="67" t="str">
        <f t="shared" si="2"/>
        <v>50.422766, 30.466028</v>
      </c>
      <c r="R819" s="67">
        <f t="shared" si="3"/>
        <v>50.422766</v>
      </c>
      <c r="S819" s="67">
        <f t="shared" si="4"/>
        <v>30.466028</v>
      </c>
      <c r="T819" s="161"/>
      <c r="U819" s="69"/>
      <c r="V819" s="169" t="s">
        <v>8449</v>
      </c>
      <c r="W819" s="71" t="s">
        <v>6641</v>
      </c>
      <c r="X819" s="72" t="s">
        <v>75</v>
      </c>
      <c r="Y819" s="216" t="s">
        <v>5820</v>
      </c>
      <c r="Z819" s="73"/>
      <c r="AA819" s="73"/>
      <c r="AB819" s="73"/>
      <c r="AC819" s="73"/>
      <c r="AD819" s="73"/>
      <c r="AE819" s="73"/>
      <c r="AF819" s="73"/>
      <c r="AG819" s="73"/>
      <c r="AH819" s="73"/>
      <c r="AI819" s="73"/>
      <c r="AJ819" s="75"/>
      <c r="AK819" s="76" t="s">
        <v>2108</v>
      </c>
      <c r="AL819" s="83" t="s">
        <v>8450</v>
      </c>
      <c r="AM819" s="71" t="s">
        <v>8451</v>
      </c>
      <c r="AN819" s="84" t="s">
        <v>8452</v>
      </c>
      <c r="AO819" s="71" t="s">
        <v>8453</v>
      </c>
      <c r="AP819" s="161" t="str">
        <f>IMAGE("https://bellingcat-archive.nyc3.cdn.digitaloceanspaces.com/Ukraine_Witness_Datasheet/Worksheet/twitter__media_FMgL6F9WUAAj82P.jpg")</f>
        <v/>
      </c>
      <c r="AQ819" s="161"/>
      <c r="AR819" s="161"/>
      <c r="AS819" s="161"/>
      <c r="AT819" s="161"/>
      <c r="AU819" s="89"/>
      <c r="AV819" s="162"/>
      <c r="AW819" s="81"/>
    </row>
    <row r="820" ht="15.75" customHeight="1">
      <c r="A820" s="95" t="s">
        <v>63</v>
      </c>
      <c r="B820" s="73"/>
      <c r="C820" s="57" t="s">
        <v>8454</v>
      </c>
      <c r="D820" s="74">
        <v>50.422798</v>
      </c>
      <c r="E820" s="74">
        <v>30.465421</v>
      </c>
      <c r="F820" s="79">
        <v>2.0</v>
      </c>
      <c r="G820" s="322" t="s">
        <v>8455</v>
      </c>
      <c r="H820" s="161"/>
      <c r="I820" s="62" t="s">
        <v>8447</v>
      </c>
      <c r="J820" s="64" t="s">
        <v>8448</v>
      </c>
      <c r="K820" s="156"/>
      <c r="L820" s="65" t="s">
        <v>3542</v>
      </c>
      <c r="M820" s="61" t="s">
        <v>6121</v>
      </c>
      <c r="N820" s="73"/>
      <c r="O820" s="61" t="s">
        <v>6121</v>
      </c>
      <c r="P820" s="67" t="str">
        <f t="shared" si="1"/>
        <v>50.422798, 30.465421</v>
      </c>
      <c r="Q820" s="67" t="str">
        <f t="shared" si="2"/>
        <v>50.422161, 30.464948</v>
      </c>
      <c r="R820" s="67">
        <f t="shared" si="3"/>
        <v>50.422161</v>
      </c>
      <c r="S820" s="67">
        <f t="shared" si="4"/>
        <v>30.464948</v>
      </c>
      <c r="T820" s="161"/>
      <c r="U820" s="69"/>
      <c r="V820" s="169" t="s">
        <v>8456</v>
      </c>
      <c r="W820" s="71" t="s">
        <v>6641</v>
      </c>
      <c r="X820" s="72" t="s">
        <v>75</v>
      </c>
      <c r="Y820" s="216" t="s">
        <v>5820</v>
      </c>
      <c r="Z820" s="73"/>
      <c r="AA820" s="73"/>
      <c r="AB820" s="73"/>
      <c r="AC820" s="73"/>
      <c r="AD820" s="73"/>
      <c r="AE820" s="73"/>
      <c r="AF820" s="73"/>
      <c r="AG820" s="73"/>
      <c r="AH820" s="73"/>
      <c r="AI820" s="73"/>
      <c r="AJ820" s="75"/>
      <c r="AK820" s="136" t="s">
        <v>8457</v>
      </c>
      <c r="AL820" s="160"/>
      <c r="AM820" s="138" t="s">
        <v>8458</v>
      </c>
      <c r="AN820" s="164"/>
      <c r="AO820" s="164"/>
      <c r="AP820" s="164"/>
      <c r="AQ820" s="164"/>
      <c r="AR820" s="164"/>
      <c r="AS820" s="164"/>
      <c r="AT820" s="164"/>
      <c r="AU820" s="89"/>
      <c r="AV820" s="162"/>
      <c r="AW820" s="81"/>
    </row>
    <row r="821" ht="15.75" customHeight="1">
      <c r="A821" s="95" t="s">
        <v>63</v>
      </c>
      <c r="B821" s="73"/>
      <c r="C821" s="57" t="s">
        <v>8459</v>
      </c>
      <c r="D821" s="74">
        <v>50.422798</v>
      </c>
      <c r="E821" s="74">
        <v>30.465421</v>
      </c>
      <c r="F821" s="79">
        <v>2.0</v>
      </c>
      <c r="G821" s="322" t="s">
        <v>8460</v>
      </c>
      <c r="H821" s="161"/>
      <c r="I821" s="62" t="s">
        <v>8447</v>
      </c>
      <c r="J821" s="64" t="s">
        <v>8448</v>
      </c>
      <c r="K821" s="156"/>
      <c r="L821" s="65" t="s">
        <v>3542</v>
      </c>
      <c r="M821" s="61" t="s">
        <v>6121</v>
      </c>
      <c r="N821" s="73"/>
      <c r="O821" s="61" t="s">
        <v>6121</v>
      </c>
      <c r="P821" s="67" t="str">
        <f t="shared" si="1"/>
        <v>50.422798, 30.465421</v>
      </c>
      <c r="Q821" s="67" t="str">
        <f t="shared" si="2"/>
        <v>50.422374, 30.465004</v>
      </c>
      <c r="R821" s="67">
        <f t="shared" si="3"/>
        <v>50.422374</v>
      </c>
      <c r="S821" s="67">
        <f t="shared" si="4"/>
        <v>30.465004</v>
      </c>
      <c r="T821" s="161"/>
      <c r="U821" s="69"/>
      <c r="V821" s="169" t="s">
        <v>8461</v>
      </c>
      <c r="W821" s="71" t="s">
        <v>6641</v>
      </c>
      <c r="X821" s="72" t="s">
        <v>75</v>
      </c>
      <c r="Y821" s="216" t="s">
        <v>5820</v>
      </c>
      <c r="Z821" s="73"/>
      <c r="AA821" s="73"/>
      <c r="AB821" s="73"/>
      <c r="AC821" s="73"/>
      <c r="AD821" s="73"/>
      <c r="AE821" s="73"/>
      <c r="AF821" s="73"/>
      <c r="AG821" s="73"/>
      <c r="AH821" s="73"/>
      <c r="AI821" s="73"/>
      <c r="AJ821" s="75"/>
      <c r="AK821" s="76" t="s">
        <v>798</v>
      </c>
      <c r="AL821" s="83" t="s">
        <v>8462</v>
      </c>
      <c r="AM821" s="71" t="s">
        <v>8463</v>
      </c>
      <c r="AN821" s="84" t="s">
        <v>8464</v>
      </c>
      <c r="AO821" s="71" t="s">
        <v>8465</v>
      </c>
      <c r="AP821" s="161" t="str">
        <f>IMAGE("https://bellingcat-archive.nyc3.cdn.digitaloceanspaces.com/Ukraine_Witness_Datasheet/Worksheet/youtube_dl_1497479518684073984/out2.jpg")</f>
        <v/>
      </c>
      <c r="AQ821" s="84" t="s">
        <v>8466</v>
      </c>
      <c r="AR821" s="71" t="s">
        <v>8467</v>
      </c>
      <c r="AS821" s="71" t="s">
        <v>8468</v>
      </c>
      <c r="AT821" s="71">
        <v>7.667</v>
      </c>
      <c r="AU821" s="89"/>
      <c r="AV821" s="162"/>
      <c r="AW821" s="81"/>
    </row>
    <row r="822" ht="15.75" customHeight="1">
      <c r="A822" s="95" t="s">
        <v>63</v>
      </c>
      <c r="B822" s="73"/>
      <c r="C822" s="57" t="s">
        <v>8469</v>
      </c>
      <c r="D822" s="74">
        <v>50.422798</v>
      </c>
      <c r="E822" s="74">
        <v>30.465421</v>
      </c>
      <c r="F822" s="79">
        <v>2.0</v>
      </c>
      <c r="G822" s="322" t="s">
        <v>8470</v>
      </c>
      <c r="H822" s="73"/>
      <c r="I822" s="62" t="s">
        <v>8447</v>
      </c>
      <c r="J822" s="64" t="s">
        <v>8448</v>
      </c>
      <c r="K822" s="156"/>
      <c r="L822" s="65" t="s">
        <v>3542</v>
      </c>
      <c r="M822" s="61" t="s">
        <v>6121</v>
      </c>
      <c r="N822" s="73"/>
      <c r="O822" s="61" t="s">
        <v>6121</v>
      </c>
      <c r="P822" s="67" t="str">
        <f t="shared" si="1"/>
        <v>50.422798, 30.465421</v>
      </c>
      <c r="Q822" s="67" t="str">
        <f t="shared" si="2"/>
        <v>50.422442, 30.465673</v>
      </c>
      <c r="R822" s="67">
        <f t="shared" si="3"/>
        <v>50.422442</v>
      </c>
      <c r="S822" s="67">
        <f t="shared" si="4"/>
        <v>30.465673</v>
      </c>
      <c r="T822" s="161"/>
      <c r="U822" s="69"/>
      <c r="V822" s="169" t="s">
        <v>8471</v>
      </c>
      <c r="W822" s="71" t="s">
        <v>6641</v>
      </c>
      <c r="X822" s="72" t="s">
        <v>75</v>
      </c>
      <c r="Y822" s="216" t="s">
        <v>5820</v>
      </c>
      <c r="Z822" s="73"/>
      <c r="AA822" s="73"/>
      <c r="AB822" s="73"/>
      <c r="AC822" s="73"/>
      <c r="AD822" s="73"/>
      <c r="AE822" s="73"/>
      <c r="AF822" s="73"/>
      <c r="AG822" s="73"/>
      <c r="AH822" s="73"/>
      <c r="AI822" s="73"/>
      <c r="AJ822" s="75"/>
      <c r="AK822" s="76" t="s">
        <v>6276</v>
      </c>
      <c r="AL822" s="83" t="s">
        <v>8472</v>
      </c>
      <c r="AM822" s="71" t="s">
        <v>8473</v>
      </c>
      <c r="AN822" s="84" t="s">
        <v>8474</v>
      </c>
      <c r="AO822" s="71" t="s">
        <v>8475</v>
      </c>
      <c r="AP822" s="161" t="str">
        <f>IMAGE("https://bellingcat-archive.nyc3.cdn.digitaloceanspaces.com/Ukraine_Witness_Datasheet/Worksheet/telegram_bvaRaLh0F9LpDgaD19pgHXKc6y6O7XDrv05V8MobYDe8yqDYT_egSunr2kDm87Ux48h7mUtEX2BtGrsWjV7J6vvfkNDFR6CwKlDzl61-LsVZ1-ey7l2wk3sWbUk5FZvA.jpg")</f>
        <v/>
      </c>
      <c r="AQ822" s="161"/>
      <c r="AR822" s="161"/>
      <c r="AS822" s="161"/>
      <c r="AT822" s="161"/>
      <c r="AU822" s="89"/>
      <c r="AV822" s="162"/>
      <c r="AW822" s="81"/>
    </row>
    <row r="823" ht="15.75" customHeight="1">
      <c r="A823" s="95" t="s">
        <v>63</v>
      </c>
      <c r="B823" s="73"/>
      <c r="C823" s="57" t="s">
        <v>8476</v>
      </c>
      <c r="D823" s="74">
        <v>50.422798</v>
      </c>
      <c r="E823" s="74">
        <v>30.465421</v>
      </c>
      <c r="F823" s="79">
        <v>2.0</v>
      </c>
      <c r="G823" s="322" t="s">
        <v>8477</v>
      </c>
      <c r="H823" s="73"/>
      <c r="I823" s="62" t="s">
        <v>8447</v>
      </c>
      <c r="J823" s="64" t="s">
        <v>8448</v>
      </c>
      <c r="K823" s="156"/>
      <c r="L823" s="65" t="s">
        <v>3542</v>
      </c>
      <c r="M823" s="61" t="s">
        <v>6121</v>
      </c>
      <c r="N823" s="73"/>
      <c r="O823" s="61" t="s">
        <v>6121</v>
      </c>
      <c r="P823" s="67" t="str">
        <f t="shared" si="1"/>
        <v>50.422798, 30.465421</v>
      </c>
      <c r="Q823" s="67" t="str">
        <f t="shared" si="2"/>
        <v>50.422644, 30.464754</v>
      </c>
      <c r="R823" s="67">
        <f t="shared" si="3"/>
        <v>50.422644</v>
      </c>
      <c r="S823" s="67">
        <f t="shared" si="4"/>
        <v>30.464754</v>
      </c>
      <c r="T823" s="161"/>
      <c r="U823" s="69"/>
      <c r="V823" s="169" t="s">
        <v>8478</v>
      </c>
      <c r="W823" s="71" t="s">
        <v>6641</v>
      </c>
      <c r="X823" s="72" t="s">
        <v>75</v>
      </c>
      <c r="Y823" s="216" t="s">
        <v>5820</v>
      </c>
      <c r="Z823" s="73"/>
      <c r="AA823" s="73"/>
      <c r="AB823" s="73"/>
      <c r="AC823" s="73"/>
      <c r="AD823" s="73"/>
      <c r="AE823" s="73"/>
      <c r="AF823" s="73"/>
      <c r="AG823" s="73"/>
      <c r="AH823" s="73"/>
      <c r="AI823" s="73"/>
      <c r="AJ823" s="75"/>
      <c r="AK823" s="76" t="s">
        <v>6276</v>
      </c>
      <c r="AL823" s="83" t="s">
        <v>8479</v>
      </c>
      <c r="AM823" s="71" t="s">
        <v>8480</v>
      </c>
      <c r="AN823" s="84" t="s">
        <v>8481</v>
      </c>
      <c r="AO823" s="71" t="s">
        <v>8482</v>
      </c>
      <c r="AP823" s="161" t="str">
        <f>IMAGE("https://bellingcat-archive.nyc3.cdn.digitaloceanspaces.com/Ukraine_Witness_Datasheet/Worksheet/telegram_ccfb9ab5f8/out2.jpg")</f>
        <v/>
      </c>
      <c r="AQ823" s="84" t="s">
        <v>8483</v>
      </c>
      <c r="AR823" s="84" t="s">
        <v>8477</v>
      </c>
      <c r="AS823" s="71" t="s">
        <v>8484</v>
      </c>
      <c r="AT823" s="71">
        <v>25.0</v>
      </c>
      <c r="AU823" s="89"/>
      <c r="AV823" s="80"/>
      <c r="AW823" s="81"/>
    </row>
    <row r="824" ht="15.75" customHeight="1">
      <c r="A824" s="95" t="s">
        <v>63</v>
      </c>
      <c r="B824" s="73"/>
      <c r="C824" s="57" t="s">
        <v>8485</v>
      </c>
      <c r="D824" s="74">
        <v>50.422798</v>
      </c>
      <c r="E824" s="74">
        <v>30.465421</v>
      </c>
      <c r="F824" s="79">
        <v>2.0</v>
      </c>
      <c r="G824" s="322" t="s">
        <v>8486</v>
      </c>
      <c r="H824" s="73"/>
      <c r="I824" s="62" t="s">
        <v>8447</v>
      </c>
      <c r="J824" s="64" t="s">
        <v>8448</v>
      </c>
      <c r="K824" s="156"/>
      <c r="L824" s="65" t="s">
        <v>3542</v>
      </c>
      <c r="M824" s="61" t="s">
        <v>6121</v>
      </c>
      <c r="N824" s="73"/>
      <c r="O824" s="61" t="s">
        <v>6121</v>
      </c>
      <c r="P824" s="67" t="str">
        <f t="shared" si="1"/>
        <v>50.422798, 30.465421</v>
      </c>
      <c r="Q824" s="67" t="str">
        <f t="shared" si="2"/>
        <v>50.421958, 30.465386</v>
      </c>
      <c r="R824" s="67">
        <f t="shared" si="3"/>
        <v>50.421958</v>
      </c>
      <c r="S824" s="67">
        <f t="shared" si="4"/>
        <v>30.465386</v>
      </c>
      <c r="T824" s="161"/>
      <c r="U824" s="69"/>
      <c r="V824" s="169" t="s">
        <v>8487</v>
      </c>
      <c r="W824" s="71" t="s">
        <v>6641</v>
      </c>
      <c r="X824" s="72" t="s">
        <v>75</v>
      </c>
      <c r="Y824" s="216" t="s">
        <v>5820</v>
      </c>
      <c r="Z824" s="73"/>
      <c r="AA824" s="73"/>
      <c r="AB824" s="73"/>
      <c r="AC824" s="73"/>
      <c r="AD824" s="73"/>
      <c r="AE824" s="73"/>
      <c r="AF824" s="73"/>
      <c r="AG824" s="73"/>
      <c r="AH824" s="73"/>
      <c r="AI824" s="73"/>
      <c r="AJ824" s="75"/>
      <c r="AK824" s="76" t="s">
        <v>6276</v>
      </c>
      <c r="AL824" s="83" t="s">
        <v>8488</v>
      </c>
      <c r="AM824" s="71" t="s">
        <v>8489</v>
      </c>
      <c r="AN824" s="84" t="s">
        <v>8490</v>
      </c>
      <c r="AO824" s="71" t="s">
        <v>8491</v>
      </c>
      <c r="AP824" s="161"/>
      <c r="AQ824" s="161"/>
      <c r="AR824" s="161"/>
      <c r="AS824" s="161"/>
      <c r="AT824" s="161"/>
      <c r="AU824" s="89"/>
      <c r="AV824" s="80"/>
      <c r="AW824" s="81"/>
    </row>
    <row r="825" ht="15.75" customHeight="1">
      <c r="A825" s="95" t="s">
        <v>63</v>
      </c>
      <c r="B825" s="73"/>
      <c r="C825" s="57" t="s">
        <v>8492</v>
      </c>
      <c r="D825" s="74">
        <v>50.422798</v>
      </c>
      <c r="E825" s="74">
        <v>30.465421</v>
      </c>
      <c r="F825" s="79">
        <v>2.0</v>
      </c>
      <c r="G825" s="322" t="s">
        <v>8493</v>
      </c>
      <c r="H825" s="73"/>
      <c r="I825" s="62" t="s">
        <v>8447</v>
      </c>
      <c r="J825" s="64" t="s">
        <v>8448</v>
      </c>
      <c r="K825" s="156"/>
      <c r="L825" s="65" t="s">
        <v>3542</v>
      </c>
      <c r="M825" s="61" t="s">
        <v>6121</v>
      </c>
      <c r="N825" s="73"/>
      <c r="O825" s="61" t="s">
        <v>6121</v>
      </c>
      <c r="P825" s="67" t="str">
        <f t="shared" si="1"/>
        <v>50.422798, 30.465421</v>
      </c>
      <c r="Q825" s="67" t="str">
        <f t="shared" si="2"/>
        <v>50.422207, 30.46562</v>
      </c>
      <c r="R825" s="67">
        <f t="shared" si="3"/>
        <v>50.422207</v>
      </c>
      <c r="S825" s="67">
        <f t="shared" si="4"/>
        <v>30.46562</v>
      </c>
      <c r="T825" s="161"/>
      <c r="U825" s="69"/>
      <c r="V825" s="169" t="s">
        <v>8494</v>
      </c>
      <c r="W825" s="71" t="s">
        <v>6641</v>
      </c>
      <c r="X825" s="72" t="s">
        <v>75</v>
      </c>
      <c r="Y825" s="216" t="s">
        <v>5820</v>
      </c>
      <c r="Z825" s="73"/>
      <c r="AA825" s="73"/>
      <c r="AB825" s="73"/>
      <c r="AC825" s="73"/>
      <c r="AD825" s="73"/>
      <c r="AE825" s="73"/>
      <c r="AF825" s="73"/>
      <c r="AG825" s="73"/>
      <c r="AH825" s="73"/>
      <c r="AI825" s="73"/>
      <c r="AJ825" s="75"/>
      <c r="AK825" s="76" t="s">
        <v>798</v>
      </c>
      <c r="AL825" s="83" t="s">
        <v>8495</v>
      </c>
      <c r="AM825" s="71" t="s">
        <v>8496</v>
      </c>
      <c r="AN825" s="84" t="s">
        <v>8497</v>
      </c>
      <c r="AO825" s="71" t="s">
        <v>8498</v>
      </c>
      <c r="AP825" s="161" t="str">
        <f>IMAGE("https://bellingcat-archive.nyc3.cdn.digitaloceanspaces.com/Ukraine_Witness_Datasheet/Worksheet/youtube_dl_1497459660357574660/out2.jpg")</f>
        <v/>
      </c>
      <c r="AQ825" s="84" t="s">
        <v>8499</v>
      </c>
      <c r="AR825" s="71" t="s">
        <v>8500</v>
      </c>
      <c r="AS825" s="71" t="s">
        <v>8501</v>
      </c>
      <c r="AT825" s="71">
        <v>12.4</v>
      </c>
      <c r="AU825" s="89"/>
      <c r="AV825" s="80"/>
      <c r="AW825" s="81"/>
    </row>
    <row r="826" ht="15.75" customHeight="1">
      <c r="A826" s="95" t="s">
        <v>63</v>
      </c>
      <c r="B826" s="73"/>
      <c r="C826" s="57" t="s">
        <v>8502</v>
      </c>
      <c r="D826" s="74">
        <v>50.422798</v>
      </c>
      <c r="E826" s="74">
        <v>30.465421</v>
      </c>
      <c r="F826" s="79">
        <v>2.0</v>
      </c>
      <c r="G826" s="322" t="s">
        <v>8503</v>
      </c>
      <c r="H826" s="73"/>
      <c r="I826" s="62" t="s">
        <v>8447</v>
      </c>
      <c r="J826" s="64" t="s">
        <v>8448</v>
      </c>
      <c r="K826" s="156"/>
      <c r="L826" s="65" t="s">
        <v>3542</v>
      </c>
      <c r="M826" s="61" t="s">
        <v>6121</v>
      </c>
      <c r="N826" s="73"/>
      <c r="O826" s="61" t="s">
        <v>6121</v>
      </c>
      <c r="P826" s="67" t="str">
        <f t="shared" si="1"/>
        <v>50.422798, 30.465421</v>
      </c>
      <c r="Q826" s="67" t="str">
        <f t="shared" si="2"/>
        <v>50.422663, 30.464901</v>
      </c>
      <c r="R826" s="67">
        <f t="shared" si="3"/>
        <v>50.422663</v>
      </c>
      <c r="S826" s="67">
        <f t="shared" si="4"/>
        <v>30.464901</v>
      </c>
      <c r="T826" s="161"/>
      <c r="U826" s="69"/>
      <c r="V826" s="169" t="s">
        <v>8504</v>
      </c>
      <c r="W826" s="71" t="s">
        <v>6641</v>
      </c>
      <c r="X826" s="72" t="s">
        <v>75</v>
      </c>
      <c r="Y826" s="216" t="s">
        <v>5820</v>
      </c>
      <c r="Z826" s="73"/>
      <c r="AA826" s="73"/>
      <c r="AB826" s="73"/>
      <c r="AC826" s="73"/>
      <c r="AD826" s="73"/>
      <c r="AE826" s="73"/>
      <c r="AF826" s="73"/>
      <c r="AG826" s="73"/>
      <c r="AH826" s="73"/>
      <c r="AI826" s="73"/>
      <c r="AJ826" s="75"/>
      <c r="AK826" s="76" t="s">
        <v>6276</v>
      </c>
      <c r="AL826" s="83" t="s">
        <v>8505</v>
      </c>
      <c r="AM826" s="71" t="s">
        <v>8506</v>
      </c>
      <c r="AN826" s="84" t="s">
        <v>8507</v>
      </c>
      <c r="AO826" s="71" t="s">
        <v>8508</v>
      </c>
      <c r="AP826" s="161" t="str">
        <f>IMAGE("https://bellingcat-archive.nyc3.cdn.digitaloceanspaces.com/Ukraine_Witness_Datasheet/Worksheet/telegram_105e99f3c7/out2.jpg")</f>
        <v/>
      </c>
      <c r="AQ826" s="84" t="s">
        <v>8509</v>
      </c>
      <c r="AR826" s="84" t="s">
        <v>8503</v>
      </c>
      <c r="AS826" s="71" t="s">
        <v>8510</v>
      </c>
      <c r="AT826" s="71">
        <v>21.0</v>
      </c>
      <c r="AU826" s="89"/>
      <c r="AV826" s="80"/>
      <c r="AW826" s="81"/>
    </row>
    <row r="827" ht="15.75" customHeight="1">
      <c r="A827" s="95" t="s">
        <v>5457</v>
      </c>
      <c r="B827" s="73"/>
      <c r="C827" s="57" t="s">
        <v>6118</v>
      </c>
      <c r="D827" s="121">
        <v>50.87535</v>
      </c>
      <c r="E827" s="121">
        <v>34.904047</v>
      </c>
      <c r="F827" s="79">
        <v>2.0</v>
      </c>
      <c r="G827" s="60" t="s">
        <v>8511</v>
      </c>
      <c r="H827" s="73"/>
      <c r="I827" s="75"/>
      <c r="J827" s="64" t="s">
        <v>8512</v>
      </c>
      <c r="K827" s="69"/>
      <c r="L827" s="65" t="s">
        <v>3542</v>
      </c>
      <c r="M827" s="61" t="s">
        <v>5978</v>
      </c>
      <c r="N827" s="73"/>
      <c r="O827" s="61" t="s">
        <v>5979</v>
      </c>
      <c r="P827" s="67" t="str">
        <f t="shared" si="1"/>
        <v>50.87535, 34.904047</v>
      </c>
      <c r="Q827" s="67" t="str">
        <f t="shared" si="2"/>
        <v>50.875137, 34.905121</v>
      </c>
      <c r="R827" s="67">
        <f t="shared" si="3"/>
        <v>50.875137</v>
      </c>
      <c r="S827" s="67">
        <f t="shared" si="4"/>
        <v>34.905121</v>
      </c>
      <c r="T827" s="161"/>
      <c r="U827" s="69"/>
      <c r="V827" s="169" t="s">
        <v>8513</v>
      </c>
      <c r="W827" s="71" t="s">
        <v>7571</v>
      </c>
      <c r="X827" s="72" t="s">
        <v>75</v>
      </c>
      <c r="Y827" s="73"/>
      <c r="Z827" s="73"/>
      <c r="AA827" s="73"/>
      <c r="AB827" s="73"/>
      <c r="AC827" s="73"/>
      <c r="AD827" s="73"/>
      <c r="AE827" s="73"/>
      <c r="AF827" s="73"/>
      <c r="AG827" s="73"/>
      <c r="AH827" s="73"/>
      <c r="AI827" s="73"/>
      <c r="AJ827" s="75"/>
      <c r="AK827" s="76" t="s">
        <v>798</v>
      </c>
      <c r="AL827" s="83" t="s">
        <v>8514</v>
      </c>
      <c r="AM827" s="71" t="s">
        <v>8515</v>
      </c>
      <c r="AN827" s="84" t="s">
        <v>8516</v>
      </c>
      <c r="AO827" s="71" t="s">
        <v>8517</v>
      </c>
      <c r="AP827" s="161" t="str">
        <f>IMAGE("https://bellingcat-archive.nyc3.cdn.digitaloceanspaces.com/Ukraine_Witness_Datasheet/Worksheet/youtube_dl_1497856583040000000/out2.jpg")</f>
        <v/>
      </c>
      <c r="AQ827" s="84" t="s">
        <v>8518</v>
      </c>
      <c r="AR827" s="71" t="s">
        <v>8519</v>
      </c>
      <c r="AS827" s="71" t="s">
        <v>8520</v>
      </c>
      <c r="AT827" s="71">
        <v>15.833</v>
      </c>
      <c r="AU827" s="89"/>
      <c r="AV827" s="80" t="s">
        <v>63</v>
      </c>
      <c r="AW827" s="81"/>
    </row>
    <row r="828" ht="15.75" customHeight="1">
      <c r="A828" s="296" t="s">
        <v>6924</v>
      </c>
      <c r="B828" s="73"/>
      <c r="C828" s="57" t="s">
        <v>7672</v>
      </c>
      <c r="D828" s="260"/>
      <c r="E828" s="260"/>
      <c r="F828" s="89"/>
      <c r="G828" s="322" t="s">
        <v>8521</v>
      </c>
      <c r="H828" s="73"/>
      <c r="I828" s="62" t="s">
        <v>8522</v>
      </c>
      <c r="J828" s="64" t="s">
        <v>8523</v>
      </c>
      <c r="K828" s="69"/>
      <c r="L828" s="65" t="s">
        <v>3542</v>
      </c>
      <c r="M828" s="73"/>
      <c r="N828" s="73"/>
      <c r="O828" s="61" t="s">
        <v>8524</v>
      </c>
      <c r="P828" s="67" t="str">
        <f t="shared" si="1"/>
        <v/>
      </c>
      <c r="Q828" s="67" t="str">
        <f t="shared" si="2"/>
        <v/>
      </c>
      <c r="R828" s="67" t="str">
        <f t="shared" si="3"/>
        <v/>
      </c>
      <c r="S828" s="67" t="str">
        <f t="shared" si="4"/>
        <v/>
      </c>
      <c r="T828" s="161"/>
      <c r="U828" s="69"/>
      <c r="V828" s="169" t="s">
        <v>8525</v>
      </c>
      <c r="W828" s="161"/>
      <c r="X828" s="194"/>
      <c r="Y828" s="216" t="s">
        <v>5820</v>
      </c>
      <c r="Z828" s="73"/>
      <c r="AA828" s="73"/>
      <c r="AB828" s="73"/>
      <c r="AC828" s="73"/>
      <c r="AD828" s="73"/>
      <c r="AE828" s="73"/>
      <c r="AF828" s="73"/>
      <c r="AG828" s="73"/>
      <c r="AH828" s="73"/>
      <c r="AI828" s="73"/>
      <c r="AJ828" s="75"/>
      <c r="AK828" s="76" t="s">
        <v>6276</v>
      </c>
      <c r="AL828" s="83" t="s">
        <v>8526</v>
      </c>
      <c r="AM828" s="71" t="s">
        <v>8527</v>
      </c>
      <c r="AN828" s="84" t="s">
        <v>8528</v>
      </c>
      <c r="AO828" s="71" t="s">
        <v>8529</v>
      </c>
      <c r="AP828" s="161" t="str">
        <f>IMAGE("https://bellingcat-archive.nyc3.cdn.digitaloceanspaces.com/Ukraine_Witness_Datasheet/Worksheet/telegram_b21194059f/out2.jpg")</f>
        <v/>
      </c>
      <c r="AQ828" s="84" t="s">
        <v>8530</v>
      </c>
      <c r="AR828" s="84" t="s">
        <v>8521</v>
      </c>
      <c r="AS828" s="71" t="s">
        <v>8531</v>
      </c>
      <c r="AT828" s="71">
        <v>6.0</v>
      </c>
      <c r="AU828" s="89"/>
      <c r="AV828" s="162"/>
      <c r="AW828" s="81"/>
    </row>
    <row r="829" ht="15.75" customHeight="1">
      <c r="A829" s="259" t="s">
        <v>6924</v>
      </c>
      <c r="B829" s="73"/>
      <c r="C829" s="57" t="s">
        <v>7672</v>
      </c>
      <c r="D829" s="260"/>
      <c r="E829" s="260"/>
      <c r="F829" s="89"/>
      <c r="G829" s="322" t="s">
        <v>8532</v>
      </c>
      <c r="H829" s="73"/>
      <c r="I829" s="62" t="s">
        <v>8522</v>
      </c>
      <c r="J829" s="64" t="s">
        <v>8523</v>
      </c>
      <c r="K829" s="69"/>
      <c r="L829" s="65" t="s">
        <v>3542</v>
      </c>
      <c r="M829" s="73"/>
      <c r="N829" s="73"/>
      <c r="O829" s="61" t="s">
        <v>8524</v>
      </c>
      <c r="P829" s="67" t="str">
        <f t="shared" si="1"/>
        <v/>
      </c>
      <c r="Q829" s="67" t="str">
        <f t="shared" si="2"/>
        <v/>
      </c>
      <c r="R829" s="67" t="str">
        <f t="shared" si="3"/>
        <v/>
      </c>
      <c r="S829" s="67" t="str">
        <f t="shared" si="4"/>
        <v/>
      </c>
      <c r="T829" s="161"/>
      <c r="U829" s="69"/>
      <c r="V829" s="169" t="s">
        <v>8533</v>
      </c>
      <c r="X829" s="194"/>
      <c r="Y829" s="216" t="s">
        <v>5820</v>
      </c>
      <c r="Z829" s="73"/>
      <c r="AA829" s="73"/>
      <c r="AB829" s="73"/>
      <c r="AC829" s="73"/>
      <c r="AD829" s="73"/>
      <c r="AE829" s="73"/>
      <c r="AF829" s="73"/>
      <c r="AG829" s="73"/>
      <c r="AH829" s="73"/>
      <c r="AI829" s="73"/>
      <c r="AJ829" s="75"/>
      <c r="AK829" s="76" t="s">
        <v>6276</v>
      </c>
      <c r="AL829" s="83" t="s">
        <v>8534</v>
      </c>
      <c r="AM829" s="71" t="s">
        <v>8535</v>
      </c>
      <c r="AN829" s="84" t="s">
        <v>8536</v>
      </c>
      <c r="AO829" s="71" t="s">
        <v>8537</v>
      </c>
      <c r="AP829" s="161" t="str">
        <f>IMAGE("https://bellingcat-archive.nyc3.cdn.digitaloceanspaces.com/Ukraine_Witness_Datasheet/Worksheet/telegram_b8b5542694/out2.jpg")</f>
        <v/>
      </c>
      <c r="AQ829" s="84" t="s">
        <v>8538</v>
      </c>
      <c r="AR829" s="84" t="s">
        <v>8532</v>
      </c>
      <c r="AS829" s="71" t="s">
        <v>8539</v>
      </c>
      <c r="AT829" s="71">
        <v>8.0</v>
      </c>
      <c r="AU829" s="89"/>
      <c r="AV829" s="162"/>
      <c r="AW829" s="81"/>
    </row>
    <row r="830" ht="15.75" customHeight="1">
      <c r="A830" s="95" t="s">
        <v>7754</v>
      </c>
      <c r="B830" s="73"/>
      <c r="C830" s="57" t="s">
        <v>7672</v>
      </c>
      <c r="D830" s="104">
        <v>47.18064</v>
      </c>
      <c r="E830" s="104">
        <v>37.697958</v>
      </c>
      <c r="F830" s="79">
        <v>4.0</v>
      </c>
      <c r="G830" s="319" t="s">
        <v>8540</v>
      </c>
      <c r="H830" s="73"/>
      <c r="I830" s="62" t="s">
        <v>8541</v>
      </c>
      <c r="J830" s="64" t="s">
        <v>8542</v>
      </c>
      <c r="K830" s="69"/>
      <c r="L830" s="65" t="s">
        <v>3542</v>
      </c>
      <c r="M830" s="61" t="s">
        <v>5750</v>
      </c>
      <c r="N830" s="73"/>
      <c r="O830" s="61" t="s">
        <v>8543</v>
      </c>
      <c r="P830" s="67" t="str">
        <f t="shared" si="1"/>
        <v>47.18064, 37.697958</v>
      </c>
      <c r="Q830" s="67" t="str">
        <f t="shared" si="2"/>
        <v>47.180039, 37.697775</v>
      </c>
      <c r="R830" s="67">
        <f t="shared" si="3"/>
        <v>47.180039</v>
      </c>
      <c r="S830" s="67">
        <f t="shared" si="4"/>
        <v>37.697775</v>
      </c>
      <c r="T830" s="71" t="s">
        <v>8544</v>
      </c>
      <c r="U830" s="69"/>
      <c r="V830" s="169" t="s">
        <v>8545</v>
      </c>
      <c r="W830" s="71" t="s">
        <v>8546</v>
      </c>
      <c r="X830" s="72" t="s">
        <v>2982</v>
      </c>
      <c r="Y830" s="216" t="s">
        <v>75</v>
      </c>
      <c r="Z830" s="73"/>
      <c r="AA830" s="73"/>
      <c r="AB830" s="73"/>
      <c r="AC830" s="73"/>
      <c r="AD830" s="73"/>
      <c r="AE830" s="73"/>
      <c r="AF830" s="73"/>
      <c r="AG830" s="73"/>
      <c r="AH830" s="73"/>
      <c r="AI830" s="73"/>
      <c r="AJ830" s="75"/>
      <c r="AK830" s="76" t="s">
        <v>798</v>
      </c>
      <c r="AL830" s="83" t="s">
        <v>8547</v>
      </c>
      <c r="AM830" s="71" t="s">
        <v>8548</v>
      </c>
      <c r="AN830" s="84" t="s">
        <v>8549</v>
      </c>
      <c r="AO830" s="71" t="s">
        <v>8550</v>
      </c>
      <c r="AP830" s="161" t="str">
        <f>IMAGE("https://bellingcat-archive.nyc3.cdn.digitaloceanspaces.com/Ukraine_Witness_Datasheet/Worksheet/youtube_dl_1497574553677176834/out2.jpg")</f>
        <v/>
      </c>
      <c r="AQ830" s="84" t="s">
        <v>8551</v>
      </c>
      <c r="AR830" s="71" t="s">
        <v>8552</v>
      </c>
      <c r="AS830" s="71" t="s">
        <v>8553</v>
      </c>
      <c r="AT830" s="71">
        <v>47.12</v>
      </c>
      <c r="AU830" s="89"/>
      <c r="AV830" s="162"/>
      <c r="AW830" s="81"/>
    </row>
    <row r="831" ht="15.75" customHeight="1">
      <c r="A831" s="249" t="s">
        <v>8554</v>
      </c>
      <c r="B831" s="73"/>
      <c r="C831" s="57" t="s">
        <v>8454</v>
      </c>
      <c r="D831" s="241" t="s">
        <v>8555</v>
      </c>
      <c r="E831" s="241" t="s">
        <v>8556</v>
      </c>
      <c r="F831" s="89"/>
      <c r="G831" s="319" t="s">
        <v>8557</v>
      </c>
      <c r="H831" s="73"/>
      <c r="I831" s="62" t="s">
        <v>8541</v>
      </c>
      <c r="J831" s="64" t="s">
        <v>8558</v>
      </c>
      <c r="K831" s="69"/>
      <c r="L831" s="65" t="s">
        <v>3542</v>
      </c>
      <c r="M831" s="61" t="s">
        <v>5750</v>
      </c>
      <c r="N831" s="73"/>
      <c r="O831" s="61" t="s">
        <v>8543</v>
      </c>
      <c r="P831" s="67" t="str">
        <f t="shared" si="1"/>
        <v>47.180628, 37.698088</v>
      </c>
      <c r="Q831" s="67" t="str">
        <f t="shared" si="2"/>
        <v>47.180458, 37.698828</v>
      </c>
      <c r="R831" s="67">
        <f t="shared" si="3"/>
        <v>47.180458</v>
      </c>
      <c r="S831" s="67">
        <f t="shared" si="4"/>
        <v>37.698828</v>
      </c>
      <c r="T831" s="161"/>
      <c r="U831" s="69"/>
      <c r="V831" s="169" t="s">
        <v>8559</v>
      </c>
      <c r="W831" s="161"/>
      <c r="X831" s="17" t="s">
        <v>9</v>
      </c>
      <c r="Y831" s="216" t="s">
        <v>75</v>
      </c>
      <c r="Z831" s="73"/>
      <c r="AA831" s="73"/>
      <c r="AB831" s="73"/>
      <c r="AC831" s="73"/>
      <c r="AD831" s="73"/>
      <c r="AE831" s="73"/>
      <c r="AF831" s="73"/>
      <c r="AG831" s="73"/>
      <c r="AH831" s="73"/>
      <c r="AI831" s="73"/>
      <c r="AJ831" s="75"/>
      <c r="AK831" s="76" t="s">
        <v>6276</v>
      </c>
      <c r="AL831" s="83" t="s">
        <v>8560</v>
      </c>
      <c r="AM831" s="71" t="s">
        <v>8561</v>
      </c>
      <c r="AN831" s="84" t="s">
        <v>8562</v>
      </c>
      <c r="AO831" s="71" t="s">
        <v>8563</v>
      </c>
      <c r="AP831" s="161" t="str">
        <f>IMAGE("https://bellingcat-archive.nyc3.cdn.digitaloceanspaces.com/Ukraine_Witness_Datasheet/Worksheet/telegram_e618902fbe/out3.jpg")</f>
        <v/>
      </c>
      <c r="AQ831" s="84" t="s">
        <v>8564</v>
      </c>
      <c r="AR831" s="84" t="s">
        <v>8557</v>
      </c>
      <c r="AS831" s="71" t="s">
        <v>8565</v>
      </c>
      <c r="AT831" s="71">
        <v>64.0</v>
      </c>
      <c r="AU831" s="89"/>
      <c r="AV831" s="162"/>
      <c r="AW831" s="81"/>
    </row>
    <row r="832" ht="15.75" customHeight="1">
      <c r="A832" s="250" t="s">
        <v>6682</v>
      </c>
      <c r="B832" s="73"/>
      <c r="C832" s="57" t="s">
        <v>8454</v>
      </c>
      <c r="D832" s="241" t="s">
        <v>8566</v>
      </c>
      <c r="E832" s="241" t="s">
        <v>8567</v>
      </c>
      <c r="F832" s="79">
        <v>3.0</v>
      </c>
      <c r="G832" s="322" t="s">
        <v>8568</v>
      </c>
      <c r="H832" s="121"/>
      <c r="I832" s="251" t="s">
        <v>8569</v>
      </c>
      <c r="J832" s="64" t="s">
        <v>8570</v>
      </c>
      <c r="K832" s="69"/>
      <c r="L832" s="65" t="s">
        <v>3542</v>
      </c>
      <c r="M832" s="323" t="s">
        <v>5702</v>
      </c>
      <c r="N832" s="73"/>
      <c r="O832" s="61" t="s">
        <v>7098</v>
      </c>
      <c r="P832" s="67" t="str">
        <f t="shared" si="1"/>
        <v>46.74256, 32.7168</v>
      </c>
      <c r="Q832" s="67" t="str">
        <f t="shared" si="2"/>
        <v>46.741974, 32.716627</v>
      </c>
      <c r="R832" s="67">
        <f t="shared" si="3"/>
        <v>46.741974</v>
      </c>
      <c r="S832" s="67">
        <f t="shared" si="4"/>
        <v>32.716627</v>
      </c>
      <c r="T832" s="161"/>
      <c r="U832" s="69"/>
      <c r="V832" s="169" t="s">
        <v>8571</v>
      </c>
      <c r="W832" s="71" t="s">
        <v>8546</v>
      </c>
      <c r="X832" s="72" t="s">
        <v>5504</v>
      </c>
      <c r="Y832" s="216" t="s">
        <v>75</v>
      </c>
      <c r="Z832" s="73"/>
      <c r="AA832" s="73"/>
      <c r="AB832" s="73"/>
      <c r="AC832" s="73"/>
      <c r="AD832" s="73"/>
      <c r="AE832" s="73"/>
      <c r="AF832" s="73"/>
      <c r="AG832" s="73"/>
      <c r="AH832" s="73"/>
      <c r="AI832" s="73"/>
      <c r="AJ832" s="75"/>
      <c r="AK832" s="76" t="s">
        <v>798</v>
      </c>
      <c r="AL832" s="83" t="s">
        <v>8572</v>
      </c>
      <c r="AM832" s="71" t="s">
        <v>8573</v>
      </c>
      <c r="AN832" s="84" t="s">
        <v>8574</v>
      </c>
      <c r="AO832" s="71" t="s">
        <v>8575</v>
      </c>
      <c r="AP832" s="161" t="str">
        <f>IMAGE("https://bellingcat-archive.nyc3.cdn.digitaloceanspaces.com/Ukraine_Witness_Datasheet/Worksheet/youtube_dl_1497592742788149252/out2.jpg")</f>
        <v/>
      </c>
      <c r="AQ832" s="84" t="s">
        <v>8576</v>
      </c>
      <c r="AR832" s="71" t="s">
        <v>8577</v>
      </c>
      <c r="AS832" s="71" t="s">
        <v>8578</v>
      </c>
      <c r="AT832" s="71">
        <v>20.466</v>
      </c>
      <c r="AU832" s="89"/>
      <c r="AV832" s="80" t="s">
        <v>63</v>
      </c>
      <c r="AW832" s="203"/>
    </row>
    <row r="833" ht="15.75" customHeight="1">
      <c r="A833" s="250" t="s">
        <v>6682</v>
      </c>
      <c r="B833" s="73"/>
      <c r="C833" s="57" t="s">
        <v>8459</v>
      </c>
      <c r="D833" s="241" t="s">
        <v>8566</v>
      </c>
      <c r="E833" s="241" t="s">
        <v>8567</v>
      </c>
      <c r="F833" s="79">
        <v>3.0</v>
      </c>
      <c r="G833" s="324" t="s">
        <v>8579</v>
      </c>
      <c r="H833" s="121"/>
      <c r="I833" s="251" t="s">
        <v>8569</v>
      </c>
      <c r="J833" s="64" t="s">
        <v>8570</v>
      </c>
      <c r="K833" s="69"/>
      <c r="L833" s="65" t="s">
        <v>3542</v>
      </c>
      <c r="M833" s="323" t="s">
        <v>5702</v>
      </c>
      <c r="N833" s="73"/>
      <c r="O833" s="61" t="s">
        <v>7098</v>
      </c>
      <c r="P833" s="67" t="str">
        <f t="shared" si="1"/>
        <v>46.74256, 32.7168</v>
      </c>
      <c r="Q833" s="67" t="str">
        <f t="shared" si="2"/>
        <v>46.742331, 32.717391</v>
      </c>
      <c r="R833" s="67">
        <f t="shared" si="3"/>
        <v>46.742331</v>
      </c>
      <c r="S833" s="67">
        <f t="shared" si="4"/>
        <v>32.717391</v>
      </c>
      <c r="T833" s="161"/>
      <c r="U833" s="69"/>
      <c r="V833" s="169" t="s">
        <v>8580</v>
      </c>
      <c r="W833" s="71" t="s">
        <v>8546</v>
      </c>
      <c r="X833" s="72" t="s">
        <v>5504</v>
      </c>
      <c r="Y833" s="216" t="s">
        <v>75</v>
      </c>
      <c r="Z833" s="73"/>
      <c r="AA833" s="73"/>
      <c r="AB833" s="73"/>
      <c r="AC833" s="73"/>
      <c r="AD833" s="73"/>
      <c r="AE833" s="73"/>
      <c r="AF833" s="73"/>
      <c r="AG833" s="73"/>
      <c r="AH833" s="73"/>
      <c r="AI833" s="73"/>
      <c r="AJ833" s="75"/>
      <c r="AK833" s="76" t="s">
        <v>798</v>
      </c>
      <c r="AL833" s="83" t="s">
        <v>8581</v>
      </c>
      <c r="AM833" s="71" t="s">
        <v>8582</v>
      </c>
      <c r="AN833" s="84" t="s">
        <v>8583</v>
      </c>
      <c r="AO833" s="71" t="s">
        <v>8584</v>
      </c>
      <c r="AP833" s="161" t="str">
        <f>IMAGE("https://bellingcat-archive.nyc3.cdn.digitaloceanspaces.com/Ukraine_Witness_Datasheet/Worksheet/youtube_dl_1497600148188319750/out2.jpg")</f>
        <v/>
      </c>
      <c r="AQ833" s="84" t="s">
        <v>8585</v>
      </c>
      <c r="AR833" s="71" t="s">
        <v>8586</v>
      </c>
      <c r="AS833" s="71" t="s">
        <v>8587</v>
      </c>
      <c r="AT833" s="71">
        <v>19.757</v>
      </c>
      <c r="AU833" s="89"/>
      <c r="AV833" s="80" t="s">
        <v>63</v>
      </c>
      <c r="AW833" s="203"/>
    </row>
    <row r="834" ht="15.75" customHeight="1">
      <c r="A834" s="250" t="s">
        <v>6682</v>
      </c>
      <c r="B834" s="73"/>
      <c r="C834" s="101" t="s">
        <v>8469</v>
      </c>
      <c r="D834" s="241" t="s">
        <v>8566</v>
      </c>
      <c r="E834" s="241" t="s">
        <v>8567</v>
      </c>
      <c r="F834" s="79">
        <v>3.0</v>
      </c>
      <c r="G834" s="322" t="s">
        <v>8588</v>
      </c>
      <c r="H834" s="121"/>
      <c r="I834" s="251" t="s">
        <v>8569</v>
      </c>
      <c r="J834" s="64" t="s">
        <v>8570</v>
      </c>
      <c r="K834" s="69"/>
      <c r="L834" s="65" t="s">
        <v>3542</v>
      </c>
      <c r="M834" s="323" t="s">
        <v>5702</v>
      </c>
      <c r="N834" s="73"/>
      <c r="O834" s="61" t="s">
        <v>7098</v>
      </c>
      <c r="P834" s="67" t="str">
        <f t="shared" si="1"/>
        <v>46.74256, 32.7168</v>
      </c>
      <c r="Q834" s="67" t="str">
        <f t="shared" si="2"/>
        <v>46.742214, 32.71774</v>
      </c>
      <c r="R834" s="67">
        <f t="shared" si="3"/>
        <v>46.742214</v>
      </c>
      <c r="S834" s="67">
        <f t="shared" si="4"/>
        <v>32.71774</v>
      </c>
      <c r="T834" s="161"/>
      <c r="U834" s="69"/>
      <c r="V834" s="169" t="s">
        <v>8589</v>
      </c>
      <c r="W834" s="71" t="s">
        <v>8546</v>
      </c>
      <c r="X834" s="72" t="s">
        <v>5504</v>
      </c>
      <c r="Y834" s="216" t="s">
        <v>75</v>
      </c>
      <c r="Z834" s="73"/>
      <c r="AA834" s="73"/>
      <c r="AB834" s="73"/>
      <c r="AC834" s="73"/>
      <c r="AD834" s="73"/>
      <c r="AE834" s="73"/>
      <c r="AF834" s="73"/>
      <c r="AG834" s="73"/>
      <c r="AH834" s="73"/>
      <c r="AI834" s="73"/>
      <c r="AJ834" s="75"/>
      <c r="AK834" s="76" t="s">
        <v>1261</v>
      </c>
      <c r="AL834" s="83" t="s">
        <v>8590</v>
      </c>
      <c r="AM834" s="71" t="s">
        <v>8591</v>
      </c>
      <c r="AN834" s="84" t="s">
        <v>8592</v>
      </c>
      <c r="AO834" s="161"/>
      <c r="AP834" s="161"/>
      <c r="AQ834" s="161"/>
      <c r="AR834" s="71" t="s">
        <v>8593</v>
      </c>
      <c r="AS834" s="161"/>
      <c r="AT834" s="161"/>
      <c r="AU834" s="89"/>
      <c r="AV834" s="80" t="s">
        <v>63</v>
      </c>
      <c r="AW834" s="203"/>
    </row>
    <row r="835" ht="15.75" customHeight="1">
      <c r="A835" s="296" t="s">
        <v>6924</v>
      </c>
      <c r="B835" s="73"/>
      <c r="C835" s="57" t="s">
        <v>8469</v>
      </c>
      <c r="D835" s="260"/>
      <c r="E835" s="260"/>
      <c r="F835" s="89"/>
      <c r="G835" s="324" t="s">
        <v>8594</v>
      </c>
      <c r="H835" s="73"/>
      <c r="I835" s="62" t="s">
        <v>8595</v>
      </c>
      <c r="J835" s="64" t="s">
        <v>8596</v>
      </c>
      <c r="K835" s="69"/>
      <c r="L835" s="65" t="s">
        <v>3542</v>
      </c>
      <c r="M835" s="73"/>
      <c r="N835" s="73"/>
      <c r="O835" s="61" t="s">
        <v>3544</v>
      </c>
      <c r="P835" s="67" t="str">
        <f t="shared" si="1"/>
        <v/>
      </c>
      <c r="Q835" s="67" t="str">
        <f t="shared" si="2"/>
        <v/>
      </c>
      <c r="R835" s="67" t="str">
        <f t="shared" si="3"/>
        <v/>
      </c>
      <c r="S835" s="67" t="str">
        <f t="shared" si="4"/>
        <v/>
      </c>
      <c r="T835" s="161"/>
      <c r="U835" s="69"/>
      <c r="V835" s="169" t="s">
        <v>8597</v>
      </c>
      <c r="W835" s="161"/>
      <c r="X835" s="194"/>
      <c r="Y835" s="216" t="s">
        <v>5820</v>
      </c>
      <c r="Z835" s="73"/>
      <c r="AA835" s="73"/>
      <c r="AB835" s="73"/>
      <c r="AC835" s="73"/>
      <c r="AD835" s="73"/>
      <c r="AE835" s="73"/>
      <c r="AF835" s="73"/>
      <c r="AG835" s="73"/>
      <c r="AH835" s="73"/>
      <c r="AI835" s="73"/>
      <c r="AJ835" s="75"/>
      <c r="AK835" s="76" t="s">
        <v>2108</v>
      </c>
      <c r="AL835" s="83" t="s">
        <v>8598</v>
      </c>
      <c r="AM835" s="71" t="s">
        <v>8599</v>
      </c>
      <c r="AN835" s="84" t="s">
        <v>8600</v>
      </c>
      <c r="AO835" s="71" t="s">
        <v>8601</v>
      </c>
      <c r="AP835" s="161" t="str">
        <f>IMAGE("https://bellingcat-archive.nyc3.cdn.digitaloceanspaces.com/Ukraine_Witness_Datasheet/Worksheet/twitter__media_FMjedyDXwAw7oxv.jpg")</f>
        <v/>
      </c>
      <c r="AQ835" s="161"/>
      <c r="AR835" s="161"/>
      <c r="AS835" s="161"/>
      <c r="AT835" s="161"/>
      <c r="AU835" s="89"/>
      <c r="AV835" s="162"/>
      <c r="AW835" s="81"/>
    </row>
    <row r="836" ht="15.75" customHeight="1">
      <c r="A836" s="296" t="s">
        <v>6924</v>
      </c>
      <c r="B836" s="73"/>
      <c r="C836" s="57" t="s">
        <v>7672</v>
      </c>
      <c r="D836" s="260"/>
      <c r="E836" s="260"/>
      <c r="F836" s="89"/>
      <c r="G836" s="322" t="s">
        <v>8602</v>
      </c>
      <c r="H836" s="73"/>
      <c r="I836" s="62" t="s">
        <v>8603</v>
      </c>
      <c r="J836" s="64" t="s">
        <v>8604</v>
      </c>
      <c r="K836" s="69"/>
      <c r="L836" s="65" t="s">
        <v>3542</v>
      </c>
      <c r="M836" s="73"/>
      <c r="N836" s="73"/>
      <c r="O836" s="61" t="s">
        <v>6109</v>
      </c>
      <c r="P836" s="67" t="str">
        <f t="shared" si="1"/>
        <v/>
      </c>
      <c r="Q836" s="67" t="str">
        <f t="shared" si="2"/>
        <v/>
      </c>
      <c r="R836" s="67" t="str">
        <f t="shared" si="3"/>
        <v/>
      </c>
      <c r="S836" s="67" t="str">
        <f t="shared" si="4"/>
        <v/>
      </c>
      <c r="T836" s="161"/>
      <c r="U836" s="69"/>
      <c r="V836" s="169" t="s">
        <v>8605</v>
      </c>
      <c r="W836" s="161"/>
      <c r="X836" s="194"/>
      <c r="Y836" s="216" t="s">
        <v>5820</v>
      </c>
      <c r="Z836" s="73"/>
      <c r="AA836" s="73"/>
      <c r="AB836" s="73"/>
      <c r="AC836" s="73"/>
      <c r="AD836" s="73"/>
      <c r="AE836" s="73"/>
      <c r="AF836" s="73"/>
      <c r="AG836" s="73"/>
      <c r="AH836" s="73"/>
      <c r="AI836" s="73"/>
      <c r="AJ836" s="75"/>
      <c r="AK836" s="76" t="s">
        <v>1261</v>
      </c>
      <c r="AL836" s="83" t="s">
        <v>8606</v>
      </c>
      <c r="AM836" s="71" t="s">
        <v>8607</v>
      </c>
      <c r="AN836" s="84" t="s">
        <v>8608</v>
      </c>
      <c r="AO836" s="161"/>
      <c r="AP836" s="161"/>
      <c r="AQ836" s="161"/>
      <c r="AR836" s="71" t="s">
        <v>8609</v>
      </c>
      <c r="AS836" s="161"/>
      <c r="AT836" s="161"/>
      <c r="AU836" s="89"/>
      <c r="AV836" s="162"/>
      <c r="AW836" s="81"/>
    </row>
    <row r="837" ht="15.75" customHeight="1">
      <c r="A837" s="95" t="s">
        <v>63</v>
      </c>
      <c r="B837" s="73"/>
      <c r="C837" s="57" t="s">
        <v>8024</v>
      </c>
      <c r="D837" s="74">
        <v>49.709835</v>
      </c>
      <c r="E837" s="74">
        <v>37.61264</v>
      </c>
      <c r="F837" s="79">
        <v>1.0</v>
      </c>
      <c r="G837" s="317" t="s">
        <v>8610</v>
      </c>
      <c r="H837" s="73"/>
      <c r="I837" s="75"/>
      <c r="J837" s="64" t="s">
        <v>8611</v>
      </c>
      <c r="K837" s="69"/>
      <c r="L837" s="65" t="s">
        <v>3542</v>
      </c>
      <c r="M837" s="311" t="s">
        <v>5590</v>
      </c>
      <c r="N837" s="314"/>
      <c r="O837" s="92" t="s">
        <v>8303</v>
      </c>
      <c r="P837" s="67" t="str">
        <f t="shared" si="1"/>
        <v>49.709835, 37.61264</v>
      </c>
      <c r="Q837" s="67" t="str">
        <f t="shared" si="2"/>
        <v>49.709553, 37.611831</v>
      </c>
      <c r="R837" s="67">
        <f t="shared" si="3"/>
        <v>49.709553</v>
      </c>
      <c r="S837" s="67">
        <f t="shared" si="4"/>
        <v>37.611831</v>
      </c>
      <c r="T837" s="161"/>
      <c r="U837" s="69"/>
      <c r="V837" s="169" t="s">
        <v>8612</v>
      </c>
      <c r="W837" s="71" t="s">
        <v>74</v>
      </c>
      <c r="X837" s="72" t="s">
        <v>75</v>
      </c>
      <c r="Y837" s="73"/>
      <c r="Z837" s="73"/>
      <c r="AA837" s="73"/>
      <c r="AB837" s="73"/>
      <c r="AC837" s="73"/>
      <c r="AD837" s="73"/>
      <c r="AE837" s="73"/>
      <c r="AF837" s="73"/>
      <c r="AG837" s="73"/>
      <c r="AH837" s="73"/>
      <c r="AI837" s="73"/>
      <c r="AJ837" s="75"/>
      <c r="AK837" s="76" t="s">
        <v>798</v>
      </c>
      <c r="AL837" s="83" t="s">
        <v>8613</v>
      </c>
      <c r="AM837" s="71" t="s">
        <v>8614</v>
      </c>
      <c r="AN837" s="84" t="s">
        <v>8615</v>
      </c>
      <c r="AO837" s="71" t="s">
        <v>8616</v>
      </c>
      <c r="AP837" s="161" t="str">
        <f>IMAGE("https://bellingcat-archive.nyc3.cdn.digitaloceanspaces.com/Ukraine_Witness_Datasheet/Worksheet/youtube_dl_1497900987448766467/out2.jpg")</f>
        <v/>
      </c>
      <c r="AQ837" s="84" t="s">
        <v>8617</v>
      </c>
      <c r="AR837" s="71" t="s">
        <v>8618</v>
      </c>
      <c r="AS837" s="71" t="s">
        <v>8619</v>
      </c>
      <c r="AT837" s="71">
        <v>8.823</v>
      </c>
      <c r="AU837" s="89"/>
      <c r="AV837" s="80" t="s">
        <v>63</v>
      </c>
      <c r="AW837" s="81"/>
    </row>
    <row r="838" ht="15.75" customHeight="1">
      <c r="A838" s="246" t="s">
        <v>6682</v>
      </c>
      <c r="B838" s="73"/>
      <c r="C838" s="57" t="s">
        <v>7672</v>
      </c>
      <c r="D838" s="241" t="s">
        <v>8620</v>
      </c>
      <c r="E838" s="241" t="s">
        <v>8621</v>
      </c>
      <c r="F838" s="89"/>
      <c r="G838" s="322" t="s">
        <v>8622</v>
      </c>
      <c r="H838" s="73"/>
      <c r="I838" s="62" t="s">
        <v>8623</v>
      </c>
      <c r="J838" s="64" t="s">
        <v>8624</v>
      </c>
      <c r="K838" s="69"/>
      <c r="L838" s="65" t="s">
        <v>3542</v>
      </c>
      <c r="M838" s="61" t="s">
        <v>5827</v>
      </c>
      <c r="N838" s="73"/>
      <c r="O838" s="61" t="s">
        <v>6121</v>
      </c>
      <c r="P838" s="67" t="str">
        <f t="shared" si="1"/>
        <v>50.6591185, 29.96631476</v>
      </c>
      <c r="Q838" s="67" t="str">
        <f t="shared" si="2"/>
        <v>50.658683, 29.965519</v>
      </c>
      <c r="R838" s="67">
        <f t="shared" si="3"/>
        <v>50.658683</v>
      </c>
      <c r="S838" s="67">
        <f t="shared" si="4"/>
        <v>29.965519</v>
      </c>
      <c r="T838" s="93" t="s">
        <v>7833</v>
      </c>
      <c r="U838" s="69"/>
      <c r="V838" s="169" t="s">
        <v>8625</v>
      </c>
      <c r="W838" s="161"/>
      <c r="X838" s="17" t="s">
        <v>9</v>
      </c>
      <c r="Y838" s="216" t="s">
        <v>5820</v>
      </c>
      <c r="Z838" s="73"/>
      <c r="AA838" s="73"/>
      <c r="AB838" s="73"/>
      <c r="AC838" s="73"/>
      <c r="AD838" s="73"/>
      <c r="AE838" s="73"/>
      <c r="AF838" s="73"/>
      <c r="AG838" s="73"/>
      <c r="AH838" s="73"/>
      <c r="AI838" s="73"/>
      <c r="AJ838" s="75"/>
      <c r="AK838" s="76" t="s">
        <v>1261</v>
      </c>
      <c r="AL838" s="83" t="s">
        <v>8626</v>
      </c>
      <c r="AM838" s="71" t="s">
        <v>8627</v>
      </c>
      <c r="AN838" s="84" t="s">
        <v>8628</v>
      </c>
      <c r="AO838" s="161"/>
      <c r="AP838" s="161"/>
      <c r="AQ838" s="161"/>
      <c r="AR838" s="71" t="s">
        <v>2228</v>
      </c>
      <c r="AS838" s="161"/>
      <c r="AT838" s="161"/>
      <c r="AU838" s="89"/>
      <c r="AV838" s="162"/>
      <c r="AW838" s="81"/>
    </row>
    <row r="839" ht="15.75" customHeight="1">
      <c r="A839" s="246" t="s">
        <v>6682</v>
      </c>
      <c r="B839" s="73"/>
      <c r="C839" s="57" t="s">
        <v>8454</v>
      </c>
      <c r="D839" s="121">
        <v>50.6591184958025</v>
      </c>
      <c r="E839" s="121">
        <v>29.9663147570233</v>
      </c>
      <c r="F839" s="89"/>
      <c r="G839" s="325" t="s">
        <v>8629</v>
      </c>
      <c r="H839" s="73"/>
      <c r="I839" s="62" t="s">
        <v>8623</v>
      </c>
      <c r="J839" s="64" t="s">
        <v>8624</v>
      </c>
      <c r="K839" s="69"/>
      <c r="L839" s="65" t="s">
        <v>3542</v>
      </c>
      <c r="M839" s="61" t="s">
        <v>5827</v>
      </c>
      <c r="N839" s="73"/>
      <c r="O839" s="61" t="s">
        <v>6121</v>
      </c>
      <c r="P839" s="67" t="str">
        <f t="shared" si="1"/>
        <v>50.6591184958025, 29.9663147570233</v>
      </c>
      <c r="Q839" s="67" t="str">
        <f t="shared" si="2"/>
        <v>50.658478, 29.966984</v>
      </c>
      <c r="R839" s="67">
        <f t="shared" si="3"/>
        <v>50.658478</v>
      </c>
      <c r="S839" s="67">
        <f t="shared" si="4"/>
        <v>29.966984</v>
      </c>
      <c r="T839" s="93" t="s">
        <v>7833</v>
      </c>
      <c r="U839" s="69"/>
      <c r="V839" s="169" t="s">
        <v>8630</v>
      </c>
      <c r="W839" s="161"/>
      <c r="X839" s="17" t="s">
        <v>9</v>
      </c>
      <c r="Y839" s="216" t="s">
        <v>5820</v>
      </c>
      <c r="Z839" s="73"/>
      <c r="AA839" s="73"/>
      <c r="AB839" s="73"/>
      <c r="AC839" s="73"/>
      <c r="AD839" s="73"/>
      <c r="AE839" s="73"/>
      <c r="AF839" s="73"/>
      <c r="AG839" s="73"/>
      <c r="AH839" s="73"/>
      <c r="AI839" s="73"/>
      <c r="AJ839" s="75"/>
      <c r="AK839" s="76" t="s">
        <v>1261</v>
      </c>
      <c r="AL839" s="83" t="s">
        <v>8631</v>
      </c>
      <c r="AM839" s="71" t="s">
        <v>8632</v>
      </c>
      <c r="AN839" s="84" t="s">
        <v>8633</v>
      </c>
      <c r="AO839" s="161"/>
      <c r="AP839" s="161"/>
      <c r="AQ839" s="161"/>
      <c r="AR839" s="71" t="s">
        <v>2228</v>
      </c>
      <c r="AS839" s="161"/>
      <c r="AT839" s="161"/>
      <c r="AU839" s="89"/>
      <c r="AV839" s="162"/>
      <c r="AW839" s="81"/>
    </row>
    <row r="840" ht="15.75" customHeight="1">
      <c r="A840" s="246" t="s">
        <v>6682</v>
      </c>
      <c r="B840" s="73"/>
      <c r="C840" s="57" t="s">
        <v>8459</v>
      </c>
      <c r="D840" s="121">
        <v>50.6591184958025</v>
      </c>
      <c r="E840" s="121">
        <v>29.9663147570233</v>
      </c>
      <c r="F840" s="89"/>
      <c r="G840" s="325" t="s">
        <v>8634</v>
      </c>
      <c r="H840" s="73"/>
      <c r="I840" s="62" t="s">
        <v>8623</v>
      </c>
      <c r="J840" s="64" t="s">
        <v>8624</v>
      </c>
      <c r="K840" s="69"/>
      <c r="L840" s="65" t="s">
        <v>3542</v>
      </c>
      <c r="M840" s="61" t="s">
        <v>5827</v>
      </c>
      <c r="N840" s="73"/>
      <c r="O840" s="61" t="s">
        <v>6121</v>
      </c>
      <c r="P840" s="67" t="str">
        <f t="shared" si="1"/>
        <v>50.6591184958025, 29.9663147570233</v>
      </c>
      <c r="Q840" s="67" t="str">
        <f t="shared" si="2"/>
        <v>50.658671, 29.965924</v>
      </c>
      <c r="R840" s="67">
        <f t="shared" si="3"/>
        <v>50.658671</v>
      </c>
      <c r="S840" s="67">
        <f t="shared" si="4"/>
        <v>29.965924</v>
      </c>
      <c r="T840" s="93" t="s">
        <v>7833</v>
      </c>
      <c r="U840" s="69"/>
      <c r="V840" s="169" t="s">
        <v>8635</v>
      </c>
      <c r="W840" s="161"/>
      <c r="X840" s="17" t="s">
        <v>9</v>
      </c>
      <c r="Y840" s="216" t="s">
        <v>5820</v>
      </c>
      <c r="Z840" s="73"/>
      <c r="AA840" s="73"/>
      <c r="AB840" s="73"/>
      <c r="AC840" s="73"/>
      <c r="AD840" s="73"/>
      <c r="AE840" s="73"/>
      <c r="AF840" s="73"/>
      <c r="AG840" s="73"/>
      <c r="AH840" s="73"/>
      <c r="AI840" s="73"/>
      <c r="AJ840" s="75"/>
      <c r="AK840" s="76" t="s">
        <v>798</v>
      </c>
      <c r="AL840" s="83" t="s">
        <v>8636</v>
      </c>
      <c r="AM840" s="71" t="s">
        <v>8637</v>
      </c>
      <c r="AN840" s="84" t="s">
        <v>8638</v>
      </c>
      <c r="AO840" s="71" t="s">
        <v>8639</v>
      </c>
      <c r="AP840" s="161" t="str">
        <f>IMAGE("https://bellingcat-archive.nyc3.cdn.digitaloceanspaces.com/Ukraine_Witness_Datasheet/Worksheet/youtube_dl_1497565167793618944/out2.jpg")</f>
        <v/>
      </c>
      <c r="AQ840" s="84" t="s">
        <v>8640</v>
      </c>
      <c r="AR840" s="71" t="s">
        <v>8641</v>
      </c>
      <c r="AS840" s="71" t="s">
        <v>8642</v>
      </c>
      <c r="AT840" s="71">
        <v>17.408</v>
      </c>
      <c r="AU840" s="89"/>
      <c r="AV840" s="162"/>
      <c r="AW840" s="81"/>
    </row>
    <row r="841" ht="15.75" customHeight="1">
      <c r="A841" s="246" t="s">
        <v>6682</v>
      </c>
      <c r="B841" s="73"/>
      <c r="C841" s="57" t="s">
        <v>8469</v>
      </c>
      <c r="D841" s="121">
        <v>50.6591184958025</v>
      </c>
      <c r="E841" s="121">
        <v>29.9663147570233</v>
      </c>
      <c r="F841" s="89"/>
      <c r="G841" s="325" t="s">
        <v>8643</v>
      </c>
      <c r="H841" s="73"/>
      <c r="I841" s="62" t="s">
        <v>8623</v>
      </c>
      <c r="J841" s="64" t="s">
        <v>8624</v>
      </c>
      <c r="K841" s="69"/>
      <c r="L841" s="65" t="s">
        <v>3542</v>
      </c>
      <c r="M841" s="61" t="s">
        <v>5827</v>
      </c>
      <c r="N841" s="73"/>
      <c r="O841" s="61" t="s">
        <v>6121</v>
      </c>
      <c r="P841" s="67" t="str">
        <f t="shared" si="1"/>
        <v>50.6591184958025, 29.9663147570233</v>
      </c>
      <c r="Q841" s="67" t="str">
        <f t="shared" si="2"/>
        <v>50.658938, 29.967057</v>
      </c>
      <c r="R841" s="67">
        <f t="shared" si="3"/>
        <v>50.658938</v>
      </c>
      <c r="S841" s="67">
        <f t="shared" si="4"/>
        <v>29.967057</v>
      </c>
      <c r="T841" s="161"/>
      <c r="U841" s="69"/>
      <c r="V841" s="169" t="s">
        <v>8644</v>
      </c>
      <c r="W841" s="161"/>
      <c r="X841" s="17" t="s">
        <v>9</v>
      </c>
      <c r="Y841" s="216" t="s">
        <v>5820</v>
      </c>
      <c r="Z841" s="73"/>
      <c r="AA841" s="73"/>
      <c r="AB841" s="73"/>
      <c r="AC841" s="73"/>
      <c r="AD841" s="73"/>
      <c r="AE841" s="73"/>
      <c r="AF841" s="73"/>
      <c r="AG841" s="73"/>
      <c r="AH841" s="73"/>
      <c r="AI841" s="73"/>
      <c r="AJ841" s="75"/>
      <c r="AK841" s="76" t="s">
        <v>2108</v>
      </c>
      <c r="AL841" s="83" t="s">
        <v>8645</v>
      </c>
      <c r="AM841" s="71" t="s">
        <v>8646</v>
      </c>
      <c r="AN841" s="84" t="s">
        <v>8647</v>
      </c>
      <c r="AO841" s="71" t="s">
        <v>8648</v>
      </c>
      <c r="AP841" s="161" t="str">
        <f>IMAGE("https://bellingcat-archive.nyc3.cdn.digitaloceanspaces.com/Ukraine_Witness_Datasheet/Worksheet/twitter__media_FMhmy62WUAMhr-j.jpg")</f>
        <v/>
      </c>
      <c r="AQ841" s="161"/>
      <c r="AR841" s="161"/>
      <c r="AS841" s="161"/>
      <c r="AT841" s="161"/>
      <c r="AU841" s="89"/>
      <c r="AV841" s="162"/>
      <c r="AW841" s="81"/>
    </row>
    <row r="842" ht="15.75" customHeight="1">
      <c r="A842" s="296" t="s">
        <v>6924</v>
      </c>
      <c r="B842" s="73"/>
      <c r="C842" s="57" t="s">
        <v>8469</v>
      </c>
      <c r="D842" s="260"/>
      <c r="E842" s="260"/>
      <c r="F842" s="89"/>
      <c r="G842" s="322" t="s">
        <v>8649</v>
      </c>
      <c r="H842" s="73"/>
      <c r="I842" s="62" t="s">
        <v>8650</v>
      </c>
      <c r="J842" s="64" t="s">
        <v>8651</v>
      </c>
      <c r="K842" s="69"/>
      <c r="L842" s="65" t="s">
        <v>3542</v>
      </c>
      <c r="M842" s="73"/>
      <c r="N842" s="73"/>
      <c r="O842" s="61" t="s">
        <v>5626</v>
      </c>
      <c r="P842" s="67" t="str">
        <f t="shared" si="1"/>
        <v/>
      </c>
      <c r="Q842" s="67" t="str">
        <f t="shared" si="2"/>
        <v/>
      </c>
      <c r="R842" s="67" t="str">
        <f t="shared" si="3"/>
        <v/>
      </c>
      <c r="S842" s="67" t="str">
        <f t="shared" si="4"/>
        <v/>
      </c>
      <c r="T842" s="161"/>
      <c r="U842" s="69"/>
      <c r="V842" s="169" t="s">
        <v>8652</v>
      </c>
      <c r="W842" s="161"/>
      <c r="X842" s="194"/>
      <c r="Y842" s="216" t="s">
        <v>5820</v>
      </c>
      <c r="Z842" s="73"/>
      <c r="AA842" s="73"/>
      <c r="AB842" s="73"/>
      <c r="AC842" s="73"/>
      <c r="AD842" s="73"/>
      <c r="AE842" s="73"/>
      <c r="AF842" s="73"/>
      <c r="AG842" s="73"/>
      <c r="AH842" s="73"/>
      <c r="AI842" s="73"/>
      <c r="AJ842" s="75"/>
      <c r="AK842" s="76" t="s">
        <v>6276</v>
      </c>
      <c r="AL842" s="83" t="s">
        <v>8653</v>
      </c>
      <c r="AM842" s="71" t="s">
        <v>8654</v>
      </c>
      <c r="AN842" s="84" t="s">
        <v>8655</v>
      </c>
      <c r="AO842" s="71" t="s">
        <v>8656</v>
      </c>
      <c r="AP842" s="161" t="str">
        <f>IMAGE("https://bellingcat-archive.nyc3.cdn.digitaloceanspaces.com/Ukraine_Witness_Datasheet/Worksheet/telegram_881652ddb9/out2.jpg")</f>
        <v/>
      </c>
      <c r="AQ842" s="84" t="s">
        <v>8657</v>
      </c>
      <c r="AR842" s="84" t="s">
        <v>8649</v>
      </c>
      <c r="AS842" s="71" t="s">
        <v>8658</v>
      </c>
      <c r="AT842" s="71">
        <v>5.0</v>
      </c>
      <c r="AU842" s="89"/>
      <c r="AV842" s="162"/>
      <c r="AW842" s="81"/>
    </row>
    <row r="843" ht="15.75" customHeight="1">
      <c r="A843" s="296" t="s">
        <v>6924</v>
      </c>
      <c r="B843" s="73"/>
      <c r="C843" s="57" t="s">
        <v>8659</v>
      </c>
      <c r="D843" s="260"/>
      <c r="E843" s="260"/>
      <c r="F843" s="89"/>
      <c r="G843" s="326" t="s">
        <v>8660</v>
      </c>
      <c r="H843" s="73"/>
      <c r="I843" s="62" t="s">
        <v>8661</v>
      </c>
      <c r="J843" s="64" t="s">
        <v>8662</v>
      </c>
      <c r="K843" s="69"/>
      <c r="L843" s="65" t="s">
        <v>3542</v>
      </c>
      <c r="M843" s="73"/>
      <c r="N843" s="73"/>
      <c r="O843" s="61" t="s">
        <v>5979</v>
      </c>
      <c r="P843" s="67" t="str">
        <f t="shared" si="1"/>
        <v/>
      </c>
      <c r="Q843" s="67" t="str">
        <f t="shared" si="2"/>
        <v/>
      </c>
      <c r="R843" s="67" t="str">
        <f t="shared" si="3"/>
        <v/>
      </c>
      <c r="S843" s="67" t="str">
        <f t="shared" si="4"/>
        <v/>
      </c>
      <c r="T843" s="161"/>
      <c r="U843" s="69"/>
      <c r="V843" s="169" t="s">
        <v>8663</v>
      </c>
      <c r="W843" s="161"/>
      <c r="X843" s="194"/>
      <c r="Y843" s="216" t="s">
        <v>5820</v>
      </c>
      <c r="Z843" s="73"/>
      <c r="AA843" s="73"/>
      <c r="AB843" s="73"/>
      <c r="AC843" s="73"/>
      <c r="AD843" s="73"/>
      <c r="AE843" s="73"/>
      <c r="AF843" s="73"/>
      <c r="AG843" s="73"/>
      <c r="AH843" s="73"/>
      <c r="AI843" s="73"/>
      <c r="AJ843" s="75"/>
      <c r="AK843" s="76" t="s">
        <v>6276</v>
      </c>
      <c r="AL843" s="83" t="s">
        <v>8664</v>
      </c>
      <c r="AM843" s="71" t="s">
        <v>8665</v>
      </c>
      <c r="AN843" s="84" t="s">
        <v>8666</v>
      </c>
      <c r="AO843" s="71" t="s">
        <v>8667</v>
      </c>
      <c r="AP843" s="161" t="str">
        <f>IMAGE("https://bellingcat-archive.nyc3.cdn.digitaloceanspaces.com/Ukraine_Witness_Datasheet/Worksheet/telegram_6780dae7dc/out2.jpg")</f>
        <v/>
      </c>
      <c r="AQ843" s="84" t="s">
        <v>8668</v>
      </c>
      <c r="AR843" s="84" t="s">
        <v>8660</v>
      </c>
      <c r="AS843" s="71" t="s">
        <v>8669</v>
      </c>
      <c r="AT843" s="71">
        <v>14.0</v>
      </c>
      <c r="AU843" s="89"/>
      <c r="AV843" s="162"/>
      <c r="AW843" s="81"/>
    </row>
    <row r="844" ht="15.75" customHeight="1">
      <c r="A844" s="296" t="s">
        <v>6924</v>
      </c>
      <c r="B844" s="73"/>
      <c r="C844" s="57" t="s">
        <v>8476</v>
      </c>
      <c r="D844" s="260"/>
      <c r="E844" s="260"/>
      <c r="F844" s="89"/>
      <c r="G844" s="326" t="s">
        <v>8670</v>
      </c>
      <c r="H844" s="73"/>
      <c r="I844" s="62" t="s">
        <v>8671</v>
      </c>
      <c r="J844" s="64" t="s">
        <v>8672</v>
      </c>
      <c r="K844" s="69"/>
      <c r="L844" s="65" t="s">
        <v>3542</v>
      </c>
      <c r="M844" s="73"/>
      <c r="N844" s="73"/>
      <c r="O844" s="61" t="s">
        <v>6109</v>
      </c>
      <c r="P844" s="67" t="str">
        <f t="shared" si="1"/>
        <v/>
      </c>
      <c r="Q844" s="67" t="str">
        <f t="shared" si="2"/>
        <v/>
      </c>
      <c r="R844" s="67" t="str">
        <f t="shared" si="3"/>
        <v/>
      </c>
      <c r="S844" s="67" t="str">
        <f t="shared" si="4"/>
        <v/>
      </c>
      <c r="T844" s="161"/>
      <c r="U844" s="69"/>
      <c r="V844" s="169" t="s">
        <v>8673</v>
      </c>
      <c r="W844" s="161"/>
      <c r="X844" s="194"/>
      <c r="Y844" s="216" t="s">
        <v>5820</v>
      </c>
      <c r="Z844" s="73"/>
      <c r="AA844" s="73"/>
      <c r="AB844" s="73"/>
      <c r="AC844" s="73"/>
      <c r="AD844" s="73"/>
      <c r="AE844" s="73"/>
      <c r="AF844" s="73"/>
      <c r="AG844" s="73"/>
      <c r="AH844" s="73"/>
      <c r="AI844" s="73"/>
      <c r="AJ844" s="75"/>
      <c r="AK844" s="76" t="s">
        <v>6276</v>
      </c>
      <c r="AL844" s="83" t="s">
        <v>8674</v>
      </c>
      <c r="AM844" s="71" t="s">
        <v>8675</v>
      </c>
      <c r="AN844" s="84" t="s">
        <v>8676</v>
      </c>
      <c r="AO844" s="71" t="s">
        <v>8677</v>
      </c>
      <c r="AP844" s="161" t="str">
        <f>IMAGE("https://bellingcat-archive.nyc3.cdn.digitaloceanspaces.com/Ukraine_Witness_Datasheet/Worksheet/telegram_f2115ab0f2/out2.jpg")</f>
        <v/>
      </c>
      <c r="AQ844" s="84" t="s">
        <v>8678</v>
      </c>
      <c r="AR844" s="84" t="s">
        <v>8670</v>
      </c>
      <c r="AS844" s="71" t="s">
        <v>8679</v>
      </c>
      <c r="AT844" s="71">
        <v>27.0</v>
      </c>
      <c r="AU844" s="89"/>
      <c r="AV844" s="162"/>
      <c r="AW844" s="81"/>
    </row>
    <row r="845" ht="15.75" customHeight="1">
      <c r="A845" s="296" t="s">
        <v>6924</v>
      </c>
      <c r="B845" s="73"/>
      <c r="C845" s="57" t="s">
        <v>8485</v>
      </c>
      <c r="D845" s="260"/>
      <c r="E845" s="260"/>
      <c r="F845" s="89"/>
      <c r="G845" s="327" t="s">
        <v>8680</v>
      </c>
      <c r="H845" s="73"/>
      <c r="I845" s="62" t="s">
        <v>8681</v>
      </c>
      <c r="J845" s="183" t="s">
        <v>8682</v>
      </c>
      <c r="K845" s="69"/>
      <c r="L845" s="65" t="s">
        <v>3542</v>
      </c>
      <c r="M845" s="73"/>
      <c r="N845" s="73"/>
      <c r="O845" s="61" t="s">
        <v>8683</v>
      </c>
      <c r="P845" s="67" t="str">
        <f t="shared" si="1"/>
        <v/>
      </c>
      <c r="Q845" s="67" t="str">
        <f t="shared" si="2"/>
        <v/>
      </c>
      <c r="R845" s="67" t="str">
        <f t="shared" si="3"/>
        <v/>
      </c>
      <c r="S845" s="67" t="str">
        <f t="shared" si="4"/>
        <v/>
      </c>
      <c r="T845" s="161"/>
      <c r="U845" s="69"/>
      <c r="V845" s="169" t="s">
        <v>8684</v>
      </c>
      <c r="W845" s="161"/>
      <c r="X845" s="194"/>
      <c r="Y845" s="216" t="s">
        <v>5820</v>
      </c>
      <c r="Z845" s="73"/>
      <c r="AA845" s="73"/>
      <c r="AB845" s="73"/>
      <c r="AC845" s="73"/>
      <c r="AD845" s="73"/>
      <c r="AE845" s="73"/>
      <c r="AF845" s="73"/>
      <c r="AG845" s="73"/>
      <c r="AH845" s="73"/>
      <c r="AI845" s="73"/>
      <c r="AJ845" s="75"/>
      <c r="AK845" s="76" t="s">
        <v>6276</v>
      </c>
      <c r="AL845" s="83" t="s">
        <v>8685</v>
      </c>
      <c r="AM845" s="71" t="s">
        <v>8686</v>
      </c>
      <c r="AN845" s="84" t="s">
        <v>8687</v>
      </c>
      <c r="AO845" s="71" t="s">
        <v>8688</v>
      </c>
      <c r="AP845" s="161" t="str">
        <f>IMAGE("https://bellingcat-archive.nyc3.cdn.digitaloceanspaces.com/Ukraine_Witness_Datasheet/Worksheet/telegram_15d260f7c0/out2.jpg")</f>
        <v/>
      </c>
      <c r="AQ845" s="84" t="s">
        <v>8689</v>
      </c>
      <c r="AR845" s="84" t="s">
        <v>8680</v>
      </c>
      <c r="AS845" s="71" t="s">
        <v>8690</v>
      </c>
      <c r="AT845" s="71">
        <v>15.0</v>
      </c>
      <c r="AU845" s="89"/>
      <c r="AV845" s="162"/>
      <c r="AW845" s="81"/>
    </row>
    <row r="846" ht="15.75" customHeight="1">
      <c r="A846" s="246" t="s">
        <v>8554</v>
      </c>
      <c r="B846" s="73"/>
      <c r="C846" s="57" t="s">
        <v>8492</v>
      </c>
      <c r="D846" s="241" t="s">
        <v>8691</v>
      </c>
      <c r="E846" s="241" t="s">
        <v>8692</v>
      </c>
      <c r="F846" s="89"/>
      <c r="G846" s="326" t="s">
        <v>8693</v>
      </c>
      <c r="H846" s="73"/>
      <c r="I846" s="62" t="s">
        <v>8694</v>
      </c>
      <c r="J846" s="183" t="s">
        <v>8695</v>
      </c>
      <c r="K846" s="69"/>
      <c r="L846" s="65" t="s">
        <v>3542</v>
      </c>
      <c r="M846" s="61" t="s">
        <v>5827</v>
      </c>
      <c r="N846" s="73"/>
      <c r="O846" s="328" t="s">
        <v>8696</v>
      </c>
      <c r="P846" s="67" t="str">
        <f t="shared" si="1"/>
        <v>50.451214, 30.481072</v>
      </c>
      <c r="Q846" s="67" t="str">
        <f t="shared" si="2"/>
        <v>50.450612, 30.481829</v>
      </c>
      <c r="R846" s="67">
        <f t="shared" si="3"/>
        <v>50.450612</v>
      </c>
      <c r="S846" s="67">
        <f t="shared" si="4"/>
        <v>30.481829</v>
      </c>
      <c r="T846" s="161"/>
      <c r="U846" s="69"/>
      <c r="V846" s="169" t="s">
        <v>8697</v>
      </c>
      <c r="W846" s="161"/>
      <c r="X846" s="17" t="s">
        <v>9</v>
      </c>
      <c r="Y846" s="216" t="s">
        <v>5820</v>
      </c>
      <c r="Z846" s="73"/>
      <c r="AA846" s="73"/>
      <c r="AB846" s="73"/>
      <c r="AC846" s="73"/>
      <c r="AD846" s="73"/>
      <c r="AE846" s="73"/>
      <c r="AF846" s="73"/>
      <c r="AG846" s="73"/>
      <c r="AH846" s="73"/>
      <c r="AI846" s="73"/>
      <c r="AJ846" s="75"/>
      <c r="AK846" s="76" t="s">
        <v>1261</v>
      </c>
      <c r="AL846" s="83" t="s">
        <v>8698</v>
      </c>
      <c r="AM846" s="71" t="s">
        <v>8699</v>
      </c>
      <c r="AN846" s="84" t="s">
        <v>8700</v>
      </c>
      <c r="AO846" s="161"/>
      <c r="AP846" s="161"/>
      <c r="AQ846" s="161"/>
      <c r="AR846" s="71" t="s">
        <v>8701</v>
      </c>
      <c r="AS846" s="161"/>
      <c r="AT846" s="161"/>
      <c r="AU846" s="89"/>
      <c r="AV846" s="162"/>
      <c r="AW846" s="81"/>
    </row>
    <row r="847" ht="15.75" customHeight="1">
      <c r="A847" s="246" t="s">
        <v>8554</v>
      </c>
      <c r="B847" s="73"/>
      <c r="C847" s="57" t="s">
        <v>8502</v>
      </c>
      <c r="D847" s="241" t="s">
        <v>8691</v>
      </c>
      <c r="E847" s="241" t="s">
        <v>8692</v>
      </c>
      <c r="F847" s="89"/>
      <c r="G847" s="326" t="s">
        <v>8702</v>
      </c>
      <c r="H847" s="73"/>
      <c r="I847" s="62" t="s">
        <v>8694</v>
      </c>
      <c r="J847" s="183" t="s">
        <v>8695</v>
      </c>
      <c r="K847" s="69"/>
      <c r="L847" s="65" t="s">
        <v>3542</v>
      </c>
      <c r="M847" s="61" t="s">
        <v>5827</v>
      </c>
      <c r="N847" s="73"/>
      <c r="O847" s="328" t="s">
        <v>8696</v>
      </c>
      <c r="P847" s="67" t="str">
        <f t="shared" si="1"/>
        <v>50.451214, 30.481072</v>
      </c>
      <c r="Q847" s="67" t="str">
        <f t="shared" si="2"/>
        <v>50.450492, 30.4812</v>
      </c>
      <c r="R847" s="67">
        <f t="shared" si="3"/>
        <v>50.450492</v>
      </c>
      <c r="S847" s="67">
        <f t="shared" si="4"/>
        <v>30.4812</v>
      </c>
      <c r="T847" s="161"/>
      <c r="U847" s="69"/>
      <c r="V847" s="169" t="s">
        <v>8703</v>
      </c>
      <c r="W847" s="161"/>
      <c r="X847" s="17" t="s">
        <v>9</v>
      </c>
      <c r="Y847" s="216" t="s">
        <v>5820</v>
      </c>
      <c r="Z847" s="73"/>
      <c r="AA847" s="73"/>
      <c r="AB847" s="73"/>
      <c r="AC847" s="73"/>
      <c r="AD847" s="73"/>
      <c r="AE847" s="73"/>
      <c r="AF847" s="73"/>
      <c r="AG847" s="73"/>
      <c r="AH847" s="73"/>
      <c r="AI847" s="73"/>
      <c r="AJ847" s="75"/>
      <c r="AK847" s="76" t="s">
        <v>2108</v>
      </c>
      <c r="AL847" s="83" t="s">
        <v>8704</v>
      </c>
      <c r="AM847" s="71" t="s">
        <v>8705</v>
      </c>
      <c r="AN847" s="84" t="s">
        <v>8706</v>
      </c>
      <c r="AO847" s="71" t="s">
        <v>8707</v>
      </c>
      <c r="AP847" s="161" t="str">
        <f>IMAGE("https://bellingcat-archive.nyc3.cdn.digitaloceanspaces.com/Ukraine_Witness_Datasheet/Worksheet/twitter__media_FMjTc-GWUAUqU-d.jpg")</f>
        <v/>
      </c>
      <c r="AQ847" s="161"/>
      <c r="AR847" s="161"/>
      <c r="AS847" s="161"/>
      <c r="AT847" s="161"/>
      <c r="AU847" s="89"/>
      <c r="AV847" s="162"/>
      <c r="AW847" s="81"/>
    </row>
    <row r="848" ht="15.75" customHeight="1">
      <c r="A848" s="246" t="s">
        <v>8554</v>
      </c>
      <c r="B848" s="73"/>
      <c r="C848" s="57" t="s">
        <v>8708</v>
      </c>
      <c r="D848" s="241" t="s">
        <v>8691</v>
      </c>
      <c r="E848" s="241" t="s">
        <v>8692</v>
      </c>
      <c r="F848" s="89"/>
      <c r="G848" s="326" t="s">
        <v>8709</v>
      </c>
      <c r="H848" s="73"/>
      <c r="I848" s="62" t="s">
        <v>8694</v>
      </c>
      <c r="J848" s="183" t="s">
        <v>8695</v>
      </c>
      <c r="K848" s="69"/>
      <c r="L848" s="65" t="s">
        <v>3542</v>
      </c>
      <c r="M848" s="61" t="s">
        <v>5827</v>
      </c>
      <c r="N848" s="73"/>
      <c r="O848" s="328" t="s">
        <v>8696</v>
      </c>
      <c r="P848" s="67" t="str">
        <f t="shared" si="1"/>
        <v>50.451214, 30.481072</v>
      </c>
      <c r="Q848" s="67" t="str">
        <f t="shared" si="2"/>
        <v>50.450826, 30.481089</v>
      </c>
      <c r="R848" s="67">
        <f t="shared" si="3"/>
        <v>50.450826</v>
      </c>
      <c r="S848" s="67">
        <f t="shared" si="4"/>
        <v>30.481089</v>
      </c>
      <c r="T848" s="161"/>
      <c r="U848" s="69"/>
      <c r="V848" s="169" t="s">
        <v>8710</v>
      </c>
      <c r="W848" s="161"/>
      <c r="X848" s="17" t="s">
        <v>9</v>
      </c>
      <c r="Y848" s="216" t="s">
        <v>5820</v>
      </c>
      <c r="Z848" s="73"/>
      <c r="AA848" s="73"/>
      <c r="AB848" s="73"/>
      <c r="AC848" s="73"/>
      <c r="AD848" s="73"/>
      <c r="AE848" s="73"/>
      <c r="AF848" s="73"/>
      <c r="AG848" s="73"/>
      <c r="AH848" s="73"/>
      <c r="AI848" s="73"/>
      <c r="AJ848" s="75"/>
      <c r="AK848" s="76" t="s">
        <v>2108</v>
      </c>
      <c r="AL848" s="83" t="s">
        <v>8711</v>
      </c>
      <c r="AM848" s="71" t="s">
        <v>8712</v>
      </c>
      <c r="AN848" s="84" t="s">
        <v>8713</v>
      </c>
      <c r="AO848" s="71" t="s">
        <v>8714</v>
      </c>
      <c r="AP848" s="161" t="str">
        <f>IMAGE("https://bellingcat-archive.nyc3.cdn.digitaloceanspaces.com/Ukraine_Witness_Datasheet/Worksheet/twitter__media_FMjHr3mXoAI8-KZ.jpg")</f>
        <v/>
      </c>
      <c r="AQ848" s="161"/>
      <c r="AR848" s="161"/>
      <c r="AS848" s="161"/>
      <c r="AT848" s="161"/>
      <c r="AU848" s="89"/>
      <c r="AV848" s="162"/>
      <c r="AW848" s="81"/>
    </row>
    <row r="849" ht="15.75" customHeight="1">
      <c r="A849" s="296" t="s">
        <v>6924</v>
      </c>
      <c r="B849" s="73"/>
      <c r="C849" s="57" t="s">
        <v>7672</v>
      </c>
      <c r="D849" s="241" t="s">
        <v>8715</v>
      </c>
      <c r="E849" s="241" t="s">
        <v>8716</v>
      </c>
      <c r="F849" s="89"/>
      <c r="G849" s="326" t="s">
        <v>8717</v>
      </c>
      <c r="H849" s="73"/>
      <c r="I849" s="62" t="s">
        <v>8718</v>
      </c>
      <c r="J849" s="64" t="s">
        <v>8719</v>
      </c>
      <c r="K849" s="69"/>
      <c r="L849" s="65" t="s">
        <v>3542</v>
      </c>
      <c r="M849" s="73"/>
      <c r="N849" s="73"/>
      <c r="O849" s="61" t="s">
        <v>5626</v>
      </c>
      <c r="P849" s="67" t="str">
        <f t="shared" si="1"/>
        <v>50.026301, 36.364475</v>
      </c>
      <c r="Q849" s="67" t="str">
        <f t="shared" si="2"/>
        <v>50.02592, 36.364249</v>
      </c>
      <c r="R849" s="67">
        <f t="shared" si="3"/>
        <v>50.02592</v>
      </c>
      <c r="S849" s="67">
        <f t="shared" si="4"/>
        <v>36.364249</v>
      </c>
      <c r="T849" s="161"/>
      <c r="U849" s="69"/>
      <c r="V849" s="169" t="s">
        <v>8720</v>
      </c>
      <c r="W849" s="161"/>
      <c r="X849" s="194"/>
      <c r="Y849" s="216" t="s">
        <v>5820</v>
      </c>
      <c r="Z849" s="73"/>
      <c r="AA849" s="73"/>
      <c r="AB849" s="73"/>
      <c r="AC849" s="73"/>
      <c r="AD849" s="73"/>
      <c r="AE849" s="73"/>
      <c r="AF849" s="73"/>
      <c r="AG849" s="73"/>
      <c r="AH849" s="73"/>
      <c r="AI849" s="73"/>
      <c r="AJ849" s="75"/>
      <c r="AK849" s="76" t="s">
        <v>6276</v>
      </c>
      <c r="AL849" s="83" t="s">
        <v>8721</v>
      </c>
      <c r="AM849" s="71" t="s">
        <v>8722</v>
      </c>
      <c r="AN849" s="84" t="s">
        <v>8723</v>
      </c>
      <c r="AO849" s="71" t="s">
        <v>8724</v>
      </c>
      <c r="AP849" s="161"/>
      <c r="AQ849" s="161"/>
      <c r="AR849" s="161"/>
      <c r="AS849" s="161"/>
      <c r="AT849" s="161"/>
      <c r="AU849" s="89"/>
      <c r="AV849" s="162"/>
      <c r="AW849" s="81"/>
    </row>
    <row r="850" ht="15.75" customHeight="1">
      <c r="A850" s="296" t="s">
        <v>6924</v>
      </c>
      <c r="B850" s="73"/>
      <c r="C850" s="57" t="s">
        <v>7672</v>
      </c>
      <c r="D850" s="241" t="s">
        <v>8715</v>
      </c>
      <c r="E850" s="241" t="s">
        <v>8716</v>
      </c>
      <c r="F850" s="89"/>
      <c r="G850" s="326" t="s">
        <v>8725</v>
      </c>
      <c r="H850" s="73"/>
      <c r="I850" s="62" t="s">
        <v>8718</v>
      </c>
      <c r="J850" s="64" t="s">
        <v>8719</v>
      </c>
      <c r="K850" s="69"/>
      <c r="L850" s="65" t="s">
        <v>3542</v>
      </c>
      <c r="M850" s="73"/>
      <c r="N850" s="73"/>
      <c r="O850" s="61" t="s">
        <v>5626</v>
      </c>
      <c r="P850" s="67" t="str">
        <f t="shared" si="1"/>
        <v>50.026301, 36.364475</v>
      </c>
      <c r="Q850" s="67" t="str">
        <f t="shared" si="2"/>
        <v>50.026156, 36.36509</v>
      </c>
      <c r="R850" s="67">
        <f t="shared" si="3"/>
        <v>50.026156</v>
      </c>
      <c r="S850" s="67">
        <f t="shared" si="4"/>
        <v>36.36509</v>
      </c>
      <c r="T850" s="161"/>
      <c r="U850" s="69"/>
      <c r="V850" s="169" t="s">
        <v>8726</v>
      </c>
      <c r="W850" s="161"/>
      <c r="X850" s="194"/>
      <c r="Y850" s="216" t="s">
        <v>5820</v>
      </c>
      <c r="Z850" s="73"/>
      <c r="AA850" s="73"/>
      <c r="AB850" s="73"/>
      <c r="AC850" s="73"/>
      <c r="AD850" s="73"/>
      <c r="AE850" s="73"/>
      <c r="AF850" s="73"/>
      <c r="AG850" s="73"/>
      <c r="AH850" s="73"/>
      <c r="AI850" s="73"/>
      <c r="AJ850" s="75"/>
      <c r="AK850" s="76" t="s">
        <v>6276</v>
      </c>
      <c r="AL850" s="83" t="s">
        <v>8727</v>
      </c>
      <c r="AM850" s="71" t="s">
        <v>8728</v>
      </c>
      <c r="AN850" s="84" t="s">
        <v>8729</v>
      </c>
      <c r="AO850" s="71" t="s">
        <v>8730</v>
      </c>
      <c r="AP850" s="161"/>
      <c r="AQ850" s="161"/>
      <c r="AR850" s="161"/>
      <c r="AS850" s="161"/>
      <c r="AT850" s="161"/>
      <c r="AU850" s="89"/>
      <c r="AV850" s="162"/>
      <c r="AW850" s="81"/>
    </row>
    <row r="851" ht="15.75" customHeight="1">
      <c r="A851" s="296" t="s">
        <v>6924</v>
      </c>
      <c r="B851" s="73"/>
      <c r="C851" s="57" t="s">
        <v>7672</v>
      </c>
      <c r="D851" s="241" t="s">
        <v>8731</v>
      </c>
      <c r="E851" s="241" t="s">
        <v>8732</v>
      </c>
      <c r="F851" s="89"/>
      <c r="G851" s="326" t="s">
        <v>8733</v>
      </c>
      <c r="H851" s="73"/>
      <c r="I851" s="62" t="s">
        <v>8734</v>
      </c>
      <c r="J851" s="64" t="s">
        <v>8735</v>
      </c>
      <c r="K851" s="69"/>
      <c r="L851" s="65" t="s">
        <v>3542</v>
      </c>
      <c r="M851" s="73"/>
      <c r="N851" s="73"/>
      <c r="O851" s="61" t="s">
        <v>8736</v>
      </c>
      <c r="P851" s="67" t="str">
        <f t="shared" si="1"/>
        <v>49.591001, 36.992622</v>
      </c>
      <c r="Q851" s="67" t="str">
        <f t="shared" si="2"/>
        <v>49.590621, 36.993334</v>
      </c>
      <c r="R851" s="67">
        <f t="shared" si="3"/>
        <v>49.590621</v>
      </c>
      <c r="S851" s="67">
        <f t="shared" si="4"/>
        <v>36.993334</v>
      </c>
      <c r="T851" s="161"/>
      <c r="U851" s="69"/>
      <c r="V851" s="169" t="s">
        <v>8737</v>
      </c>
      <c r="W851" s="161"/>
      <c r="X851" s="194"/>
      <c r="Y851" s="216" t="s">
        <v>5820</v>
      </c>
      <c r="Z851" s="73"/>
      <c r="AA851" s="73"/>
      <c r="AB851" s="73"/>
      <c r="AC851" s="73"/>
      <c r="AD851" s="73"/>
      <c r="AE851" s="73"/>
      <c r="AF851" s="73"/>
      <c r="AG851" s="73"/>
      <c r="AH851" s="73"/>
      <c r="AI851" s="73"/>
      <c r="AJ851" s="75"/>
      <c r="AK851" s="76" t="s">
        <v>1261</v>
      </c>
      <c r="AL851" s="83" t="s">
        <v>8738</v>
      </c>
      <c r="AM851" s="71" t="s">
        <v>8739</v>
      </c>
      <c r="AN851" s="84" t="s">
        <v>8740</v>
      </c>
      <c r="AO851" s="161"/>
      <c r="AP851" s="161"/>
      <c r="AQ851" s="161"/>
      <c r="AR851" s="71" t="s">
        <v>8741</v>
      </c>
      <c r="AS851" s="161"/>
      <c r="AT851" s="161"/>
      <c r="AU851" s="89"/>
      <c r="AV851" s="162"/>
      <c r="AW851" s="81"/>
    </row>
    <row r="852" ht="15.75" customHeight="1">
      <c r="A852" s="296" t="s">
        <v>6924</v>
      </c>
      <c r="B852" s="73"/>
      <c r="C852" s="57" t="s">
        <v>8024</v>
      </c>
      <c r="D852" s="260"/>
      <c r="E852" s="260"/>
      <c r="F852" s="89"/>
      <c r="G852" s="326" t="s">
        <v>8742</v>
      </c>
      <c r="H852" s="73"/>
      <c r="I852" s="62" t="s">
        <v>8743</v>
      </c>
      <c r="J852" s="64" t="s">
        <v>8744</v>
      </c>
      <c r="K852" s="69"/>
      <c r="L852" s="65" t="s">
        <v>3542</v>
      </c>
      <c r="M852" s="73"/>
      <c r="N852" s="73"/>
      <c r="O852" s="71" t="s">
        <v>6121</v>
      </c>
      <c r="P852" s="67" t="str">
        <f t="shared" si="1"/>
        <v/>
      </c>
      <c r="Q852" s="67" t="str">
        <f t="shared" si="2"/>
        <v/>
      </c>
      <c r="R852" s="67" t="str">
        <f t="shared" si="3"/>
        <v/>
      </c>
      <c r="S852" s="67" t="str">
        <f t="shared" si="4"/>
        <v/>
      </c>
      <c r="T852" s="161"/>
      <c r="U852" s="69"/>
      <c r="V852" s="169" t="s">
        <v>8745</v>
      </c>
      <c r="W852" s="161"/>
      <c r="X852" s="194"/>
      <c r="Y852" s="216" t="s">
        <v>5820</v>
      </c>
      <c r="Z852" s="73"/>
      <c r="AA852" s="73"/>
      <c r="AB852" s="73"/>
      <c r="AC852" s="73"/>
      <c r="AD852" s="73"/>
      <c r="AE852" s="73"/>
      <c r="AF852" s="73"/>
      <c r="AG852" s="73"/>
      <c r="AH852" s="73"/>
      <c r="AI852" s="73"/>
      <c r="AJ852" s="75"/>
      <c r="AK852" s="76" t="s">
        <v>2108</v>
      </c>
      <c r="AL852" s="83" t="s">
        <v>8746</v>
      </c>
      <c r="AM852" s="71" t="s">
        <v>8747</v>
      </c>
      <c r="AN852" s="84" t="s">
        <v>8748</v>
      </c>
      <c r="AO852" s="71" t="s">
        <v>8749</v>
      </c>
      <c r="AP852" s="161" t="str">
        <f>IMAGE("https://bellingcat-archive.nyc3.cdn.digitaloceanspaces.com/Ukraine_Witness_Datasheet/Worksheet/twitter__media_FMilZj0WUAEABNf.jpg")</f>
        <v/>
      </c>
      <c r="AQ852" s="161"/>
      <c r="AR852" s="161"/>
      <c r="AS852" s="161"/>
      <c r="AT852" s="161"/>
      <c r="AU852" s="89"/>
      <c r="AV852" s="162"/>
      <c r="AW852" s="81"/>
    </row>
    <row r="853" ht="15.75" customHeight="1">
      <c r="A853" s="172"/>
      <c r="B853" s="73"/>
      <c r="C853" s="57" t="s">
        <v>8024</v>
      </c>
      <c r="D853" s="121"/>
      <c r="E853" s="121"/>
      <c r="F853" s="89"/>
      <c r="G853" s="326" t="s">
        <v>8750</v>
      </c>
      <c r="H853" s="73"/>
      <c r="I853" s="62" t="s">
        <v>8751</v>
      </c>
      <c r="J853" s="64" t="s">
        <v>8752</v>
      </c>
      <c r="K853" s="69"/>
      <c r="L853" s="65" t="s">
        <v>3542</v>
      </c>
      <c r="M853" s="73"/>
      <c r="N853" s="73"/>
      <c r="O853" s="71" t="s">
        <v>5859</v>
      </c>
      <c r="P853" s="67" t="str">
        <f t="shared" si="1"/>
        <v/>
      </c>
      <c r="Q853" s="67" t="str">
        <f t="shared" si="2"/>
        <v/>
      </c>
      <c r="R853" s="67" t="str">
        <f t="shared" si="3"/>
        <v/>
      </c>
      <c r="S853" s="67" t="str">
        <f t="shared" si="4"/>
        <v/>
      </c>
      <c r="T853" s="161"/>
      <c r="U853" s="69"/>
      <c r="V853" s="169" t="s">
        <v>8753</v>
      </c>
      <c r="W853" s="161"/>
      <c r="X853" s="194"/>
      <c r="Y853" s="73"/>
      <c r="Z853" s="73"/>
      <c r="AA853" s="73"/>
      <c r="AB853" s="73"/>
      <c r="AC853" s="73"/>
      <c r="AD853" s="73"/>
      <c r="AE853" s="73"/>
      <c r="AF853" s="73"/>
      <c r="AG853" s="73"/>
      <c r="AH853" s="73"/>
      <c r="AI853" s="73"/>
      <c r="AJ853" s="75"/>
      <c r="AK853" s="76" t="s">
        <v>8754</v>
      </c>
      <c r="AL853" s="269"/>
      <c r="AM853" s="71" t="s">
        <v>8755</v>
      </c>
      <c r="AN853" s="161"/>
      <c r="AO853" s="161"/>
      <c r="AP853" s="161"/>
      <c r="AQ853" s="161"/>
      <c r="AR853" s="161"/>
      <c r="AS853" s="161"/>
      <c r="AT853" s="161"/>
      <c r="AU853" s="89"/>
      <c r="AV853" s="162"/>
      <c r="AW853" s="81"/>
    </row>
    <row r="854" ht="15.75" customHeight="1">
      <c r="A854" s="95" t="s">
        <v>5457</v>
      </c>
      <c r="B854" s="73"/>
      <c r="C854" s="57" t="s">
        <v>8024</v>
      </c>
      <c r="D854" s="104">
        <v>50.542589</v>
      </c>
      <c r="E854" s="104">
        <v>30.227923</v>
      </c>
      <c r="F854" s="79">
        <v>3.0</v>
      </c>
      <c r="G854" s="130" t="s">
        <v>8756</v>
      </c>
      <c r="H854" s="73"/>
      <c r="I854" s="329"/>
      <c r="J854" s="64" t="s">
        <v>8757</v>
      </c>
      <c r="K854" s="69"/>
      <c r="L854" s="65" t="s">
        <v>3542</v>
      </c>
      <c r="M854" s="73"/>
      <c r="N854" s="73"/>
      <c r="O854" s="71" t="s">
        <v>5868</v>
      </c>
      <c r="P854" s="67" t="str">
        <f t="shared" si="1"/>
        <v>50.542589, 30.227923</v>
      </c>
      <c r="Q854" s="67" t="str">
        <f t="shared" si="2"/>
        <v>50.542385, 30.227262</v>
      </c>
      <c r="R854" s="67">
        <f t="shared" si="3"/>
        <v>50.542385</v>
      </c>
      <c r="S854" s="67">
        <f t="shared" si="4"/>
        <v>30.227262</v>
      </c>
      <c r="T854" s="161"/>
      <c r="U854" s="69"/>
      <c r="V854" s="169" t="s">
        <v>8758</v>
      </c>
      <c r="W854" s="71" t="s">
        <v>8759</v>
      </c>
      <c r="X854" s="72" t="s">
        <v>75</v>
      </c>
      <c r="Y854" s="73"/>
      <c r="Z854" s="73"/>
      <c r="AA854" s="73"/>
      <c r="AB854" s="73"/>
      <c r="AC854" s="73"/>
      <c r="AD854" s="73"/>
      <c r="AE854" s="73"/>
      <c r="AF854" s="73"/>
      <c r="AG854" s="73"/>
      <c r="AH854" s="73"/>
      <c r="AI854" s="73"/>
      <c r="AJ854" s="75"/>
      <c r="AK854" s="76" t="s">
        <v>798</v>
      </c>
      <c r="AL854" s="83" t="s">
        <v>8760</v>
      </c>
      <c r="AM854" s="71" t="s">
        <v>8761</v>
      </c>
      <c r="AN854" s="84" t="s">
        <v>8762</v>
      </c>
      <c r="AO854" s="71" t="s">
        <v>8763</v>
      </c>
      <c r="AP854" s="161"/>
      <c r="AQ854" s="71" t="s">
        <v>6886</v>
      </c>
      <c r="AR854" s="71" t="s">
        <v>8764</v>
      </c>
      <c r="AS854" s="71" t="s">
        <v>8765</v>
      </c>
      <c r="AT854" s="71">
        <v>132.833</v>
      </c>
      <c r="AU854" s="89"/>
      <c r="AV854" s="80" t="s">
        <v>63</v>
      </c>
      <c r="AW854" s="81"/>
    </row>
    <row r="855" ht="15.75" customHeight="1">
      <c r="A855" s="296" t="s">
        <v>6924</v>
      </c>
      <c r="B855" s="73"/>
      <c r="C855" s="57" t="s">
        <v>8024</v>
      </c>
      <c r="D855" s="260"/>
      <c r="E855" s="260"/>
      <c r="F855" s="89"/>
      <c r="G855" s="317" t="s">
        <v>8766</v>
      </c>
      <c r="H855" s="73"/>
      <c r="I855" s="329" t="s">
        <v>8767</v>
      </c>
      <c r="J855" s="183" t="s">
        <v>8768</v>
      </c>
      <c r="K855" s="69"/>
      <c r="L855" s="70"/>
      <c r="M855" s="73"/>
      <c r="N855" s="73"/>
      <c r="O855" s="330" t="s">
        <v>5979</v>
      </c>
      <c r="P855" s="67" t="str">
        <f t="shared" si="1"/>
        <v/>
      </c>
      <c r="Q855" s="67" t="str">
        <f t="shared" si="2"/>
        <v/>
      </c>
      <c r="R855" s="67" t="str">
        <f t="shared" si="3"/>
        <v/>
      </c>
      <c r="S855" s="67" t="str">
        <f t="shared" si="4"/>
        <v/>
      </c>
      <c r="T855" s="161"/>
      <c r="U855" s="69"/>
      <c r="V855" s="169" t="s">
        <v>8769</v>
      </c>
      <c r="W855" s="161"/>
      <c r="X855" s="194"/>
      <c r="Y855" s="216" t="s">
        <v>5820</v>
      </c>
      <c r="Z855" s="73"/>
      <c r="AA855" s="73"/>
      <c r="AB855" s="73"/>
      <c r="AC855" s="73"/>
      <c r="AD855" s="73"/>
      <c r="AE855" s="73"/>
      <c r="AF855" s="73"/>
      <c r="AG855" s="73"/>
      <c r="AH855" s="73"/>
      <c r="AI855" s="73"/>
      <c r="AJ855" s="75"/>
      <c r="AK855" s="76" t="s">
        <v>1261</v>
      </c>
      <c r="AL855" s="83" t="s">
        <v>8770</v>
      </c>
      <c r="AM855" s="71" t="s">
        <v>8771</v>
      </c>
      <c r="AN855" s="84" t="s">
        <v>8772</v>
      </c>
      <c r="AO855" s="161"/>
      <c r="AP855" s="161"/>
      <c r="AQ855" s="161"/>
      <c r="AR855" s="71" t="s">
        <v>8773</v>
      </c>
      <c r="AS855" s="161"/>
      <c r="AT855" s="161"/>
      <c r="AU855" s="89"/>
      <c r="AV855" s="162"/>
      <c r="AW855" s="81"/>
    </row>
    <row r="856" ht="15.75" customHeight="1">
      <c r="A856" s="296" t="s">
        <v>6924</v>
      </c>
      <c r="B856" s="73"/>
      <c r="C856" s="57" t="s">
        <v>8024</v>
      </c>
      <c r="D856" s="260"/>
      <c r="E856" s="260"/>
      <c r="F856" s="89"/>
      <c r="G856" s="60" t="s">
        <v>8774</v>
      </c>
      <c r="H856" s="73"/>
      <c r="I856" s="329" t="s">
        <v>8775</v>
      </c>
      <c r="J856" s="64" t="s">
        <v>8776</v>
      </c>
      <c r="K856" s="69"/>
      <c r="L856" s="65" t="s">
        <v>45</v>
      </c>
      <c r="M856" s="73"/>
      <c r="N856" s="73"/>
      <c r="O856" s="161"/>
      <c r="P856" s="67" t="str">
        <f t="shared" si="1"/>
        <v/>
      </c>
      <c r="Q856" s="67" t="str">
        <f t="shared" si="2"/>
        <v/>
      </c>
      <c r="R856" s="67" t="str">
        <f t="shared" si="3"/>
        <v/>
      </c>
      <c r="S856" s="67" t="str">
        <f t="shared" si="4"/>
        <v/>
      </c>
      <c r="T856" s="161"/>
      <c r="U856" s="69"/>
      <c r="V856" s="169" t="s">
        <v>8777</v>
      </c>
      <c r="W856" s="161"/>
      <c r="X856" s="194"/>
      <c r="Y856" s="216" t="s">
        <v>5820</v>
      </c>
      <c r="Z856" s="73"/>
      <c r="AA856" s="73"/>
      <c r="AB856" s="73"/>
      <c r="AC856" s="73"/>
      <c r="AD856" s="73"/>
      <c r="AE856" s="73"/>
      <c r="AF856" s="73"/>
      <c r="AG856" s="73"/>
      <c r="AH856" s="73"/>
      <c r="AI856" s="73"/>
      <c r="AJ856" s="75"/>
      <c r="AK856" s="76" t="s">
        <v>8778</v>
      </c>
      <c r="AL856" s="269"/>
      <c r="AM856" s="71" t="s">
        <v>8779</v>
      </c>
      <c r="AN856" s="161"/>
      <c r="AO856" s="161"/>
      <c r="AP856" s="161"/>
      <c r="AQ856" s="161"/>
      <c r="AR856" s="161"/>
      <c r="AS856" s="161"/>
      <c r="AT856" s="161"/>
      <c r="AU856" s="89"/>
      <c r="AV856" s="162"/>
      <c r="AW856" s="81"/>
    </row>
    <row r="857" ht="15.75" customHeight="1">
      <c r="A857" s="296" t="s">
        <v>6924</v>
      </c>
      <c r="B857" s="73"/>
      <c r="C857" s="57" t="s">
        <v>8024</v>
      </c>
      <c r="D857" s="241" t="s">
        <v>8780</v>
      </c>
      <c r="E857" s="241" t="s">
        <v>8781</v>
      </c>
      <c r="F857" s="89"/>
      <c r="G857" s="130" t="s">
        <v>8782</v>
      </c>
      <c r="H857" s="73"/>
      <c r="I857" s="329" t="s">
        <v>8783</v>
      </c>
      <c r="J857" s="64" t="s">
        <v>8784</v>
      </c>
      <c r="K857" s="69"/>
      <c r="L857" s="70"/>
      <c r="M857" s="73"/>
      <c r="N857" s="73"/>
      <c r="O857" s="330" t="s">
        <v>7098</v>
      </c>
      <c r="P857" s="67" t="str">
        <f t="shared" si="1"/>
        <v>47.251705, 34.332519</v>
      </c>
      <c r="Q857" s="67" t="str">
        <f t="shared" si="2"/>
        <v>47.25117, 34.332402</v>
      </c>
      <c r="R857" s="67">
        <f t="shared" si="3"/>
        <v>47.25117</v>
      </c>
      <c r="S857" s="67">
        <f t="shared" si="4"/>
        <v>34.332402</v>
      </c>
      <c r="T857" s="161"/>
      <c r="U857" s="69"/>
      <c r="V857" s="169" t="s">
        <v>8785</v>
      </c>
      <c r="W857" s="161"/>
      <c r="X857" s="194"/>
      <c r="Y857" s="216" t="s">
        <v>5820</v>
      </c>
      <c r="Z857" s="73"/>
      <c r="AA857" s="73"/>
      <c r="AB857" s="73"/>
      <c r="AC857" s="73"/>
      <c r="AD857" s="73"/>
      <c r="AE857" s="73"/>
      <c r="AF857" s="73"/>
      <c r="AG857" s="73"/>
      <c r="AH857" s="73"/>
      <c r="AI857" s="73"/>
      <c r="AJ857" s="75"/>
      <c r="AK857" s="76" t="s">
        <v>798</v>
      </c>
      <c r="AL857" s="83" t="s">
        <v>8786</v>
      </c>
      <c r="AM857" s="71" t="s">
        <v>8787</v>
      </c>
      <c r="AN857" s="84" t="s">
        <v>8788</v>
      </c>
      <c r="AO857" s="71" t="s">
        <v>8789</v>
      </c>
      <c r="AP857" s="161" t="str">
        <f>IMAGE("https://bellingcat-archive.nyc3.cdn.digitaloceanspaces.com/Ukraine_Witness_Datasheet/Worksheet/youtube_dl_1497888600146395136/out2.jpg")</f>
        <v/>
      </c>
      <c r="AQ857" s="84" t="s">
        <v>8790</v>
      </c>
      <c r="AR857" s="71" t="s">
        <v>8791</v>
      </c>
      <c r="AS857" s="71" t="s">
        <v>8792</v>
      </c>
      <c r="AT857" s="71">
        <v>43.866</v>
      </c>
      <c r="AU857" s="89"/>
      <c r="AV857" s="162"/>
      <c r="AW857" s="81"/>
    </row>
    <row r="858" ht="15.75" customHeight="1">
      <c r="A858" s="296" t="s">
        <v>6924</v>
      </c>
      <c r="B858" s="73"/>
      <c r="C858" s="57" t="s">
        <v>7672</v>
      </c>
      <c r="D858" s="260"/>
      <c r="E858" s="260"/>
      <c r="F858" s="89"/>
      <c r="G858" s="84" t="s">
        <v>8793</v>
      </c>
      <c r="H858" s="73"/>
      <c r="I858" s="329" t="s">
        <v>8794</v>
      </c>
      <c r="J858" s="183" t="s">
        <v>8795</v>
      </c>
      <c r="K858" s="69"/>
      <c r="L858" s="331"/>
      <c r="M858" s="73"/>
      <c r="N858" s="73"/>
      <c r="O858" s="174" t="s">
        <v>8796</v>
      </c>
      <c r="P858" s="67" t="str">
        <f t="shared" si="1"/>
        <v/>
      </c>
      <c r="Q858" s="67" t="str">
        <f t="shared" si="2"/>
        <v/>
      </c>
      <c r="R858" s="67" t="str">
        <f t="shared" si="3"/>
        <v/>
      </c>
      <c r="S858" s="67" t="str">
        <f t="shared" si="4"/>
        <v/>
      </c>
      <c r="T858" s="161"/>
      <c r="U858" s="69"/>
      <c r="V858" s="169" t="s">
        <v>8797</v>
      </c>
      <c r="W858" s="161"/>
      <c r="X858" s="194"/>
      <c r="Y858" s="216" t="s">
        <v>75</v>
      </c>
      <c r="Z858" s="73"/>
      <c r="AA858" s="73"/>
      <c r="AB858" s="73"/>
      <c r="AC858" s="73"/>
      <c r="AD858" s="73"/>
      <c r="AE858" s="73"/>
      <c r="AF858" s="73"/>
      <c r="AG858" s="73"/>
      <c r="AH858" s="73"/>
      <c r="AI858" s="73"/>
      <c r="AJ858" s="75"/>
      <c r="AK858" s="76" t="s">
        <v>1261</v>
      </c>
      <c r="AL858" s="83" t="s">
        <v>8798</v>
      </c>
      <c r="AM858" s="71" t="s">
        <v>8799</v>
      </c>
      <c r="AN858" s="84" t="s">
        <v>8800</v>
      </c>
      <c r="AO858" s="161"/>
      <c r="AP858" s="161"/>
      <c r="AQ858" s="161"/>
      <c r="AR858" s="71" t="s">
        <v>7184</v>
      </c>
      <c r="AS858" s="161"/>
      <c r="AT858" s="161"/>
      <c r="AU858" s="89"/>
      <c r="AV858" s="162"/>
      <c r="AW858" s="81"/>
    </row>
    <row r="859" ht="15.75" customHeight="1">
      <c r="A859" s="296" t="s">
        <v>6924</v>
      </c>
      <c r="B859" s="73"/>
      <c r="C859" s="57" t="s">
        <v>7672</v>
      </c>
      <c r="D859" s="260"/>
      <c r="E859" s="260"/>
      <c r="F859" s="89"/>
      <c r="G859" s="84" t="s">
        <v>8801</v>
      </c>
      <c r="H859" s="73"/>
      <c r="I859" s="329" t="s">
        <v>8802</v>
      </c>
      <c r="J859" s="183" t="s">
        <v>8803</v>
      </c>
      <c r="K859" s="69"/>
      <c r="L859" s="331"/>
      <c r="M859" s="73"/>
      <c r="N859" s="73"/>
      <c r="O859" s="174" t="s">
        <v>8804</v>
      </c>
      <c r="P859" s="67" t="str">
        <f t="shared" si="1"/>
        <v/>
      </c>
      <c r="Q859" s="67" t="str">
        <f t="shared" si="2"/>
        <v/>
      </c>
      <c r="R859" s="67" t="str">
        <f t="shared" si="3"/>
        <v/>
      </c>
      <c r="S859" s="67" t="str">
        <f t="shared" si="4"/>
        <v/>
      </c>
      <c r="T859" s="161"/>
      <c r="U859" s="69"/>
      <c r="V859" s="169" t="s">
        <v>8805</v>
      </c>
      <c r="W859" s="161"/>
      <c r="X859" s="194"/>
      <c r="Y859" s="216" t="s">
        <v>5820</v>
      </c>
      <c r="Z859" s="73"/>
      <c r="AA859" s="73"/>
      <c r="AB859" s="73"/>
      <c r="AC859" s="73"/>
      <c r="AD859" s="73"/>
      <c r="AE859" s="73"/>
      <c r="AF859" s="73"/>
      <c r="AG859" s="73"/>
      <c r="AH859" s="73"/>
      <c r="AI859" s="73"/>
      <c r="AJ859" s="75"/>
      <c r="AK859" s="76" t="s">
        <v>1261</v>
      </c>
      <c r="AL859" s="83" t="s">
        <v>8806</v>
      </c>
      <c r="AM859" s="71" t="s">
        <v>8807</v>
      </c>
      <c r="AN859" s="84" t="s">
        <v>8808</v>
      </c>
      <c r="AO859" s="161"/>
      <c r="AP859" s="161"/>
      <c r="AQ859" s="161"/>
      <c r="AR859" s="71" t="s">
        <v>8809</v>
      </c>
      <c r="AS859" s="161"/>
      <c r="AT859" s="161"/>
      <c r="AU859" s="89"/>
      <c r="AV859" s="162"/>
      <c r="AW859" s="81"/>
    </row>
    <row r="860" ht="15.75" customHeight="1">
      <c r="A860" s="296" t="s">
        <v>6924</v>
      </c>
      <c r="B860" s="73"/>
      <c r="C860" s="57" t="s">
        <v>7672</v>
      </c>
      <c r="D860" s="260"/>
      <c r="E860" s="260"/>
      <c r="F860" s="89"/>
      <c r="G860" s="84" t="s">
        <v>8810</v>
      </c>
      <c r="H860" s="73"/>
      <c r="I860" s="329" t="s">
        <v>8802</v>
      </c>
      <c r="J860" s="183" t="s">
        <v>8803</v>
      </c>
      <c r="K860" s="69"/>
      <c r="L860" s="331"/>
      <c r="M860" s="111"/>
      <c r="N860" s="111"/>
      <c r="O860" s="332" t="s">
        <v>8804</v>
      </c>
      <c r="P860" s="67" t="str">
        <f t="shared" si="1"/>
        <v/>
      </c>
      <c r="Q860" s="67" t="str">
        <f t="shared" si="2"/>
        <v/>
      </c>
      <c r="R860" s="67" t="str">
        <f t="shared" si="3"/>
        <v/>
      </c>
      <c r="S860" s="67" t="str">
        <f t="shared" si="4"/>
        <v/>
      </c>
      <c r="T860" s="161"/>
      <c r="U860" s="69"/>
      <c r="V860" s="169" t="s">
        <v>8811</v>
      </c>
      <c r="W860" s="161"/>
      <c r="X860" s="194"/>
      <c r="Y860" s="216" t="s">
        <v>5820</v>
      </c>
      <c r="Z860" s="73"/>
      <c r="AA860" s="73"/>
      <c r="AB860" s="73"/>
      <c r="AC860" s="73"/>
      <c r="AD860" s="73"/>
      <c r="AE860" s="73"/>
      <c r="AF860" s="73"/>
      <c r="AG860" s="73"/>
      <c r="AH860" s="73"/>
      <c r="AI860" s="73"/>
      <c r="AJ860" s="75"/>
      <c r="AK860" s="76" t="s">
        <v>1261</v>
      </c>
      <c r="AL860" s="83" t="s">
        <v>8812</v>
      </c>
      <c r="AM860" s="71" t="s">
        <v>8813</v>
      </c>
      <c r="AN860" s="84" t="s">
        <v>8814</v>
      </c>
      <c r="AO860" s="161"/>
      <c r="AP860" s="161"/>
      <c r="AQ860" s="161"/>
      <c r="AR860" s="71" t="s">
        <v>7184</v>
      </c>
      <c r="AS860" s="161"/>
      <c r="AT860" s="161"/>
      <c r="AU860" s="89"/>
      <c r="AV860" s="162"/>
      <c r="AW860" s="81"/>
    </row>
    <row r="861" ht="15.75" customHeight="1">
      <c r="A861" s="95" t="s">
        <v>63</v>
      </c>
      <c r="B861" s="73"/>
      <c r="C861" s="57" t="s">
        <v>8024</v>
      </c>
      <c r="D861" s="74">
        <v>50.950552</v>
      </c>
      <c r="E861" s="74">
        <v>29.880903</v>
      </c>
      <c r="F861" s="79">
        <v>3.0</v>
      </c>
      <c r="G861" s="84" t="s">
        <v>8815</v>
      </c>
      <c r="H861" s="73"/>
      <c r="I861" s="75"/>
      <c r="J861" s="64" t="s">
        <v>8816</v>
      </c>
      <c r="K861" s="69"/>
      <c r="L861" s="169" t="s">
        <v>3542</v>
      </c>
      <c r="M861" s="92" t="s">
        <v>5827</v>
      </c>
      <c r="N861" s="111"/>
      <c r="O861" s="92" t="s">
        <v>8817</v>
      </c>
      <c r="P861" s="67" t="str">
        <f t="shared" si="1"/>
        <v>50.950552, 29.880903</v>
      </c>
      <c r="Q861" s="67" t="str">
        <f t="shared" si="2"/>
        <v>50.94981, 29.881517</v>
      </c>
      <c r="R861" s="67">
        <f t="shared" si="3"/>
        <v>50.94981</v>
      </c>
      <c r="S861" s="67">
        <f t="shared" si="4"/>
        <v>29.881517</v>
      </c>
      <c r="T861" s="161"/>
      <c r="U861" s="69"/>
      <c r="V861" s="169" t="s">
        <v>8818</v>
      </c>
      <c r="W861" s="71" t="s">
        <v>8819</v>
      </c>
      <c r="X861" s="72" t="s">
        <v>75</v>
      </c>
      <c r="Y861" s="73"/>
      <c r="Z861" s="73"/>
      <c r="AA861" s="73"/>
      <c r="AB861" s="73"/>
      <c r="AC861" s="73"/>
      <c r="AD861" s="73"/>
      <c r="AE861" s="73"/>
      <c r="AF861" s="73"/>
      <c r="AG861" s="73"/>
      <c r="AH861" s="73"/>
      <c r="AI861" s="73"/>
      <c r="AJ861" s="75"/>
      <c r="AK861" s="76" t="s">
        <v>798</v>
      </c>
      <c r="AL861" s="83" t="s">
        <v>8820</v>
      </c>
      <c r="AM861" s="71" t="s">
        <v>8821</v>
      </c>
      <c r="AN861" s="84" t="s">
        <v>8822</v>
      </c>
      <c r="AO861" s="71" t="s">
        <v>8823</v>
      </c>
      <c r="AP861" s="161" t="str">
        <f>IMAGE("https://bellingcat-archive.nyc3.cdn.digitaloceanspaces.com/Ukraine_Witness_Datasheet/Worksheet/youtube_dl_1497910069396230146/out2.jpg")</f>
        <v/>
      </c>
      <c r="AQ861" s="84" t="s">
        <v>8824</v>
      </c>
      <c r="AR861" s="71" t="s">
        <v>8825</v>
      </c>
      <c r="AS861" s="71" t="s">
        <v>8826</v>
      </c>
      <c r="AT861" s="71">
        <v>34.504</v>
      </c>
      <c r="AU861" s="89"/>
      <c r="AV861" s="80" t="s">
        <v>63</v>
      </c>
      <c r="AW861" s="81"/>
    </row>
    <row r="862" ht="15.75" customHeight="1">
      <c r="A862" s="87" t="s">
        <v>63</v>
      </c>
      <c r="B862" s="73"/>
      <c r="C862" s="57" t="s">
        <v>8024</v>
      </c>
      <c r="D862" s="74">
        <v>51.9807</v>
      </c>
      <c r="E862" s="74">
        <v>29.1512</v>
      </c>
      <c r="F862" s="79">
        <v>1.0</v>
      </c>
      <c r="G862" s="84" t="s">
        <v>8827</v>
      </c>
      <c r="H862" s="73"/>
      <c r="I862" s="75"/>
      <c r="J862" s="64" t="s">
        <v>8828</v>
      </c>
      <c r="K862" s="88" t="s">
        <v>8829</v>
      </c>
      <c r="L862" s="169" t="s">
        <v>69</v>
      </c>
      <c r="M862" s="92" t="s">
        <v>70</v>
      </c>
      <c r="N862" s="111"/>
      <c r="O862" s="92" t="s">
        <v>5295</v>
      </c>
      <c r="P862" s="67" t="str">
        <f t="shared" si="1"/>
        <v>51.9807, 29.1512</v>
      </c>
      <c r="Q862" s="67" t="str">
        <f t="shared" si="2"/>
        <v>51.98027, 29.150543</v>
      </c>
      <c r="R862" s="67">
        <f t="shared" si="3"/>
        <v>51.98027</v>
      </c>
      <c r="S862" s="67">
        <f t="shared" si="4"/>
        <v>29.150543</v>
      </c>
      <c r="T862" s="161"/>
      <c r="U862" s="69"/>
      <c r="V862" s="169" t="s">
        <v>8830</v>
      </c>
      <c r="W862" s="71" t="s">
        <v>5858</v>
      </c>
      <c r="X862" s="72" t="s">
        <v>75</v>
      </c>
      <c r="Y862" s="73"/>
      <c r="Z862" s="73"/>
      <c r="AA862" s="73"/>
      <c r="AB862" s="73"/>
      <c r="AC862" s="73"/>
      <c r="AD862" s="73"/>
      <c r="AE862" s="73"/>
      <c r="AF862" s="73"/>
      <c r="AG862" s="73"/>
      <c r="AH862" s="73"/>
      <c r="AI862" s="73"/>
      <c r="AJ862" s="75"/>
      <c r="AK862" s="76" t="s">
        <v>798</v>
      </c>
      <c r="AL862" s="83" t="s">
        <v>8831</v>
      </c>
      <c r="AM862" s="71" t="s">
        <v>8832</v>
      </c>
      <c r="AN862" s="84" t="s">
        <v>8833</v>
      </c>
      <c r="AO862" s="71" t="s">
        <v>8834</v>
      </c>
      <c r="AP862" s="161" t="str">
        <f>IMAGE("https://bellingcat-archive.nyc3.cdn.digitaloceanspaces.com/Ukraine_Witness_Datasheet/Worksheet/youtube_dl_1497916791921811457/out2.jpg")</f>
        <v/>
      </c>
      <c r="AQ862" s="84" t="s">
        <v>8835</v>
      </c>
      <c r="AR862" s="71" t="s">
        <v>8836</v>
      </c>
      <c r="AS862" s="71" t="s">
        <v>8837</v>
      </c>
      <c r="AT862" s="71">
        <v>26.233</v>
      </c>
      <c r="AU862" s="89"/>
      <c r="AV862" s="80" t="s">
        <v>63</v>
      </c>
      <c r="AW862" s="81"/>
    </row>
    <row r="863" ht="15.75" customHeight="1">
      <c r="A863" s="87" t="s">
        <v>63</v>
      </c>
      <c r="B863" s="73"/>
      <c r="C863" s="57" t="s">
        <v>8024</v>
      </c>
      <c r="D863" s="74">
        <v>46.761675</v>
      </c>
      <c r="E863" s="74">
        <v>36.790489</v>
      </c>
      <c r="F863" s="79">
        <v>1.0</v>
      </c>
      <c r="G863" s="333" t="s">
        <v>8838</v>
      </c>
      <c r="H863" s="314"/>
      <c r="I863" s="109"/>
      <c r="J863" s="156" t="s">
        <v>8839</v>
      </c>
      <c r="K863" s="334" t="s">
        <v>8840</v>
      </c>
      <c r="L863" s="169" t="s">
        <v>3542</v>
      </c>
      <c r="M863" s="92" t="s">
        <v>7947</v>
      </c>
      <c r="N863" s="111"/>
      <c r="O863" s="92" t="s">
        <v>8841</v>
      </c>
      <c r="P863" s="67" t="str">
        <f t="shared" si="1"/>
        <v>46.761675, 36.790489</v>
      </c>
      <c r="Q863" s="67" t="str">
        <f t="shared" si="2"/>
        <v>46.761674, 36.791055</v>
      </c>
      <c r="R863" s="67">
        <f t="shared" si="3"/>
        <v>46.761674</v>
      </c>
      <c r="S863" s="67">
        <f t="shared" si="4"/>
        <v>36.791055</v>
      </c>
      <c r="T863" s="161"/>
      <c r="U863" s="69"/>
      <c r="V863" s="169" t="s">
        <v>8842</v>
      </c>
      <c r="W863" s="71" t="s">
        <v>5858</v>
      </c>
      <c r="X863" s="72" t="s">
        <v>75</v>
      </c>
      <c r="Y863" s="73"/>
      <c r="Z863" s="73"/>
      <c r="AA863" s="73"/>
      <c r="AB863" s="73"/>
      <c r="AC863" s="73"/>
      <c r="AD863" s="73"/>
      <c r="AE863" s="73"/>
      <c r="AF863" s="73"/>
      <c r="AG863" s="73"/>
      <c r="AH863" s="73"/>
      <c r="AI863" s="73"/>
      <c r="AJ863" s="75"/>
      <c r="AK863" s="76" t="s">
        <v>2108</v>
      </c>
      <c r="AL863" s="83" t="s">
        <v>8843</v>
      </c>
      <c r="AM863" s="71" t="s">
        <v>8844</v>
      </c>
      <c r="AN863" s="84" t="s">
        <v>8845</v>
      </c>
      <c r="AO863" s="71" t="s">
        <v>8846</v>
      </c>
      <c r="AP863" s="161" t="str">
        <f>IMAGE("https://bellingcat-archive.nyc3.cdn.digitaloceanspaces.com/Ukraine_Witness_Datasheet/Worksheet/twitter__media_FMm2mZNXEAQhgw7.jpg")</f>
        <v/>
      </c>
      <c r="AQ863" s="161"/>
      <c r="AR863" s="161"/>
      <c r="AS863" s="161"/>
      <c r="AT863" s="161"/>
      <c r="AU863" s="89"/>
      <c r="AV863" s="80" t="s">
        <v>63</v>
      </c>
      <c r="AW863" s="81"/>
    </row>
    <row r="864" ht="15.75" customHeight="1">
      <c r="A864" s="249" t="s">
        <v>8554</v>
      </c>
      <c r="B864" s="73"/>
      <c r="C864" s="57" t="s">
        <v>8024</v>
      </c>
      <c r="D864" s="335">
        <v>50.01061</v>
      </c>
      <c r="E864" s="336">
        <v>36.28602</v>
      </c>
      <c r="F864" s="79">
        <v>2.0</v>
      </c>
      <c r="G864" s="60" t="s">
        <v>8847</v>
      </c>
      <c r="H864" s="73"/>
      <c r="I864" s="62" t="s">
        <v>8848</v>
      </c>
      <c r="J864" s="337" t="s">
        <v>8849</v>
      </c>
      <c r="K864" s="69"/>
      <c r="L864" s="65" t="s">
        <v>3542</v>
      </c>
      <c r="M864" s="92" t="s">
        <v>5590</v>
      </c>
      <c r="N864" s="111"/>
      <c r="O864" s="92" t="s">
        <v>5626</v>
      </c>
      <c r="P864" s="67" t="str">
        <f t="shared" si="1"/>
        <v>50.01061, 36.28602</v>
      </c>
      <c r="Q864" s="67" t="str">
        <f t="shared" si="2"/>
        <v>50.009884, 36.286536</v>
      </c>
      <c r="R864" s="67">
        <f t="shared" si="3"/>
        <v>50.009884</v>
      </c>
      <c r="S864" s="67">
        <f t="shared" si="4"/>
        <v>36.286536</v>
      </c>
      <c r="T864" s="304" t="s">
        <v>8850</v>
      </c>
      <c r="U864" s="69"/>
      <c r="V864" s="169" t="s">
        <v>8851</v>
      </c>
      <c r="W864" s="161"/>
      <c r="X864" s="17" t="s">
        <v>9</v>
      </c>
      <c r="Y864" s="216" t="s">
        <v>5820</v>
      </c>
      <c r="Z864" s="73"/>
      <c r="AA864" s="73"/>
      <c r="AB864" s="73"/>
      <c r="AC864" s="73"/>
      <c r="AD864" s="73"/>
      <c r="AE864" s="73"/>
      <c r="AF864" s="73"/>
      <c r="AG864" s="73"/>
      <c r="AH864" s="73"/>
      <c r="AI864" s="73"/>
      <c r="AJ864" s="75"/>
      <c r="AK864" s="76" t="s">
        <v>6276</v>
      </c>
      <c r="AL864" s="83" t="s">
        <v>8852</v>
      </c>
      <c r="AM864" s="71" t="s">
        <v>8853</v>
      </c>
      <c r="AN864" s="84" t="s">
        <v>8854</v>
      </c>
      <c r="AO864" s="71" t="s">
        <v>8855</v>
      </c>
      <c r="AP864" s="161" t="str">
        <f>IMAGE("https://bellingcat-archive.nyc3.cdn.digitaloceanspaces.com/Ukraine_Witness_Datasheet/Worksheet/telegram_b8ac9bd752/out2.jpg")</f>
        <v/>
      </c>
      <c r="AQ864" s="84" t="s">
        <v>8856</v>
      </c>
      <c r="AR864" s="84" t="s">
        <v>8847</v>
      </c>
      <c r="AS864" s="71" t="s">
        <v>8857</v>
      </c>
      <c r="AT864" s="71">
        <v>27.0</v>
      </c>
      <c r="AU864" s="89"/>
      <c r="AV864" s="162"/>
      <c r="AW864" s="81"/>
    </row>
    <row r="865" ht="15.75" customHeight="1">
      <c r="A865" s="249" t="s">
        <v>8554</v>
      </c>
      <c r="B865" s="73"/>
      <c r="C865" s="57" t="s">
        <v>8024</v>
      </c>
      <c r="D865" s="335">
        <v>50.01061</v>
      </c>
      <c r="E865" s="336">
        <v>36.28602</v>
      </c>
      <c r="F865" s="79">
        <v>2.0</v>
      </c>
      <c r="G865" s="60" t="s">
        <v>8858</v>
      </c>
      <c r="H865" s="73"/>
      <c r="I865" s="62" t="s">
        <v>8848</v>
      </c>
      <c r="J865" s="337" t="s">
        <v>8849</v>
      </c>
      <c r="K865" s="69"/>
      <c r="L865" s="65" t="s">
        <v>3542</v>
      </c>
      <c r="M865" s="92" t="s">
        <v>5590</v>
      </c>
      <c r="N865" s="111"/>
      <c r="O865" s="92" t="s">
        <v>5626</v>
      </c>
      <c r="P865" s="67" t="str">
        <f t="shared" si="1"/>
        <v>50.01061, 36.28602</v>
      </c>
      <c r="Q865" s="67" t="str">
        <f t="shared" si="2"/>
        <v>50.01043, 36.286809</v>
      </c>
      <c r="R865" s="67">
        <f t="shared" si="3"/>
        <v>50.01043</v>
      </c>
      <c r="S865" s="67">
        <f t="shared" si="4"/>
        <v>36.286809</v>
      </c>
      <c r="T865" s="304" t="s">
        <v>8850</v>
      </c>
      <c r="U865" s="69"/>
      <c r="V865" s="169"/>
      <c r="W865" s="161"/>
      <c r="X865" s="17" t="s">
        <v>9</v>
      </c>
      <c r="Y865" s="216" t="s">
        <v>5820</v>
      </c>
      <c r="Z865" s="73"/>
      <c r="AA865" s="73"/>
      <c r="AB865" s="73"/>
      <c r="AC865" s="73"/>
      <c r="AD865" s="73"/>
      <c r="AE865" s="73"/>
      <c r="AF865" s="73"/>
      <c r="AG865" s="73"/>
      <c r="AH865" s="73"/>
      <c r="AI865" s="73"/>
      <c r="AJ865" s="75"/>
      <c r="AK865" s="76" t="s">
        <v>798</v>
      </c>
      <c r="AL865" s="83" t="s">
        <v>8859</v>
      </c>
      <c r="AM865" s="71" t="s">
        <v>8860</v>
      </c>
      <c r="AN865" s="84" t="s">
        <v>8861</v>
      </c>
      <c r="AO865" s="71" t="s">
        <v>8862</v>
      </c>
      <c r="AP865" s="161" t="str">
        <f>IMAGE("https://bellingcat-archive.nyc3.cdn.digitaloceanspaces.com/Ukraine_Witness_Datasheet/Worksheet/youtube_dl_1497943838823960576/out2.jpg")</f>
        <v/>
      </c>
      <c r="AQ865" s="84" t="s">
        <v>8863</v>
      </c>
      <c r="AR865" s="71" t="s">
        <v>8864</v>
      </c>
      <c r="AS865" s="71" t="s">
        <v>8865</v>
      </c>
      <c r="AT865" s="71">
        <v>27.133</v>
      </c>
      <c r="AU865" s="89"/>
      <c r="AV865" s="162"/>
      <c r="AW865" s="81"/>
    </row>
    <row r="866" ht="15.75" customHeight="1">
      <c r="A866" s="217" t="s">
        <v>5457</v>
      </c>
      <c r="B866" s="73"/>
      <c r="C866" s="57" t="s">
        <v>7672</v>
      </c>
      <c r="D866" s="104">
        <v>46.65502</v>
      </c>
      <c r="E866" s="104">
        <v>32.65695</v>
      </c>
      <c r="F866" s="79">
        <v>2.0</v>
      </c>
      <c r="G866" s="130" t="s">
        <v>8866</v>
      </c>
      <c r="H866" s="73"/>
      <c r="I866" s="75"/>
      <c r="J866" s="64" t="s">
        <v>8867</v>
      </c>
      <c r="K866" s="334" t="s">
        <v>8868</v>
      </c>
      <c r="L866" s="65" t="s">
        <v>3542</v>
      </c>
      <c r="M866" s="92" t="s">
        <v>5702</v>
      </c>
      <c r="N866" s="92" t="s">
        <v>8869</v>
      </c>
      <c r="O866" s="92" t="s">
        <v>7098</v>
      </c>
      <c r="P866" s="67" t="str">
        <f t="shared" si="1"/>
        <v>46.65502, 32.65695</v>
      </c>
      <c r="Q866" s="67" t="str">
        <f t="shared" si="2"/>
        <v>46.654219, 32.656882</v>
      </c>
      <c r="R866" s="67">
        <f t="shared" si="3"/>
        <v>46.654219</v>
      </c>
      <c r="S866" s="67">
        <f t="shared" si="4"/>
        <v>32.656882</v>
      </c>
      <c r="T866" s="161"/>
      <c r="U866" s="69"/>
      <c r="V866" s="169" t="s">
        <v>8870</v>
      </c>
      <c r="W866" s="161"/>
      <c r="X866" s="72" t="s">
        <v>75</v>
      </c>
      <c r="Y866" s="73"/>
      <c r="Z866" s="73"/>
      <c r="AA866" s="73"/>
      <c r="AB866" s="73"/>
      <c r="AC866" s="73"/>
      <c r="AD866" s="73"/>
      <c r="AE866" s="73"/>
      <c r="AF866" s="73"/>
      <c r="AG866" s="73"/>
      <c r="AH866" s="73"/>
      <c r="AI866" s="73"/>
      <c r="AJ866" s="75"/>
      <c r="AK866" s="76" t="s">
        <v>798</v>
      </c>
      <c r="AL866" s="83" t="s">
        <v>8871</v>
      </c>
      <c r="AM866" s="71" t="s">
        <v>8872</v>
      </c>
      <c r="AN866" s="84" t="s">
        <v>8873</v>
      </c>
      <c r="AO866" s="71" t="s">
        <v>8874</v>
      </c>
      <c r="AP866" s="161" t="str">
        <f>IMAGE("https://bellingcat-archive.nyc3.cdn.digitaloceanspaces.com/Ukraine_Witness_Datasheet/Worksheet/youtube_dl_1497659200666845186/out3.jpg")</f>
        <v/>
      </c>
      <c r="AQ866" s="84" t="s">
        <v>8875</v>
      </c>
      <c r="AR866" s="71" t="s">
        <v>8876</v>
      </c>
      <c r="AS866" s="71" t="s">
        <v>8877</v>
      </c>
      <c r="AT866" s="71">
        <v>90.11</v>
      </c>
      <c r="AU866" s="89"/>
      <c r="AV866" s="162"/>
      <c r="AW866" s="81"/>
    </row>
    <row r="867" ht="15.75" customHeight="1">
      <c r="A867" s="87" t="s">
        <v>88</v>
      </c>
      <c r="B867" s="73"/>
      <c r="C867" s="338" t="s">
        <v>8024</v>
      </c>
      <c r="D867" s="104">
        <v>50.70982</v>
      </c>
      <c r="E867" s="74">
        <v>30.341172</v>
      </c>
      <c r="F867" s="79">
        <v>2.0</v>
      </c>
      <c r="G867" s="84" t="s">
        <v>8878</v>
      </c>
      <c r="H867" s="73"/>
      <c r="I867" s="75"/>
      <c r="J867" s="64" t="s">
        <v>8879</v>
      </c>
      <c r="K867" s="88" t="s">
        <v>8880</v>
      </c>
      <c r="L867" s="65" t="s">
        <v>3542</v>
      </c>
      <c r="M867" s="111"/>
      <c r="N867" s="111"/>
      <c r="O867" s="111"/>
      <c r="P867" s="67" t="str">
        <f t="shared" si="1"/>
        <v>50.70982, 30.341172</v>
      </c>
      <c r="Q867" s="67" t="str">
        <f t="shared" si="2"/>
        <v>50.709554, 30.340185</v>
      </c>
      <c r="R867" s="67">
        <f t="shared" si="3"/>
        <v>50.709554</v>
      </c>
      <c r="S867" s="67">
        <f t="shared" si="4"/>
        <v>30.340185</v>
      </c>
      <c r="T867" s="161"/>
      <c r="U867" s="69"/>
      <c r="V867" s="169" t="s">
        <v>8881</v>
      </c>
      <c r="W867" s="71" t="s">
        <v>811</v>
      </c>
      <c r="X867" s="72" t="s">
        <v>75</v>
      </c>
      <c r="Y867" s="73"/>
      <c r="Z867" s="73"/>
      <c r="AA867" s="73"/>
      <c r="AB867" s="73"/>
      <c r="AC867" s="73"/>
      <c r="AD867" s="73"/>
      <c r="AE867" s="73"/>
      <c r="AF867" s="73"/>
      <c r="AG867" s="73"/>
      <c r="AH867" s="73"/>
      <c r="AI867" s="73"/>
      <c r="AJ867" s="75"/>
      <c r="AK867" s="76" t="s">
        <v>2108</v>
      </c>
      <c r="AL867" s="83" t="s">
        <v>8882</v>
      </c>
      <c r="AM867" s="71" t="s">
        <v>8883</v>
      </c>
      <c r="AN867" s="84" t="s">
        <v>8884</v>
      </c>
      <c r="AO867" s="71" t="s">
        <v>8885</v>
      </c>
      <c r="AP867" s="161" t="str">
        <f>IMAGE("https://bellingcat-archive.nyc3.cdn.digitaloceanspaces.com/Ukraine_Witness_Datasheet/Worksheet/twitter__media_FMmaV-LXMAUJeGv.jpg")</f>
        <v/>
      </c>
      <c r="AQ867" s="161"/>
      <c r="AR867" s="161"/>
      <c r="AS867" s="71" t="s">
        <v>8886</v>
      </c>
      <c r="AT867" s="161"/>
      <c r="AU867" s="89"/>
      <c r="AV867" s="162"/>
      <c r="AW867" s="81"/>
    </row>
    <row r="868" ht="15.75" customHeight="1">
      <c r="A868" s="95" t="s">
        <v>7849</v>
      </c>
      <c r="B868" s="73"/>
      <c r="C868" s="57" t="s">
        <v>8024</v>
      </c>
      <c r="D868" s="74">
        <v>50.905833</v>
      </c>
      <c r="E868" s="74">
        <v>34.818458</v>
      </c>
      <c r="F868" s="79">
        <v>4.0</v>
      </c>
      <c r="G868" s="84" t="s">
        <v>8887</v>
      </c>
      <c r="H868" s="73"/>
      <c r="I868" s="75"/>
      <c r="J868" s="64" t="s">
        <v>8888</v>
      </c>
      <c r="K868" s="88" t="s">
        <v>8889</v>
      </c>
      <c r="L868" s="65" t="s">
        <v>3542</v>
      </c>
      <c r="M868" s="92" t="s">
        <v>5978</v>
      </c>
      <c r="N868" s="92" t="s">
        <v>8890</v>
      </c>
      <c r="O868" s="92" t="s">
        <v>5979</v>
      </c>
      <c r="P868" s="67" t="str">
        <f t="shared" si="1"/>
        <v>50.905833, 34.818458</v>
      </c>
      <c r="Q868" s="67" t="str">
        <f t="shared" si="2"/>
        <v>50.905387, 34.818532</v>
      </c>
      <c r="R868" s="67">
        <f t="shared" si="3"/>
        <v>50.905387</v>
      </c>
      <c r="S868" s="67">
        <f t="shared" si="4"/>
        <v>34.818532</v>
      </c>
      <c r="T868" s="161"/>
      <c r="U868" s="69"/>
      <c r="V868" s="169" t="s">
        <v>8891</v>
      </c>
      <c r="W868" s="71" t="s">
        <v>5858</v>
      </c>
      <c r="X868" s="72" t="s">
        <v>75</v>
      </c>
      <c r="Y868" s="73"/>
      <c r="Z868" s="73"/>
      <c r="AA868" s="73"/>
      <c r="AB868" s="73"/>
      <c r="AC868" s="73"/>
      <c r="AD868" s="73"/>
      <c r="AE868" s="73"/>
      <c r="AF868" s="73"/>
      <c r="AG868" s="73"/>
      <c r="AH868" s="73"/>
      <c r="AI868" s="73"/>
      <c r="AJ868" s="75"/>
      <c r="AK868" s="76" t="s">
        <v>930</v>
      </c>
      <c r="AL868" s="83" t="s">
        <v>8892</v>
      </c>
      <c r="AM868" s="71" t="s">
        <v>8893</v>
      </c>
      <c r="AN868" s="84" t="s">
        <v>8894</v>
      </c>
      <c r="AO868" s="71" t="s">
        <v>8895</v>
      </c>
      <c r="AP868" s="161" t="str">
        <f>IMAGE("https://bellingcat-archive.nyc3.cdn.digitaloceanspaces.com/Ukraine_Witness_Datasheet/Worksheet/youtube_dl_1497947154106576898/out2.jpg")</f>
        <v/>
      </c>
      <c r="AQ868" s="84" t="s">
        <v>8896</v>
      </c>
      <c r="AR868" s="71" t="s">
        <v>8897</v>
      </c>
      <c r="AS868" s="71" t="s">
        <v>8898</v>
      </c>
      <c r="AT868" s="71">
        <v>11.6</v>
      </c>
      <c r="AU868" s="89"/>
      <c r="AV868" s="80" t="s">
        <v>63</v>
      </c>
      <c r="AW868" s="81"/>
    </row>
    <row r="869" ht="15.75" customHeight="1">
      <c r="A869" s="95" t="s">
        <v>8899</v>
      </c>
      <c r="B869" s="73"/>
      <c r="C869" s="57" t="s">
        <v>8024</v>
      </c>
      <c r="D869" s="104">
        <v>50.274933</v>
      </c>
      <c r="E869" s="104">
        <v>28.715306</v>
      </c>
      <c r="F869" s="79">
        <v>2.0</v>
      </c>
      <c r="G869" s="130" t="s">
        <v>8900</v>
      </c>
      <c r="H869" s="73"/>
      <c r="I869" s="75"/>
      <c r="J869" s="64" t="s">
        <v>8901</v>
      </c>
      <c r="K869" s="131" t="s">
        <v>8902</v>
      </c>
      <c r="L869" s="65" t="s">
        <v>3542</v>
      </c>
      <c r="M869" s="111"/>
      <c r="N869" s="111"/>
      <c r="O869" s="92" t="s">
        <v>8903</v>
      </c>
      <c r="P869" s="67" t="str">
        <f t="shared" si="1"/>
        <v>50.274933, 28.715306</v>
      </c>
      <c r="Q869" s="67" t="str">
        <f t="shared" si="2"/>
        <v>50.274257, 28.715102</v>
      </c>
      <c r="R869" s="67">
        <f t="shared" si="3"/>
        <v>50.274257</v>
      </c>
      <c r="S869" s="67">
        <f t="shared" si="4"/>
        <v>28.715102</v>
      </c>
      <c r="T869" s="161"/>
      <c r="U869" s="69"/>
      <c r="V869" s="169" t="s">
        <v>8904</v>
      </c>
      <c r="W869" s="71" t="s">
        <v>5904</v>
      </c>
      <c r="X869" s="72" t="s">
        <v>2982</v>
      </c>
      <c r="Y869" s="73"/>
      <c r="Z869" s="73"/>
      <c r="AA869" s="73"/>
      <c r="AB869" s="73"/>
      <c r="AC869" s="73"/>
      <c r="AD869" s="73"/>
      <c r="AE869" s="73"/>
      <c r="AF869" s="73"/>
      <c r="AG869" s="73"/>
      <c r="AH869" s="73"/>
      <c r="AI869" s="73"/>
      <c r="AJ869" s="75"/>
      <c r="AK869" s="76" t="s">
        <v>798</v>
      </c>
      <c r="AL869" s="83" t="s">
        <v>8905</v>
      </c>
      <c r="AM869" s="71" t="s">
        <v>8906</v>
      </c>
      <c r="AN869" s="84" t="s">
        <v>8907</v>
      </c>
      <c r="AO869" s="71" t="s">
        <v>8908</v>
      </c>
      <c r="AP869" s="161" t="str">
        <f>IMAGE("https://bellingcat-archive.nyc3.cdn.digitaloceanspaces.com/Ukraine_Witness_Datasheet/Worksheet/youtube_dl_1497971672028221448/out2.jpg")</f>
        <v/>
      </c>
      <c r="AQ869" s="84" t="s">
        <v>8909</v>
      </c>
      <c r="AR869" s="71" t="s">
        <v>8910</v>
      </c>
      <c r="AS869" s="71" t="s">
        <v>8911</v>
      </c>
      <c r="AT869" s="71">
        <v>18.433</v>
      </c>
      <c r="AU869" s="89"/>
      <c r="AV869" s="80" t="s">
        <v>63</v>
      </c>
      <c r="AW869" s="81"/>
    </row>
    <row r="870" ht="15.75" customHeight="1">
      <c r="A870" s="95" t="s">
        <v>7849</v>
      </c>
      <c r="B870" s="73"/>
      <c r="C870" s="57" t="s">
        <v>8024</v>
      </c>
      <c r="D870" s="74">
        <v>51.38722</v>
      </c>
      <c r="E870" s="74">
        <v>30.077048</v>
      </c>
      <c r="F870" s="79">
        <v>1.0</v>
      </c>
      <c r="G870" s="84" t="s">
        <v>8912</v>
      </c>
      <c r="H870" s="73"/>
      <c r="I870" s="75"/>
      <c r="J870" s="64" t="s">
        <v>8913</v>
      </c>
      <c r="K870" s="88" t="s">
        <v>8914</v>
      </c>
      <c r="L870" s="65" t="s">
        <v>3542</v>
      </c>
      <c r="M870" s="92" t="s">
        <v>5827</v>
      </c>
      <c r="N870" s="92" t="s">
        <v>8915</v>
      </c>
      <c r="O870" s="111"/>
      <c r="P870" s="67" t="str">
        <f t="shared" si="1"/>
        <v>51.38722, 30.077048</v>
      </c>
      <c r="Q870" s="67" t="str">
        <f t="shared" si="2"/>
        <v>51.386621, 30.077175</v>
      </c>
      <c r="R870" s="67">
        <f t="shared" si="3"/>
        <v>51.386621</v>
      </c>
      <c r="S870" s="67">
        <f t="shared" si="4"/>
        <v>30.077175</v>
      </c>
      <c r="T870" s="161"/>
      <c r="U870" s="69"/>
      <c r="V870" s="169" t="s">
        <v>8916</v>
      </c>
      <c r="W870" s="71" t="s">
        <v>5858</v>
      </c>
      <c r="X870" s="72" t="s">
        <v>75</v>
      </c>
      <c r="Y870" s="73"/>
      <c r="Z870" s="73"/>
      <c r="AA870" s="73"/>
      <c r="AB870" s="73"/>
      <c r="AC870" s="73"/>
      <c r="AD870" s="73"/>
      <c r="AE870" s="73"/>
      <c r="AF870" s="73"/>
      <c r="AG870" s="73"/>
      <c r="AH870" s="73"/>
      <c r="AI870" s="73"/>
      <c r="AJ870" s="75"/>
      <c r="AK870" s="76" t="s">
        <v>930</v>
      </c>
      <c r="AL870" s="83" t="s">
        <v>8917</v>
      </c>
      <c r="AM870" s="71" t="s">
        <v>8918</v>
      </c>
      <c r="AN870" s="84" t="s">
        <v>8919</v>
      </c>
      <c r="AO870" s="71" t="s">
        <v>8920</v>
      </c>
      <c r="AP870" s="161" t="str">
        <f>IMAGE("https://bellingcat-archive.nyc3.cdn.digitaloceanspaces.com/Ukraine_Witness_Datasheet/Worksheet/youtube_dl_1497987472185249794/out2.jpg")</f>
        <v/>
      </c>
      <c r="AQ870" s="84" t="s">
        <v>8921</v>
      </c>
      <c r="AR870" s="71" t="s">
        <v>8922</v>
      </c>
      <c r="AS870" s="71" t="s">
        <v>8923</v>
      </c>
      <c r="AT870" s="71">
        <v>40.913</v>
      </c>
      <c r="AU870" s="89"/>
      <c r="AV870" s="80" t="s">
        <v>63</v>
      </c>
      <c r="AW870" s="81"/>
    </row>
    <row r="871" ht="15.75" customHeight="1">
      <c r="A871" s="95" t="s">
        <v>8899</v>
      </c>
      <c r="B871" s="73"/>
      <c r="C871" s="57" t="s">
        <v>8024</v>
      </c>
      <c r="D871" s="104">
        <v>46.751345</v>
      </c>
      <c r="E871" s="104">
        <v>36.790809</v>
      </c>
      <c r="F871" s="79">
        <v>1.0</v>
      </c>
      <c r="G871" s="130" t="s">
        <v>8924</v>
      </c>
      <c r="H871" s="73"/>
      <c r="I871" s="75"/>
      <c r="J871" s="64" t="s">
        <v>8925</v>
      </c>
      <c r="K871" s="69"/>
      <c r="L871" s="65" t="s">
        <v>3542</v>
      </c>
      <c r="M871" s="111"/>
      <c r="N871" s="92" t="s">
        <v>6167</v>
      </c>
      <c r="O871" s="92" t="s">
        <v>8926</v>
      </c>
      <c r="P871" s="67" t="str">
        <f t="shared" si="1"/>
        <v>46.751345, 36.790809</v>
      </c>
      <c r="Q871" s="67" t="str">
        <f t="shared" si="2"/>
        <v>46.750986, 36.790936</v>
      </c>
      <c r="R871" s="67">
        <f t="shared" si="3"/>
        <v>46.750986</v>
      </c>
      <c r="S871" s="67">
        <f t="shared" si="4"/>
        <v>36.790936</v>
      </c>
      <c r="T871" s="161"/>
      <c r="U871" s="69"/>
      <c r="V871" s="169" t="s">
        <v>8927</v>
      </c>
      <c r="W871" s="71" t="s">
        <v>5858</v>
      </c>
      <c r="X871" s="72" t="s">
        <v>75</v>
      </c>
      <c r="Y871" s="73"/>
      <c r="Z871" s="73"/>
      <c r="AA871" s="73"/>
      <c r="AB871" s="73"/>
      <c r="AC871" s="73"/>
      <c r="AD871" s="73"/>
      <c r="AE871" s="73"/>
      <c r="AF871" s="73"/>
      <c r="AG871" s="73"/>
      <c r="AH871" s="73"/>
      <c r="AI871" s="73"/>
      <c r="AJ871" s="75"/>
      <c r="AK871" s="76" t="s">
        <v>930</v>
      </c>
      <c r="AL871" s="83" t="s">
        <v>8928</v>
      </c>
      <c r="AM871" s="71" t="s">
        <v>8929</v>
      </c>
      <c r="AN871" s="84" t="s">
        <v>8930</v>
      </c>
      <c r="AO871" s="71" t="s">
        <v>8931</v>
      </c>
      <c r="AP871" s="161" t="str">
        <f>IMAGE("https://bellingcat-archive.nyc3.cdn.digitaloceanspaces.com/Ukraine_Witness_Datasheet/Worksheet/youtube_dl_1497987407630774279/out2.jpg")</f>
        <v/>
      </c>
      <c r="AQ871" s="84" t="s">
        <v>8932</v>
      </c>
      <c r="AR871" s="71" t="s">
        <v>8933</v>
      </c>
      <c r="AS871" s="71" t="s">
        <v>8934</v>
      </c>
      <c r="AT871" s="71">
        <v>20.366</v>
      </c>
      <c r="AU871" s="89"/>
      <c r="AV871" s="80" t="s">
        <v>63</v>
      </c>
      <c r="AW871" s="81"/>
    </row>
    <row r="872" ht="15.75" customHeight="1">
      <c r="A872" s="95" t="s">
        <v>8899</v>
      </c>
      <c r="B872" s="73"/>
      <c r="C872" s="57" t="s">
        <v>8024</v>
      </c>
      <c r="D872" s="74">
        <v>48.736203</v>
      </c>
      <c r="E872" s="104">
        <v>39.242783</v>
      </c>
      <c r="F872" s="79">
        <v>1.0</v>
      </c>
      <c r="G872" s="60" t="s">
        <v>8935</v>
      </c>
      <c r="H872" s="73"/>
      <c r="I872" s="75"/>
      <c r="J872" s="64" t="s">
        <v>8936</v>
      </c>
      <c r="K872" s="69"/>
      <c r="L872" s="65" t="s">
        <v>3542</v>
      </c>
      <c r="M872" s="92" t="s">
        <v>5524</v>
      </c>
      <c r="N872" s="111"/>
      <c r="O872" s="92" t="s">
        <v>8937</v>
      </c>
      <c r="P872" s="67" t="str">
        <f t="shared" si="1"/>
        <v>48.736203, 39.242783</v>
      </c>
      <c r="Q872" s="67" t="str">
        <f t="shared" si="2"/>
        <v>48.735759, 39.242059</v>
      </c>
      <c r="R872" s="67">
        <f t="shared" si="3"/>
        <v>48.735759</v>
      </c>
      <c r="S872" s="67">
        <f t="shared" si="4"/>
        <v>39.242059</v>
      </c>
      <c r="T872" s="161"/>
      <c r="U872" s="69"/>
      <c r="V872" s="169" t="s">
        <v>8938</v>
      </c>
      <c r="W872" s="71" t="s">
        <v>3601</v>
      </c>
      <c r="X872" s="72" t="s">
        <v>75</v>
      </c>
      <c r="Y872" s="73"/>
      <c r="Z872" s="73"/>
      <c r="AA872" s="73"/>
      <c r="AB872" s="73"/>
      <c r="AC872" s="73"/>
      <c r="AD872" s="73"/>
      <c r="AE872" s="73"/>
      <c r="AF872" s="73"/>
      <c r="AG872" s="73"/>
      <c r="AH872" s="73"/>
      <c r="AI872" s="73"/>
      <c r="AJ872" s="75"/>
      <c r="AK872" s="76" t="s">
        <v>798</v>
      </c>
      <c r="AL872" s="83" t="s">
        <v>8939</v>
      </c>
      <c r="AM872" s="71" t="s">
        <v>8940</v>
      </c>
      <c r="AN872" s="84" t="s">
        <v>8941</v>
      </c>
      <c r="AO872" s="71" t="s">
        <v>8942</v>
      </c>
      <c r="AP872" s="161" t="str">
        <f>IMAGE("https://bellingcat-archive.nyc3.cdn.digitaloceanspaces.com/Ukraine_Witness_Datasheet/Worksheet/youtube_dl_1497994069993308164/out2.jpg")</f>
        <v/>
      </c>
      <c r="AQ872" s="84" t="s">
        <v>8943</v>
      </c>
      <c r="AR872" s="71" t="s">
        <v>8944</v>
      </c>
      <c r="AS872" s="71" t="s">
        <v>8945</v>
      </c>
      <c r="AT872" s="71">
        <v>29.568</v>
      </c>
      <c r="AU872" s="89"/>
      <c r="AV872" s="80" t="s">
        <v>63</v>
      </c>
      <c r="AW872" s="81"/>
    </row>
    <row r="873" ht="15.75" customHeight="1">
      <c r="A873" s="95" t="s">
        <v>8899</v>
      </c>
      <c r="B873" s="73"/>
      <c r="C873" s="57" t="s">
        <v>8024</v>
      </c>
      <c r="D873" s="92">
        <v>51.490509</v>
      </c>
      <c r="E873" s="92">
        <v>31.294343</v>
      </c>
      <c r="F873" s="79">
        <v>2.0</v>
      </c>
      <c r="G873" s="60" t="s">
        <v>8946</v>
      </c>
      <c r="H873" s="73"/>
      <c r="I873" s="215" t="s">
        <v>8947</v>
      </c>
      <c r="J873" s="64" t="s">
        <v>8948</v>
      </c>
      <c r="K873" s="69"/>
      <c r="L873" s="65" t="s">
        <v>3542</v>
      </c>
      <c r="M873" s="92" t="s">
        <v>5880</v>
      </c>
      <c r="N873" s="111"/>
      <c r="O873" s="92" t="s">
        <v>8524</v>
      </c>
      <c r="P873" s="67" t="str">
        <f t="shared" si="1"/>
        <v>51.490509, 31.294343</v>
      </c>
      <c r="Q873" s="67" t="str">
        <f t="shared" si="2"/>
        <v>51.490058, 31.293655</v>
      </c>
      <c r="R873" s="67">
        <f t="shared" si="3"/>
        <v>51.490058</v>
      </c>
      <c r="S873" s="67">
        <f t="shared" si="4"/>
        <v>31.293655</v>
      </c>
      <c r="T873" s="161"/>
      <c r="U873" s="69"/>
      <c r="V873" s="169" t="s">
        <v>8949</v>
      </c>
      <c r="W873" s="71" t="s">
        <v>3601</v>
      </c>
      <c r="X873" s="72" t="s">
        <v>75</v>
      </c>
      <c r="Y873" s="216" t="s">
        <v>5820</v>
      </c>
      <c r="Z873" s="73"/>
      <c r="AA873" s="73"/>
      <c r="AB873" s="73"/>
      <c r="AC873" s="73"/>
      <c r="AD873" s="73"/>
      <c r="AE873" s="73"/>
      <c r="AF873" s="73"/>
      <c r="AG873" s="73"/>
      <c r="AH873" s="73"/>
      <c r="AI873" s="73"/>
      <c r="AJ873" s="75"/>
      <c r="AK873" s="76" t="s">
        <v>798</v>
      </c>
      <c r="AL873" s="83" t="s">
        <v>8950</v>
      </c>
      <c r="AM873" s="71" t="s">
        <v>8951</v>
      </c>
      <c r="AN873" s="84" t="s">
        <v>8952</v>
      </c>
      <c r="AO873" s="71" t="s">
        <v>8953</v>
      </c>
      <c r="AP873" s="161" t="str">
        <f>IMAGE("https://bellingcat-archive.nyc3.cdn.digitaloceanspaces.com/Ukraine_Witness_Datasheet/Worksheet/youtube_dl_1497923113593585672/out2.jpg")</f>
        <v/>
      </c>
      <c r="AQ873" s="84" t="s">
        <v>8954</v>
      </c>
      <c r="AR873" s="71" t="s">
        <v>8955</v>
      </c>
      <c r="AS873" s="71" t="s">
        <v>8956</v>
      </c>
      <c r="AT873" s="71">
        <v>14.412</v>
      </c>
      <c r="AU873" s="89"/>
      <c r="AV873" s="80" t="s">
        <v>63</v>
      </c>
      <c r="AW873" s="81"/>
    </row>
    <row r="874" ht="15.75" customHeight="1">
      <c r="A874" s="95" t="s">
        <v>8899</v>
      </c>
      <c r="B874" s="73"/>
      <c r="C874" s="57" t="s">
        <v>8024</v>
      </c>
      <c r="D874" s="92">
        <v>51.491066</v>
      </c>
      <c r="E874" s="92">
        <v>31.297148</v>
      </c>
      <c r="F874" s="79">
        <v>2.0</v>
      </c>
      <c r="G874" s="60" t="s">
        <v>8957</v>
      </c>
      <c r="H874" s="73"/>
      <c r="I874" s="75"/>
      <c r="J874" s="64" t="s">
        <v>8958</v>
      </c>
      <c r="K874" s="69"/>
      <c r="L874" s="65" t="s">
        <v>3542</v>
      </c>
      <c r="M874" s="92" t="s">
        <v>5880</v>
      </c>
      <c r="N874" s="111"/>
      <c r="O874" s="92" t="s">
        <v>8524</v>
      </c>
      <c r="P874" s="67" t="str">
        <f t="shared" si="1"/>
        <v>51.491066, 31.297148</v>
      </c>
      <c r="Q874" s="67" t="str">
        <f t="shared" si="2"/>
        <v>51.490639, 31.296732</v>
      </c>
      <c r="R874" s="67">
        <f t="shared" si="3"/>
        <v>51.490639</v>
      </c>
      <c r="S874" s="67">
        <f t="shared" si="4"/>
        <v>31.296732</v>
      </c>
      <c r="T874" s="161"/>
      <c r="U874" s="69"/>
      <c r="V874" s="169" t="s">
        <v>8959</v>
      </c>
      <c r="W874" s="71" t="s">
        <v>3601</v>
      </c>
      <c r="X874" s="72" t="s">
        <v>75</v>
      </c>
      <c r="Y874" s="73"/>
      <c r="Z874" s="73"/>
      <c r="AA874" s="73"/>
      <c r="AB874" s="73"/>
      <c r="AC874" s="73"/>
      <c r="AD874" s="73"/>
      <c r="AE874" s="73"/>
      <c r="AF874" s="73"/>
      <c r="AG874" s="73"/>
      <c r="AH874" s="73"/>
      <c r="AI874" s="73"/>
      <c r="AJ874" s="75"/>
      <c r="AK874" s="76" t="s">
        <v>798</v>
      </c>
      <c r="AL874" s="83" t="s">
        <v>8960</v>
      </c>
      <c r="AM874" s="71" t="s">
        <v>8961</v>
      </c>
      <c r="AN874" s="84" t="s">
        <v>8962</v>
      </c>
      <c r="AO874" s="71" t="s">
        <v>8963</v>
      </c>
      <c r="AP874" s="161" t="str">
        <f>IMAGE("https://bellingcat-archive.nyc3.cdn.digitaloceanspaces.com/Ukraine_Witness_Datasheet/Worksheet/youtube_dl_1497971946235088899/out2.jpg")</f>
        <v/>
      </c>
      <c r="AQ874" s="84" t="s">
        <v>8964</v>
      </c>
      <c r="AR874" s="71" t="s">
        <v>8965</v>
      </c>
      <c r="AS874" s="71" t="s">
        <v>8966</v>
      </c>
      <c r="AT874" s="71">
        <v>14.628</v>
      </c>
      <c r="AU874" s="89"/>
      <c r="AV874" s="80" t="s">
        <v>63</v>
      </c>
      <c r="AW874" s="81"/>
    </row>
    <row r="875" ht="15.75" customHeight="1">
      <c r="A875" s="259" t="s">
        <v>6924</v>
      </c>
      <c r="B875" s="73"/>
      <c r="C875" s="57" t="s">
        <v>8024</v>
      </c>
      <c r="D875" s="339"/>
      <c r="E875" s="339"/>
      <c r="F875" s="89"/>
      <c r="G875" s="340" t="s">
        <v>8967</v>
      </c>
      <c r="H875" s="73"/>
      <c r="I875" s="62" t="s">
        <v>8968</v>
      </c>
      <c r="J875" s="64" t="s">
        <v>8969</v>
      </c>
      <c r="K875" s="69"/>
      <c r="L875" s="65" t="s">
        <v>3542</v>
      </c>
      <c r="M875" s="92" t="s">
        <v>7098</v>
      </c>
      <c r="N875" s="111"/>
      <c r="O875" s="92" t="s">
        <v>8970</v>
      </c>
      <c r="P875" s="67" t="str">
        <f t="shared" si="1"/>
        <v/>
      </c>
      <c r="Q875" s="67" t="str">
        <f t="shared" si="2"/>
        <v/>
      </c>
      <c r="R875" s="67" t="str">
        <f t="shared" si="3"/>
        <v/>
      </c>
      <c r="S875" s="67" t="str">
        <f t="shared" si="4"/>
        <v/>
      </c>
      <c r="T875" s="161"/>
      <c r="U875" s="69"/>
      <c r="V875" s="169" t="s">
        <v>8971</v>
      </c>
      <c r="W875" s="161"/>
      <c r="X875" s="194"/>
      <c r="Y875" s="216" t="s">
        <v>75</v>
      </c>
      <c r="Z875" s="73"/>
      <c r="AA875" s="73"/>
      <c r="AB875" s="73"/>
      <c r="AC875" s="73"/>
      <c r="AD875" s="73"/>
      <c r="AE875" s="73"/>
      <c r="AF875" s="73"/>
      <c r="AG875" s="73"/>
      <c r="AH875" s="73"/>
      <c r="AI875" s="73"/>
      <c r="AJ875" s="75"/>
      <c r="AK875" s="76" t="s">
        <v>2108</v>
      </c>
      <c r="AL875" s="83" t="s">
        <v>8972</v>
      </c>
      <c r="AM875" s="71" t="s">
        <v>8973</v>
      </c>
      <c r="AN875" s="84" t="s">
        <v>8974</v>
      </c>
      <c r="AO875" s="71" t="s">
        <v>8975</v>
      </c>
      <c r="AP875" s="161" t="str">
        <f>IMAGE("https://bellingcat-archive.nyc3.cdn.digitaloceanspaces.com/Ukraine_Witness_Datasheet/Worksheet/twitter__media_FMoDFFvX0Aoo_1G.jpg")</f>
        <v/>
      </c>
      <c r="AQ875" s="161"/>
      <c r="AR875" s="161"/>
      <c r="AS875" s="71" t="s">
        <v>8976</v>
      </c>
      <c r="AT875" s="161"/>
      <c r="AU875" s="89"/>
      <c r="AV875" s="162"/>
      <c r="AW875" s="81"/>
    </row>
    <row r="876" ht="15.75" customHeight="1">
      <c r="A876" s="95" t="s">
        <v>88</v>
      </c>
      <c r="B876" s="73"/>
      <c r="C876" s="338" t="s">
        <v>8024</v>
      </c>
      <c r="D876" s="92">
        <v>51.018381</v>
      </c>
      <c r="E876" s="92">
        <v>30.029615</v>
      </c>
      <c r="F876" s="79">
        <v>1.0</v>
      </c>
      <c r="G876" s="317" t="s">
        <v>8977</v>
      </c>
      <c r="H876" s="73"/>
      <c r="I876" s="75"/>
      <c r="J876" s="64" t="s">
        <v>8913</v>
      </c>
      <c r="K876" s="88" t="s">
        <v>8978</v>
      </c>
      <c r="L876" s="65" t="s">
        <v>3542</v>
      </c>
      <c r="M876" s="92" t="s">
        <v>5827</v>
      </c>
      <c r="N876" s="111"/>
      <c r="O876" s="92" t="s">
        <v>8979</v>
      </c>
      <c r="P876" s="67" t="str">
        <f t="shared" si="1"/>
        <v>51.018381, 30.029615</v>
      </c>
      <c r="Q876" s="67" t="str">
        <f t="shared" si="2"/>
        <v>51.01779, 30.02953</v>
      </c>
      <c r="R876" s="67">
        <f t="shared" si="3"/>
        <v>51.01779</v>
      </c>
      <c r="S876" s="67">
        <f t="shared" si="4"/>
        <v>30.02953</v>
      </c>
      <c r="T876" s="161"/>
      <c r="U876" s="69"/>
      <c r="V876" s="169" t="s">
        <v>8980</v>
      </c>
      <c r="W876" s="71" t="s">
        <v>7844</v>
      </c>
      <c r="X876" s="72" t="s">
        <v>2982</v>
      </c>
      <c r="Y876" s="73"/>
      <c r="Z876" s="73"/>
      <c r="AA876" s="73"/>
      <c r="AB876" s="73"/>
      <c r="AC876" s="73"/>
      <c r="AD876" s="73"/>
      <c r="AE876" s="73"/>
      <c r="AF876" s="73"/>
      <c r="AG876" s="73"/>
      <c r="AH876" s="73"/>
      <c r="AI876" s="73"/>
      <c r="AJ876" s="75"/>
      <c r="AK876" s="76" t="s">
        <v>2108</v>
      </c>
      <c r="AL876" s="83" t="s">
        <v>8981</v>
      </c>
      <c r="AM876" s="71" t="s">
        <v>8982</v>
      </c>
      <c r="AN876" s="84" t="s">
        <v>8983</v>
      </c>
      <c r="AO876" s="71" t="s">
        <v>8984</v>
      </c>
      <c r="AP876" s="161" t="str">
        <f>IMAGE("https://bellingcat-archive.nyc3.cdn.digitaloceanspaces.com/Ukraine_Witness_Datasheet/Worksheet/twitter__media_FMoImTBXEAs8eg-.jpg")</f>
        <v/>
      </c>
      <c r="AQ876" s="161"/>
      <c r="AR876" s="161"/>
      <c r="AS876" s="71" t="s">
        <v>8985</v>
      </c>
      <c r="AT876" s="161"/>
      <c r="AU876" s="89"/>
      <c r="AV876" s="80" t="s">
        <v>63</v>
      </c>
      <c r="AW876" s="81"/>
    </row>
    <row r="877" ht="15.75" customHeight="1">
      <c r="A877" s="249" t="s">
        <v>8986</v>
      </c>
      <c r="B877" s="73"/>
      <c r="C877" s="57" t="s">
        <v>8024</v>
      </c>
      <c r="D877" s="341">
        <v>51.491117</v>
      </c>
      <c r="E877" s="341">
        <v>31.29667</v>
      </c>
      <c r="F877" s="89"/>
      <c r="G877" s="342" t="s">
        <v>8987</v>
      </c>
      <c r="H877" s="73"/>
      <c r="I877" s="62" t="s">
        <v>8988</v>
      </c>
      <c r="J877" s="64" t="s">
        <v>8989</v>
      </c>
      <c r="K877" s="69"/>
      <c r="L877" s="65" t="s">
        <v>3542</v>
      </c>
      <c r="M877" s="92" t="s">
        <v>5880</v>
      </c>
      <c r="N877" s="111"/>
      <c r="O877" s="92" t="s">
        <v>6466</v>
      </c>
      <c r="P877" s="67" t="str">
        <f t="shared" si="1"/>
        <v>51.491117, 31.29667</v>
      </c>
      <c r="Q877" s="67" t="str">
        <f t="shared" si="2"/>
        <v>51.491054, 31.297679</v>
      </c>
      <c r="R877" s="67">
        <f t="shared" si="3"/>
        <v>51.491054</v>
      </c>
      <c r="S877" s="67">
        <f t="shared" si="4"/>
        <v>31.297679</v>
      </c>
      <c r="T877" s="343"/>
      <c r="U877" s="69"/>
      <c r="V877" s="169" t="s">
        <v>8990</v>
      </c>
      <c r="W877" s="161"/>
      <c r="X877" s="17" t="s">
        <v>9</v>
      </c>
      <c r="Y877" s="216" t="s">
        <v>5820</v>
      </c>
      <c r="Z877" s="73"/>
      <c r="AA877" s="73"/>
      <c r="AB877" s="73"/>
      <c r="AC877" s="73"/>
      <c r="AD877" s="73"/>
      <c r="AE877" s="73"/>
      <c r="AF877" s="73"/>
      <c r="AG877" s="73"/>
      <c r="AH877" s="73"/>
      <c r="AI877" s="73"/>
      <c r="AJ877" s="75"/>
      <c r="AK877" s="76" t="s">
        <v>930</v>
      </c>
      <c r="AL877" s="83" t="s">
        <v>8960</v>
      </c>
      <c r="AM877" s="71" t="s">
        <v>8991</v>
      </c>
      <c r="AN877" s="84" t="s">
        <v>8992</v>
      </c>
      <c r="AO877" s="71" t="s">
        <v>8963</v>
      </c>
      <c r="AP877" s="161" t="str">
        <f>IMAGE("https://bellingcat-archive.nyc3.cdn.digitaloceanspaces.com/Ukraine_Witness_Datasheet/Worksheet/youtube_dl_1497971946235088899/out2.jpg")</f>
        <v/>
      </c>
      <c r="AQ877" s="84" t="s">
        <v>8964</v>
      </c>
      <c r="AR877" s="71" t="s">
        <v>8965</v>
      </c>
      <c r="AS877" s="71" t="s">
        <v>8966</v>
      </c>
      <c r="AT877" s="71">
        <v>14.628</v>
      </c>
      <c r="AU877" s="89"/>
      <c r="AV877" s="162"/>
      <c r="AW877" s="81"/>
    </row>
    <row r="878" ht="15.75" customHeight="1">
      <c r="A878" s="301" t="s">
        <v>3944</v>
      </c>
      <c r="B878" s="73"/>
      <c r="C878" s="338" t="s">
        <v>8024</v>
      </c>
      <c r="D878" s="92">
        <v>48.7421</v>
      </c>
      <c r="E878" s="92">
        <v>30.1018</v>
      </c>
      <c r="F878" s="89"/>
      <c r="G878" s="344" t="s">
        <v>8993</v>
      </c>
      <c r="H878" s="73"/>
      <c r="I878" s="75"/>
      <c r="J878" s="345" t="s">
        <v>8994</v>
      </c>
      <c r="K878" s="88" t="s">
        <v>8995</v>
      </c>
      <c r="L878" s="65" t="s">
        <v>3542</v>
      </c>
      <c r="M878" s="93" t="s">
        <v>8996</v>
      </c>
      <c r="N878" s="314"/>
      <c r="O878" s="314"/>
      <c r="P878" s="67" t="str">
        <f t="shared" si="1"/>
        <v>48.7421, 30.1018</v>
      </c>
      <c r="Q878" s="67" t="str">
        <f t="shared" si="2"/>
        <v>48.741771, 30.101573</v>
      </c>
      <c r="R878" s="67">
        <f t="shared" si="3"/>
        <v>48.741771</v>
      </c>
      <c r="S878" s="67">
        <f t="shared" si="4"/>
        <v>30.101573</v>
      </c>
      <c r="T878" s="161"/>
      <c r="U878" s="69"/>
      <c r="V878" s="169" t="s">
        <v>8997</v>
      </c>
      <c r="W878" s="71" t="s">
        <v>5726</v>
      </c>
      <c r="X878" s="208"/>
      <c r="Y878" s="73"/>
      <c r="Z878" s="73"/>
      <c r="AA878" s="73"/>
      <c r="AB878" s="73"/>
      <c r="AC878" s="73"/>
      <c r="AD878" s="73"/>
      <c r="AE878" s="73"/>
      <c r="AF878" s="73"/>
      <c r="AG878" s="73"/>
      <c r="AH878" s="73"/>
      <c r="AI878" s="73"/>
      <c r="AJ878" s="75"/>
      <c r="AK878" s="76" t="s">
        <v>798</v>
      </c>
      <c r="AL878" s="83" t="s">
        <v>8998</v>
      </c>
      <c r="AM878" s="71" t="s">
        <v>8999</v>
      </c>
      <c r="AN878" s="84" t="s">
        <v>9000</v>
      </c>
      <c r="AO878" s="71" t="s">
        <v>9001</v>
      </c>
      <c r="AP878" s="161" t="str">
        <f>IMAGE("https://bellingcat-archive.nyc3.cdn.digitaloceanspaces.com/Ukraine_Witness_Datasheet/Worksheet/youtube_dl_1498038593373224961/out2.jpg")</f>
        <v/>
      </c>
      <c r="AQ878" s="84" t="s">
        <v>9002</v>
      </c>
      <c r="AR878" s="71" t="s">
        <v>9003</v>
      </c>
      <c r="AS878" s="71" t="s">
        <v>9004</v>
      </c>
      <c r="AT878" s="71">
        <v>15.466</v>
      </c>
      <c r="AU878" s="89"/>
      <c r="AV878" s="162"/>
      <c r="AW878" s="81"/>
    </row>
    <row r="879" ht="15.75" customHeight="1">
      <c r="A879" s="95" t="s">
        <v>3944</v>
      </c>
      <c r="B879" s="73"/>
      <c r="C879" s="57" t="s">
        <v>8024</v>
      </c>
      <c r="D879" s="92">
        <v>52.9484419</v>
      </c>
      <c r="E879" s="92">
        <v>29.9222805</v>
      </c>
      <c r="F879" s="89"/>
      <c r="G879" s="317" t="s">
        <v>9005</v>
      </c>
      <c r="H879" s="73"/>
      <c r="I879" s="75"/>
      <c r="J879" s="64" t="s">
        <v>9006</v>
      </c>
      <c r="K879" s="88" t="s">
        <v>9007</v>
      </c>
      <c r="L879" s="65" t="s">
        <v>9008</v>
      </c>
      <c r="M879" s="314"/>
      <c r="N879" s="314"/>
      <c r="O879" s="93" t="s">
        <v>9009</v>
      </c>
      <c r="P879" s="67" t="str">
        <f t="shared" si="1"/>
        <v>52.9484419, 29.9222805</v>
      </c>
      <c r="Q879" s="67" t="str">
        <f t="shared" si="2"/>
        <v>52.947692, 29.921717</v>
      </c>
      <c r="R879" s="67">
        <f t="shared" si="3"/>
        <v>52.947692</v>
      </c>
      <c r="S879" s="67">
        <f t="shared" si="4"/>
        <v>29.921717</v>
      </c>
      <c r="T879" s="71" t="s">
        <v>9010</v>
      </c>
      <c r="U879" s="69"/>
      <c r="V879" s="169" t="s">
        <v>9011</v>
      </c>
      <c r="W879" s="71" t="s">
        <v>5858</v>
      </c>
      <c r="X879" s="72" t="s">
        <v>75</v>
      </c>
      <c r="Y879" s="73"/>
      <c r="Z879" s="73"/>
      <c r="AA879" s="73"/>
      <c r="AB879" s="73"/>
      <c r="AC879" s="73"/>
      <c r="AD879" s="73"/>
      <c r="AE879" s="73"/>
      <c r="AF879" s="73"/>
      <c r="AG879" s="73"/>
      <c r="AH879" s="73"/>
      <c r="AI879" s="73"/>
      <c r="AJ879" s="75"/>
      <c r="AK879" s="76" t="s">
        <v>798</v>
      </c>
      <c r="AL879" s="83" t="s">
        <v>9012</v>
      </c>
      <c r="AM879" s="71" t="s">
        <v>9013</v>
      </c>
      <c r="AN879" s="84" t="s">
        <v>9014</v>
      </c>
      <c r="AO879" s="71" t="s">
        <v>9015</v>
      </c>
      <c r="AP879" s="161" t="str">
        <f>IMAGE("https://bellingcat-archive.nyc3.cdn.digitaloceanspaces.com/Ukraine_Witness_Datasheet/Worksheet/youtube_dl_1497924972102230016/out3.jpg")</f>
        <v/>
      </c>
      <c r="AQ879" s="84" t="s">
        <v>9016</v>
      </c>
      <c r="AR879" s="71" t="s">
        <v>9017</v>
      </c>
      <c r="AS879" s="71" t="s">
        <v>9018</v>
      </c>
      <c r="AT879" s="71">
        <v>101.217</v>
      </c>
      <c r="AU879" s="89"/>
      <c r="AV879" s="80" t="s">
        <v>63</v>
      </c>
      <c r="AW879" s="81"/>
    </row>
    <row r="880" ht="15.75" customHeight="1">
      <c r="A880" s="87" t="s">
        <v>88</v>
      </c>
      <c r="B880" s="73"/>
      <c r="C880" s="338" t="s">
        <v>8024</v>
      </c>
      <c r="D880" s="92">
        <v>46.669722</v>
      </c>
      <c r="E880" s="92">
        <v>32.500425</v>
      </c>
      <c r="F880" s="79">
        <v>1.0</v>
      </c>
      <c r="G880" s="317" t="s">
        <v>9019</v>
      </c>
      <c r="H880" s="73"/>
      <c r="I880" s="75"/>
      <c r="J880" s="64" t="s">
        <v>9020</v>
      </c>
      <c r="K880" s="88" t="s">
        <v>9019</v>
      </c>
      <c r="L880" s="65" t="s">
        <v>3542</v>
      </c>
      <c r="M880" s="93" t="s">
        <v>9021</v>
      </c>
      <c r="N880" s="314"/>
      <c r="O880" s="92" t="s">
        <v>7098</v>
      </c>
      <c r="P880" s="67" t="str">
        <f t="shared" si="1"/>
        <v>46.669722, 32.500425</v>
      </c>
      <c r="Q880" s="67" t="str">
        <f t="shared" si="2"/>
        <v>46.669009, 32.50094</v>
      </c>
      <c r="R880" s="67">
        <f t="shared" si="3"/>
        <v>46.669009</v>
      </c>
      <c r="S880" s="67">
        <f t="shared" si="4"/>
        <v>32.50094</v>
      </c>
      <c r="T880" s="161"/>
      <c r="U880" s="69"/>
      <c r="V880" s="169" t="s">
        <v>9022</v>
      </c>
      <c r="W880" s="71" t="s">
        <v>5858</v>
      </c>
      <c r="X880" s="72" t="s">
        <v>75</v>
      </c>
      <c r="Y880" s="73"/>
      <c r="Z880" s="73"/>
      <c r="AA880" s="73"/>
      <c r="AB880" s="73"/>
      <c r="AC880" s="73"/>
      <c r="AD880" s="73"/>
      <c r="AE880" s="73"/>
      <c r="AF880" s="73"/>
      <c r="AG880" s="73"/>
      <c r="AH880" s="73"/>
      <c r="AI880" s="73"/>
      <c r="AJ880" s="75"/>
      <c r="AK880" s="76" t="s">
        <v>2108</v>
      </c>
      <c r="AL880" s="83" t="s">
        <v>9023</v>
      </c>
      <c r="AM880" s="71" t="s">
        <v>9024</v>
      </c>
      <c r="AN880" s="84" t="s">
        <v>9025</v>
      </c>
      <c r="AO880" s="71" t="s">
        <v>9026</v>
      </c>
      <c r="AP880" s="161" t="str">
        <f>IMAGE("https://bellingcat-archive.nyc3.cdn.digitaloceanspaces.com/Ukraine_Witness_Datasheet/Worksheet/twitter__media_FMl9cr-XEAExxEe.jpg")</f>
        <v/>
      </c>
      <c r="AQ880" s="161"/>
      <c r="AR880" s="161"/>
      <c r="AS880" s="71" t="s">
        <v>9027</v>
      </c>
      <c r="AT880" s="161"/>
      <c r="AU880" s="89"/>
      <c r="AV880" s="162"/>
      <c r="AW880" s="81"/>
    </row>
    <row r="881" ht="15.75" customHeight="1">
      <c r="A881" s="87" t="s">
        <v>88</v>
      </c>
      <c r="B881" s="73"/>
      <c r="C881" s="338" t="s">
        <v>9028</v>
      </c>
      <c r="D881" s="92">
        <v>52.91563</v>
      </c>
      <c r="E881" s="92">
        <v>30.03476</v>
      </c>
      <c r="F881" s="79">
        <v>1.0</v>
      </c>
      <c r="G881" s="317" t="s">
        <v>9029</v>
      </c>
      <c r="H881" s="73"/>
      <c r="I881" s="75"/>
      <c r="J881" s="64" t="s">
        <v>9030</v>
      </c>
      <c r="K881" s="88" t="s">
        <v>9031</v>
      </c>
      <c r="L881" s="65" t="s">
        <v>9008</v>
      </c>
      <c r="M881" s="314"/>
      <c r="N881" s="314"/>
      <c r="O881" s="93" t="s">
        <v>9032</v>
      </c>
      <c r="P881" s="67" t="str">
        <f t="shared" si="1"/>
        <v>52.91563, 30.03476</v>
      </c>
      <c r="Q881" s="67" t="str">
        <f t="shared" si="2"/>
        <v>52.91555, 30.03536</v>
      </c>
      <c r="R881" s="67">
        <f t="shared" si="3"/>
        <v>52.91555</v>
      </c>
      <c r="S881" s="67">
        <f t="shared" si="4"/>
        <v>30.03536</v>
      </c>
      <c r="T881" s="161"/>
      <c r="U881" s="69"/>
      <c r="V881" s="169" t="s">
        <v>9033</v>
      </c>
      <c r="W881" s="71" t="s">
        <v>5858</v>
      </c>
      <c r="X881" s="72" t="s">
        <v>75</v>
      </c>
      <c r="Y881" s="73"/>
      <c r="Z881" s="73"/>
      <c r="AA881" s="73"/>
      <c r="AB881" s="73"/>
      <c r="AC881" s="73"/>
      <c r="AD881" s="73"/>
      <c r="AE881" s="73"/>
      <c r="AF881" s="73"/>
      <c r="AG881" s="73"/>
      <c r="AH881" s="73"/>
      <c r="AI881" s="73"/>
      <c r="AJ881" s="75"/>
      <c r="AK881" s="76" t="s">
        <v>798</v>
      </c>
      <c r="AL881" s="83" t="s">
        <v>9034</v>
      </c>
      <c r="AM881" s="71" t="s">
        <v>9035</v>
      </c>
      <c r="AN881" s="84" t="s">
        <v>9036</v>
      </c>
      <c r="AO881" s="71" t="s">
        <v>9037</v>
      </c>
      <c r="AP881" s="161" t="str">
        <f>IMAGE("https://bellingcat-archive.nyc3.cdn.digitaloceanspaces.com/Ukraine_Witness_Datasheet/Worksheet/youtube_dl_1498097535142940674/out2.jpg")</f>
        <v/>
      </c>
      <c r="AQ881" s="84" t="s">
        <v>9038</v>
      </c>
      <c r="AR881" s="71" t="s">
        <v>9039</v>
      </c>
      <c r="AS881" s="71" t="s">
        <v>9040</v>
      </c>
      <c r="AT881" s="71">
        <v>13.003</v>
      </c>
      <c r="AU881" s="89"/>
      <c r="AV881" s="162"/>
      <c r="AW881" s="81"/>
    </row>
    <row r="882" ht="15.75" customHeight="1">
      <c r="A882" s="87" t="s">
        <v>8023</v>
      </c>
      <c r="B882" s="73"/>
      <c r="C882" s="57" t="s">
        <v>8024</v>
      </c>
      <c r="D882" s="92">
        <v>51.4905535</v>
      </c>
      <c r="E882" s="92">
        <v>31.294269</v>
      </c>
      <c r="F882" s="79">
        <v>3.0</v>
      </c>
      <c r="G882" s="114" t="s">
        <v>9041</v>
      </c>
      <c r="H882" s="73"/>
      <c r="I882" s="62" t="s">
        <v>8947</v>
      </c>
      <c r="J882" s="64" t="s">
        <v>9042</v>
      </c>
      <c r="K882" s="131" t="s">
        <v>9041</v>
      </c>
      <c r="L882" s="65" t="s">
        <v>3542</v>
      </c>
      <c r="M882" s="93" t="s">
        <v>5880</v>
      </c>
      <c r="N882" s="314"/>
      <c r="O882" s="346" t="s">
        <v>8524</v>
      </c>
      <c r="P882" s="67" t="str">
        <f t="shared" si="1"/>
        <v>51.4905535, 31.294269</v>
      </c>
      <c r="Q882" s="67" t="str">
        <f t="shared" si="2"/>
        <v>51.49048, 31.294823</v>
      </c>
      <c r="R882" s="67">
        <f t="shared" si="3"/>
        <v>51.49048</v>
      </c>
      <c r="S882" s="67">
        <f t="shared" si="4"/>
        <v>31.294823</v>
      </c>
      <c r="T882" s="161"/>
      <c r="U882" s="69"/>
      <c r="V882" s="169" t="s">
        <v>9043</v>
      </c>
      <c r="W882" s="71" t="s">
        <v>3601</v>
      </c>
      <c r="X882" s="72" t="s">
        <v>75</v>
      </c>
      <c r="Y882" s="73"/>
      <c r="Z882" s="73"/>
      <c r="AA882" s="73"/>
      <c r="AB882" s="73"/>
      <c r="AC882" s="73"/>
      <c r="AD882" s="73"/>
      <c r="AE882" s="73"/>
      <c r="AF882" s="73"/>
      <c r="AG882" s="73"/>
      <c r="AH882" s="73"/>
      <c r="AI882" s="73"/>
      <c r="AJ882" s="75"/>
      <c r="AK882" s="76" t="s">
        <v>930</v>
      </c>
      <c r="AL882" s="83" t="s">
        <v>8950</v>
      </c>
      <c r="AM882" s="71" t="s">
        <v>9044</v>
      </c>
      <c r="AN882" s="84" t="s">
        <v>9045</v>
      </c>
      <c r="AO882" s="71" t="s">
        <v>8953</v>
      </c>
      <c r="AP882" s="161" t="str">
        <f>IMAGE("https://bellingcat-archive.nyc3.cdn.digitaloceanspaces.com/Ukraine_Witness_Datasheet/Worksheet/youtube_dl_1497923113593585672/out2.jpg")</f>
        <v/>
      </c>
      <c r="AQ882" s="84" t="s">
        <v>8954</v>
      </c>
      <c r="AR882" s="71" t="s">
        <v>8955</v>
      </c>
      <c r="AS882" s="71" t="s">
        <v>8956</v>
      </c>
      <c r="AT882" s="71">
        <v>14.412</v>
      </c>
      <c r="AU882" s="89"/>
      <c r="AV882" s="162"/>
      <c r="AW882" s="81"/>
    </row>
    <row r="883" ht="15.75" customHeight="1">
      <c r="A883" s="204" t="s">
        <v>63</v>
      </c>
      <c r="B883" s="73"/>
      <c r="C883" s="57" t="s">
        <v>8024</v>
      </c>
      <c r="D883" s="92">
        <v>46.9642</v>
      </c>
      <c r="E883" s="92">
        <v>32.026888</v>
      </c>
      <c r="F883" s="79">
        <v>2.0</v>
      </c>
      <c r="G883" s="84" t="s">
        <v>9046</v>
      </c>
      <c r="H883" s="73"/>
      <c r="I883" s="62" t="s">
        <v>8323</v>
      </c>
      <c r="J883" s="69" t="s">
        <v>9047</v>
      </c>
      <c r="K883" s="69"/>
      <c r="L883" s="65" t="s">
        <v>3542</v>
      </c>
      <c r="M883" s="92" t="s">
        <v>6563</v>
      </c>
      <c r="N883" s="92"/>
      <c r="O883" s="346" t="s">
        <v>6658</v>
      </c>
      <c r="P883" s="67" t="str">
        <f t="shared" si="1"/>
        <v>46.9642, 32.026888</v>
      </c>
      <c r="Q883" s="67" t="str">
        <f t="shared" si="2"/>
        <v>46.963856, 32.026613</v>
      </c>
      <c r="R883" s="67">
        <f t="shared" si="3"/>
        <v>46.963856</v>
      </c>
      <c r="S883" s="67">
        <f t="shared" si="4"/>
        <v>32.026613</v>
      </c>
      <c r="T883" s="161"/>
      <c r="U883" s="69"/>
      <c r="V883" s="169" t="s">
        <v>9048</v>
      </c>
      <c r="W883" s="71" t="s">
        <v>3601</v>
      </c>
      <c r="X883" s="72" t="s">
        <v>2982</v>
      </c>
      <c r="Y883" s="216" t="s">
        <v>5820</v>
      </c>
      <c r="Z883" s="73"/>
      <c r="AA883" s="73"/>
      <c r="AB883" s="73"/>
      <c r="AC883" s="73"/>
      <c r="AD883" s="73"/>
      <c r="AE883" s="73"/>
      <c r="AF883" s="73"/>
      <c r="AG883" s="73"/>
      <c r="AH883" s="73"/>
      <c r="AI883" s="73"/>
      <c r="AJ883" s="75"/>
      <c r="AK883" s="76" t="s">
        <v>930</v>
      </c>
      <c r="AL883" s="83" t="s">
        <v>9049</v>
      </c>
      <c r="AM883" s="71" t="s">
        <v>9050</v>
      </c>
      <c r="AN883" s="84" t="s">
        <v>9051</v>
      </c>
      <c r="AO883" s="71" t="s">
        <v>9052</v>
      </c>
      <c r="AP883" s="161" t="str">
        <f>IMAGE("https://bellingcat-archive.nyc3.cdn.digitaloceanspaces.com/Ukraine_Witness_Datasheet/Worksheet/youtube_dl_1497844415150366725/out2.jpg")</f>
        <v/>
      </c>
      <c r="AQ883" s="84" t="s">
        <v>9053</v>
      </c>
      <c r="AR883" s="71" t="s">
        <v>9054</v>
      </c>
      <c r="AS883" s="71" t="s">
        <v>9055</v>
      </c>
      <c r="AT883" s="71">
        <v>41.3</v>
      </c>
      <c r="AU883" s="79" t="s">
        <v>63</v>
      </c>
      <c r="AV883" s="80" t="s">
        <v>3944</v>
      </c>
      <c r="AW883" s="81"/>
    </row>
    <row r="884" ht="15.75" customHeight="1">
      <c r="A884" s="204" t="s">
        <v>63</v>
      </c>
      <c r="B884" s="73"/>
      <c r="C884" s="57" t="s">
        <v>8024</v>
      </c>
      <c r="D884" s="92">
        <v>46.9642</v>
      </c>
      <c r="E884" s="92">
        <v>32.026888</v>
      </c>
      <c r="F884" s="79">
        <v>2.0</v>
      </c>
      <c r="G884" s="84" t="s">
        <v>9056</v>
      </c>
      <c r="H884" s="73"/>
      <c r="I884" s="62" t="s">
        <v>8323</v>
      </c>
      <c r="J884" s="69" t="s">
        <v>9047</v>
      </c>
      <c r="K884" s="69"/>
      <c r="L884" s="65" t="s">
        <v>3542</v>
      </c>
      <c r="M884" s="92" t="s">
        <v>6563</v>
      </c>
      <c r="N884" s="92"/>
      <c r="O884" s="346" t="s">
        <v>6658</v>
      </c>
      <c r="P884" s="67" t="str">
        <f t="shared" si="1"/>
        <v>46.9642, 32.026888</v>
      </c>
      <c r="Q884" s="67" t="str">
        <f t="shared" si="2"/>
        <v>46.96392, 32.027749</v>
      </c>
      <c r="R884" s="67">
        <f t="shared" si="3"/>
        <v>46.96392</v>
      </c>
      <c r="S884" s="67">
        <f t="shared" si="4"/>
        <v>32.027749</v>
      </c>
      <c r="T884" s="161"/>
      <c r="U884" s="69"/>
      <c r="V884" s="169" t="s">
        <v>9057</v>
      </c>
      <c r="W884" s="71" t="s">
        <v>3601</v>
      </c>
      <c r="X884" s="72" t="s">
        <v>2982</v>
      </c>
      <c r="Y884" s="216" t="s">
        <v>5820</v>
      </c>
      <c r="Z884" s="73"/>
      <c r="AA884" s="73"/>
      <c r="AB884" s="73"/>
      <c r="AC884" s="73"/>
      <c r="AD884" s="73"/>
      <c r="AE884" s="73"/>
      <c r="AF884" s="73"/>
      <c r="AG884" s="73"/>
      <c r="AH884" s="73"/>
      <c r="AI884" s="73"/>
      <c r="AJ884" s="75"/>
      <c r="AK884" s="76" t="s">
        <v>4410</v>
      </c>
      <c r="AL884" s="83" t="s">
        <v>9058</v>
      </c>
      <c r="AM884" s="71" t="s">
        <v>9059</v>
      </c>
      <c r="AN884" s="84" t="s">
        <v>9060</v>
      </c>
      <c r="AO884" s="71" t="s">
        <v>9061</v>
      </c>
      <c r="AP884" s="161" t="str">
        <f>IMAGE("https://bellingcat-archive.nyc3.cdn.digitaloceanspaces.com/Ukraine_Witness_Datasheet/Worksheet/telegram_c8a1ed572f/out2.jpg")</f>
        <v/>
      </c>
      <c r="AQ884" s="84" t="s">
        <v>9062</v>
      </c>
      <c r="AR884" s="84" t="s">
        <v>9056</v>
      </c>
      <c r="AS884" s="71" t="s">
        <v>9063</v>
      </c>
      <c r="AT884" s="71">
        <v>41.0</v>
      </c>
      <c r="AU884" s="79" t="s">
        <v>63</v>
      </c>
      <c r="AV884" s="80" t="s">
        <v>3944</v>
      </c>
      <c r="AW884" s="81"/>
    </row>
    <row r="885" ht="15.75" customHeight="1">
      <c r="A885" s="204" t="s">
        <v>63</v>
      </c>
      <c r="B885" s="73"/>
      <c r="C885" s="57" t="s">
        <v>8024</v>
      </c>
      <c r="D885" s="74">
        <v>46.964503</v>
      </c>
      <c r="E885" s="74">
        <v>32.027742</v>
      </c>
      <c r="F885" s="79">
        <v>2.0</v>
      </c>
      <c r="G885" s="84" t="s">
        <v>9064</v>
      </c>
      <c r="H885" s="73"/>
      <c r="I885" s="62" t="s">
        <v>9065</v>
      </c>
      <c r="J885" s="69" t="s">
        <v>9066</v>
      </c>
      <c r="K885" s="69"/>
      <c r="L885" s="65" t="s">
        <v>3542</v>
      </c>
      <c r="M885" s="92" t="s">
        <v>6563</v>
      </c>
      <c r="N885" s="314"/>
      <c r="O885" s="346" t="s">
        <v>6658</v>
      </c>
      <c r="P885" s="67" t="str">
        <f t="shared" si="1"/>
        <v>46.964503, 32.027742</v>
      </c>
      <c r="Q885" s="67" t="str">
        <f t="shared" si="2"/>
        <v>46.964085, 32.02669</v>
      </c>
      <c r="R885" s="67">
        <f t="shared" si="3"/>
        <v>46.964085</v>
      </c>
      <c r="S885" s="67">
        <f t="shared" si="4"/>
        <v>32.02669</v>
      </c>
      <c r="T885" s="161"/>
      <c r="U885" s="69"/>
      <c r="V885" s="169" t="s">
        <v>9067</v>
      </c>
      <c r="W885" s="71" t="s">
        <v>3601</v>
      </c>
      <c r="X885" s="72" t="s">
        <v>2982</v>
      </c>
      <c r="Y885" s="252"/>
      <c r="Z885" s="73"/>
      <c r="AA885" s="73"/>
      <c r="AB885" s="73"/>
      <c r="AC885" s="73"/>
      <c r="AD885" s="73"/>
      <c r="AE885" s="73"/>
      <c r="AF885" s="73"/>
      <c r="AG885" s="73"/>
      <c r="AH885" s="73"/>
      <c r="AI885" s="73"/>
      <c r="AJ885" s="75"/>
      <c r="AK885" s="76" t="s">
        <v>930</v>
      </c>
      <c r="AL885" s="83" t="s">
        <v>9068</v>
      </c>
      <c r="AM885" s="71" t="s">
        <v>9069</v>
      </c>
      <c r="AN885" s="84" t="s">
        <v>9070</v>
      </c>
      <c r="AO885" s="71" t="s">
        <v>9071</v>
      </c>
      <c r="AP885" s="161" t="str">
        <f>IMAGE("https://bellingcat-archive.nyc3.cdn.digitaloceanspaces.com/Ukraine_Witness_Datasheet/Worksheet/youtube_dl_1497995833035440133/out5.jpg")</f>
        <v/>
      </c>
      <c r="AQ885" s="84" t="s">
        <v>9072</v>
      </c>
      <c r="AR885" s="71" t="s">
        <v>9073</v>
      </c>
      <c r="AS885" s="71" t="s">
        <v>9074</v>
      </c>
      <c r="AT885" s="71">
        <v>132.033</v>
      </c>
      <c r="AU885" s="79" t="s">
        <v>63</v>
      </c>
      <c r="AV885" s="80" t="s">
        <v>3944</v>
      </c>
      <c r="AW885" s="81"/>
    </row>
    <row r="886" ht="15.75" customHeight="1">
      <c r="A886" s="259" t="s">
        <v>6924</v>
      </c>
      <c r="B886" s="73"/>
      <c r="C886" s="57" t="s">
        <v>8024</v>
      </c>
      <c r="D886" s="339"/>
      <c r="E886" s="339"/>
      <c r="F886" s="89"/>
      <c r="G886" s="84" t="s">
        <v>9075</v>
      </c>
      <c r="H886" s="73"/>
      <c r="I886" s="62" t="s">
        <v>9076</v>
      </c>
      <c r="J886" s="69" t="s">
        <v>9077</v>
      </c>
      <c r="K886" s="69"/>
      <c r="L886" s="65" t="s">
        <v>3542</v>
      </c>
      <c r="M886" s="93" t="s">
        <v>9078</v>
      </c>
      <c r="N886" s="314"/>
      <c r="O886" s="314"/>
      <c r="P886" s="67" t="str">
        <f t="shared" si="1"/>
        <v/>
      </c>
      <c r="Q886" s="67" t="str">
        <f t="shared" si="2"/>
        <v/>
      </c>
      <c r="R886" s="67" t="str">
        <f t="shared" si="3"/>
        <v/>
      </c>
      <c r="S886" s="67" t="str">
        <f t="shared" si="4"/>
        <v/>
      </c>
      <c r="T886" s="161"/>
      <c r="U886" s="69"/>
      <c r="V886" s="169" t="s">
        <v>9079</v>
      </c>
      <c r="W886" s="161"/>
      <c r="X886" s="194"/>
      <c r="Y886" s="216" t="s">
        <v>5820</v>
      </c>
      <c r="Z886" s="73"/>
      <c r="AA886" s="73"/>
      <c r="AB886" s="73"/>
      <c r="AC886" s="73"/>
      <c r="AD886" s="73"/>
      <c r="AE886" s="73"/>
      <c r="AF886" s="73"/>
      <c r="AG886" s="73"/>
      <c r="AH886" s="73"/>
      <c r="AI886" s="73"/>
      <c r="AJ886" s="75"/>
      <c r="AK886" s="76" t="s">
        <v>6276</v>
      </c>
      <c r="AL886" s="83" t="s">
        <v>9080</v>
      </c>
      <c r="AM886" s="71" t="s">
        <v>9081</v>
      </c>
      <c r="AN886" s="84" t="s">
        <v>9082</v>
      </c>
      <c r="AO886" s="71" t="s">
        <v>9083</v>
      </c>
      <c r="AP886" s="161" t="str">
        <f>IMAGE("https://bellingcat-archive.nyc3.cdn.digitaloceanspaces.com/Ukraine_Witness_Datasheet/Worksheet/telegram_5b479542ef/out2.jpg")</f>
        <v/>
      </c>
      <c r="AQ886" s="84" t="s">
        <v>9084</v>
      </c>
      <c r="AR886" s="84" t="s">
        <v>9075</v>
      </c>
      <c r="AS886" s="71" t="s">
        <v>9085</v>
      </c>
      <c r="AT886" s="71">
        <v>14.0</v>
      </c>
      <c r="AU886" s="89"/>
      <c r="AV886" s="162"/>
      <c r="AW886" s="81"/>
    </row>
    <row r="887" ht="15.75" customHeight="1">
      <c r="A887" s="259" t="s">
        <v>6924</v>
      </c>
      <c r="B887" s="73"/>
      <c r="C887" s="57" t="s">
        <v>8024</v>
      </c>
      <c r="D887" s="339"/>
      <c r="E887" s="339"/>
      <c r="F887" s="89"/>
      <c r="G887" s="130" t="s">
        <v>9086</v>
      </c>
      <c r="H887" s="73"/>
      <c r="I887" s="62" t="s">
        <v>9076</v>
      </c>
      <c r="J887" s="69" t="s">
        <v>9077</v>
      </c>
      <c r="K887" s="69"/>
      <c r="L887" s="65" t="s">
        <v>3542</v>
      </c>
      <c r="M887" s="93" t="s">
        <v>9078</v>
      </c>
      <c r="N887" s="314"/>
      <c r="O887" s="314"/>
      <c r="P887" s="67" t="str">
        <f t="shared" si="1"/>
        <v/>
      </c>
      <c r="Q887" s="67" t="str">
        <f t="shared" si="2"/>
        <v/>
      </c>
      <c r="R887" s="67" t="str">
        <f t="shared" si="3"/>
        <v/>
      </c>
      <c r="S887" s="67" t="str">
        <f t="shared" si="4"/>
        <v/>
      </c>
      <c r="T887" s="161"/>
      <c r="U887" s="69"/>
      <c r="V887" s="169" t="s">
        <v>9087</v>
      </c>
      <c r="W887" s="161"/>
      <c r="X887" s="194"/>
      <c r="Y887" s="216" t="s">
        <v>5820</v>
      </c>
      <c r="Z887" s="73"/>
      <c r="AA887" s="73"/>
      <c r="AB887" s="73"/>
      <c r="AC887" s="73"/>
      <c r="AD887" s="73"/>
      <c r="AE887" s="73"/>
      <c r="AF887" s="73"/>
      <c r="AG887" s="73"/>
      <c r="AH887" s="73"/>
      <c r="AI887" s="73"/>
      <c r="AJ887" s="75"/>
      <c r="AK887" s="76" t="s">
        <v>1261</v>
      </c>
      <c r="AL887" s="83" t="s">
        <v>9088</v>
      </c>
      <c r="AM887" s="71" t="s">
        <v>9089</v>
      </c>
      <c r="AN887" s="84" t="s">
        <v>9090</v>
      </c>
      <c r="AO887" s="161"/>
      <c r="AP887" s="161"/>
      <c r="AQ887" s="161"/>
      <c r="AR887" s="71" t="s">
        <v>9091</v>
      </c>
      <c r="AS887" s="161"/>
      <c r="AT887" s="161"/>
      <c r="AU887" s="89"/>
      <c r="AV887" s="162"/>
      <c r="AW887" s="81"/>
    </row>
    <row r="888" ht="15.75" customHeight="1">
      <c r="A888" s="259" t="s">
        <v>6924</v>
      </c>
      <c r="B888" s="73"/>
      <c r="C888" s="57" t="s">
        <v>7672</v>
      </c>
      <c r="D888" s="339"/>
      <c r="E888" s="339"/>
      <c r="F888" s="89"/>
      <c r="G888" s="130" t="s">
        <v>9092</v>
      </c>
      <c r="H888" s="73"/>
      <c r="I888" s="62" t="s">
        <v>9093</v>
      </c>
      <c r="J888" s="69" t="s">
        <v>9094</v>
      </c>
      <c r="K888" s="69"/>
      <c r="L888" s="65" t="s">
        <v>3542</v>
      </c>
      <c r="M888" s="314"/>
      <c r="N888" s="314"/>
      <c r="O888" s="93" t="s">
        <v>6121</v>
      </c>
      <c r="P888" s="67" t="str">
        <f t="shared" si="1"/>
        <v/>
      </c>
      <c r="Q888" s="67" t="str">
        <f t="shared" si="2"/>
        <v/>
      </c>
      <c r="R888" s="67" t="str">
        <f t="shared" si="3"/>
        <v/>
      </c>
      <c r="S888" s="67" t="str">
        <f t="shared" si="4"/>
        <v/>
      </c>
      <c r="T888" s="161"/>
      <c r="U888" s="69"/>
      <c r="V888" s="169" t="s">
        <v>9095</v>
      </c>
      <c r="W888" s="161"/>
      <c r="X888" s="194"/>
      <c r="Y888" s="216" t="s">
        <v>5820</v>
      </c>
      <c r="Z888" s="73"/>
      <c r="AA888" s="73"/>
      <c r="AB888" s="73"/>
      <c r="AC888" s="73"/>
      <c r="AD888" s="73"/>
      <c r="AE888" s="73"/>
      <c r="AF888" s="73"/>
      <c r="AG888" s="73"/>
      <c r="AH888" s="73"/>
      <c r="AI888" s="73"/>
      <c r="AJ888" s="75"/>
      <c r="AK888" s="76" t="s">
        <v>9096</v>
      </c>
      <c r="AL888" s="269"/>
      <c r="AM888" s="71" t="s">
        <v>9097</v>
      </c>
      <c r="AN888" s="161"/>
      <c r="AO888" s="161"/>
      <c r="AP888" s="161"/>
      <c r="AQ888" s="161"/>
      <c r="AR888" s="161"/>
      <c r="AS888" s="161"/>
      <c r="AT888" s="161"/>
      <c r="AU888" s="89"/>
      <c r="AV888" s="162"/>
      <c r="AW888" s="81"/>
    </row>
    <row r="889" ht="15.75" customHeight="1">
      <c r="A889" s="259" t="s">
        <v>6924</v>
      </c>
      <c r="B889" s="73"/>
      <c r="C889" s="57" t="s">
        <v>7672</v>
      </c>
      <c r="D889" s="339"/>
      <c r="E889" s="339"/>
      <c r="F889" s="89"/>
      <c r="G889" s="130" t="s">
        <v>9098</v>
      </c>
      <c r="H889" s="73"/>
      <c r="I889" s="62" t="s">
        <v>9099</v>
      </c>
      <c r="J889" s="69" t="s">
        <v>9100</v>
      </c>
      <c r="K889" s="69"/>
      <c r="L889" s="65" t="s">
        <v>3542</v>
      </c>
      <c r="M889" s="93" t="s">
        <v>3598</v>
      </c>
      <c r="N889" s="314"/>
      <c r="O889" s="93" t="s">
        <v>9101</v>
      </c>
      <c r="P889" s="67" t="str">
        <f t="shared" si="1"/>
        <v/>
      </c>
      <c r="Q889" s="67" t="str">
        <f t="shared" si="2"/>
        <v/>
      </c>
      <c r="R889" s="67" t="str">
        <f t="shared" si="3"/>
        <v/>
      </c>
      <c r="S889" s="67" t="str">
        <f t="shared" si="4"/>
        <v/>
      </c>
      <c r="T889" s="161"/>
      <c r="U889" s="69"/>
      <c r="V889" s="169" t="s">
        <v>9102</v>
      </c>
      <c r="W889" s="161"/>
      <c r="X889" s="194"/>
      <c r="Y889" s="216" t="s">
        <v>5820</v>
      </c>
      <c r="Z889" s="73"/>
      <c r="AA889" s="73"/>
      <c r="AB889" s="73"/>
      <c r="AC889" s="73"/>
      <c r="AD889" s="73"/>
      <c r="AE889" s="73"/>
      <c r="AF889" s="73"/>
      <c r="AG889" s="73"/>
      <c r="AH889" s="73"/>
      <c r="AI889" s="73"/>
      <c r="AJ889" s="75"/>
      <c r="AK889" s="76" t="s">
        <v>1261</v>
      </c>
      <c r="AL889" s="83" t="s">
        <v>9103</v>
      </c>
      <c r="AM889" s="71" t="s">
        <v>9104</v>
      </c>
      <c r="AN889" s="84" t="s">
        <v>9105</v>
      </c>
      <c r="AO889" s="161"/>
      <c r="AP889" s="161"/>
      <c r="AQ889" s="161"/>
      <c r="AR889" s="71" t="s">
        <v>2228</v>
      </c>
      <c r="AS889" s="161"/>
      <c r="AT889" s="161"/>
      <c r="AU889" s="89"/>
      <c r="AV889" s="162"/>
      <c r="AW889" s="81"/>
    </row>
    <row r="890" ht="15.75" customHeight="1">
      <c r="A890" s="72" t="s">
        <v>9106</v>
      </c>
      <c r="B890" s="73"/>
      <c r="C890" s="57" t="s">
        <v>7672</v>
      </c>
      <c r="D890" s="92">
        <v>50.545063</v>
      </c>
      <c r="E890" s="92">
        <v>30.225736</v>
      </c>
      <c r="F890" s="79">
        <v>5.0</v>
      </c>
      <c r="G890" s="130" t="s">
        <v>9107</v>
      </c>
      <c r="H890" s="73"/>
      <c r="I890" s="75"/>
      <c r="J890" s="64" t="s">
        <v>9108</v>
      </c>
      <c r="K890" s="69"/>
      <c r="L890" s="65" t="s">
        <v>5670</v>
      </c>
      <c r="M890" s="93" t="s">
        <v>5827</v>
      </c>
      <c r="N890" s="314"/>
      <c r="O890" s="93" t="s">
        <v>5868</v>
      </c>
      <c r="P890" s="67" t="str">
        <f t="shared" si="1"/>
        <v>50.545063, 30.225736</v>
      </c>
      <c r="Q890" s="67" t="str">
        <f t="shared" si="2"/>
        <v>50.544833, 30.225065</v>
      </c>
      <c r="R890" s="67">
        <f t="shared" si="3"/>
        <v>50.544833</v>
      </c>
      <c r="S890" s="67">
        <f t="shared" si="4"/>
        <v>30.225065</v>
      </c>
      <c r="T890" s="130" t="s">
        <v>9109</v>
      </c>
      <c r="U890" s="69"/>
      <c r="V890" s="169" t="s">
        <v>9110</v>
      </c>
      <c r="W890" s="71" t="s">
        <v>5739</v>
      </c>
      <c r="X890" s="72" t="s">
        <v>75</v>
      </c>
      <c r="Y890" s="73"/>
      <c r="Z890" s="73"/>
      <c r="AA890" s="73"/>
      <c r="AB890" s="73"/>
      <c r="AC890" s="73"/>
      <c r="AD890" s="73"/>
      <c r="AE890" s="73"/>
      <c r="AF890" s="73"/>
      <c r="AG890" s="73"/>
      <c r="AH890" s="73"/>
      <c r="AI890" s="73"/>
      <c r="AJ890" s="75"/>
      <c r="AK890" s="76" t="s">
        <v>798</v>
      </c>
      <c r="AL890" s="83" t="s">
        <v>9111</v>
      </c>
      <c r="AM890" s="71" t="s">
        <v>9112</v>
      </c>
      <c r="AN890" s="84" t="s">
        <v>9113</v>
      </c>
      <c r="AO890" s="71" t="s">
        <v>9114</v>
      </c>
      <c r="AP890" s="161" t="str">
        <f>IMAGE("https://bellingcat-archive.nyc3.cdn.digitaloceanspaces.com/Ukraine_Witness_Datasheet/Worksheet/youtube_dl_1498206119700934657/out2.jpg")</f>
        <v/>
      </c>
      <c r="AQ890" s="84" t="s">
        <v>9115</v>
      </c>
      <c r="AR890" s="71" t="s">
        <v>9116</v>
      </c>
      <c r="AS890" s="71" t="s">
        <v>9117</v>
      </c>
      <c r="AT890" s="71">
        <v>48.861</v>
      </c>
      <c r="AU890" s="89"/>
      <c r="AV890" s="80" t="s">
        <v>63</v>
      </c>
      <c r="AW890" s="81"/>
    </row>
    <row r="891" ht="15.75" customHeight="1">
      <c r="A891" s="144"/>
      <c r="B891" s="73"/>
      <c r="C891" s="338" t="s">
        <v>9028</v>
      </c>
      <c r="D891" s="111"/>
      <c r="E891" s="111"/>
      <c r="F891" s="89"/>
      <c r="G891" s="303" t="s">
        <v>9118</v>
      </c>
      <c r="H891" s="73"/>
      <c r="I891" s="75"/>
      <c r="J891" s="69"/>
      <c r="K891" s="69"/>
      <c r="L891" s="65" t="s">
        <v>3542</v>
      </c>
      <c r="M891" s="93" t="s">
        <v>5702</v>
      </c>
      <c r="N891" s="314"/>
      <c r="O891" s="93" t="s">
        <v>9119</v>
      </c>
      <c r="P891" s="67" t="str">
        <f t="shared" si="1"/>
        <v/>
      </c>
      <c r="Q891" s="67" t="str">
        <f t="shared" si="2"/>
        <v/>
      </c>
      <c r="R891" s="67" t="str">
        <f t="shared" si="3"/>
        <v/>
      </c>
      <c r="S891" s="67" t="str">
        <f t="shared" si="4"/>
        <v/>
      </c>
      <c r="T891" s="161"/>
      <c r="U891" s="69"/>
      <c r="V891" s="169" t="s">
        <v>9120</v>
      </c>
      <c r="W891" s="161"/>
      <c r="X891" s="194"/>
      <c r="Y891" s="73"/>
      <c r="Z891" s="73"/>
      <c r="AA891" s="73"/>
      <c r="AB891" s="73"/>
      <c r="AC891" s="73"/>
      <c r="AD891" s="73"/>
      <c r="AE891" s="73"/>
      <c r="AF891" s="73"/>
      <c r="AG891" s="73"/>
      <c r="AH891" s="73"/>
      <c r="AI891" s="73"/>
      <c r="AJ891" s="75"/>
      <c r="AK891" s="76" t="s">
        <v>798</v>
      </c>
      <c r="AL891" s="83" t="s">
        <v>9121</v>
      </c>
      <c r="AM891" s="71" t="s">
        <v>9122</v>
      </c>
      <c r="AN891" s="84" t="s">
        <v>9123</v>
      </c>
      <c r="AO891" s="71" t="s">
        <v>9124</v>
      </c>
      <c r="AP891" s="161" t="str">
        <f>IMAGE("https://bellingcat-archive.nyc3.cdn.digitaloceanspaces.com/Ukraine_Witness_Datasheet/Worksheet/youtube_dl_1498145577665810434/out3.jpg")</f>
        <v/>
      </c>
      <c r="AQ891" s="84" t="s">
        <v>9125</v>
      </c>
      <c r="AR891" s="71" t="s">
        <v>5974</v>
      </c>
      <c r="AS891" s="71" t="s">
        <v>9126</v>
      </c>
      <c r="AT891" s="71">
        <v>100.985</v>
      </c>
      <c r="AU891" s="89"/>
      <c r="AV891" s="162"/>
      <c r="AW891" s="81"/>
    </row>
    <row r="892" ht="15.75" customHeight="1">
      <c r="A892" s="347" t="s">
        <v>3944</v>
      </c>
      <c r="B892" s="73"/>
      <c r="C892" s="57" t="s">
        <v>8024</v>
      </c>
      <c r="D892" s="92">
        <v>52.057777</v>
      </c>
      <c r="E892" s="92">
        <v>29.224263</v>
      </c>
      <c r="F892" s="89"/>
      <c r="G892" s="84" t="s">
        <v>9127</v>
      </c>
      <c r="H892" s="73"/>
      <c r="I892" s="75"/>
      <c r="J892" s="64" t="s">
        <v>9128</v>
      </c>
      <c r="K892" s="88" t="s">
        <v>9129</v>
      </c>
      <c r="L892" s="65" t="s">
        <v>69</v>
      </c>
      <c r="M892" s="314"/>
      <c r="N892" s="314"/>
      <c r="O892" s="92" t="s">
        <v>510</v>
      </c>
      <c r="P892" s="67" t="str">
        <f t="shared" si="1"/>
        <v>52.057777, 29.224263</v>
      </c>
      <c r="Q892" s="67" t="str">
        <f t="shared" si="2"/>
        <v>52.057327, 29.223665</v>
      </c>
      <c r="R892" s="67">
        <f t="shared" si="3"/>
        <v>52.057327</v>
      </c>
      <c r="S892" s="67">
        <f t="shared" si="4"/>
        <v>29.223665</v>
      </c>
      <c r="T892" s="161"/>
      <c r="U892" s="69"/>
      <c r="V892" s="169" t="s">
        <v>9130</v>
      </c>
      <c r="W892" s="161"/>
      <c r="X892" s="194"/>
      <c r="Y892" s="73"/>
      <c r="Z892" s="73"/>
      <c r="AA892" s="73"/>
      <c r="AB892" s="73"/>
      <c r="AC892" s="73"/>
      <c r="AD892" s="73"/>
      <c r="AE892" s="73"/>
      <c r="AF892" s="73"/>
      <c r="AG892" s="73"/>
      <c r="AH892" s="73"/>
      <c r="AI892" s="73"/>
      <c r="AJ892" s="75"/>
      <c r="AK892" s="76" t="s">
        <v>798</v>
      </c>
      <c r="AL892" s="83" t="s">
        <v>9131</v>
      </c>
      <c r="AM892" s="71" t="s">
        <v>9132</v>
      </c>
      <c r="AN892" s="84" t="s">
        <v>9133</v>
      </c>
      <c r="AO892" s="71" t="s">
        <v>9134</v>
      </c>
      <c r="AP892" s="161" t="str">
        <f>IMAGE("https://bellingcat-archive.nyc3.cdn.digitaloceanspaces.com/Ukraine_Witness_Datasheet/Worksheet/youtube_dl_1498049982162771969/out2.jpg")</f>
        <v/>
      </c>
      <c r="AQ892" s="84" t="s">
        <v>9135</v>
      </c>
      <c r="AR892" s="71" t="s">
        <v>9136</v>
      </c>
      <c r="AS892" s="71" t="s">
        <v>9137</v>
      </c>
      <c r="AT892" s="71">
        <v>13.533</v>
      </c>
      <c r="AU892" s="89"/>
      <c r="AV892" s="162"/>
      <c r="AW892" s="81"/>
    </row>
    <row r="893" ht="15.75" customHeight="1">
      <c r="A893" s="301" t="s">
        <v>9138</v>
      </c>
      <c r="B893" s="73"/>
      <c r="C893" s="57" t="s">
        <v>9028</v>
      </c>
      <c r="D893" s="111"/>
      <c r="E893" s="111"/>
      <c r="F893" s="89"/>
      <c r="G893" s="84" t="s">
        <v>9139</v>
      </c>
      <c r="H893" s="61"/>
      <c r="I893" s="62"/>
      <c r="J893" s="64" t="s">
        <v>9140</v>
      </c>
      <c r="K893" s="69"/>
      <c r="L893" s="65" t="s">
        <v>3542</v>
      </c>
      <c r="M893" s="93"/>
      <c r="N893" s="314"/>
      <c r="O893" s="93" t="s">
        <v>5626</v>
      </c>
      <c r="P893" s="67" t="str">
        <f t="shared" si="1"/>
        <v/>
      </c>
      <c r="Q893" s="67" t="str">
        <f t="shared" si="2"/>
        <v/>
      </c>
      <c r="R893" s="67" t="str">
        <f t="shared" si="3"/>
        <v/>
      </c>
      <c r="S893" s="67" t="str">
        <f t="shared" si="4"/>
        <v/>
      </c>
      <c r="T893" s="220" t="s">
        <v>9141</v>
      </c>
      <c r="U893" s="69"/>
      <c r="V893" s="169" t="s">
        <v>9142</v>
      </c>
      <c r="W893" s="161"/>
      <c r="X893" s="194"/>
      <c r="Y893" s="73"/>
      <c r="Z893" s="73"/>
      <c r="AA893" s="73"/>
      <c r="AB893" s="73"/>
      <c r="AC893" s="73"/>
      <c r="AD893" s="73"/>
      <c r="AE893" s="73"/>
      <c r="AF893" s="73"/>
      <c r="AG893" s="73"/>
      <c r="AH893" s="73"/>
      <c r="AI893" s="73"/>
      <c r="AJ893" s="75"/>
      <c r="AK893" s="76" t="s">
        <v>798</v>
      </c>
      <c r="AL893" s="83" t="s">
        <v>9143</v>
      </c>
      <c r="AM893" s="71" t="s">
        <v>9144</v>
      </c>
      <c r="AN893" s="84" t="s">
        <v>9145</v>
      </c>
      <c r="AO893" s="71" t="s">
        <v>9146</v>
      </c>
      <c r="AP893" s="161" t="str">
        <f>IMAGE("https://bellingcat-archive.nyc3.cdn.digitaloceanspaces.com/Ukraine_Witness_Datasheet/Worksheet/youtube_dl_1498218384504283139/out2.jpg")</f>
        <v/>
      </c>
      <c r="AQ893" s="84" t="s">
        <v>9147</v>
      </c>
      <c r="AR893" s="71" t="s">
        <v>9148</v>
      </c>
      <c r="AS893" s="71" t="s">
        <v>9149</v>
      </c>
      <c r="AT893" s="71">
        <v>8.5</v>
      </c>
      <c r="AU893" s="89"/>
      <c r="AV893" s="162"/>
      <c r="AW893" s="81"/>
    </row>
    <row r="894" ht="15.75" customHeight="1">
      <c r="A894" s="175"/>
      <c r="B894" s="73"/>
      <c r="C894" s="57" t="s">
        <v>9028</v>
      </c>
      <c r="D894" s="111"/>
      <c r="E894" s="111"/>
      <c r="F894" s="89"/>
      <c r="G894" s="130" t="s">
        <v>9150</v>
      </c>
      <c r="H894" s="73"/>
      <c r="I894" s="75"/>
      <c r="J894" s="64" t="s">
        <v>9151</v>
      </c>
      <c r="K894" s="69"/>
      <c r="L894" s="70"/>
      <c r="M894" s="314"/>
      <c r="N894" s="314"/>
      <c r="O894" s="314"/>
      <c r="P894" s="67" t="str">
        <f t="shared" si="1"/>
        <v/>
      </c>
      <c r="Q894" s="67" t="str">
        <f t="shared" si="2"/>
        <v/>
      </c>
      <c r="R894" s="67" t="str">
        <f t="shared" si="3"/>
        <v/>
      </c>
      <c r="S894" s="67" t="str">
        <f t="shared" si="4"/>
        <v/>
      </c>
      <c r="T894" s="161"/>
      <c r="U894" s="69"/>
      <c r="V894" s="169" t="s">
        <v>9152</v>
      </c>
      <c r="W894" s="161"/>
      <c r="X894" s="194"/>
      <c r="Y894" s="73"/>
      <c r="Z894" s="73"/>
      <c r="AA894" s="73"/>
      <c r="AB894" s="73"/>
      <c r="AC894" s="73"/>
      <c r="AD894" s="73"/>
      <c r="AE894" s="73"/>
      <c r="AF894" s="73"/>
      <c r="AG894" s="73"/>
      <c r="AH894" s="73"/>
      <c r="AI894" s="73"/>
      <c r="AJ894" s="75"/>
      <c r="AK894" s="76" t="s">
        <v>798</v>
      </c>
      <c r="AL894" s="83" t="s">
        <v>9153</v>
      </c>
      <c r="AM894" s="71" t="s">
        <v>9154</v>
      </c>
      <c r="AN894" s="84" t="s">
        <v>9155</v>
      </c>
      <c r="AO894" s="71" t="s">
        <v>9156</v>
      </c>
      <c r="AP894" s="161" t="str">
        <f>IMAGE("https://bellingcat-archive.nyc3.cdn.digitaloceanspaces.com/Ukraine_Witness_Datasheet/Worksheet/youtube_dl_1498189875023126531/out2.jpg")</f>
        <v/>
      </c>
      <c r="AQ894" s="84" t="s">
        <v>9157</v>
      </c>
      <c r="AR894" s="71" t="s">
        <v>9158</v>
      </c>
      <c r="AS894" s="71" t="s">
        <v>9159</v>
      </c>
      <c r="AT894" s="71">
        <v>15.766</v>
      </c>
      <c r="AU894" s="89"/>
      <c r="AV894" s="162"/>
      <c r="AW894" s="81"/>
    </row>
    <row r="895" ht="15.75" customHeight="1">
      <c r="A895" s="259" t="s">
        <v>6924</v>
      </c>
      <c r="B895" s="73"/>
      <c r="C895" s="57" t="s">
        <v>9028</v>
      </c>
      <c r="D895" s="257"/>
      <c r="E895" s="257"/>
      <c r="F895" s="79">
        <v>5.0</v>
      </c>
      <c r="G895" s="84" t="s">
        <v>9160</v>
      </c>
      <c r="H895" s="73"/>
      <c r="I895" s="62" t="s">
        <v>9161</v>
      </c>
      <c r="J895" s="183" t="s">
        <v>9162</v>
      </c>
      <c r="K895" s="69"/>
      <c r="L895" s="65" t="s">
        <v>3542</v>
      </c>
      <c r="M895" s="314"/>
      <c r="N895" s="314"/>
      <c r="O895" s="93" t="s">
        <v>9163</v>
      </c>
      <c r="P895" s="67" t="str">
        <f t="shared" si="1"/>
        <v/>
      </c>
      <c r="Q895" s="67" t="str">
        <f t="shared" si="2"/>
        <v/>
      </c>
      <c r="R895" s="67" t="str">
        <f t="shared" si="3"/>
        <v/>
      </c>
      <c r="S895" s="67" t="str">
        <f t="shared" si="4"/>
        <v/>
      </c>
      <c r="T895" s="161"/>
      <c r="U895" s="69"/>
      <c r="V895" s="169" t="s">
        <v>9164</v>
      </c>
      <c r="W895" s="161"/>
      <c r="X895" s="194"/>
      <c r="Y895" s="216" t="s">
        <v>5820</v>
      </c>
      <c r="Z895" s="73"/>
      <c r="AA895" s="73"/>
      <c r="AB895" s="73"/>
      <c r="AC895" s="73"/>
      <c r="AD895" s="73"/>
      <c r="AE895" s="73"/>
      <c r="AF895" s="73"/>
      <c r="AG895" s="73"/>
      <c r="AH895" s="73"/>
      <c r="AI895" s="73"/>
      <c r="AJ895" s="75"/>
      <c r="AK895" s="76" t="s">
        <v>6276</v>
      </c>
      <c r="AL895" s="83" t="s">
        <v>9165</v>
      </c>
      <c r="AM895" s="71" t="s">
        <v>9166</v>
      </c>
      <c r="AN895" s="84" t="s">
        <v>9167</v>
      </c>
      <c r="AO895" s="71" t="s">
        <v>9168</v>
      </c>
      <c r="AP895" s="161" t="str">
        <f>IMAGE("https://bellingcat-archive.nyc3.cdn.digitaloceanspaces.com/Ukraine_Witness_Datasheet/Worksheet/telegram_93740634ad/out2.jpg")</f>
        <v/>
      </c>
      <c r="AQ895" s="84" t="s">
        <v>9169</v>
      </c>
      <c r="AR895" s="84" t="s">
        <v>9160</v>
      </c>
      <c r="AS895" s="71" t="s">
        <v>9170</v>
      </c>
      <c r="AT895" s="71">
        <v>48.0</v>
      </c>
      <c r="AU895" s="89"/>
      <c r="AV895" s="162"/>
      <c r="AW895" s="81"/>
    </row>
    <row r="896" ht="15.75" customHeight="1">
      <c r="A896" s="249" t="s">
        <v>6682</v>
      </c>
      <c r="B896" s="73"/>
      <c r="C896" s="57" t="s">
        <v>9028</v>
      </c>
      <c r="D896" s="257" t="s">
        <v>9171</v>
      </c>
      <c r="E896" s="257" t="s">
        <v>9172</v>
      </c>
      <c r="F896" s="89"/>
      <c r="G896" s="130" t="s">
        <v>9173</v>
      </c>
      <c r="H896" s="73"/>
      <c r="I896" s="62" t="s">
        <v>9174</v>
      </c>
      <c r="J896" s="183" t="s">
        <v>9175</v>
      </c>
      <c r="K896" s="69"/>
      <c r="L896" s="65" t="s">
        <v>3542</v>
      </c>
      <c r="M896" s="92" t="s">
        <v>5590</v>
      </c>
      <c r="N896" s="314"/>
      <c r="O896" s="93" t="s">
        <v>9176</v>
      </c>
      <c r="P896" s="67" t="str">
        <f t="shared" si="1"/>
        <v>49.625565, 36.640372</v>
      </c>
      <c r="Q896" s="67" t="str">
        <f t="shared" si="2"/>
        <v>49.625224, 36.639371</v>
      </c>
      <c r="R896" s="67">
        <f t="shared" si="3"/>
        <v>49.625224</v>
      </c>
      <c r="S896" s="67">
        <f t="shared" si="4"/>
        <v>36.639371</v>
      </c>
      <c r="T896" s="348"/>
      <c r="U896" s="69"/>
      <c r="V896" s="169" t="s">
        <v>9177</v>
      </c>
      <c r="W896" s="161"/>
      <c r="X896" s="17" t="s">
        <v>9</v>
      </c>
      <c r="Y896" s="216" t="s">
        <v>5820</v>
      </c>
      <c r="Z896" s="73"/>
      <c r="AA896" s="73"/>
      <c r="AB896" s="73"/>
      <c r="AC896" s="73"/>
      <c r="AD896" s="73"/>
      <c r="AE896" s="73"/>
      <c r="AF896" s="73"/>
      <c r="AG896" s="73"/>
      <c r="AH896" s="73"/>
      <c r="AI896" s="73"/>
      <c r="AJ896" s="75"/>
      <c r="AK896" s="76" t="s">
        <v>6276</v>
      </c>
      <c r="AL896" s="83" t="s">
        <v>9178</v>
      </c>
      <c r="AM896" s="71" t="s">
        <v>9179</v>
      </c>
      <c r="AN896" s="84" t="s">
        <v>9180</v>
      </c>
      <c r="AO896" s="71" t="s">
        <v>9181</v>
      </c>
      <c r="AP896" s="161" t="str">
        <f>IMAGE("https://bellingcat-archive.nyc3.cdn.digitaloceanspaces.com/Ukraine_Witness_Datasheet/Worksheet/telegram_c2adfed16b/out2.jpg")</f>
        <v/>
      </c>
      <c r="AQ896" s="84" t="s">
        <v>9182</v>
      </c>
      <c r="AR896" s="84" t="s">
        <v>9173</v>
      </c>
      <c r="AS896" s="71" t="s">
        <v>9183</v>
      </c>
      <c r="AT896" s="71">
        <v>23.0</v>
      </c>
      <c r="AU896" s="89"/>
      <c r="AV896" s="162"/>
      <c r="AW896" s="81"/>
    </row>
    <row r="897" ht="15.75" customHeight="1">
      <c r="A897" s="204" t="s">
        <v>63</v>
      </c>
      <c r="B897" s="73"/>
      <c r="C897" s="57" t="s">
        <v>8024</v>
      </c>
      <c r="D897" s="92">
        <v>50.535179</v>
      </c>
      <c r="E897" s="92">
        <v>30.233366</v>
      </c>
      <c r="F897" s="79">
        <v>5.0</v>
      </c>
      <c r="G897" s="84" t="s">
        <v>9184</v>
      </c>
      <c r="H897" s="73"/>
      <c r="I897" s="75"/>
      <c r="J897" s="64" t="s">
        <v>8225</v>
      </c>
      <c r="K897" s="69"/>
      <c r="L897" s="65" t="s">
        <v>3542</v>
      </c>
      <c r="M897" s="93" t="s">
        <v>5827</v>
      </c>
      <c r="N897" s="314"/>
      <c r="O897" s="93" t="s">
        <v>7550</v>
      </c>
      <c r="P897" s="67" t="str">
        <f t="shared" si="1"/>
        <v>50.535179, 30.233366</v>
      </c>
      <c r="Q897" s="67" t="str">
        <f t="shared" si="2"/>
        <v>50.534916, 30.232471</v>
      </c>
      <c r="R897" s="67">
        <f t="shared" si="3"/>
        <v>50.534916</v>
      </c>
      <c r="S897" s="67">
        <f t="shared" si="4"/>
        <v>30.232471</v>
      </c>
      <c r="T897" s="300"/>
      <c r="U897" s="69"/>
      <c r="V897" s="169" t="s">
        <v>9185</v>
      </c>
      <c r="W897" s="71" t="s">
        <v>5739</v>
      </c>
      <c r="X897" s="72" t="s">
        <v>2982</v>
      </c>
      <c r="Y897" s="73"/>
      <c r="Z897" s="73"/>
      <c r="AA897" s="73"/>
      <c r="AB897" s="73"/>
      <c r="AC897" s="73"/>
      <c r="AD897" s="73"/>
      <c r="AE897" s="73"/>
      <c r="AF897" s="73"/>
      <c r="AG897" s="73"/>
      <c r="AH897" s="73"/>
      <c r="AI897" s="73"/>
      <c r="AJ897" s="75"/>
      <c r="AK897" s="76" t="s">
        <v>798</v>
      </c>
      <c r="AL897" s="83" t="s">
        <v>9186</v>
      </c>
      <c r="AM897" s="71" t="s">
        <v>9187</v>
      </c>
      <c r="AN897" s="84" t="s">
        <v>9188</v>
      </c>
      <c r="AO897" s="71" t="s">
        <v>9189</v>
      </c>
      <c r="AP897" s="161" t="str">
        <f>IMAGE("https://bellingcat-archive.nyc3.cdn.digitaloceanspaces.com/Ukraine_Witness_Datasheet/Worksheet/youtube_dl_1498231111964672003/out5.jpg")</f>
        <v/>
      </c>
      <c r="AQ897" s="84" t="s">
        <v>9190</v>
      </c>
      <c r="AR897" s="71" t="s">
        <v>9191</v>
      </c>
      <c r="AS897" s="71" t="s">
        <v>9192</v>
      </c>
      <c r="AT897" s="71">
        <v>123.319</v>
      </c>
      <c r="AU897" s="79" t="s">
        <v>63</v>
      </c>
      <c r="AV897" s="80" t="s">
        <v>3944</v>
      </c>
      <c r="AW897" s="81"/>
    </row>
    <row r="898" ht="15.75" customHeight="1">
      <c r="A898" s="204" t="s">
        <v>63</v>
      </c>
      <c r="B898" s="73"/>
      <c r="C898" s="57" t="s">
        <v>8024</v>
      </c>
      <c r="D898" s="92">
        <v>51.491014</v>
      </c>
      <c r="E898" s="92">
        <v>31.29624</v>
      </c>
      <c r="F898" s="79">
        <v>2.0</v>
      </c>
      <c r="G898" s="84" t="s">
        <v>9193</v>
      </c>
      <c r="H898" s="73"/>
      <c r="I898" s="75"/>
      <c r="J898" s="64" t="s">
        <v>9194</v>
      </c>
      <c r="K898" s="69"/>
      <c r="L898" s="65" t="s">
        <v>3542</v>
      </c>
      <c r="M898" s="92" t="s">
        <v>5880</v>
      </c>
      <c r="N898" s="314"/>
      <c r="O898" s="140" t="s">
        <v>8524</v>
      </c>
      <c r="P898" s="67" t="str">
        <f t="shared" si="1"/>
        <v>51.491014, 31.29624</v>
      </c>
      <c r="Q898" s="67" t="str">
        <f t="shared" si="2"/>
        <v>51.490798, 31.297112</v>
      </c>
      <c r="R898" s="67">
        <f t="shared" si="3"/>
        <v>51.490798</v>
      </c>
      <c r="S898" s="67">
        <f t="shared" si="4"/>
        <v>31.297112</v>
      </c>
      <c r="T898" s="161"/>
      <c r="U898" s="69"/>
      <c r="V898" s="169" t="s">
        <v>9195</v>
      </c>
      <c r="W898" s="71" t="s">
        <v>3601</v>
      </c>
      <c r="X898" s="72" t="s">
        <v>2982</v>
      </c>
      <c r="Y898" s="73"/>
      <c r="Z898" s="73"/>
      <c r="AA898" s="73"/>
      <c r="AB898" s="73"/>
      <c r="AC898" s="73"/>
      <c r="AD898" s="73"/>
      <c r="AE898" s="73"/>
      <c r="AF898" s="73"/>
      <c r="AG898" s="73"/>
      <c r="AH898" s="73"/>
      <c r="AI898" s="73"/>
      <c r="AJ898" s="75"/>
      <c r="AK898" s="76" t="s">
        <v>930</v>
      </c>
      <c r="AL898" s="83" t="s">
        <v>8960</v>
      </c>
      <c r="AM898" s="71" t="s">
        <v>9196</v>
      </c>
      <c r="AN898" s="84" t="s">
        <v>9197</v>
      </c>
      <c r="AO898" s="71" t="s">
        <v>8963</v>
      </c>
      <c r="AP898" s="161" t="str">
        <f>IMAGE("https://bellingcat-archive.nyc3.cdn.digitaloceanspaces.com/Ukraine_Witness_Datasheet/Worksheet/youtube_dl_1497971946235088899/out2.jpg")</f>
        <v/>
      </c>
      <c r="AQ898" s="84" t="s">
        <v>8964</v>
      </c>
      <c r="AR898" s="71" t="s">
        <v>8965</v>
      </c>
      <c r="AS898" s="71" t="s">
        <v>8966</v>
      </c>
      <c r="AT898" s="71">
        <v>14.628</v>
      </c>
      <c r="AU898" s="79" t="s">
        <v>63</v>
      </c>
      <c r="AV898" s="80" t="s">
        <v>3944</v>
      </c>
      <c r="AW898" s="81"/>
    </row>
    <row r="899" ht="15.75" customHeight="1">
      <c r="A899" s="204" t="s">
        <v>63</v>
      </c>
      <c r="B899" s="73"/>
      <c r="C899" s="57" t="s">
        <v>8024</v>
      </c>
      <c r="D899" s="92">
        <v>50.277576</v>
      </c>
      <c r="E899" s="92">
        <v>28.714058</v>
      </c>
      <c r="F899" s="79">
        <v>2.0</v>
      </c>
      <c r="G899" s="84" t="s">
        <v>9198</v>
      </c>
      <c r="H899" s="73"/>
      <c r="I899" s="75"/>
      <c r="J899" s="64" t="s">
        <v>9199</v>
      </c>
      <c r="K899" s="69"/>
      <c r="L899" s="65" t="s">
        <v>3542</v>
      </c>
      <c r="M899" s="92" t="s">
        <v>9200</v>
      </c>
      <c r="N899" s="314"/>
      <c r="O899" s="140" t="s">
        <v>8903</v>
      </c>
      <c r="P899" s="67" t="str">
        <f t="shared" si="1"/>
        <v>50.277576, 28.714058</v>
      </c>
      <c r="Q899" s="67" t="str">
        <f t="shared" si="2"/>
        <v>50.277468, 28.713533</v>
      </c>
      <c r="R899" s="67">
        <f t="shared" si="3"/>
        <v>50.277468</v>
      </c>
      <c r="S899" s="67">
        <f t="shared" si="4"/>
        <v>28.713533</v>
      </c>
      <c r="T899" s="161"/>
      <c r="U899" s="69"/>
      <c r="V899" s="169" t="s">
        <v>9201</v>
      </c>
      <c r="W899" s="71" t="s">
        <v>5904</v>
      </c>
      <c r="X899" s="72" t="s">
        <v>2982</v>
      </c>
      <c r="Y899" s="73"/>
      <c r="Z899" s="73"/>
      <c r="AA899" s="73"/>
      <c r="AB899" s="73"/>
      <c r="AC899" s="73"/>
      <c r="AD899" s="73"/>
      <c r="AE899" s="73"/>
      <c r="AF899" s="73"/>
      <c r="AG899" s="73"/>
      <c r="AH899" s="73"/>
      <c r="AI899" s="73"/>
      <c r="AJ899" s="75"/>
      <c r="AK899" s="76" t="s">
        <v>798</v>
      </c>
      <c r="AL899" s="83" t="s">
        <v>9202</v>
      </c>
      <c r="AM899" s="71" t="s">
        <v>9203</v>
      </c>
      <c r="AN899" s="84" t="s">
        <v>9204</v>
      </c>
      <c r="AO899" s="71" t="s">
        <v>9205</v>
      </c>
      <c r="AP899" s="161" t="str">
        <f>IMAGE("https://bellingcat-archive.nyc3.cdn.digitaloceanspaces.com/Ukraine_Witness_Datasheet/Worksheet/youtube_dl_1497976393162018827/out2.jpg")</f>
        <v/>
      </c>
      <c r="AQ899" s="84" t="s">
        <v>9206</v>
      </c>
      <c r="AR899" s="71" t="s">
        <v>9207</v>
      </c>
      <c r="AS899" s="71" t="s">
        <v>9208</v>
      </c>
      <c r="AT899" s="71">
        <v>14.4</v>
      </c>
      <c r="AU899" s="79" t="s">
        <v>63</v>
      </c>
      <c r="AV899" s="80" t="s">
        <v>3944</v>
      </c>
      <c r="AW899" s="81"/>
    </row>
    <row r="900" ht="15.75" customHeight="1">
      <c r="A900" s="87" t="s">
        <v>63</v>
      </c>
      <c r="B900" s="73"/>
      <c r="C900" s="57" t="s">
        <v>9209</v>
      </c>
      <c r="D900" s="92">
        <v>50.0296983111707</v>
      </c>
      <c r="E900" s="92">
        <v>36.3581881449276</v>
      </c>
      <c r="F900" s="79">
        <v>2.0</v>
      </c>
      <c r="G900" s="84" t="s">
        <v>9210</v>
      </c>
      <c r="H900" s="73"/>
      <c r="I900" s="62" t="s">
        <v>9211</v>
      </c>
      <c r="J900" s="64" t="s">
        <v>9212</v>
      </c>
      <c r="K900" s="88" t="s">
        <v>9213</v>
      </c>
      <c r="L900" s="65" t="s">
        <v>3542</v>
      </c>
      <c r="M900" s="93" t="s">
        <v>5590</v>
      </c>
      <c r="N900" s="314"/>
      <c r="O900" s="227" t="s">
        <v>5626</v>
      </c>
      <c r="P900" s="67" t="str">
        <f t="shared" si="1"/>
        <v>50.0296983111707, 36.3581881449276</v>
      </c>
      <c r="Q900" s="67" t="str">
        <f t="shared" si="2"/>
        <v>50.029106, 36.358014</v>
      </c>
      <c r="R900" s="67">
        <f t="shared" si="3"/>
        <v>50.029106</v>
      </c>
      <c r="S900" s="67">
        <f t="shared" si="4"/>
        <v>36.358014</v>
      </c>
      <c r="T900" s="161"/>
      <c r="U900" s="69"/>
      <c r="V900" s="169" t="s">
        <v>9214</v>
      </c>
      <c r="W900" s="71" t="s">
        <v>5904</v>
      </c>
      <c r="X900" s="72" t="s">
        <v>75</v>
      </c>
      <c r="Y900" s="216" t="s">
        <v>5820</v>
      </c>
      <c r="Z900" s="73"/>
      <c r="AA900" s="73"/>
      <c r="AB900" s="73"/>
      <c r="AC900" s="73"/>
      <c r="AD900" s="73"/>
      <c r="AE900" s="73"/>
      <c r="AF900" s="73"/>
      <c r="AG900" s="73"/>
      <c r="AH900" s="73"/>
      <c r="AI900" s="73"/>
      <c r="AJ900" s="75"/>
      <c r="AK900" s="76" t="s">
        <v>798</v>
      </c>
      <c r="AL900" s="83" t="s">
        <v>9215</v>
      </c>
      <c r="AM900" s="71" t="s">
        <v>9216</v>
      </c>
      <c r="AN900" s="84" t="s">
        <v>9217</v>
      </c>
      <c r="AO900" s="71" t="s">
        <v>9218</v>
      </c>
      <c r="AP900" s="161" t="str">
        <f>IMAGE("https://bellingcat-archive.nyc3.cdn.digitaloceanspaces.com/Ukraine_Witness_Datasheet/Worksheet/youtube_dl_1498234139551715329/out2.jpg")</f>
        <v/>
      </c>
      <c r="AQ900" s="84" t="s">
        <v>9219</v>
      </c>
      <c r="AR900" s="71" t="s">
        <v>9220</v>
      </c>
      <c r="AS900" s="71" t="s">
        <v>9221</v>
      </c>
      <c r="AT900" s="71">
        <v>18.1</v>
      </c>
      <c r="AU900" s="89"/>
      <c r="AV900" s="80" t="s">
        <v>63</v>
      </c>
      <c r="AW900" s="81"/>
    </row>
    <row r="901" ht="15.75" customHeight="1">
      <c r="A901" s="249" t="s">
        <v>6682</v>
      </c>
      <c r="B901" s="73"/>
      <c r="C901" s="57" t="s">
        <v>9028</v>
      </c>
      <c r="D901" s="257" t="s">
        <v>9222</v>
      </c>
      <c r="E901" s="257" t="s">
        <v>9223</v>
      </c>
      <c r="F901" s="89"/>
      <c r="G901" s="84" t="s">
        <v>9224</v>
      </c>
      <c r="H901" s="73"/>
      <c r="I901" s="62" t="s">
        <v>9225</v>
      </c>
      <c r="J901" s="64" t="s">
        <v>9226</v>
      </c>
      <c r="K901" s="69"/>
      <c r="L901" s="65" t="s">
        <v>3542</v>
      </c>
      <c r="M901" s="92" t="s">
        <v>5590</v>
      </c>
      <c r="N901" s="73"/>
      <c r="O901" s="227" t="s">
        <v>9227</v>
      </c>
      <c r="P901" s="67" t="str">
        <f t="shared" si="1"/>
        <v>49.178917, 37.286916</v>
      </c>
      <c r="Q901" s="67" t="str">
        <f t="shared" si="2"/>
        <v>49.178395, 37.28716</v>
      </c>
      <c r="R901" s="67">
        <f t="shared" si="3"/>
        <v>49.178395</v>
      </c>
      <c r="S901" s="67">
        <f t="shared" si="4"/>
        <v>37.28716</v>
      </c>
      <c r="T901" s="161"/>
      <c r="U901" s="69"/>
      <c r="V901" s="169" t="s">
        <v>9228</v>
      </c>
      <c r="W901" s="161"/>
      <c r="X901" s="17" t="s">
        <v>9</v>
      </c>
      <c r="Y901" s="216" t="s">
        <v>5820</v>
      </c>
      <c r="Z901" s="73"/>
      <c r="AA901" s="73"/>
      <c r="AB901" s="73"/>
      <c r="AC901" s="73"/>
      <c r="AD901" s="73"/>
      <c r="AE901" s="73"/>
      <c r="AF901" s="73"/>
      <c r="AG901" s="73"/>
      <c r="AH901" s="73"/>
      <c r="AI901" s="73"/>
      <c r="AJ901" s="75"/>
      <c r="AK901" s="76" t="s">
        <v>6276</v>
      </c>
      <c r="AL901" s="83" t="s">
        <v>9229</v>
      </c>
      <c r="AM901" s="71" t="s">
        <v>9230</v>
      </c>
      <c r="AN901" s="84" t="s">
        <v>9231</v>
      </c>
      <c r="AO901" s="71" t="s">
        <v>9232</v>
      </c>
      <c r="AP901" s="161" t="str">
        <f>IMAGE("https://bellingcat-archive.nyc3.cdn.digitaloceanspaces.com/Ukraine_Witness_Datasheet/Worksheet/telegram_2378eb9765/out2.jpg")</f>
        <v/>
      </c>
      <c r="AQ901" s="84" t="s">
        <v>9233</v>
      </c>
      <c r="AR901" s="84" t="s">
        <v>9224</v>
      </c>
      <c r="AS901" s="71" t="s">
        <v>9234</v>
      </c>
      <c r="AT901" s="71">
        <v>15.0</v>
      </c>
      <c r="AU901" s="89"/>
      <c r="AV901" s="162"/>
      <c r="AW901" s="81"/>
    </row>
    <row r="902" ht="15.75" customHeight="1">
      <c r="A902" s="87" t="s">
        <v>63</v>
      </c>
      <c r="B902" s="73"/>
      <c r="C902" s="57" t="s">
        <v>8024</v>
      </c>
      <c r="D902" s="74">
        <v>50.486</v>
      </c>
      <c r="E902" s="74">
        <v>34.9413</v>
      </c>
      <c r="F902" s="79">
        <v>1.0</v>
      </c>
      <c r="G902" s="84" t="s">
        <v>9235</v>
      </c>
      <c r="H902" s="73"/>
      <c r="I902" s="75"/>
      <c r="J902" s="64" t="s">
        <v>9236</v>
      </c>
      <c r="K902" s="88" t="s">
        <v>9237</v>
      </c>
      <c r="L902" s="65" t="s">
        <v>3542</v>
      </c>
      <c r="M902" s="92" t="s">
        <v>5978</v>
      </c>
      <c r="N902" s="111"/>
      <c r="O902" s="140" t="s">
        <v>9238</v>
      </c>
      <c r="P902" s="67" t="str">
        <f t="shared" si="1"/>
        <v>50.486, 34.9413</v>
      </c>
      <c r="Q902" s="67" t="str">
        <f t="shared" si="2"/>
        <v>50.485711, 34.940858</v>
      </c>
      <c r="R902" s="67">
        <f t="shared" si="3"/>
        <v>50.485711</v>
      </c>
      <c r="S902" s="67">
        <f t="shared" si="4"/>
        <v>34.940858</v>
      </c>
      <c r="T902" s="161"/>
      <c r="U902" s="69"/>
      <c r="V902" s="169" t="s">
        <v>9239</v>
      </c>
      <c r="W902" s="71" t="s">
        <v>5739</v>
      </c>
      <c r="X902" s="72" t="s">
        <v>75</v>
      </c>
      <c r="Y902" s="73"/>
      <c r="Z902" s="73"/>
      <c r="AA902" s="73"/>
      <c r="AB902" s="73"/>
      <c r="AC902" s="73"/>
      <c r="AD902" s="73"/>
      <c r="AE902" s="73"/>
      <c r="AF902" s="73"/>
      <c r="AG902" s="73"/>
      <c r="AH902" s="73"/>
      <c r="AI902" s="73"/>
      <c r="AJ902" s="75"/>
      <c r="AK902" s="76" t="s">
        <v>798</v>
      </c>
      <c r="AL902" s="83" t="s">
        <v>9240</v>
      </c>
      <c r="AM902" s="71" t="s">
        <v>9241</v>
      </c>
      <c r="AN902" s="84" t="s">
        <v>9242</v>
      </c>
      <c r="AO902" s="71" t="s">
        <v>9243</v>
      </c>
      <c r="AP902" s="161" t="str">
        <f>IMAGE("https://bellingcat-archive.nyc3.cdn.digitaloceanspaces.com/Ukraine_Witness_Datasheet/Worksheet/youtube_dl_1497886223238635522/out3.jpg")</f>
        <v/>
      </c>
      <c r="AQ902" s="84" t="s">
        <v>9244</v>
      </c>
      <c r="AR902" s="71" t="s">
        <v>9245</v>
      </c>
      <c r="AS902" s="71" t="s">
        <v>9246</v>
      </c>
      <c r="AT902" s="71">
        <v>69.888</v>
      </c>
      <c r="AU902" s="89"/>
      <c r="AV902" s="80" t="s">
        <v>63</v>
      </c>
      <c r="AW902" s="81"/>
    </row>
    <row r="903" ht="15.75" customHeight="1">
      <c r="A903" s="87" t="s">
        <v>63</v>
      </c>
      <c r="B903" s="73"/>
      <c r="C903" s="57" t="s">
        <v>8024</v>
      </c>
      <c r="D903" s="74">
        <v>50.02649</v>
      </c>
      <c r="E903" s="74">
        <v>36.364597</v>
      </c>
      <c r="F903" s="79">
        <v>2.0</v>
      </c>
      <c r="G903" s="84" t="s">
        <v>9247</v>
      </c>
      <c r="H903" s="73"/>
      <c r="I903" s="75"/>
      <c r="J903" s="64" t="s">
        <v>9248</v>
      </c>
      <c r="K903" s="88" t="s">
        <v>9249</v>
      </c>
      <c r="L903" s="65" t="s">
        <v>3542</v>
      </c>
      <c r="M903" s="92" t="s">
        <v>5590</v>
      </c>
      <c r="N903" s="111"/>
      <c r="O903" s="140" t="s">
        <v>5626</v>
      </c>
      <c r="P903" s="67" t="str">
        <f t="shared" si="1"/>
        <v>50.02649, 36.364597</v>
      </c>
      <c r="Q903" s="67" t="str">
        <f t="shared" si="2"/>
        <v>50.026402, 36.363983</v>
      </c>
      <c r="R903" s="67">
        <f t="shared" si="3"/>
        <v>50.026402</v>
      </c>
      <c r="S903" s="67">
        <f t="shared" si="4"/>
        <v>36.363983</v>
      </c>
      <c r="T903" s="161"/>
      <c r="U903" s="69"/>
      <c r="V903" s="169" t="s">
        <v>9250</v>
      </c>
      <c r="W903" s="71" t="s">
        <v>3601</v>
      </c>
      <c r="X903" s="72" t="s">
        <v>75</v>
      </c>
      <c r="Y903" s="73"/>
      <c r="Z903" s="73"/>
      <c r="AA903" s="73"/>
      <c r="AB903" s="73"/>
      <c r="AC903" s="73"/>
      <c r="AD903" s="73"/>
      <c r="AE903" s="73"/>
      <c r="AF903" s="73"/>
      <c r="AG903" s="73"/>
      <c r="AH903" s="73"/>
      <c r="AI903" s="73"/>
      <c r="AJ903" s="75"/>
      <c r="AK903" s="76" t="s">
        <v>798</v>
      </c>
      <c r="AL903" s="83" t="s">
        <v>9251</v>
      </c>
      <c r="AM903" s="71" t="s">
        <v>9252</v>
      </c>
      <c r="AN903" s="84" t="s">
        <v>9253</v>
      </c>
      <c r="AO903" s="71" t="s">
        <v>9254</v>
      </c>
      <c r="AP903" s="161" t="str">
        <f>IMAGE("https://bellingcat-archive.nyc3.cdn.digitaloceanspaces.com/Ukraine_Witness_Datasheet/Worksheet/youtube_dl_1498046850766671881/out2.jpg")</f>
        <v/>
      </c>
      <c r="AQ903" s="84" t="s">
        <v>9255</v>
      </c>
      <c r="AR903" s="71" t="s">
        <v>9256</v>
      </c>
      <c r="AS903" s="71" t="s">
        <v>9257</v>
      </c>
      <c r="AT903" s="71">
        <v>23.8</v>
      </c>
      <c r="AU903" s="89"/>
      <c r="AV903" s="80" t="s">
        <v>63</v>
      </c>
      <c r="AW903" s="81"/>
    </row>
    <row r="904" ht="15.75" customHeight="1">
      <c r="A904" s="204" t="s">
        <v>63</v>
      </c>
      <c r="B904" s="73"/>
      <c r="C904" s="57" t="s">
        <v>9028</v>
      </c>
      <c r="D904" s="74">
        <v>46.755679</v>
      </c>
      <c r="E904" s="74">
        <v>36.788605</v>
      </c>
      <c r="F904" s="79">
        <v>1.0</v>
      </c>
      <c r="G904" s="84" t="s">
        <v>9258</v>
      </c>
      <c r="H904" s="73"/>
      <c r="I904" s="75"/>
      <c r="J904" s="64" t="s">
        <v>9259</v>
      </c>
      <c r="K904" s="69"/>
      <c r="L904" s="65" t="s">
        <v>3542</v>
      </c>
      <c r="M904" s="92" t="s">
        <v>6167</v>
      </c>
      <c r="N904" s="111"/>
      <c r="O904" s="92" t="s">
        <v>8841</v>
      </c>
      <c r="P904" s="67" t="str">
        <f t="shared" si="1"/>
        <v>46.755679, 36.788605</v>
      </c>
      <c r="Q904" s="67" t="str">
        <f t="shared" si="2"/>
        <v>46.7551, 36.789394</v>
      </c>
      <c r="R904" s="67">
        <f t="shared" si="3"/>
        <v>46.7551</v>
      </c>
      <c r="S904" s="67">
        <f t="shared" si="4"/>
        <v>36.789394</v>
      </c>
      <c r="T904" s="161"/>
      <c r="U904" s="69"/>
      <c r="V904" s="169" t="s">
        <v>9260</v>
      </c>
      <c r="W904" s="71" t="s">
        <v>5858</v>
      </c>
      <c r="X904" s="72" t="s">
        <v>2982</v>
      </c>
      <c r="Y904" s="73"/>
      <c r="Z904" s="73"/>
      <c r="AA904" s="73"/>
      <c r="AB904" s="73"/>
      <c r="AC904" s="73"/>
      <c r="AD904" s="73"/>
      <c r="AE904" s="73"/>
      <c r="AF904" s="73"/>
      <c r="AG904" s="73"/>
      <c r="AH904" s="73"/>
      <c r="AI904" s="73"/>
      <c r="AJ904" s="75"/>
      <c r="AK904" s="76" t="s">
        <v>798</v>
      </c>
      <c r="AL904" s="83" t="s">
        <v>9261</v>
      </c>
      <c r="AM904" s="71" t="s">
        <v>9262</v>
      </c>
      <c r="AN904" s="84" t="s">
        <v>9263</v>
      </c>
      <c r="AO904" s="71" t="s">
        <v>9264</v>
      </c>
      <c r="AP904" s="161" t="str">
        <f>IMAGE("https://bellingcat-archive.nyc3.cdn.digitaloceanspaces.com/Ukraine_Witness_Datasheet/Worksheet/youtube_dl_1498222205901185029/out2.jpg")</f>
        <v/>
      </c>
      <c r="AQ904" s="84" t="s">
        <v>9265</v>
      </c>
      <c r="AR904" s="71" t="s">
        <v>9266</v>
      </c>
      <c r="AS904" s="71" t="s">
        <v>9267</v>
      </c>
      <c r="AT904" s="71">
        <v>32.645</v>
      </c>
      <c r="AU904" s="79" t="s">
        <v>63</v>
      </c>
      <c r="AV904" s="80" t="s">
        <v>3944</v>
      </c>
      <c r="AW904" s="81"/>
    </row>
    <row r="905" ht="15.75" customHeight="1">
      <c r="A905" s="204" t="s">
        <v>63</v>
      </c>
      <c r="B905" s="73"/>
      <c r="C905" s="57" t="s">
        <v>9028</v>
      </c>
      <c r="D905" s="74">
        <v>50.028497</v>
      </c>
      <c r="E905" s="74">
        <v>36.362763</v>
      </c>
      <c r="F905" s="79">
        <v>2.0</v>
      </c>
      <c r="G905" s="60" t="s">
        <v>9268</v>
      </c>
      <c r="H905" s="61" t="s">
        <v>66</v>
      </c>
      <c r="I905" s="62" t="s">
        <v>9211</v>
      </c>
      <c r="J905" s="64" t="s">
        <v>9212</v>
      </c>
      <c r="K905" s="69"/>
      <c r="L905" s="65" t="s">
        <v>3542</v>
      </c>
      <c r="M905" s="92" t="s">
        <v>5590</v>
      </c>
      <c r="N905" s="111"/>
      <c r="O905" s="140" t="s">
        <v>5626</v>
      </c>
      <c r="P905" s="67" t="str">
        <f t="shared" si="1"/>
        <v>50.028497, 36.362763</v>
      </c>
      <c r="Q905" s="67" t="str">
        <f t="shared" si="2"/>
        <v>50.028324, 36.363819</v>
      </c>
      <c r="R905" s="67">
        <f t="shared" si="3"/>
        <v>50.028324</v>
      </c>
      <c r="S905" s="67">
        <f t="shared" si="4"/>
        <v>36.363819</v>
      </c>
      <c r="T905" s="161"/>
      <c r="U905" s="69"/>
      <c r="V905" s="169" t="s">
        <v>9269</v>
      </c>
      <c r="W905" s="71" t="s">
        <v>5904</v>
      </c>
      <c r="X905" s="72" t="s">
        <v>2982</v>
      </c>
      <c r="Y905" s="216" t="s">
        <v>5820</v>
      </c>
      <c r="Z905" s="73"/>
      <c r="AA905" s="73"/>
      <c r="AB905" s="73"/>
      <c r="AC905" s="73"/>
      <c r="AD905" s="73"/>
      <c r="AE905" s="73"/>
      <c r="AF905" s="73"/>
      <c r="AG905" s="73"/>
      <c r="AH905" s="73"/>
      <c r="AI905" s="73"/>
      <c r="AJ905" s="75"/>
      <c r="AK905" s="76" t="s">
        <v>798</v>
      </c>
      <c r="AL905" s="83" t="s">
        <v>9270</v>
      </c>
      <c r="AM905" s="71" t="s">
        <v>9271</v>
      </c>
      <c r="AN905" s="84" t="s">
        <v>9272</v>
      </c>
      <c r="AO905" s="71" t="s">
        <v>9273</v>
      </c>
      <c r="AP905" s="161" t="str">
        <f>IMAGE("https://bellingcat-archive.nyc3.cdn.digitaloceanspaces.com/Ukraine_Witness_Datasheet/Worksheet/youtube_dl_1498238338859425792/out2.jpg")</f>
        <v/>
      </c>
      <c r="AQ905" s="84" t="s">
        <v>9274</v>
      </c>
      <c r="AR905" s="71" t="s">
        <v>9275</v>
      </c>
      <c r="AS905" s="71" t="s">
        <v>9276</v>
      </c>
      <c r="AT905" s="71">
        <v>23.641</v>
      </c>
      <c r="AU905" s="79" t="s">
        <v>63</v>
      </c>
      <c r="AV905" s="80" t="s">
        <v>3944</v>
      </c>
      <c r="AW905" s="81"/>
    </row>
    <row r="906" ht="15.75" customHeight="1">
      <c r="A906" s="349" t="s">
        <v>7092</v>
      </c>
      <c r="B906" s="73"/>
      <c r="C906" s="57" t="s">
        <v>9028</v>
      </c>
      <c r="D906" s="74">
        <v>50.028497</v>
      </c>
      <c r="E906" s="74">
        <v>36.362763</v>
      </c>
      <c r="F906" s="79"/>
      <c r="G906" s="60" t="s">
        <v>9277</v>
      </c>
      <c r="H906" s="61" t="s">
        <v>66</v>
      </c>
      <c r="I906" s="62" t="s">
        <v>9211</v>
      </c>
      <c r="J906" s="64" t="s">
        <v>9212</v>
      </c>
      <c r="K906" s="69"/>
      <c r="L906" s="65" t="s">
        <v>3542</v>
      </c>
      <c r="M906" s="92" t="s">
        <v>5590</v>
      </c>
      <c r="N906" s="111"/>
      <c r="O906" s="140" t="s">
        <v>5626</v>
      </c>
      <c r="P906" s="67" t="str">
        <f t="shared" si="1"/>
        <v>50.028497, 36.362763</v>
      </c>
      <c r="Q906" s="67" t="str">
        <f t="shared" si="2"/>
        <v>50.028113, 36.362364</v>
      </c>
      <c r="R906" s="67">
        <f t="shared" si="3"/>
        <v>50.028113</v>
      </c>
      <c r="S906" s="67">
        <f t="shared" si="4"/>
        <v>36.362364</v>
      </c>
      <c r="T906" s="161"/>
      <c r="U906" s="69"/>
      <c r="V906" s="169"/>
      <c r="W906" s="71"/>
      <c r="X906" s="72"/>
      <c r="Y906" s="216" t="s">
        <v>5820</v>
      </c>
      <c r="Z906" s="73"/>
      <c r="AA906" s="73"/>
      <c r="AB906" s="73"/>
      <c r="AC906" s="73"/>
      <c r="AD906" s="73"/>
      <c r="AE906" s="73"/>
      <c r="AF906" s="73"/>
      <c r="AG906" s="73"/>
      <c r="AH906" s="73"/>
      <c r="AI906" s="73"/>
      <c r="AJ906" s="75"/>
      <c r="AK906" s="76" t="s">
        <v>798</v>
      </c>
      <c r="AL906" s="83" t="s">
        <v>9278</v>
      </c>
      <c r="AM906" s="71" t="s">
        <v>9279</v>
      </c>
      <c r="AN906" s="84" t="s">
        <v>9280</v>
      </c>
      <c r="AO906" s="71" t="s">
        <v>9281</v>
      </c>
      <c r="AP906" s="161" t="str">
        <f>IMAGE("https://bellingcat-archive.nyc3.cdn.digitaloceanspaces.com/Ukraine_Witness_Datasheet/Worksheet/youtube_dl_1498236561816756224/out2.jpg")</f>
        <v/>
      </c>
      <c r="AQ906" s="84" t="s">
        <v>9282</v>
      </c>
      <c r="AR906" s="71" t="s">
        <v>9283</v>
      </c>
      <c r="AS906" s="71" t="s">
        <v>9284</v>
      </c>
      <c r="AT906" s="71">
        <v>23.637</v>
      </c>
      <c r="AU906" s="79"/>
      <c r="AV906" s="80"/>
      <c r="AW906" s="81"/>
    </row>
    <row r="907" ht="15.75" customHeight="1">
      <c r="A907" s="87" t="s">
        <v>3944</v>
      </c>
      <c r="B907" s="73"/>
      <c r="C907" s="57" t="s">
        <v>9028</v>
      </c>
      <c r="D907" s="74">
        <v>50.031577</v>
      </c>
      <c r="E907" s="74">
        <v>36.359121</v>
      </c>
      <c r="F907" s="79">
        <v>2.0</v>
      </c>
      <c r="G907" s="84" t="s">
        <v>9285</v>
      </c>
      <c r="H907" s="73"/>
      <c r="I907" s="75"/>
      <c r="J907" s="64" t="s">
        <v>9286</v>
      </c>
      <c r="K907" s="88" t="s">
        <v>9287</v>
      </c>
      <c r="L907" s="65" t="s">
        <v>3542</v>
      </c>
      <c r="M907" s="92" t="s">
        <v>5590</v>
      </c>
      <c r="N907" s="111"/>
      <c r="O907" s="140" t="s">
        <v>5626</v>
      </c>
      <c r="P907" s="67" t="str">
        <f t="shared" si="1"/>
        <v>50.031577, 36.359121</v>
      </c>
      <c r="Q907" s="67" t="str">
        <f t="shared" si="2"/>
        <v>50.030858, 36.359323</v>
      </c>
      <c r="R907" s="67">
        <f t="shared" si="3"/>
        <v>50.030858</v>
      </c>
      <c r="S907" s="67">
        <f t="shared" si="4"/>
        <v>36.359323</v>
      </c>
      <c r="T907" s="161"/>
      <c r="U907" s="69"/>
      <c r="V907" s="169" t="s">
        <v>9288</v>
      </c>
      <c r="W907" s="71" t="s">
        <v>3546</v>
      </c>
      <c r="X907" s="72" t="s">
        <v>75</v>
      </c>
      <c r="Y907" s="73"/>
      <c r="Z907" s="73"/>
      <c r="AA907" s="73"/>
      <c r="AB907" s="73"/>
      <c r="AC907" s="73"/>
      <c r="AD907" s="73"/>
      <c r="AE907" s="73"/>
      <c r="AF907" s="73"/>
      <c r="AG907" s="73"/>
      <c r="AH907" s="73"/>
      <c r="AI907" s="73"/>
      <c r="AJ907" s="75"/>
      <c r="AK907" s="76" t="s">
        <v>798</v>
      </c>
      <c r="AL907" s="83" t="s">
        <v>9289</v>
      </c>
      <c r="AM907" s="71" t="s">
        <v>9290</v>
      </c>
      <c r="AN907" s="84" t="s">
        <v>9291</v>
      </c>
      <c r="AO907" s="71" t="s">
        <v>9292</v>
      </c>
      <c r="AP907" s="161" t="str">
        <f>IMAGE("https://bellingcat-archive.nyc3.cdn.digitaloceanspaces.com/Ukraine_Witness_Datasheet/Worksheet/youtube_dl_1498246411774799874/out2.jpg")</f>
        <v/>
      </c>
      <c r="AQ907" s="84" t="s">
        <v>9293</v>
      </c>
      <c r="AR907" s="71" t="s">
        <v>9294</v>
      </c>
      <c r="AS907" s="71" t="s">
        <v>9295</v>
      </c>
      <c r="AT907" s="71">
        <v>22.933</v>
      </c>
      <c r="AU907" s="79" t="s">
        <v>63</v>
      </c>
      <c r="AV907" s="162"/>
      <c r="AW907" s="81"/>
    </row>
    <row r="908" ht="15.75" customHeight="1">
      <c r="A908" s="204" t="s">
        <v>63</v>
      </c>
      <c r="B908" s="73"/>
      <c r="C908" s="57" t="s">
        <v>8024</v>
      </c>
      <c r="D908" s="74">
        <v>46.78943</v>
      </c>
      <c r="E908" s="74">
        <v>36.738307</v>
      </c>
      <c r="F908" s="79">
        <v>2.0</v>
      </c>
      <c r="G908" s="84" t="s">
        <v>9296</v>
      </c>
      <c r="H908" s="73"/>
      <c r="I908" s="62"/>
      <c r="J908" s="64" t="s">
        <v>9297</v>
      </c>
      <c r="K908" s="69"/>
      <c r="L908" s="65" t="s">
        <v>3542</v>
      </c>
      <c r="M908" s="92" t="s">
        <v>6167</v>
      </c>
      <c r="N908" s="111"/>
      <c r="O908" s="92" t="s">
        <v>8841</v>
      </c>
      <c r="P908" s="67" t="str">
        <f t="shared" si="1"/>
        <v>46.78943, 36.738307</v>
      </c>
      <c r="Q908" s="67" t="str">
        <f t="shared" si="2"/>
        <v>46.788768, 36.737804</v>
      </c>
      <c r="R908" s="67">
        <f t="shared" si="3"/>
        <v>46.788768</v>
      </c>
      <c r="S908" s="67">
        <f t="shared" si="4"/>
        <v>36.737804</v>
      </c>
      <c r="T908" s="161"/>
      <c r="U908" s="69"/>
      <c r="V908" s="169" t="s">
        <v>9298</v>
      </c>
      <c r="W908" s="71" t="s">
        <v>5739</v>
      </c>
      <c r="X908" s="72" t="s">
        <v>2982</v>
      </c>
      <c r="Y908" s="73"/>
      <c r="Z908" s="73"/>
      <c r="AA908" s="73"/>
      <c r="AB908" s="73"/>
      <c r="AC908" s="73"/>
      <c r="AD908" s="73"/>
      <c r="AE908" s="73"/>
      <c r="AF908" s="73"/>
      <c r="AG908" s="73"/>
      <c r="AH908" s="73"/>
      <c r="AI908" s="73"/>
      <c r="AJ908" s="75"/>
      <c r="AK908" s="76" t="s">
        <v>798</v>
      </c>
      <c r="AL908" s="83" t="s">
        <v>9299</v>
      </c>
      <c r="AM908" s="71" t="s">
        <v>9300</v>
      </c>
      <c r="AN908" s="84" t="s">
        <v>9301</v>
      </c>
      <c r="AO908" s="71" t="s">
        <v>9302</v>
      </c>
      <c r="AP908" s="161" t="str">
        <f>IMAGE("https://bellingcat-archive.nyc3.cdn.digitaloceanspaces.com/Ukraine_Witness_Datasheet/Worksheet/youtube_dl_1497947456885170182/out2.jpg")</f>
        <v/>
      </c>
      <c r="AQ908" s="84" t="s">
        <v>9303</v>
      </c>
      <c r="AR908" s="71" t="s">
        <v>9304</v>
      </c>
      <c r="AS908" s="71" t="s">
        <v>9305</v>
      </c>
      <c r="AT908" s="71">
        <v>7.666</v>
      </c>
      <c r="AU908" s="89"/>
      <c r="AV908" s="80" t="s">
        <v>3944</v>
      </c>
      <c r="AW908" s="81"/>
    </row>
    <row r="909" ht="15.75" customHeight="1">
      <c r="A909" s="144"/>
      <c r="B909" s="73"/>
      <c r="C909" s="338" t="s">
        <v>9028</v>
      </c>
      <c r="D909" s="104"/>
      <c r="E909" s="121"/>
      <c r="F909" s="79">
        <v>1.0</v>
      </c>
      <c r="G909" s="84" t="s">
        <v>9306</v>
      </c>
      <c r="H909" s="61"/>
      <c r="I909" s="62"/>
      <c r="J909" s="69"/>
      <c r="K909" s="69"/>
      <c r="L909" s="65" t="s">
        <v>3542</v>
      </c>
      <c r="M909" s="92" t="s">
        <v>5590</v>
      </c>
      <c r="N909" s="111"/>
      <c r="O909" s="92" t="s">
        <v>5626</v>
      </c>
      <c r="P909" s="67" t="str">
        <f t="shared" si="1"/>
        <v/>
      </c>
      <c r="Q909" s="67" t="str">
        <f t="shared" si="2"/>
        <v/>
      </c>
      <c r="R909" s="67" t="str">
        <f t="shared" si="3"/>
        <v/>
      </c>
      <c r="S909" s="67" t="str">
        <f t="shared" si="4"/>
        <v/>
      </c>
      <c r="T909" s="161"/>
      <c r="U909" s="69"/>
      <c r="V909" s="169" t="s">
        <v>9307</v>
      </c>
      <c r="W909" s="161"/>
      <c r="X909" s="194"/>
      <c r="Y909" s="73"/>
      <c r="Z909" s="73"/>
      <c r="AA909" s="73"/>
      <c r="AB909" s="73"/>
      <c r="AC909" s="73"/>
      <c r="AD909" s="73"/>
      <c r="AE909" s="73"/>
      <c r="AF909" s="73"/>
      <c r="AG909" s="73"/>
      <c r="AH909" s="73"/>
      <c r="AI909" s="73"/>
      <c r="AJ909" s="75"/>
      <c r="AK909" s="76" t="s">
        <v>798</v>
      </c>
      <c r="AL909" s="83" t="s">
        <v>9308</v>
      </c>
      <c r="AM909" s="71" t="s">
        <v>9309</v>
      </c>
      <c r="AN909" s="84" t="s">
        <v>9310</v>
      </c>
      <c r="AO909" s="71" t="s">
        <v>9311</v>
      </c>
      <c r="AP909" s="161" t="str">
        <f>IMAGE("https://bellingcat-archive.nyc3.cdn.digitaloceanspaces.com/Ukraine_Witness_Datasheet/Worksheet/youtube_dl_1498223091968839680/out2.jpg")</f>
        <v/>
      </c>
      <c r="AQ909" s="84" t="s">
        <v>9312</v>
      </c>
      <c r="AR909" s="71" t="s">
        <v>9313</v>
      </c>
      <c r="AS909" s="71" t="s">
        <v>9314</v>
      </c>
      <c r="AT909" s="71">
        <v>8.4</v>
      </c>
      <c r="AU909" s="89"/>
      <c r="AV909" s="162"/>
      <c r="AW909" s="81"/>
    </row>
    <row r="910" ht="15.75" customHeight="1">
      <c r="A910" s="95" t="s">
        <v>3944</v>
      </c>
      <c r="B910" s="73"/>
      <c r="C910" s="338" t="s">
        <v>9028</v>
      </c>
      <c r="D910" s="104">
        <v>51.52561</v>
      </c>
      <c r="E910" s="104">
        <v>31.32975</v>
      </c>
      <c r="F910" s="79">
        <v>2.0</v>
      </c>
      <c r="G910" s="60" t="s">
        <v>9315</v>
      </c>
      <c r="H910" s="73"/>
      <c r="I910" s="75"/>
      <c r="J910" s="64" t="s">
        <v>9316</v>
      </c>
      <c r="K910" s="69"/>
      <c r="L910" s="65" t="s">
        <v>3542</v>
      </c>
      <c r="M910" s="92" t="s">
        <v>5880</v>
      </c>
      <c r="N910" s="111"/>
      <c r="O910" s="92" t="s">
        <v>8524</v>
      </c>
      <c r="P910" s="67" t="str">
        <f t="shared" si="1"/>
        <v>51.52561, 31.32975</v>
      </c>
      <c r="Q910" s="67" t="str">
        <f t="shared" si="2"/>
        <v>51.525339, 31.329303</v>
      </c>
      <c r="R910" s="67">
        <f t="shared" si="3"/>
        <v>51.525339</v>
      </c>
      <c r="S910" s="67">
        <f t="shared" si="4"/>
        <v>31.329303</v>
      </c>
      <c r="T910" s="330"/>
      <c r="U910" s="69"/>
      <c r="V910" s="169" t="s">
        <v>9317</v>
      </c>
      <c r="W910" s="71" t="s">
        <v>3601</v>
      </c>
      <c r="X910" s="72" t="s">
        <v>75</v>
      </c>
      <c r="Y910" s="73"/>
      <c r="Z910" s="73"/>
      <c r="AA910" s="73"/>
      <c r="AB910" s="73"/>
      <c r="AC910" s="73"/>
      <c r="AD910" s="73"/>
      <c r="AE910" s="73"/>
      <c r="AF910" s="73"/>
      <c r="AG910" s="73"/>
      <c r="AH910" s="73"/>
      <c r="AI910" s="73"/>
      <c r="AJ910" s="75"/>
      <c r="AK910" s="76" t="s">
        <v>930</v>
      </c>
      <c r="AL910" s="83" t="s">
        <v>9318</v>
      </c>
      <c r="AM910" s="71" t="s">
        <v>9319</v>
      </c>
      <c r="AN910" s="84" t="s">
        <v>9320</v>
      </c>
      <c r="AO910" s="71" t="s">
        <v>9321</v>
      </c>
      <c r="AP910" s="161" t="str">
        <f>IMAGE("https://bellingcat-archive.nyc3.cdn.digitaloceanspaces.com/Ukraine_Witness_Datasheet/Worksheet/youtube_dl_1498252747291992064/out2.jpg")</f>
        <v/>
      </c>
      <c r="AQ910" s="84" t="s">
        <v>9322</v>
      </c>
      <c r="AR910" s="71" t="s">
        <v>9323</v>
      </c>
      <c r="AS910" s="71" t="s">
        <v>9324</v>
      </c>
      <c r="AT910" s="71">
        <v>22.0</v>
      </c>
      <c r="AU910" s="89"/>
      <c r="AV910" s="80" t="s">
        <v>63</v>
      </c>
      <c r="AW910" s="81"/>
    </row>
    <row r="911" ht="15.75" customHeight="1">
      <c r="A911" s="95" t="s">
        <v>9325</v>
      </c>
      <c r="B911" s="73"/>
      <c r="C911" s="57" t="s">
        <v>9028</v>
      </c>
      <c r="D911" s="104">
        <v>50.003357</v>
      </c>
      <c r="E911" s="104">
        <v>36.332974</v>
      </c>
      <c r="F911" s="79">
        <v>2.0</v>
      </c>
      <c r="G911" s="84" t="s">
        <v>9326</v>
      </c>
      <c r="H911" s="61" t="s">
        <v>66</v>
      </c>
      <c r="I911" s="62" t="s">
        <v>9327</v>
      </c>
      <c r="J911" s="64" t="s">
        <v>9328</v>
      </c>
      <c r="K911" s="69"/>
      <c r="L911" s="65" t="s">
        <v>3542</v>
      </c>
      <c r="M911" s="92" t="s">
        <v>5590</v>
      </c>
      <c r="N911" s="111"/>
      <c r="O911" s="225" t="s">
        <v>5626</v>
      </c>
      <c r="P911" s="67" t="str">
        <f t="shared" si="1"/>
        <v>50.003357, 36.332974</v>
      </c>
      <c r="Q911" s="67" t="str">
        <f t="shared" si="2"/>
        <v>50.002916, 36.333352</v>
      </c>
      <c r="R911" s="67">
        <f t="shared" si="3"/>
        <v>50.002916</v>
      </c>
      <c r="S911" s="67">
        <f t="shared" si="4"/>
        <v>36.333352</v>
      </c>
      <c r="T911" s="71" t="s">
        <v>9329</v>
      </c>
      <c r="U911" s="64" t="s">
        <v>9330</v>
      </c>
      <c r="V911" s="169" t="s">
        <v>9331</v>
      </c>
      <c r="W911" s="71" t="s">
        <v>5904</v>
      </c>
      <c r="X911" s="72" t="s">
        <v>75</v>
      </c>
      <c r="Y911" s="216" t="s">
        <v>5820</v>
      </c>
      <c r="Z911" s="73"/>
      <c r="AA911" s="73"/>
      <c r="AB911" s="73"/>
      <c r="AC911" s="73"/>
      <c r="AD911" s="73"/>
      <c r="AE911" s="73"/>
      <c r="AF911" s="73"/>
      <c r="AG911" s="73"/>
      <c r="AH911" s="73"/>
      <c r="AI911" s="73"/>
      <c r="AJ911" s="75"/>
      <c r="AK911" s="76" t="s">
        <v>6276</v>
      </c>
      <c r="AL911" s="83" t="s">
        <v>9332</v>
      </c>
      <c r="AM911" s="71" t="s">
        <v>9333</v>
      </c>
      <c r="AN911" s="84" t="s">
        <v>9334</v>
      </c>
      <c r="AO911" s="71" t="s">
        <v>9335</v>
      </c>
      <c r="AP911" s="161" t="str">
        <f>IMAGE("https://bellingcat-archive.nyc3.cdn.digitaloceanspaces.com/Ukraine_Witness_Datasheet/Worksheet/telegram_a306f32284/out2.jpg")</f>
        <v/>
      </c>
      <c r="AQ911" s="84" t="s">
        <v>9336</v>
      </c>
      <c r="AR911" s="84" t="s">
        <v>9326</v>
      </c>
      <c r="AS911" s="71" t="s">
        <v>9337</v>
      </c>
      <c r="AT911" s="71">
        <v>15.0</v>
      </c>
      <c r="AU911" s="89"/>
      <c r="AV911" s="80" t="s">
        <v>63</v>
      </c>
      <c r="AW911" s="81"/>
    </row>
    <row r="912" ht="15.75" customHeight="1">
      <c r="A912" s="350" t="s">
        <v>9338</v>
      </c>
      <c r="B912" s="73"/>
      <c r="C912" s="57" t="s">
        <v>9028</v>
      </c>
      <c r="D912" s="351">
        <v>50.020702</v>
      </c>
      <c r="E912" s="352">
        <v>36.347589</v>
      </c>
      <c r="F912" s="89"/>
      <c r="G912" s="84" t="s">
        <v>9339</v>
      </c>
      <c r="H912" s="61" t="s">
        <v>5522</v>
      </c>
      <c r="I912" s="62" t="s">
        <v>9340</v>
      </c>
      <c r="J912" s="64" t="s">
        <v>9341</v>
      </c>
      <c r="K912" s="69"/>
      <c r="L912" s="65" t="s">
        <v>3542</v>
      </c>
      <c r="M912" s="111"/>
      <c r="N912" s="111"/>
      <c r="O912" s="92" t="s">
        <v>9342</v>
      </c>
      <c r="P912" s="67" t="str">
        <f t="shared" si="1"/>
        <v>50.020702, 36.347589</v>
      </c>
      <c r="Q912" s="67" t="str">
        <f t="shared" si="2"/>
        <v>50.020066, 36.346946</v>
      </c>
      <c r="R912" s="67">
        <f t="shared" si="3"/>
        <v>50.020066</v>
      </c>
      <c r="S912" s="67">
        <f t="shared" si="4"/>
        <v>36.346946</v>
      </c>
      <c r="T912" s="161"/>
      <c r="U912" s="69"/>
      <c r="V912" s="169" t="s">
        <v>9343</v>
      </c>
      <c r="W912" s="161"/>
      <c r="X912" s="194"/>
      <c r="Y912" s="216" t="s">
        <v>5820</v>
      </c>
      <c r="Z912" s="73"/>
      <c r="AA912" s="73"/>
      <c r="AB912" s="73"/>
      <c r="AC912" s="73"/>
      <c r="AD912" s="73"/>
      <c r="AE912" s="73"/>
      <c r="AF912" s="73"/>
      <c r="AG912" s="73"/>
      <c r="AH912" s="73"/>
      <c r="AI912" s="73"/>
      <c r="AJ912" s="75"/>
      <c r="AK912" s="76" t="s">
        <v>6276</v>
      </c>
      <c r="AL912" s="83" t="s">
        <v>9344</v>
      </c>
      <c r="AM912" s="71" t="s">
        <v>9345</v>
      </c>
      <c r="AN912" s="84" t="s">
        <v>9346</v>
      </c>
      <c r="AO912" s="71" t="s">
        <v>9347</v>
      </c>
      <c r="AP912" s="161" t="str">
        <f>IMAGE("https://bellingcat-archive.nyc3.cdn.digitaloceanspaces.com/Ukraine_Witness_Datasheet/Worksheet/telegram_d57cb6089f/out2.jpg")</f>
        <v/>
      </c>
      <c r="AQ912" s="84" t="s">
        <v>9348</v>
      </c>
      <c r="AR912" s="84" t="s">
        <v>9339</v>
      </c>
      <c r="AS912" s="71" t="s">
        <v>9349</v>
      </c>
      <c r="AT912" s="71">
        <v>19.0</v>
      </c>
      <c r="AU912" s="89"/>
      <c r="AV912" s="162"/>
      <c r="AW912" s="81"/>
    </row>
    <row r="913" ht="15.75" customHeight="1">
      <c r="A913" s="249" t="s">
        <v>7092</v>
      </c>
      <c r="B913" s="73"/>
      <c r="C913" s="57" t="s">
        <v>9028</v>
      </c>
      <c r="D913" s="241" t="s">
        <v>9350</v>
      </c>
      <c r="E913" s="241" t="s">
        <v>9351</v>
      </c>
      <c r="F913" s="89"/>
      <c r="G913" s="84" t="s">
        <v>9352</v>
      </c>
      <c r="H913" s="73"/>
      <c r="I913" s="62" t="s">
        <v>9353</v>
      </c>
      <c r="J913" s="183" t="s">
        <v>9354</v>
      </c>
      <c r="K913" s="69"/>
      <c r="L913" s="65" t="s">
        <v>3542</v>
      </c>
      <c r="M913" s="92" t="s">
        <v>5750</v>
      </c>
      <c r="N913" s="111"/>
      <c r="O913" s="225" t="s">
        <v>7142</v>
      </c>
      <c r="P913" s="67" t="str">
        <f t="shared" si="1"/>
        <v>47.6125831, 37.4873847</v>
      </c>
      <c r="Q913" s="67" t="str">
        <f t="shared" si="2"/>
        <v>47.612384, 37.487923</v>
      </c>
      <c r="R913" s="67">
        <f t="shared" si="3"/>
        <v>47.612384</v>
      </c>
      <c r="S913" s="67">
        <f t="shared" si="4"/>
        <v>37.487923</v>
      </c>
      <c r="T913" s="161"/>
      <c r="U913" s="69"/>
      <c r="V913" s="169" t="s">
        <v>9355</v>
      </c>
      <c r="W913" s="161"/>
      <c r="X913" s="17" t="s">
        <v>9</v>
      </c>
      <c r="Y913" s="216" t="s">
        <v>5820</v>
      </c>
      <c r="Z913" s="73"/>
      <c r="AA913" s="73"/>
      <c r="AB913" s="73"/>
      <c r="AC913" s="73"/>
      <c r="AD913" s="73"/>
      <c r="AE913" s="73"/>
      <c r="AF913" s="73"/>
      <c r="AG913" s="73"/>
      <c r="AH913" s="73"/>
      <c r="AI913" s="73"/>
      <c r="AJ913" s="75"/>
      <c r="AK913" s="76" t="s">
        <v>2108</v>
      </c>
      <c r="AL913" s="83" t="s">
        <v>9356</v>
      </c>
      <c r="AM913" s="71" t="s">
        <v>9357</v>
      </c>
      <c r="AN913" s="84" t="s">
        <v>9358</v>
      </c>
      <c r="AO913" s="71" t="s">
        <v>9359</v>
      </c>
      <c r="AP913" s="161" t="str">
        <f>IMAGE("https://bellingcat-archive.nyc3.cdn.digitaloceanspaces.com/Ukraine_Witness_Datasheet/Worksheet/twitter__media_FMm53G6XsAITFLk.jpg")</f>
        <v/>
      </c>
      <c r="AQ913" s="161"/>
      <c r="AR913" s="161"/>
      <c r="AS913" s="71" t="s">
        <v>9360</v>
      </c>
      <c r="AT913" s="161"/>
      <c r="AU913" s="89"/>
      <c r="AV913" s="162"/>
      <c r="AW913" s="81"/>
    </row>
    <row r="914" ht="15.75" customHeight="1">
      <c r="A914" s="175"/>
      <c r="B914" s="73"/>
      <c r="C914" s="57" t="s">
        <v>9028</v>
      </c>
      <c r="D914" s="121"/>
      <c r="E914" s="121"/>
      <c r="F914" s="89"/>
      <c r="G914" s="84" t="s">
        <v>9361</v>
      </c>
      <c r="H914" s="73"/>
      <c r="I914" s="62" t="s">
        <v>9353</v>
      </c>
      <c r="J914" s="183" t="s">
        <v>9354</v>
      </c>
      <c r="K914" s="69"/>
      <c r="L914" s="65" t="s">
        <v>3542</v>
      </c>
      <c r="M914" s="111"/>
      <c r="N914" s="111"/>
      <c r="O914" s="225" t="s">
        <v>7142</v>
      </c>
      <c r="P914" s="67" t="str">
        <f t="shared" si="1"/>
        <v/>
      </c>
      <c r="Q914" s="67" t="str">
        <f t="shared" si="2"/>
        <v/>
      </c>
      <c r="R914" s="67" t="str">
        <f t="shared" si="3"/>
        <v/>
      </c>
      <c r="S914" s="67" t="str">
        <f t="shared" si="4"/>
        <v/>
      </c>
      <c r="T914" s="161"/>
      <c r="U914" s="69"/>
      <c r="V914" s="169" t="s">
        <v>9362</v>
      </c>
      <c r="W914" s="161"/>
      <c r="X914" s="194"/>
      <c r="Y914" s="73"/>
      <c r="Z914" s="73"/>
      <c r="AA914" s="73"/>
      <c r="AB914" s="73"/>
      <c r="AC914" s="73"/>
      <c r="AD914" s="73"/>
      <c r="AE914" s="73"/>
      <c r="AF914" s="73"/>
      <c r="AG914" s="73"/>
      <c r="AH914" s="73"/>
      <c r="AI914" s="73"/>
      <c r="AJ914" s="75"/>
      <c r="AK914" s="76" t="s">
        <v>930</v>
      </c>
      <c r="AL914" s="83" t="s">
        <v>9270</v>
      </c>
      <c r="AM914" s="71" t="s">
        <v>9363</v>
      </c>
      <c r="AN914" s="84" t="s">
        <v>9364</v>
      </c>
      <c r="AO914" s="71" t="s">
        <v>9273</v>
      </c>
      <c r="AP914" s="161" t="str">
        <f>IMAGE("https://bellingcat-archive.nyc3.cdn.digitaloceanspaces.com/Ukraine_Witness_Datasheet/Worksheet/youtube_dl_1498238338859425792/out2.jpg")</f>
        <v/>
      </c>
      <c r="AQ914" s="84" t="s">
        <v>9274</v>
      </c>
      <c r="AR914" s="71" t="s">
        <v>9275</v>
      </c>
      <c r="AS914" s="71" t="s">
        <v>9276</v>
      </c>
      <c r="AT914" s="71">
        <v>23.641</v>
      </c>
      <c r="AU914" s="89"/>
      <c r="AV914" s="162"/>
      <c r="AW914" s="81"/>
    </row>
    <row r="915" ht="15.75" customHeight="1">
      <c r="A915" s="249" t="s">
        <v>7092</v>
      </c>
      <c r="B915" s="73"/>
      <c r="C915" s="57" t="s">
        <v>9028</v>
      </c>
      <c r="D915" s="241" t="s">
        <v>9365</v>
      </c>
      <c r="E915" s="241" t="s">
        <v>9366</v>
      </c>
      <c r="F915" s="89"/>
      <c r="G915" s="84" t="s">
        <v>9367</v>
      </c>
      <c r="H915" s="73"/>
      <c r="I915" s="62" t="s">
        <v>9368</v>
      </c>
      <c r="J915" s="183" t="s">
        <v>9369</v>
      </c>
      <c r="K915" s="69"/>
      <c r="L915" s="65" t="s">
        <v>3542</v>
      </c>
      <c r="M915" s="92" t="s">
        <v>5590</v>
      </c>
      <c r="N915" s="111"/>
      <c r="O915" s="92" t="s">
        <v>5626</v>
      </c>
      <c r="P915" s="67" t="str">
        <f t="shared" si="1"/>
        <v>50.03194, 36.35776</v>
      </c>
      <c r="Q915" s="67" t="str">
        <f t="shared" si="2"/>
        <v>50.031485, 36.356812</v>
      </c>
      <c r="R915" s="67">
        <f t="shared" si="3"/>
        <v>50.031485</v>
      </c>
      <c r="S915" s="67">
        <f t="shared" si="4"/>
        <v>36.356812</v>
      </c>
      <c r="T915" s="161"/>
      <c r="U915" s="69"/>
      <c r="V915" s="169" t="s">
        <v>9370</v>
      </c>
      <c r="W915" s="161"/>
      <c r="X915" s="17" t="s">
        <v>9</v>
      </c>
      <c r="Y915" s="252"/>
      <c r="Z915" s="73"/>
      <c r="AA915" s="73"/>
      <c r="AB915" s="73"/>
      <c r="AC915" s="73"/>
      <c r="AD915" s="73"/>
      <c r="AE915" s="73"/>
      <c r="AF915" s="73"/>
      <c r="AG915" s="73"/>
      <c r="AH915" s="73"/>
      <c r="AI915" s="73"/>
      <c r="AJ915" s="75"/>
      <c r="AK915" s="76" t="s">
        <v>930</v>
      </c>
      <c r="AL915" s="83" t="s">
        <v>9215</v>
      </c>
      <c r="AM915" s="71" t="s">
        <v>9371</v>
      </c>
      <c r="AN915" s="84" t="s">
        <v>9372</v>
      </c>
      <c r="AO915" s="71" t="s">
        <v>9218</v>
      </c>
      <c r="AP915" s="161" t="str">
        <f>IMAGE("https://bellingcat-archive.nyc3.cdn.digitaloceanspaces.com/Ukraine_Witness_Datasheet/Worksheet/youtube_dl_1498234139551715329/out2.jpg")</f>
        <v/>
      </c>
      <c r="AQ915" s="84" t="s">
        <v>9219</v>
      </c>
      <c r="AR915" s="71" t="s">
        <v>9220</v>
      </c>
      <c r="AS915" s="71" t="s">
        <v>9221</v>
      </c>
      <c r="AT915" s="71">
        <v>18.1</v>
      </c>
      <c r="AU915" s="89"/>
      <c r="AV915" s="162"/>
      <c r="AW915" s="81"/>
    </row>
    <row r="916" ht="15.75" customHeight="1">
      <c r="A916" s="259" t="s">
        <v>6924</v>
      </c>
      <c r="B916" s="73"/>
      <c r="C916" s="176" t="s">
        <v>8024</v>
      </c>
      <c r="D916" s="241" t="s">
        <v>9373</v>
      </c>
      <c r="E916" s="241" t="s">
        <v>9374</v>
      </c>
      <c r="F916" s="89"/>
      <c r="G916" s="353" t="s">
        <v>9375</v>
      </c>
      <c r="H916" s="73"/>
      <c r="I916" s="62" t="s">
        <v>9376</v>
      </c>
      <c r="J916" s="69" t="s">
        <v>9377</v>
      </c>
      <c r="K916" s="69"/>
      <c r="L916" s="65" t="s">
        <v>3542</v>
      </c>
      <c r="M916" s="111"/>
      <c r="N916" s="111"/>
      <c r="O916" s="111" t="s">
        <v>9378</v>
      </c>
      <c r="P916" s="67" t="str">
        <f t="shared" si="1"/>
        <v>47.612267, 37.487895</v>
      </c>
      <c r="Q916" s="67" t="str">
        <f t="shared" si="2"/>
        <v>47.611843, 37.48759</v>
      </c>
      <c r="R916" s="67">
        <f t="shared" si="3"/>
        <v>47.611843</v>
      </c>
      <c r="S916" s="67">
        <f t="shared" si="4"/>
        <v>37.48759</v>
      </c>
      <c r="T916" s="161"/>
      <c r="U916" s="69"/>
      <c r="V916" s="169" t="s">
        <v>9379</v>
      </c>
      <c r="W916" s="161"/>
      <c r="X916" s="194"/>
      <c r="Y916" s="216" t="s">
        <v>5820</v>
      </c>
      <c r="Z916" s="73"/>
      <c r="AA916" s="73"/>
      <c r="AB916" s="73"/>
      <c r="AC916" s="73"/>
      <c r="AD916" s="73"/>
      <c r="AE916" s="73"/>
      <c r="AF916" s="73"/>
      <c r="AG916" s="73"/>
      <c r="AH916" s="73"/>
      <c r="AI916" s="73"/>
      <c r="AJ916" s="75"/>
      <c r="AK916" s="76" t="s">
        <v>6276</v>
      </c>
      <c r="AL916" s="83" t="s">
        <v>9380</v>
      </c>
      <c r="AM916" s="71" t="s">
        <v>9381</v>
      </c>
      <c r="AN916" s="84" t="s">
        <v>9382</v>
      </c>
      <c r="AO916" s="71" t="s">
        <v>9383</v>
      </c>
      <c r="AP916" s="161" t="str">
        <f>IMAGE("https://bellingcat-archive.nyc3.cdn.digitaloceanspaces.com/Ukraine_Witness_Datasheet/Worksheet/telegram_tX6gVJSxiwmaKZo8ep-1xi3mDRKnzvK1LH38zMr4pwzIyl-SJvqPs384n3cbuA8NFYzsOIE2rh8LrzjXpRtIK5b3R145QbTnv3nBUDjmVutZ2fdK9q6Pj5jAAiWu8uBw.jpg")</f>
        <v/>
      </c>
      <c r="AQ916" s="161"/>
      <c r="AR916" s="71"/>
      <c r="AS916" s="71" t="s">
        <v>9384</v>
      </c>
      <c r="AT916" s="161"/>
      <c r="AU916" s="89"/>
      <c r="AV916" s="162"/>
      <c r="AW916" s="81"/>
    </row>
    <row r="917" ht="15.75" customHeight="1">
      <c r="A917" s="259" t="s">
        <v>6924</v>
      </c>
      <c r="B917" s="73"/>
      <c r="C917" s="176" t="s">
        <v>9028</v>
      </c>
      <c r="D917" s="241" t="s">
        <v>9385</v>
      </c>
      <c r="E917" s="241" t="s">
        <v>9386</v>
      </c>
      <c r="F917" s="89"/>
      <c r="G917" s="353" t="s">
        <v>9387</v>
      </c>
      <c r="H917" s="73"/>
      <c r="I917" s="62" t="s">
        <v>9388</v>
      </c>
      <c r="J917" s="69" t="s">
        <v>9389</v>
      </c>
      <c r="K917" s="69"/>
      <c r="L917" s="65" t="s">
        <v>3542</v>
      </c>
      <c r="M917" s="111"/>
      <c r="N917" s="111"/>
      <c r="O917" s="111" t="s">
        <v>9390</v>
      </c>
      <c r="P917" s="67" t="str">
        <f t="shared" si="1"/>
        <v>50.03499452, 36.24400872</v>
      </c>
      <c r="Q917" s="67" t="str">
        <f t="shared" si="2"/>
        <v>50.034916, 36.243298</v>
      </c>
      <c r="R917" s="67">
        <f t="shared" si="3"/>
        <v>50.034916</v>
      </c>
      <c r="S917" s="67">
        <f t="shared" si="4"/>
        <v>36.243298</v>
      </c>
      <c r="T917" s="161"/>
      <c r="U917" s="69"/>
      <c r="V917" s="169" t="s">
        <v>9391</v>
      </c>
      <c r="W917" s="161"/>
      <c r="X917" s="194"/>
      <c r="Y917" s="216" t="s">
        <v>5820</v>
      </c>
      <c r="Z917" s="73"/>
      <c r="AA917" s="73"/>
      <c r="AB917" s="73"/>
      <c r="AC917" s="73"/>
      <c r="AD917" s="73"/>
      <c r="AE917" s="73"/>
      <c r="AF917" s="73"/>
      <c r="AG917" s="73"/>
      <c r="AH917" s="73"/>
      <c r="AI917" s="73"/>
      <c r="AJ917" s="75"/>
      <c r="AK917" s="76" t="s">
        <v>6276</v>
      </c>
      <c r="AL917" s="83" t="s">
        <v>9392</v>
      </c>
      <c r="AM917" s="71" t="s">
        <v>9393</v>
      </c>
      <c r="AN917" s="84" t="s">
        <v>9394</v>
      </c>
      <c r="AO917" s="71" t="s">
        <v>9395</v>
      </c>
      <c r="AP917" s="161" t="str">
        <f>IMAGE("https://bellingcat-archive.nyc3.cdn.digitaloceanspaces.com/Ukraine_Witness_Datasheet/Worksheet/telegram_YU3k1CB19NnbbB6al_ugXhu-tKXK7L3BEC4bqdkpIgbMve8bJJclzxU7q5k7LtFGuUg48izATXKJXs0Z8qZTt-ySxWoRLP-_ElNdjYDEntiCln7gdsAVhJqqHOOkOIOw.jpg")</f>
        <v/>
      </c>
      <c r="AQ917" s="161"/>
      <c r="AR917" s="71"/>
      <c r="AS917" s="71" t="s">
        <v>9396</v>
      </c>
      <c r="AT917" s="161"/>
      <c r="AU917" s="89"/>
      <c r="AV917" s="162"/>
      <c r="AW917" s="81"/>
    </row>
    <row r="918" ht="15.75" customHeight="1">
      <c r="A918" s="208"/>
      <c r="B918" s="73"/>
      <c r="C918" s="57" t="s">
        <v>9028</v>
      </c>
      <c r="D918" s="92"/>
      <c r="E918" s="92"/>
      <c r="F918" s="79">
        <v>2.0</v>
      </c>
      <c r="G918" s="84" t="s">
        <v>9397</v>
      </c>
      <c r="H918" s="61" t="s">
        <v>91</v>
      </c>
      <c r="I918" s="62" t="s">
        <v>9398</v>
      </c>
      <c r="J918" s="64" t="s">
        <v>9399</v>
      </c>
      <c r="K918" s="69"/>
      <c r="L918" s="65" t="s">
        <v>3542</v>
      </c>
      <c r="M918" s="92" t="s">
        <v>5590</v>
      </c>
      <c r="N918" s="111"/>
      <c r="O918" s="92" t="s">
        <v>5626</v>
      </c>
      <c r="P918" s="67" t="str">
        <f t="shared" si="1"/>
        <v/>
      </c>
      <c r="Q918" s="67" t="str">
        <f t="shared" si="2"/>
        <v/>
      </c>
      <c r="R918" s="67" t="str">
        <f t="shared" si="3"/>
        <v/>
      </c>
      <c r="S918" s="67" t="str">
        <f t="shared" si="4"/>
        <v/>
      </c>
      <c r="T918" s="161"/>
      <c r="U918" s="69"/>
      <c r="V918" s="169" t="s">
        <v>9400</v>
      </c>
      <c r="W918" s="71" t="s">
        <v>3546</v>
      </c>
      <c r="X918" s="194"/>
      <c r="Y918" s="73"/>
      <c r="Z918" s="73"/>
      <c r="AA918" s="73"/>
      <c r="AB918" s="73"/>
      <c r="AC918" s="73"/>
      <c r="AD918" s="73"/>
      <c r="AE918" s="73"/>
      <c r="AF918" s="73"/>
      <c r="AG918" s="73"/>
      <c r="AH918" s="73"/>
      <c r="AI918" s="73"/>
      <c r="AJ918" s="75"/>
      <c r="AK918" s="76" t="s">
        <v>2108</v>
      </c>
      <c r="AL918" s="83" t="s">
        <v>9401</v>
      </c>
      <c r="AM918" s="71" t="s">
        <v>9402</v>
      </c>
      <c r="AN918" s="84" t="s">
        <v>9403</v>
      </c>
      <c r="AO918" s="71" t="s">
        <v>9404</v>
      </c>
      <c r="AP918" s="161" t="str">
        <f>IMAGE("https://bellingcat-archive.nyc3.cdn.digitaloceanspaces.com/Ukraine_Witness_Datasheet/Worksheet/twitter__media_FMroIpfXoAIX0uP.jpg")</f>
        <v/>
      </c>
      <c r="AQ918" s="161"/>
      <c r="AR918" s="161"/>
      <c r="AS918" s="71" t="s">
        <v>9405</v>
      </c>
      <c r="AT918" s="161"/>
      <c r="AU918" s="89"/>
      <c r="AV918" s="162"/>
      <c r="AW918" s="81"/>
    </row>
    <row r="919" ht="15.75" customHeight="1">
      <c r="A919" s="208"/>
      <c r="B919" s="73"/>
      <c r="C919" s="57" t="s">
        <v>9028</v>
      </c>
      <c r="D919" s="92"/>
      <c r="E919" s="92"/>
      <c r="F919" s="79">
        <v>5.0</v>
      </c>
      <c r="G919" s="84" t="s">
        <v>9406</v>
      </c>
      <c r="H919" s="73"/>
      <c r="I919" s="62" t="s">
        <v>9407</v>
      </c>
      <c r="J919" s="64" t="s">
        <v>9408</v>
      </c>
      <c r="K919" s="69"/>
      <c r="L919" s="65" t="s">
        <v>3542</v>
      </c>
      <c r="M919" s="92" t="s">
        <v>5590</v>
      </c>
      <c r="N919" s="111"/>
      <c r="O919" s="92" t="s">
        <v>5626</v>
      </c>
      <c r="P919" s="67" t="str">
        <f t="shared" si="1"/>
        <v/>
      </c>
      <c r="Q919" s="67" t="str">
        <f t="shared" si="2"/>
        <v/>
      </c>
      <c r="R919" s="67" t="str">
        <f t="shared" si="3"/>
        <v/>
      </c>
      <c r="S919" s="67" t="str">
        <f t="shared" si="4"/>
        <v/>
      </c>
      <c r="T919" s="161"/>
      <c r="U919" s="69"/>
      <c r="V919" s="169" t="s">
        <v>9409</v>
      </c>
      <c r="W919" s="71" t="s">
        <v>6108</v>
      </c>
      <c r="X919" s="194"/>
      <c r="Y919" s="73"/>
      <c r="Z919" s="73"/>
      <c r="AA919" s="73"/>
      <c r="AB919" s="73"/>
      <c r="AC919" s="73"/>
      <c r="AD919" s="73"/>
      <c r="AE919" s="73"/>
      <c r="AF919" s="73"/>
      <c r="AG919" s="73"/>
      <c r="AH919" s="73"/>
      <c r="AI919" s="73"/>
      <c r="AJ919" s="75"/>
      <c r="AK919" s="76" t="s">
        <v>9410</v>
      </c>
      <c r="AL919" s="269"/>
      <c r="AM919" s="71" t="s">
        <v>9411</v>
      </c>
      <c r="AN919" s="161"/>
      <c r="AO919" s="161"/>
      <c r="AP919" s="161"/>
      <c r="AQ919" s="161"/>
      <c r="AR919" s="161"/>
      <c r="AS919" s="161"/>
      <c r="AT919" s="161"/>
      <c r="AU919" s="89"/>
      <c r="AV919" s="162"/>
      <c r="AW919" s="81"/>
    </row>
    <row r="920" ht="15.75" customHeight="1">
      <c r="A920" s="354" t="s">
        <v>9412</v>
      </c>
      <c r="B920" s="73"/>
      <c r="C920" s="57" t="s">
        <v>9028</v>
      </c>
      <c r="D920" s="257" t="s">
        <v>9413</v>
      </c>
      <c r="E920" s="257" t="s">
        <v>9414</v>
      </c>
      <c r="F920" s="79">
        <v>5.0</v>
      </c>
      <c r="G920" s="84" t="s">
        <v>9415</v>
      </c>
      <c r="H920" s="73"/>
      <c r="I920" s="62" t="s">
        <v>9407</v>
      </c>
      <c r="J920" s="64" t="s">
        <v>9408</v>
      </c>
      <c r="K920" s="69"/>
      <c r="L920" s="65" t="s">
        <v>3542</v>
      </c>
      <c r="M920" s="92" t="s">
        <v>5590</v>
      </c>
      <c r="N920" s="111"/>
      <c r="O920" s="92" t="s">
        <v>5626</v>
      </c>
      <c r="P920" s="67" t="str">
        <f t="shared" si="1"/>
        <v>50.01784, 36.212691</v>
      </c>
      <c r="Q920" s="67" t="str">
        <f t="shared" si="2"/>
        <v>50.01772, 36.213863</v>
      </c>
      <c r="R920" s="67">
        <f t="shared" si="3"/>
        <v>50.01772</v>
      </c>
      <c r="S920" s="67">
        <f t="shared" si="4"/>
        <v>36.213863</v>
      </c>
      <c r="T920" s="161"/>
      <c r="U920" s="69"/>
      <c r="V920" s="169"/>
      <c r="W920" s="71"/>
      <c r="X920" s="17" t="s">
        <v>9</v>
      </c>
      <c r="Y920" s="216" t="s">
        <v>75</v>
      </c>
      <c r="Z920" s="73"/>
      <c r="AA920" s="73"/>
      <c r="AB920" s="73"/>
      <c r="AC920" s="73"/>
      <c r="AD920" s="73"/>
      <c r="AE920" s="73"/>
      <c r="AF920" s="73"/>
      <c r="AG920" s="73"/>
      <c r="AH920" s="73"/>
      <c r="AI920" s="73"/>
      <c r="AJ920" s="75"/>
      <c r="AK920" s="76" t="s">
        <v>4410</v>
      </c>
      <c r="AL920" s="83" t="s">
        <v>9416</v>
      </c>
      <c r="AM920" s="71" t="s">
        <v>9417</v>
      </c>
      <c r="AN920" s="84" t="s">
        <v>9418</v>
      </c>
      <c r="AO920" s="71" t="s">
        <v>9419</v>
      </c>
      <c r="AP920" s="161" t="str">
        <f>IMAGE("https://bellingcat-archive.nyc3.cdn.digitaloceanspaces.com/Ukraine_Witness_Datasheet/Worksheet/telegram_8677afb7d2/out2.jpg")</f>
        <v/>
      </c>
      <c r="AQ920" s="84" t="s">
        <v>9420</v>
      </c>
      <c r="AR920" s="84" t="s">
        <v>9415</v>
      </c>
      <c r="AS920" s="71" t="s">
        <v>9421</v>
      </c>
      <c r="AT920" s="71">
        <v>21.0</v>
      </c>
      <c r="AU920" s="89"/>
      <c r="AV920" s="162"/>
      <c r="AW920" s="81"/>
    </row>
    <row r="921" ht="15.75" customHeight="1">
      <c r="A921" s="204" t="s">
        <v>63</v>
      </c>
      <c r="B921" s="73"/>
      <c r="C921" s="57" t="s">
        <v>9028</v>
      </c>
      <c r="D921" s="74">
        <v>50.010554</v>
      </c>
      <c r="E921" s="74">
        <v>36.285593</v>
      </c>
      <c r="F921" s="79">
        <v>3.0</v>
      </c>
      <c r="G921" s="84" t="s">
        <v>9422</v>
      </c>
      <c r="H921" s="73"/>
      <c r="I921" s="75"/>
      <c r="J921" s="64" t="s">
        <v>9423</v>
      </c>
      <c r="K921" s="69"/>
      <c r="L921" s="65" t="s">
        <v>3542</v>
      </c>
      <c r="M921" s="92" t="s">
        <v>5590</v>
      </c>
      <c r="N921" s="111"/>
      <c r="O921" s="92" t="s">
        <v>5626</v>
      </c>
      <c r="P921" s="67" t="str">
        <f t="shared" si="1"/>
        <v>50.010554, 36.285593</v>
      </c>
      <c r="Q921" s="67" t="str">
        <f t="shared" si="2"/>
        <v>50.010132, 36.285354</v>
      </c>
      <c r="R921" s="67">
        <f t="shared" si="3"/>
        <v>50.010132</v>
      </c>
      <c r="S921" s="67">
        <f t="shared" si="4"/>
        <v>36.285354</v>
      </c>
      <c r="T921" s="161"/>
      <c r="U921" s="69"/>
      <c r="V921" s="169" t="s">
        <v>9424</v>
      </c>
      <c r="W921" s="71" t="s">
        <v>3601</v>
      </c>
      <c r="X921" s="72" t="s">
        <v>2982</v>
      </c>
      <c r="Y921" s="73"/>
      <c r="Z921" s="73"/>
      <c r="AA921" s="73"/>
      <c r="AB921" s="73"/>
      <c r="AC921" s="73"/>
      <c r="AD921" s="73"/>
      <c r="AE921" s="73"/>
      <c r="AF921" s="73"/>
      <c r="AG921" s="73"/>
      <c r="AH921" s="73"/>
      <c r="AI921" s="73"/>
      <c r="AJ921" s="75"/>
      <c r="AK921" s="76" t="s">
        <v>2108</v>
      </c>
      <c r="AL921" s="83" t="s">
        <v>9425</v>
      </c>
      <c r="AM921" s="71" t="s">
        <v>9426</v>
      </c>
      <c r="AN921" s="84" t="s">
        <v>9427</v>
      </c>
      <c r="AO921" s="71" t="s">
        <v>9428</v>
      </c>
      <c r="AP921" s="161" t="str">
        <f>IMAGE("https://bellingcat-archive.nyc3.cdn.digitaloceanspaces.com/Ukraine_Witness_Datasheet/Worksheet/twitter__media_FMrm3gpXEAgpRnq.jpg")</f>
        <v/>
      </c>
      <c r="AQ921" s="161"/>
      <c r="AR921" s="161"/>
      <c r="AS921" s="71" t="s">
        <v>9429</v>
      </c>
      <c r="AT921" s="161"/>
      <c r="AU921" s="79" t="s">
        <v>63</v>
      </c>
      <c r="AV921" s="80" t="s">
        <v>3944</v>
      </c>
      <c r="AW921" s="81"/>
    </row>
    <row r="922" ht="15.75" customHeight="1">
      <c r="A922" s="175"/>
      <c r="B922" s="73"/>
      <c r="C922" s="57" t="s">
        <v>9028</v>
      </c>
      <c r="D922" s="355">
        <v>46.614153</v>
      </c>
      <c r="E922" s="355">
        <v>32.794291</v>
      </c>
      <c r="F922" s="79">
        <v>3.0</v>
      </c>
      <c r="G922" s="84" t="s">
        <v>9430</v>
      </c>
      <c r="H922" s="73"/>
      <c r="I922" s="75"/>
      <c r="J922" s="64" t="s">
        <v>9431</v>
      </c>
      <c r="K922" s="69"/>
      <c r="L922" s="65" t="s">
        <v>3542</v>
      </c>
      <c r="M922" s="92" t="s">
        <v>5702</v>
      </c>
      <c r="N922" s="111"/>
      <c r="O922" s="92" t="s">
        <v>9432</v>
      </c>
      <c r="P922" s="67" t="str">
        <f t="shared" si="1"/>
        <v>46.614153, 32.794291</v>
      </c>
      <c r="Q922" s="67" t="str">
        <f t="shared" si="2"/>
        <v>46.613594, 32.794709</v>
      </c>
      <c r="R922" s="67">
        <f t="shared" si="3"/>
        <v>46.613594</v>
      </c>
      <c r="S922" s="67">
        <f t="shared" si="4"/>
        <v>32.794709</v>
      </c>
      <c r="T922" s="161"/>
      <c r="U922" s="69"/>
      <c r="V922" s="169" t="s">
        <v>9433</v>
      </c>
      <c r="W922" s="71" t="s">
        <v>5739</v>
      </c>
      <c r="X922" s="194"/>
      <c r="Y922" s="73"/>
      <c r="Z922" s="73"/>
      <c r="AA922" s="73"/>
      <c r="AB922" s="73"/>
      <c r="AC922" s="73"/>
      <c r="AD922" s="73"/>
      <c r="AE922" s="73"/>
      <c r="AF922" s="73"/>
      <c r="AG922" s="73"/>
      <c r="AH922" s="73"/>
      <c r="AI922" s="73"/>
      <c r="AJ922" s="75"/>
      <c r="AK922" s="76" t="s">
        <v>798</v>
      </c>
      <c r="AL922" s="83" t="s">
        <v>9434</v>
      </c>
      <c r="AM922" s="71" t="s">
        <v>9435</v>
      </c>
      <c r="AN922" s="84" t="s">
        <v>9436</v>
      </c>
      <c r="AO922" s="71" t="s">
        <v>9437</v>
      </c>
      <c r="AP922" s="161" t="str">
        <f>IMAGE("https://bellingcat-archive.nyc3.cdn.digitaloceanspaces.com/Ukraine_Witness_Datasheet/Worksheet/youtube_dl_1498263195735277570/out3.jpg")</f>
        <v/>
      </c>
      <c r="AQ922" s="84" t="s">
        <v>9438</v>
      </c>
      <c r="AR922" s="71" t="s">
        <v>9439</v>
      </c>
      <c r="AS922" s="71" t="s">
        <v>9440</v>
      </c>
      <c r="AT922" s="71">
        <v>76.664</v>
      </c>
      <c r="AU922" s="89"/>
      <c r="AV922" s="162"/>
      <c r="AW922" s="81"/>
    </row>
    <row r="923" ht="15.75" customHeight="1">
      <c r="A923" s="95" t="s">
        <v>5457</v>
      </c>
      <c r="B923" s="73"/>
      <c r="C923" s="57" t="s">
        <v>9028</v>
      </c>
      <c r="D923" s="355">
        <v>50.0035385</v>
      </c>
      <c r="E923" s="355">
        <v>36.3307457</v>
      </c>
      <c r="F923" s="79">
        <v>2.0</v>
      </c>
      <c r="G923" s="130" t="s">
        <v>9441</v>
      </c>
      <c r="H923" s="73"/>
      <c r="I923" s="75"/>
      <c r="J923" s="64" t="s">
        <v>9442</v>
      </c>
      <c r="K923" s="69"/>
      <c r="L923" s="65" t="s">
        <v>3542</v>
      </c>
      <c r="M923" s="92" t="s">
        <v>5590</v>
      </c>
      <c r="N923" s="111"/>
      <c r="O923" s="92" t="s">
        <v>5626</v>
      </c>
      <c r="P923" s="67" t="str">
        <f t="shared" si="1"/>
        <v>50.0035385, 36.3307457</v>
      </c>
      <c r="Q923" s="67" t="str">
        <f t="shared" si="2"/>
        <v>50.003015, 36.330471</v>
      </c>
      <c r="R923" s="67">
        <f t="shared" si="3"/>
        <v>50.003015</v>
      </c>
      <c r="S923" s="67">
        <f t="shared" si="4"/>
        <v>36.330471</v>
      </c>
      <c r="T923" s="161"/>
      <c r="U923" s="69"/>
      <c r="V923" s="169" t="s">
        <v>9443</v>
      </c>
      <c r="W923" s="71" t="s">
        <v>5904</v>
      </c>
      <c r="X923" s="72" t="s">
        <v>75</v>
      </c>
      <c r="Y923" s="73"/>
      <c r="Z923" s="73"/>
      <c r="AA923" s="73"/>
      <c r="AB923" s="73"/>
      <c r="AC923" s="73"/>
      <c r="AD923" s="73"/>
      <c r="AE923" s="73"/>
      <c r="AF923" s="73"/>
      <c r="AG923" s="73"/>
      <c r="AH923" s="73"/>
      <c r="AI923" s="73"/>
      <c r="AJ923" s="75"/>
      <c r="AK923" s="76" t="s">
        <v>798</v>
      </c>
      <c r="AL923" s="83" t="s">
        <v>9444</v>
      </c>
      <c r="AM923" s="71" t="s">
        <v>9445</v>
      </c>
      <c r="AN923" s="84" t="s">
        <v>9446</v>
      </c>
      <c r="AO923" s="71" t="s">
        <v>9447</v>
      </c>
      <c r="AP923" s="161" t="str">
        <f>IMAGE("https://bellingcat-archive.nyc3.cdn.digitaloceanspaces.com/Ukraine_Witness_Datasheet/Worksheet/youtube_dl_1498259982428610560/out2.jpg")</f>
        <v/>
      </c>
      <c r="AQ923" s="84" t="s">
        <v>9448</v>
      </c>
      <c r="AR923" s="71" t="s">
        <v>9449</v>
      </c>
      <c r="AS923" s="71" t="s">
        <v>9450</v>
      </c>
      <c r="AT923" s="71">
        <v>20.566</v>
      </c>
      <c r="AU923" s="89"/>
      <c r="AV923" s="80" t="s">
        <v>63</v>
      </c>
      <c r="AW923" s="81"/>
    </row>
    <row r="924" ht="15.75" customHeight="1">
      <c r="A924" s="175"/>
      <c r="B924" s="73"/>
      <c r="C924" s="176"/>
      <c r="D924" s="121"/>
      <c r="E924" s="121"/>
      <c r="F924" s="79">
        <v>4.0</v>
      </c>
      <c r="G924" s="84" t="s">
        <v>9451</v>
      </c>
      <c r="H924" s="73"/>
      <c r="I924" s="75"/>
      <c r="J924" s="64" t="s">
        <v>9452</v>
      </c>
      <c r="K924" s="69"/>
      <c r="L924" s="65" t="s">
        <v>3542</v>
      </c>
      <c r="M924" s="92" t="s">
        <v>5590</v>
      </c>
      <c r="N924" s="111"/>
      <c r="O924" s="92" t="s">
        <v>5626</v>
      </c>
      <c r="P924" s="67" t="str">
        <f t="shared" si="1"/>
        <v/>
      </c>
      <c r="Q924" s="67" t="str">
        <f t="shared" si="2"/>
        <v/>
      </c>
      <c r="R924" s="67" t="str">
        <f t="shared" si="3"/>
        <v/>
      </c>
      <c r="S924" s="67" t="str">
        <f t="shared" si="4"/>
        <v/>
      </c>
      <c r="T924" s="161"/>
      <c r="U924" s="69"/>
      <c r="V924" s="169" t="s">
        <v>9453</v>
      </c>
      <c r="W924" s="161"/>
      <c r="X924" s="194"/>
      <c r="Y924" s="73"/>
      <c r="Z924" s="73"/>
      <c r="AA924" s="73"/>
      <c r="AB924" s="73"/>
      <c r="AC924" s="73"/>
      <c r="AD924" s="73"/>
      <c r="AE924" s="73"/>
      <c r="AF924" s="73"/>
      <c r="AG924" s="73"/>
      <c r="AH924" s="73"/>
      <c r="AI924" s="73"/>
      <c r="AJ924" s="75"/>
      <c r="AK924" s="76" t="s">
        <v>798</v>
      </c>
      <c r="AL924" s="83" t="s">
        <v>9454</v>
      </c>
      <c r="AM924" s="71" t="s">
        <v>9455</v>
      </c>
      <c r="AN924" s="84" t="s">
        <v>9456</v>
      </c>
      <c r="AO924" s="71" t="s">
        <v>9457</v>
      </c>
      <c r="AP924" s="161" t="str">
        <f>IMAGE("https://bellingcat-archive.nyc3.cdn.digitaloceanspaces.com/Ukraine_Witness_Datasheet/Worksheet/youtube_dl_1498261445213048837/out2.jpg")</f>
        <v/>
      </c>
      <c r="AQ924" s="84" t="s">
        <v>9458</v>
      </c>
      <c r="AR924" s="71" t="s">
        <v>9459</v>
      </c>
      <c r="AS924" s="71" t="s">
        <v>9460</v>
      </c>
      <c r="AT924" s="71">
        <v>29.3</v>
      </c>
      <c r="AU924" s="89"/>
      <c r="AV924" s="162"/>
      <c r="AW924" s="81"/>
    </row>
    <row r="925" ht="15.75" customHeight="1">
      <c r="A925" s="204" t="s">
        <v>8023</v>
      </c>
      <c r="B925" s="73"/>
      <c r="C925" s="57" t="s">
        <v>9028</v>
      </c>
      <c r="D925" s="104">
        <v>50.025138</v>
      </c>
      <c r="E925" s="104">
        <v>36.218954</v>
      </c>
      <c r="F925" s="79">
        <v>2.0</v>
      </c>
      <c r="G925" s="84" t="s">
        <v>9461</v>
      </c>
      <c r="H925" s="61" t="s">
        <v>66</v>
      </c>
      <c r="I925" s="75"/>
      <c r="J925" s="64" t="s">
        <v>9462</v>
      </c>
      <c r="K925" s="69"/>
      <c r="L925" s="65" t="s">
        <v>3542</v>
      </c>
      <c r="M925" s="92" t="s">
        <v>5590</v>
      </c>
      <c r="N925" s="111"/>
      <c r="O925" s="92" t="s">
        <v>5626</v>
      </c>
      <c r="P925" s="67" t="str">
        <f t="shared" si="1"/>
        <v>50.025138, 36.218954</v>
      </c>
      <c r="Q925" s="67" t="str">
        <f t="shared" si="2"/>
        <v>50.02504, 36.219931</v>
      </c>
      <c r="R925" s="67">
        <f t="shared" si="3"/>
        <v>50.02504</v>
      </c>
      <c r="S925" s="67">
        <f t="shared" si="4"/>
        <v>36.219931</v>
      </c>
      <c r="T925" s="71" t="s">
        <v>9463</v>
      </c>
      <c r="U925" s="69"/>
      <c r="V925" s="169" t="s">
        <v>9464</v>
      </c>
      <c r="W925" s="71" t="s">
        <v>3601</v>
      </c>
      <c r="X925" s="72" t="s">
        <v>2982</v>
      </c>
      <c r="Y925" s="73"/>
      <c r="Z925" s="73"/>
      <c r="AA925" s="73"/>
      <c r="AB925" s="73"/>
      <c r="AC925" s="73"/>
      <c r="AD925" s="73"/>
      <c r="AE925" s="73"/>
      <c r="AF925" s="73"/>
      <c r="AG925" s="73"/>
      <c r="AH925" s="73"/>
      <c r="AI925" s="73"/>
      <c r="AJ925" s="75"/>
      <c r="AK925" s="76" t="s">
        <v>798</v>
      </c>
      <c r="AL925" s="83" t="s">
        <v>9465</v>
      </c>
      <c r="AM925" s="71" t="s">
        <v>9466</v>
      </c>
      <c r="AN925" s="84" t="s">
        <v>9467</v>
      </c>
      <c r="AO925" s="71" t="s">
        <v>9468</v>
      </c>
      <c r="AP925" s="161" t="str">
        <f>IMAGE("https://bellingcat-archive.nyc3.cdn.digitaloceanspaces.com/Ukraine_Witness_Datasheet/Worksheet/youtube_dl_1498270618025873411/out2.jpg")</f>
        <v/>
      </c>
      <c r="AQ925" s="84" t="s">
        <v>9469</v>
      </c>
      <c r="AR925" s="71" t="s">
        <v>9470</v>
      </c>
      <c r="AS925" s="71" t="s">
        <v>9471</v>
      </c>
      <c r="AT925" s="71">
        <v>30.439</v>
      </c>
      <c r="AU925" s="89"/>
      <c r="AV925" s="80" t="s">
        <v>3944</v>
      </c>
      <c r="AW925" s="81"/>
    </row>
    <row r="926" ht="15.75" customHeight="1">
      <c r="A926" s="175"/>
      <c r="B926" s="73"/>
      <c r="C926" s="57" t="s">
        <v>9028</v>
      </c>
      <c r="D926" s="121"/>
      <c r="E926" s="121"/>
      <c r="F926" s="79">
        <v>3.0</v>
      </c>
      <c r="G926" s="84" t="s">
        <v>9472</v>
      </c>
      <c r="H926" s="61" t="s">
        <v>66</v>
      </c>
      <c r="I926" s="75"/>
      <c r="J926" s="64" t="s">
        <v>9473</v>
      </c>
      <c r="K926" s="69"/>
      <c r="L926" s="65" t="s">
        <v>3542</v>
      </c>
      <c r="M926" s="92" t="s">
        <v>5590</v>
      </c>
      <c r="N926" s="111"/>
      <c r="O926" s="92" t="s">
        <v>5626</v>
      </c>
      <c r="P926" s="67" t="str">
        <f t="shared" si="1"/>
        <v/>
      </c>
      <c r="Q926" s="67" t="str">
        <f t="shared" si="2"/>
        <v/>
      </c>
      <c r="R926" s="67" t="str">
        <f t="shared" si="3"/>
        <v/>
      </c>
      <c r="S926" s="67" t="str">
        <f t="shared" si="4"/>
        <v/>
      </c>
      <c r="T926" s="161"/>
      <c r="U926" s="69"/>
      <c r="V926" s="169" t="s">
        <v>9474</v>
      </c>
      <c r="W926" s="161"/>
      <c r="X926" s="194"/>
      <c r="Y926" s="73"/>
      <c r="Z926" s="73"/>
      <c r="AA926" s="73"/>
      <c r="AB926" s="73"/>
      <c r="AC926" s="73"/>
      <c r="AD926" s="73"/>
      <c r="AE926" s="73"/>
      <c r="AF926" s="73"/>
      <c r="AG926" s="73"/>
      <c r="AH926" s="73"/>
      <c r="AI926" s="73"/>
      <c r="AJ926" s="75"/>
      <c r="AK926" s="76" t="s">
        <v>798</v>
      </c>
      <c r="AL926" s="83" t="s">
        <v>9475</v>
      </c>
      <c r="AM926" s="71" t="s">
        <v>9476</v>
      </c>
      <c r="AN926" s="84" t="s">
        <v>9477</v>
      </c>
      <c r="AO926" s="71" t="s">
        <v>9478</v>
      </c>
      <c r="AP926" s="161" t="str">
        <f>IMAGE("https://bellingcat-archive.nyc3.cdn.digitaloceanspaces.com/Ukraine_Witness_Datasheet/Worksheet/youtube_dl_1498272949908000769/out2.jpg")</f>
        <v/>
      </c>
      <c r="AQ926" s="84" t="s">
        <v>9479</v>
      </c>
      <c r="AR926" s="71" t="s">
        <v>9480</v>
      </c>
      <c r="AS926" s="71" t="s">
        <v>9481</v>
      </c>
      <c r="AT926" s="71">
        <v>25.1</v>
      </c>
      <c r="AU926" s="89"/>
      <c r="AV926" s="162"/>
      <c r="AW926" s="81"/>
    </row>
    <row r="927" ht="15.75" customHeight="1">
      <c r="A927" s="175"/>
      <c r="B927" s="73"/>
      <c r="C927" s="57" t="s">
        <v>9028</v>
      </c>
      <c r="D927" s="121"/>
      <c r="E927" s="121"/>
      <c r="F927" s="79">
        <v>4.0</v>
      </c>
      <c r="G927" s="84" t="s">
        <v>9482</v>
      </c>
      <c r="H927" s="61" t="s">
        <v>66</v>
      </c>
      <c r="I927" s="75"/>
      <c r="J927" s="64" t="s">
        <v>9483</v>
      </c>
      <c r="K927" s="69"/>
      <c r="L927" s="65" t="s">
        <v>3542</v>
      </c>
      <c r="M927" s="92" t="s">
        <v>5590</v>
      </c>
      <c r="N927" s="111"/>
      <c r="O927" s="92" t="s">
        <v>5626</v>
      </c>
      <c r="P927" s="67" t="str">
        <f t="shared" si="1"/>
        <v/>
      </c>
      <c r="Q927" s="67" t="str">
        <f t="shared" si="2"/>
        <v/>
      </c>
      <c r="R927" s="67" t="str">
        <f t="shared" si="3"/>
        <v/>
      </c>
      <c r="S927" s="67" t="str">
        <f t="shared" si="4"/>
        <v/>
      </c>
      <c r="T927" s="161"/>
      <c r="U927" s="69"/>
      <c r="V927" s="169" t="s">
        <v>9484</v>
      </c>
      <c r="W927" s="161"/>
      <c r="X927" s="194"/>
      <c r="Y927" s="73"/>
      <c r="Z927" s="73"/>
      <c r="AA927" s="73"/>
      <c r="AB927" s="73"/>
      <c r="AC927" s="73"/>
      <c r="AD927" s="73"/>
      <c r="AE927" s="73"/>
      <c r="AF927" s="73"/>
      <c r="AG927" s="73"/>
      <c r="AH927" s="73"/>
      <c r="AI927" s="73"/>
      <c r="AJ927" s="75"/>
      <c r="AK927" s="76" t="s">
        <v>798</v>
      </c>
      <c r="AL927" s="83" t="s">
        <v>9485</v>
      </c>
      <c r="AM927" s="71" t="s">
        <v>9486</v>
      </c>
      <c r="AN927" s="84" t="s">
        <v>9487</v>
      </c>
      <c r="AO927" s="71" t="s">
        <v>9488</v>
      </c>
      <c r="AP927" s="161" t="str">
        <f>IMAGE("https://bellingcat-archive.nyc3.cdn.digitaloceanspaces.com/Ukraine_Witness_Datasheet/Worksheet/youtube_dl_1498273469640888321/out2.jpg")</f>
        <v/>
      </c>
      <c r="AQ927" s="84" t="s">
        <v>9489</v>
      </c>
      <c r="AR927" s="71" t="s">
        <v>9490</v>
      </c>
      <c r="AS927" s="71" t="s">
        <v>9491</v>
      </c>
      <c r="AT927" s="71">
        <v>34.4</v>
      </c>
      <c r="AU927" s="89"/>
      <c r="AV927" s="162"/>
      <c r="AW927" s="81"/>
    </row>
    <row r="928" ht="15.75" customHeight="1">
      <c r="A928" s="95" t="s">
        <v>5457</v>
      </c>
      <c r="B928" s="73"/>
      <c r="C928" s="57" t="s">
        <v>9028</v>
      </c>
      <c r="D928" s="104">
        <v>49.927841</v>
      </c>
      <c r="E928" s="104">
        <v>36.433405</v>
      </c>
      <c r="F928" s="79">
        <v>2.0</v>
      </c>
      <c r="G928" s="130" t="s">
        <v>9492</v>
      </c>
      <c r="H928" s="73"/>
      <c r="I928" s="62" t="s">
        <v>9493</v>
      </c>
      <c r="J928" s="64" t="s">
        <v>9494</v>
      </c>
      <c r="K928" s="69"/>
      <c r="L928" s="65" t="s">
        <v>3542</v>
      </c>
      <c r="M928" s="111"/>
      <c r="N928" s="111"/>
      <c r="O928" s="225" t="s">
        <v>9495</v>
      </c>
      <c r="P928" s="67" t="str">
        <f t="shared" si="1"/>
        <v>49.927841, 36.433405</v>
      </c>
      <c r="Q928" s="67" t="str">
        <f t="shared" si="2"/>
        <v>49.927408, 36.432728</v>
      </c>
      <c r="R928" s="67">
        <f t="shared" si="3"/>
        <v>49.927408</v>
      </c>
      <c r="S928" s="67">
        <f t="shared" si="4"/>
        <v>36.432728</v>
      </c>
      <c r="T928" s="161"/>
      <c r="U928" s="69"/>
      <c r="V928" s="169" t="s">
        <v>9496</v>
      </c>
      <c r="W928" s="71" t="s">
        <v>3601</v>
      </c>
      <c r="X928" s="72" t="s">
        <v>75</v>
      </c>
      <c r="Y928" s="216" t="s">
        <v>5820</v>
      </c>
      <c r="Z928" s="73"/>
      <c r="AA928" s="73"/>
      <c r="AB928" s="73"/>
      <c r="AC928" s="73"/>
      <c r="AD928" s="73"/>
      <c r="AE928" s="73"/>
      <c r="AF928" s="73"/>
      <c r="AG928" s="73"/>
      <c r="AH928" s="73"/>
      <c r="AI928" s="73"/>
      <c r="AJ928" s="75"/>
      <c r="AK928" s="76" t="s">
        <v>2108</v>
      </c>
      <c r="AL928" s="83" t="s">
        <v>9497</v>
      </c>
      <c r="AM928" s="71" t="s">
        <v>9498</v>
      </c>
      <c r="AN928" s="84" t="s">
        <v>9499</v>
      </c>
      <c r="AO928" s="71" t="s">
        <v>9500</v>
      </c>
      <c r="AP928" s="161" t="str">
        <f>IMAGE("https://bellingcat-archive.nyc3.cdn.digitaloceanspaces.com/Ukraine_Witness_Datasheet/Worksheet/twitter__media_FMrVwAJXwAMycvz.jpg")</f>
        <v/>
      </c>
      <c r="AQ928" s="161"/>
      <c r="AR928" s="161"/>
      <c r="AS928" s="71" t="s">
        <v>9501</v>
      </c>
      <c r="AT928" s="161"/>
      <c r="AU928" s="89"/>
      <c r="AV928" s="80" t="s">
        <v>63</v>
      </c>
      <c r="AW928" s="81"/>
    </row>
    <row r="929" ht="15.75" customHeight="1">
      <c r="A929" s="259" t="s">
        <v>6924</v>
      </c>
      <c r="B929" s="73"/>
      <c r="C929" s="57" t="s">
        <v>9028</v>
      </c>
      <c r="D929" s="241" t="s">
        <v>9502</v>
      </c>
      <c r="E929" s="241" t="s">
        <v>9503</v>
      </c>
      <c r="F929" s="89"/>
      <c r="G929" s="84" t="s">
        <v>9504</v>
      </c>
      <c r="H929" s="73"/>
      <c r="I929" s="215" t="s">
        <v>9493</v>
      </c>
      <c r="J929" s="183" t="s">
        <v>9505</v>
      </c>
      <c r="K929" s="69"/>
      <c r="L929" s="65" t="s">
        <v>3542</v>
      </c>
      <c r="M929" s="111"/>
      <c r="N929" s="111"/>
      <c r="O929" s="356" t="s">
        <v>9495</v>
      </c>
      <c r="P929" s="67" t="str">
        <f t="shared" si="1"/>
        <v>49.554039, 36.26008</v>
      </c>
      <c r="Q929" s="67" t="str">
        <f t="shared" si="2"/>
        <v>49.553316, 36.260416</v>
      </c>
      <c r="R929" s="67">
        <f t="shared" si="3"/>
        <v>49.553316</v>
      </c>
      <c r="S929" s="67">
        <f t="shared" si="4"/>
        <v>36.260416</v>
      </c>
      <c r="T929" s="161"/>
      <c r="U929" s="69"/>
      <c r="V929" s="169" t="s">
        <v>9506</v>
      </c>
      <c r="W929" s="161"/>
      <c r="X929" s="194"/>
      <c r="Y929" s="216" t="s">
        <v>5820</v>
      </c>
      <c r="Z929" s="73"/>
      <c r="AA929" s="73"/>
      <c r="AB929" s="73"/>
      <c r="AC929" s="73"/>
      <c r="AD929" s="73"/>
      <c r="AE929" s="73"/>
      <c r="AF929" s="73"/>
      <c r="AG929" s="73"/>
      <c r="AH929" s="73"/>
      <c r="AI929" s="73"/>
      <c r="AJ929" s="75"/>
      <c r="AK929" s="76" t="s">
        <v>2108</v>
      </c>
      <c r="AL929" s="83" t="s">
        <v>9507</v>
      </c>
      <c r="AM929" s="71" t="s">
        <v>9508</v>
      </c>
      <c r="AN929" s="84" t="s">
        <v>9509</v>
      </c>
      <c r="AO929" s="71" t="s">
        <v>9510</v>
      </c>
      <c r="AP929" s="161" t="str">
        <f>IMAGE("https://bellingcat-archive.nyc3.cdn.digitaloceanspaces.com/Ukraine_Witness_Datasheet/Worksheet/twitter__media_FMrY4EjXsAMCDq9.jpg")</f>
        <v/>
      </c>
      <c r="AQ929" s="161"/>
      <c r="AR929" s="161"/>
      <c r="AS929" s="71" t="s">
        <v>9511</v>
      </c>
      <c r="AT929" s="161"/>
      <c r="AU929" s="89"/>
      <c r="AV929" s="162"/>
      <c r="AW929" s="81"/>
    </row>
    <row r="930" ht="15.75" customHeight="1">
      <c r="A930" s="259" t="s">
        <v>6924</v>
      </c>
      <c r="B930" s="73"/>
      <c r="C930" s="57" t="s">
        <v>9028</v>
      </c>
      <c r="D930" s="260"/>
      <c r="E930" s="260"/>
      <c r="F930" s="89"/>
      <c r="G930" s="303" t="s">
        <v>9512</v>
      </c>
      <c r="H930" s="73"/>
      <c r="I930" s="62" t="s">
        <v>9513</v>
      </c>
      <c r="J930" s="183" t="s">
        <v>9514</v>
      </c>
      <c r="K930" s="69"/>
      <c r="L930" s="65" t="s">
        <v>3542</v>
      </c>
      <c r="M930" s="92" t="s">
        <v>3598</v>
      </c>
      <c r="N930" s="111"/>
      <c r="O930" s="140" t="s">
        <v>9515</v>
      </c>
      <c r="P930" s="67" t="str">
        <f t="shared" si="1"/>
        <v/>
      </c>
      <c r="Q930" s="67" t="str">
        <f t="shared" si="2"/>
        <v/>
      </c>
      <c r="R930" s="67" t="str">
        <f t="shared" si="3"/>
        <v/>
      </c>
      <c r="S930" s="67" t="str">
        <f t="shared" si="4"/>
        <v/>
      </c>
      <c r="T930" s="161"/>
      <c r="U930" s="69"/>
      <c r="V930" s="169" t="s">
        <v>9516</v>
      </c>
      <c r="W930" s="161"/>
      <c r="X930" s="194"/>
      <c r="Y930" s="216" t="s">
        <v>5820</v>
      </c>
      <c r="Z930" s="73"/>
      <c r="AA930" s="73"/>
      <c r="AB930" s="73"/>
      <c r="AC930" s="73"/>
      <c r="AD930" s="73"/>
      <c r="AE930" s="73"/>
      <c r="AF930" s="73"/>
      <c r="AG930" s="73"/>
      <c r="AH930" s="73"/>
      <c r="AI930" s="73"/>
      <c r="AJ930" s="75"/>
      <c r="AK930" s="76" t="s">
        <v>1261</v>
      </c>
      <c r="AL930" s="83" t="s">
        <v>9517</v>
      </c>
      <c r="AM930" s="71" t="s">
        <v>9518</v>
      </c>
      <c r="AN930" s="84" t="s">
        <v>9519</v>
      </c>
      <c r="AO930" s="161"/>
      <c r="AP930" s="161"/>
      <c r="AQ930" s="161"/>
      <c r="AR930" s="71" t="s">
        <v>7184</v>
      </c>
      <c r="AS930" s="161"/>
      <c r="AT930" s="161"/>
      <c r="AU930" s="89"/>
      <c r="AV930" s="162"/>
      <c r="AW930" s="81"/>
    </row>
    <row r="931" ht="15.75" customHeight="1">
      <c r="A931" s="175"/>
      <c r="B931" s="73"/>
      <c r="C931" s="57" t="s">
        <v>9028</v>
      </c>
      <c r="D931" s="121"/>
      <c r="E931" s="121"/>
      <c r="F931" s="79">
        <v>4.0</v>
      </c>
      <c r="G931" s="84" t="s">
        <v>9520</v>
      </c>
      <c r="H931" s="73"/>
      <c r="I931" s="75"/>
      <c r="J931" s="64" t="s">
        <v>9521</v>
      </c>
      <c r="K931" s="69"/>
      <c r="L931" s="70"/>
      <c r="M931" s="111"/>
      <c r="N931" s="111"/>
      <c r="O931" s="228"/>
      <c r="P931" s="67" t="str">
        <f t="shared" si="1"/>
        <v/>
      </c>
      <c r="Q931" s="67" t="str">
        <f t="shared" si="2"/>
        <v/>
      </c>
      <c r="R931" s="67" t="str">
        <f t="shared" si="3"/>
        <v/>
      </c>
      <c r="S931" s="67" t="str">
        <f t="shared" si="4"/>
        <v/>
      </c>
      <c r="T931" s="161"/>
      <c r="U931" s="69"/>
      <c r="V931" s="169" t="s">
        <v>9522</v>
      </c>
      <c r="W931" s="161"/>
      <c r="X931" s="194"/>
      <c r="Y931" s="73"/>
      <c r="Z931" s="73"/>
      <c r="AA931" s="73"/>
      <c r="AB931" s="73"/>
      <c r="AC931" s="73"/>
      <c r="AD931" s="73"/>
      <c r="AE931" s="73"/>
      <c r="AF931" s="73"/>
      <c r="AG931" s="73"/>
      <c r="AH931" s="73"/>
      <c r="AI931" s="73"/>
      <c r="AJ931" s="75"/>
      <c r="AK931" s="76" t="s">
        <v>2108</v>
      </c>
      <c r="AL931" s="83" t="s">
        <v>9523</v>
      </c>
      <c r="AM931" s="71" t="s">
        <v>9524</v>
      </c>
      <c r="AN931" s="84" t="s">
        <v>9525</v>
      </c>
      <c r="AO931" s="71" t="s">
        <v>9526</v>
      </c>
      <c r="AP931" s="161" t="str">
        <f>IMAGE("https://bellingcat-archive.nyc3.cdn.digitaloceanspaces.com/Ukraine_Witness_Datasheet/Worksheet/twitter__media_FMrzF2MXEAENN0t.jpg")</f>
        <v/>
      </c>
      <c r="AQ931" s="161"/>
      <c r="AR931" s="161"/>
      <c r="AS931" s="71" t="s">
        <v>9527</v>
      </c>
      <c r="AT931" s="161"/>
      <c r="AU931" s="89"/>
      <c r="AV931" s="162"/>
      <c r="AW931" s="81"/>
    </row>
    <row r="932" ht="15.75" customHeight="1">
      <c r="A932" s="204" t="s">
        <v>63</v>
      </c>
      <c r="B932" s="73"/>
      <c r="C932" s="57" t="s">
        <v>9028</v>
      </c>
      <c r="D932" s="92">
        <v>50.032714</v>
      </c>
      <c r="E932" s="92">
        <v>36.23743</v>
      </c>
      <c r="F932" s="79">
        <v>5.0</v>
      </c>
      <c r="G932" s="317" t="s">
        <v>9528</v>
      </c>
      <c r="H932" s="73"/>
      <c r="I932" s="75"/>
      <c r="J932" s="64" t="s">
        <v>9529</v>
      </c>
      <c r="K932" s="69"/>
      <c r="L932" s="65" t="s">
        <v>3542</v>
      </c>
      <c r="M932" s="92" t="s">
        <v>5590</v>
      </c>
      <c r="N932" s="111"/>
      <c r="O932" s="140" t="s">
        <v>5626</v>
      </c>
      <c r="P932" s="67" t="str">
        <f t="shared" si="1"/>
        <v>50.032714, 36.23743</v>
      </c>
      <c r="Q932" s="67" t="str">
        <f t="shared" si="2"/>
        <v>50.032113, 36.237401</v>
      </c>
      <c r="R932" s="67">
        <f t="shared" si="3"/>
        <v>50.032113</v>
      </c>
      <c r="S932" s="67">
        <f t="shared" si="4"/>
        <v>36.237401</v>
      </c>
      <c r="T932" s="161"/>
      <c r="U932" s="69"/>
      <c r="V932" s="169" t="s">
        <v>9530</v>
      </c>
      <c r="W932" s="71" t="s">
        <v>6108</v>
      </c>
      <c r="X932" s="72" t="s">
        <v>2982</v>
      </c>
      <c r="Y932" s="73"/>
      <c r="Z932" s="73"/>
      <c r="AA932" s="73"/>
      <c r="AB932" s="73"/>
      <c r="AC932" s="73"/>
      <c r="AD932" s="73"/>
      <c r="AE932" s="73"/>
      <c r="AF932" s="73"/>
      <c r="AG932" s="73"/>
      <c r="AH932" s="73"/>
      <c r="AI932" s="73"/>
      <c r="AJ932" s="75"/>
      <c r="AK932" s="76" t="s">
        <v>798</v>
      </c>
      <c r="AL932" s="83" t="s">
        <v>9531</v>
      </c>
      <c r="AM932" s="71" t="s">
        <v>9532</v>
      </c>
      <c r="AN932" s="84" t="s">
        <v>9533</v>
      </c>
      <c r="AO932" s="71" t="s">
        <v>9534</v>
      </c>
      <c r="AP932" s="161" t="str">
        <f>IMAGE("https://bellingcat-archive.nyc3.cdn.digitaloceanspaces.com/Ukraine_Witness_Datasheet/Worksheet/youtube_dl_1498263148427624448/out2.jpg")</f>
        <v/>
      </c>
      <c r="AQ932" s="84" t="s">
        <v>9535</v>
      </c>
      <c r="AR932" s="71" t="s">
        <v>9536</v>
      </c>
      <c r="AS932" s="71" t="s">
        <v>9537</v>
      </c>
      <c r="AT932" s="71">
        <v>36.266</v>
      </c>
      <c r="AU932" s="79" t="s">
        <v>63</v>
      </c>
      <c r="AV932" s="80" t="s">
        <v>3944</v>
      </c>
      <c r="AW932" s="81"/>
    </row>
    <row r="933" ht="15.75" customHeight="1">
      <c r="A933" s="204" t="s">
        <v>63</v>
      </c>
      <c r="B933" s="73"/>
      <c r="C933" s="57" t="s">
        <v>9028</v>
      </c>
      <c r="D933" s="74">
        <v>50.010163</v>
      </c>
      <c r="E933" s="74">
        <v>36.285698</v>
      </c>
      <c r="F933" s="79">
        <v>5.0</v>
      </c>
      <c r="G933" s="317" t="s">
        <v>9538</v>
      </c>
      <c r="H933" s="73"/>
      <c r="I933" s="75"/>
      <c r="J933" s="64" t="s">
        <v>8225</v>
      </c>
      <c r="K933" s="69"/>
      <c r="L933" s="65" t="s">
        <v>3542</v>
      </c>
      <c r="M933" s="92" t="s">
        <v>5590</v>
      </c>
      <c r="N933" s="111"/>
      <c r="O933" s="140" t="s">
        <v>5626</v>
      </c>
      <c r="P933" s="67" t="str">
        <f t="shared" si="1"/>
        <v>50.010163, 36.285698</v>
      </c>
      <c r="Q933" s="67" t="str">
        <f t="shared" si="2"/>
        <v>50.009915, 36.286697</v>
      </c>
      <c r="R933" s="67">
        <f t="shared" si="3"/>
        <v>50.009915</v>
      </c>
      <c r="S933" s="67">
        <f t="shared" si="4"/>
        <v>36.286697</v>
      </c>
      <c r="T933" s="161"/>
      <c r="U933" s="69"/>
      <c r="V933" s="169" t="s">
        <v>9539</v>
      </c>
      <c r="W933" s="71" t="s">
        <v>5739</v>
      </c>
      <c r="X933" s="72" t="s">
        <v>2982</v>
      </c>
      <c r="Y933" s="73"/>
      <c r="Z933" s="73"/>
      <c r="AA933" s="73"/>
      <c r="AB933" s="73"/>
      <c r="AC933" s="73"/>
      <c r="AD933" s="73"/>
      <c r="AE933" s="73"/>
      <c r="AF933" s="73"/>
      <c r="AG933" s="73"/>
      <c r="AH933" s="73"/>
      <c r="AI933" s="73"/>
      <c r="AJ933" s="75"/>
      <c r="AK933" s="76" t="s">
        <v>6276</v>
      </c>
      <c r="AL933" s="83" t="s">
        <v>9540</v>
      </c>
      <c r="AM933" s="71" t="s">
        <v>9541</v>
      </c>
      <c r="AN933" s="84" t="s">
        <v>9542</v>
      </c>
      <c r="AO933" s="71" t="s">
        <v>9543</v>
      </c>
      <c r="AP933" s="161" t="str">
        <f>IMAGE("https://bellingcat-archive.nyc3.cdn.digitaloceanspaces.com/Ukraine_Witness_Datasheet/Worksheet/telegram_24d1b92bf4/out2.jpg")</f>
        <v/>
      </c>
      <c r="AQ933" s="84" t="s">
        <v>9544</v>
      </c>
      <c r="AR933" s="84" t="s">
        <v>9538</v>
      </c>
      <c r="AS933" s="71" t="s">
        <v>9545</v>
      </c>
      <c r="AT933" s="71">
        <v>11.0</v>
      </c>
      <c r="AU933" s="79" t="s">
        <v>63</v>
      </c>
      <c r="AV933" s="80" t="s">
        <v>3944</v>
      </c>
      <c r="AW933" s="81"/>
    </row>
    <row r="934" ht="15.75" customHeight="1">
      <c r="A934" s="204" t="s">
        <v>63</v>
      </c>
      <c r="B934" s="73"/>
      <c r="C934" s="57" t="s">
        <v>9028</v>
      </c>
      <c r="D934" s="74">
        <v>50.009987</v>
      </c>
      <c r="E934" s="74">
        <v>36.285338</v>
      </c>
      <c r="F934" s="79">
        <v>1.0</v>
      </c>
      <c r="G934" s="317" t="s">
        <v>9546</v>
      </c>
      <c r="H934" s="61" t="s">
        <v>5522</v>
      </c>
      <c r="I934" s="75"/>
      <c r="J934" s="64" t="s">
        <v>9547</v>
      </c>
      <c r="K934" s="69"/>
      <c r="L934" s="65" t="s">
        <v>3542</v>
      </c>
      <c r="M934" s="92" t="s">
        <v>5590</v>
      </c>
      <c r="N934" s="111"/>
      <c r="O934" s="140" t="s">
        <v>5626</v>
      </c>
      <c r="P934" s="67" t="str">
        <f t="shared" si="1"/>
        <v>50.009987, 36.285338</v>
      </c>
      <c r="Q934" s="67" t="str">
        <f t="shared" si="2"/>
        <v>50.009747, 36.286525</v>
      </c>
      <c r="R934" s="67">
        <f t="shared" si="3"/>
        <v>50.009747</v>
      </c>
      <c r="S934" s="67">
        <f t="shared" si="4"/>
        <v>36.286525</v>
      </c>
      <c r="T934" s="161"/>
      <c r="U934" s="69"/>
      <c r="V934" s="169" t="s">
        <v>9548</v>
      </c>
      <c r="W934" s="71" t="s">
        <v>5739</v>
      </c>
      <c r="X934" s="72" t="s">
        <v>2982</v>
      </c>
      <c r="Y934" s="73"/>
      <c r="Z934" s="73"/>
      <c r="AA934" s="73"/>
      <c r="AB934" s="73"/>
      <c r="AC934" s="73"/>
      <c r="AD934" s="73"/>
      <c r="AE934" s="73"/>
      <c r="AF934" s="73"/>
      <c r="AG934" s="73"/>
      <c r="AH934" s="73"/>
      <c r="AI934" s="73"/>
      <c r="AJ934" s="75"/>
      <c r="AK934" s="76" t="s">
        <v>798</v>
      </c>
      <c r="AL934" s="83" t="s">
        <v>9549</v>
      </c>
      <c r="AM934" s="71" t="s">
        <v>9550</v>
      </c>
      <c r="AN934" s="84" t="s">
        <v>9551</v>
      </c>
      <c r="AO934" s="71" t="s">
        <v>9552</v>
      </c>
      <c r="AP934" s="161" t="str">
        <f>IMAGE("https://bellingcat-archive.nyc3.cdn.digitaloceanspaces.com/Ukraine_Witness_Datasheet/Worksheet/youtube_dl_1498205627126059011/out2.jpg")</f>
        <v/>
      </c>
      <c r="AQ934" s="84" t="s">
        <v>9553</v>
      </c>
      <c r="AR934" s="71" t="s">
        <v>9554</v>
      </c>
      <c r="AS934" s="71" t="s">
        <v>9555</v>
      </c>
      <c r="AT934" s="71">
        <v>41.425</v>
      </c>
      <c r="AU934" s="79" t="s">
        <v>63</v>
      </c>
      <c r="AV934" s="80" t="s">
        <v>3944</v>
      </c>
      <c r="AW934" s="81"/>
    </row>
    <row r="935" ht="15.75" customHeight="1">
      <c r="A935" s="204" t="s">
        <v>63</v>
      </c>
      <c r="B935" s="73"/>
      <c r="C935" s="57" t="s">
        <v>9028</v>
      </c>
      <c r="D935" s="74">
        <v>50.010648</v>
      </c>
      <c r="E935" s="74">
        <v>36.285519</v>
      </c>
      <c r="F935" s="79">
        <v>2.0</v>
      </c>
      <c r="G935" s="317" t="s">
        <v>9556</v>
      </c>
      <c r="H935" s="61" t="s">
        <v>5522</v>
      </c>
      <c r="I935" s="75"/>
      <c r="J935" s="64" t="s">
        <v>9557</v>
      </c>
      <c r="K935" s="69"/>
      <c r="L935" s="65" t="s">
        <v>3542</v>
      </c>
      <c r="M935" s="92" t="s">
        <v>5590</v>
      </c>
      <c r="N935" s="73"/>
      <c r="O935" s="140" t="s">
        <v>5626</v>
      </c>
      <c r="P935" s="67" t="str">
        <f t="shared" si="1"/>
        <v>50.010648, 36.285519</v>
      </c>
      <c r="Q935" s="67" t="str">
        <f t="shared" si="2"/>
        <v>50.010246, 36.284645</v>
      </c>
      <c r="R935" s="67">
        <f t="shared" si="3"/>
        <v>50.010246</v>
      </c>
      <c r="S935" s="67">
        <f t="shared" si="4"/>
        <v>36.284645</v>
      </c>
      <c r="T935" s="161"/>
      <c r="U935" s="69"/>
      <c r="V935" s="169" t="s">
        <v>9558</v>
      </c>
      <c r="W935" s="71" t="s">
        <v>3601</v>
      </c>
      <c r="X935" s="72" t="s">
        <v>2982</v>
      </c>
      <c r="Y935" s="73"/>
      <c r="Z935" s="73"/>
      <c r="AA935" s="73"/>
      <c r="AB935" s="73"/>
      <c r="AC935" s="73"/>
      <c r="AD935" s="73"/>
      <c r="AE935" s="73"/>
      <c r="AF935" s="73"/>
      <c r="AG935" s="73"/>
      <c r="AH935" s="73"/>
      <c r="AI935" s="73"/>
      <c r="AJ935" s="75"/>
      <c r="AK935" s="76" t="s">
        <v>798</v>
      </c>
      <c r="AL935" s="83" t="s">
        <v>9559</v>
      </c>
      <c r="AM935" s="71" t="s">
        <v>9560</v>
      </c>
      <c r="AN935" s="84" t="s">
        <v>9561</v>
      </c>
      <c r="AO935" s="71" t="s">
        <v>9562</v>
      </c>
      <c r="AP935" s="161" t="str">
        <f>IMAGE("https://bellingcat-archive.nyc3.cdn.digitaloceanspaces.com/Ukraine_Witness_Datasheet/Worksheet/youtube_dl_1498123725807529991/out2.jpg")</f>
        <v/>
      </c>
      <c r="AQ935" s="84" t="s">
        <v>9563</v>
      </c>
      <c r="AR935" s="71" t="s">
        <v>9564</v>
      </c>
      <c r="AS935" s="71" t="s">
        <v>9565</v>
      </c>
      <c r="AT935" s="71">
        <v>24.366</v>
      </c>
      <c r="AU935" s="79" t="s">
        <v>63</v>
      </c>
      <c r="AV935" s="80" t="s">
        <v>3944</v>
      </c>
      <c r="AW935" s="81"/>
    </row>
    <row r="936" ht="15.75" customHeight="1">
      <c r="A936" s="246" t="s">
        <v>9566</v>
      </c>
      <c r="B936" s="73"/>
      <c r="C936" s="57" t="s">
        <v>9028</v>
      </c>
      <c r="D936" s="241" t="s">
        <v>9567</v>
      </c>
      <c r="E936" s="241" t="s">
        <v>9568</v>
      </c>
      <c r="F936" s="89"/>
      <c r="G936" s="60" t="s">
        <v>9569</v>
      </c>
      <c r="H936" s="73"/>
      <c r="I936" s="62" t="s">
        <v>9570</v>
      </c>
      <c r="J936" s="337" t="s">
        <v>9571</v>
      </c>
      <c r="K936" s="69"/>
      <c r="L936" s="65" t="s">
        <v>3542</v>
      </c>
      <c r="M936" s="92" t="s">
        <v>5590</v>
      </c>
      <c r="N936" s="73"/>
      <c r="O936" s="140" t="s">
        <v>5626</v>
      </c>
      <c r="P936" s="67" t="str">
        <f t="shared" si="1"/>
        <v>50.032164, 36.236881</v>
      </c>
      <c r="Q936" s="67" t="str">
        <f t="shared" si="2"/>
        <v>50.031593, 36.23656</v>
      </c>
      <c r="R936" s="67">
        <f t="shared" si="3"/>
        <v>50.031593</v>
      </c>
      <c r="S936" s="67">
        <f t="shared" si="4"/>
        <v>36.23656</v>
      </c>
      <c r="T936" s="161"/>
      <c r="U936" s="69"/>
      <c r="V936" s="169" t="s">
        <v>9572</v>
      </c>
      <c r="W936" s="161"/>
      <c r="X936" s="17" t="s">
        <v>9</v>
      </c>
      <c r="Y936" s="216" t="s">
        <v>5820</v>
      </c>
      <c r="Z936" s="73"/>
      <c r="AA936" s="73"/>
      <c r="AB936" s="73"/>
      <c r="AC936" s="73"/>
      <c r="AD936" s="73"/>
      <c r="AE936" s="73"/>
      <c r="AF936" s="73"/>
      <c r="AG936" s="73"/>
      <c r="AH936" s="73"/>
      <c r="AI936" s="73"/>
      <c r="AJ936" s="75"/>
      <c r="AK936" s="76" t="s">
        <v>6276</v>
      </c>
      <c r="AL936" s="83" t="s">
        <v>9573</v>
      </c>
      <c r="AM936" s="71" t="s">
        <v>9574</v>
      </c>
      <c r="AN936" s="84" t="s">
        <v>9575</v>
      </c>
      <c r="AO936" s="71" t="s">
        <v>9576</v>
      </c>
      <c r="AP936" s="161" t="str">
        <f>IMAGE("https://bellingcat-archive.nyc3.cdn.digitaloceanspaces.com/Ukraine_Witness_Datasheet/Worksheet/telegram_ab41e66661/out2.jpg")</f>
        <v/>
      </c>
      <c r="AQ936" s="84" t="s">
        <v>9577</v>
      </c>
      <c r="AR936" s="84" t="s">
        <v>9569</v>
      </c>
      <c r="AS936" s="71" t="s">
        <v>9578</v>
      </c>
      <c r="AT936" s="71">
        <v>30.0</v>
      </c>
      <c r="AU936" s="89"/>
      <c r="AV936" s="162"/>
      <c r="AW936" s="81"/>
    </row>
    <row r="937" ht="15.75" customHeight="1">
      <c r="A937" s="95" t="s">
        <v>5457</v>
      </c>
      <c r="B937" s="73"/>
      <c r="C937" s="57" t="s">
        <v>9028</v>
      </c>
      <c r="D937" s="104">
        <v>50.031709</v>
      </c>
      <c r="E937" s="104">
        <v>36.234945</v>
      </c>
      <c r="F937" s="79">
        <v>3.0</v>
      </c>
      <c r="G937" s="317" t="s">
        <v>9579</v>
      </c>
      <c r="H937" s="73"/>
      <c r="I937" s="62" t="s">
        <v>9570</v>
      </c>
      <c r="J937" s="337" t="s">
        <v>9571</v>
      </c>
      <c r="K937" s="69"/>
      <c r="L937" s="65" t="s">
        <v>3542</v>
      </c>
      <c r="M937" s="92" t="s">
        <v>5590</v>
      </c>
      <c r="N937" s="73"/>
      <c r="O937" s="140" t="s">
        <v>5626</v>
      </c>
      <c r="P937" s="67" t="str">
        <f t="shared" si="1"/>
        <v>50.031709, 36.234945</v>
      </c>
      <c r="Q937" s="67" t="str">
        <f t="shared" si="2"/>
        <v>50.031398, 36.233847</v>
      </c>
      <c r="R937" s="67">
        <f t="shared" si="3"/>
        <v>50.031398</v>
      </c>
      <c r="S937" s="67">
        <f t="shared" si="4"/>
        <v>36.233847</v>
      </c>
      <c r="T937" s="161"/>
      <c r="U937" s="69"/>
      <c r="V937" s="169" t="s">
        <v>9580</v>
      </c>
      <c r="W937" s="71" t="s">
        <v>5904</v>
      </c>
      <c r="X937" s="72" t="s">
        <v>2982</v>
      </c>
      <c r="Y937" s="216" t="s">
        <v>5820</v>
      </c>
      <c r="Z937" s="73"/>
      <c r="AA937" s="73"/>
      <c r="AB937" s="73"/>
      <c r="AC937" s="73"/>
      <c r="AD937" s="73"/>
      <c r="AE937" s="73"/>
      <c r="AF937" s="73"/>
      <c r="AG937" s="73"/>
      <c r="AH937" s="73"/>
      <c r="AI937" s="73"/>
      <c r="AJ937" s="75"/>
      <c r="AK937" s="76" t="s">
        <v>798</v>
      </c>
      <c r="AL937" s="83" t="s">
        <v>9581</v>
      </c>
      <c r="AM937" s="71" t="s">
        <v>9582</v>
      </c>
      <c r="AN937" s="84" t="s">
        <v>9583</v>
      </c>
      <c r="AO937" s="71" t="s">
        <v>9584</v>
      </c>
      <c r="AP937" s="161" t="str">
        <f>IMAGE("https://bellingcat-archive.nyc3.cdn.digitaloceanspaces.com/Ukraine_Witness_Datasheet/Worksheet/youtube_dl_1498253254907789313/out2.jpg")</f>
        <v/>
      </c>
      <c r="AQ937" s="84" t="s">
        <v>9585</v>
      </c>
      <c r="AR937" s="71" t="s">
        <v>9586</v>
      </c>
      <c r="AS937" s="71" t="s">
        <v>9587</v>
      </c>
      <c r="AT937" s="71">
        <v>34.5</v>
      </c>
      <c r="AU937" s="89"/>
      <c r="AV937" s="80" t="s">
        <v>3944</v>
      </c>
      <c r="AW937" s="81"/>
    </row>
    <row r="938" ht="15.75" customHeight="1">
      <c r="A938" s="357" t="s">
        <v>63</v>
      </c>
      <c r="B938" s="73"/>
      <c r="C938" s="57" t="s">
        <v>9028</v>
      </c>
      <c r="D938" s="74">
        <v>50.643453</v>
      </c>
      <c r="E938" s="74">
        <v>29.93347</v>
      </c>
      <c r="F938" s="79">
        <v>2.0</v>
      </c>
      <c r="G938" s="317" t="s">
        <v>9588</v>
      </c>
      <c r="H938" s="73"/>
      <c r="I938" s="75"/>
      <c r="J938" s="64" t="s">
        <v>9589</v>
      </c>
      <c r="K938" s="69"/>
      <c r="L938" s="65" t="s">
        <v>3542</v>
      </c>
      <c r="M938" s="61" t="s">
        <v>5827</v>
      </c>
      <c r="N938" s="73"/>
      <c r="O938" s="92" t="s">
        <v>7832</v>
      </c>
      <c r="P938" s="67" t="str">
        <f t="shared" si="1"/>
        <v>50.643453, 29.93347</v>
      </c>
      <c r="Q938" s="67" t="str">
        <f t="shared" si="2"/>
        <v>50.643358, 29.932699</v>
      </c>
      <c r="R938" s="67">
        <f t="shared" si="3"/>
        <v>50.643358</v>
      </c>
      <c r="S938" s="67">
        <f t="shared" si="4"/>
        <v>29.932699</v>
      </c>
      <c r="T938" s="161"/>
      <c r="U938" s="69"/>
      <c r="V938" s="169" t="s">
        <v>9590</v>
      </c>
      <c r="W938" s="71" t="s">
        <v>5858</v>
      </c>
      <c r="X938" s="72" t="s">
        <v>75</v>
      </c>
      <c r="Y938" s="73"/>
      <c r="Z938" s="73"/>
      <c r="AA938" s="73"/>
      <c r="AB938" s="73"/>
      <c r="AC938" s="73"/>
      <c r="AD938" s="73"/>
      <c r="AE938" s="73"/>
      <c r="AF938" s="73"/>
      <c r="AG938" s="73"/>
      <c r="AH938" s="73"/>
      <c r="AI938" s="73"/>
      <c r="AJ938" s="75"/>
      <c r="AK938" s="76" t="s">
        <v>798</v>
      </c>
      <c r="AL938" s="83" t="s">
        <v>9591</v>
      </c>
      <c r="AM938" s="71" t="s">
        <v>9592</v>
      </c>
      <c r="AN938" s="84" t="s">
        <v>9593</v>
      </c>
      <c r="AO938" s="71" t="s">
        <v>9594</v>
      </c>
      <c r="AP938" s="161" t="str">
        <f>IMAGE("https://bellingcat-archive.nyc3.cdn.digitaloceanspaces.com/Ukraine_Witness_Datasheet/Worksheet/youtube_dl_1498222843380879362/out2.jpg")</f>
        <v/>
      </c>
      <c r="AQ938" s="84" t="s">
        <v>9595</v>
      </c>
      <c r="AR938" s="71" t="s">
        <v>9596</v>
      </c>
      <c r="AS938" s="71" t="s">
        <v>9597</v>
      </c>
      <c r="AT938" s="71">
        <v>32.532</v>
      </c>
      <c r="AU938" s="89"/>
      <c r="AV938" s="80" t="s">
        <v>63</v>
      </c>
      <c r="AW938" s="81"/>
    </row>
    <row r="939" ht="15.75" customHeight="1">
      <c r="A939" s="172"/>
      <c r="B939" s="73"/>
      <c r="C939" s="57" t="s">
        <v>9028</v>
      </c>
      <c r="D939" s="121"/>
      <c r="E939" s="121"/>
      <c r="F939" s="89"/>
      <c r="G939" s="317" t="s">
        <v>9598</v>
      </c>
      <c r="H939" s="73"/>
      <c r="I939" s="62" t="s">
        <v>9570</v>
      </c>
      <c r="J939" s="337" t="s">
        <v>9571</v>
      </c>
      <c r="K939" s="69"/>
      <c r="L939" s="65" t="s">
        <v>3542</v>
      </c>
      <c r="M939" s="92" t="s">
        <v>5590</v>
      </c>
      <c r="N939" s="73"/>
      <c r="O939" s="140" t="s">
        <v>5626</v>
      </c>
      <c r="P939" s="67" t="str">
        <f t="shared" si="1"/>
        <v/>
      </c>
      <c r="Q939" s="67" t="str">
        <f t="shared" si="2"/>
        <v/>
      </c>
      <c r="R939" s="67" t="str">
        <f t="shared" si="3"/>
        <v/>
      </c>
      <c r="S939" s="67" t="str">
        <f t="shared" si="4"/>
        <v/>
      </c>
      <c r="T939" s="161"/>
      <c r="U939" s="69"/>
      <c r="V939" s="169" t="s">
        <v>9599</v>
      </c>
      <c r="W939" s="161"/>
      <c r="X939" s="194"/>
      <c r="Y939" s="73"/>
      <c r="Z939" s="73"/>
      <c r="AA939" s="73"/>
      <c r="AB939" s="73"/>
      <c r="AC939" s="73"/>
      <c r="AD939" s="73"/>
      <c r="AE939" s="73"/>
      <c r="AF939" s="73"/>
      <c r="AG939" s="73"/>
      <c r="AH939" s="73"/>
      <c r="AI939" s="73"/>
      <c r="AJ939" s="75"/>
      <c r="AK939" s="76" t="s">
        <v>2108</v>
      </c>
      <c r="AL939" s="83" t="s">
        <v>9600</v>
      </c>
      <c r="AM939" s="71" t="s">
        <v>9601</v>
      </c>
      <c r="AN939" s="84" t="s">
        <v>9602</v>
      </c>
      <c r="AO939" s="71" t="s">
        <v>9603</v>
      </c>
      <c r="AP939" s="161" t="str">
        <f>IMAGE("https://bellingcat-archive.nyc3.cdn.digitaloceanspaces.com/Ukraine_Witness_Datasheet/Worksheet/twitter__media_FMrshFBXEAEqjAU.jpg")</f>
        <v/>
      </c>
      <c r="AQ939" s="161"/>
      <c r="AR939" s="71"/>
      <c r="AS939" s="71" t="s">
        <v>9604</v>
      </c>
      <c r="AT939" s="161"/>
      <c r="AU939" s="89"/>
      <c r="AV939" s="162"/>
      <c r="AW939" s="81"/>
    </row>
    <row r="940" ht="15.75" customHeight="1">
      <c r="A940" s="246" t="s">
        <v>9566</v>
      </c>
      <c r="B940" s="73"/>
      <c r="C940" s="57" t="s">
        <v>9028</v>
      </c>
      <c r="D940" s="104">
        <v>50.031709</v>
      </c>
      <c r="E940" s="104">
        <v>36.234945</v>
      </c>
      <c r="F940" s="79">
        <v>3.0</v>
      </c>
      <c r="G940" s="317" t="s">
        <v>9605</v>
      </c>
      <c r="H940" s="73"/>
      <c r="I940" s="62" t="s">
        <v>9570</v>
      </c>
      <c r="J940" s="337" t="s">
        <v>9571</v>
      </c>
      <c r="K940" s="69"/>
      <c r="L940" s="65" t="s">
        <v>3542</v>
      </c>
      <c r="M940" s="92" t="s">
        <v>5590</v>
      </c>
      <c r="N940" s="73"/>
      <c r="O940" s="140" t="s">
        <v>5626</v>
      </c>
      <c r="P940" s="67" t="str">
        <f t="shared" si="1"/>
        <v>50.031709, 36.234945</v>
      </c>
      <c r="Q940" s="67" t="str">
        <f t="shared" si="2"/>
        <v>50.031633, 36.233966</v>
      </c>
      <c r="R940" s="67">
        <f t="shared" si="3"/>
        <v>50.031633</v>
      </c>
      <c r="S940" s="67">
        <f t="shared" si="4"/>
        <v>36.233966</v>
      </c>
      <c r="T940" s="161"/>
      <c r="U940" s="69"/>
      <c r="V940" s="169"/>
      <c r="W940" s="161"/>
      <c r="X940" s="17" t="s">
        <v>9</v>
      </c>
      <c r="Y940" s="216" t="s">
        <v>5820</v>
      </c>
      <c r="Z940" s="73"/>
      <c r="AA940" s="73"/>
      <c r="AB940" s="73"/>
      <c r="AC940" s="73"/>
      <c r="AD940" s="73"/>
      <c r="AE940" s="73"/>
      <c r="AF940" s="73"/>
      <c r="AG940" s="73"/>
      <c r="AH940" s="73"/>
      <c r="AI940" s="73"/>
      <c r="AJ940" s="75"/>
      <c r="AK940" s="76" t="s">
        <v>798</v>
      </c>
      <c r="AL940" s="83" t="s">
        <v>9606</v>
      </c>
      <c r="AM940" s="71" t="s">
        <v>9607</v>
      </c>
      <c r="AN940" s="84" t="s">
        <v>9608</v>
      </c>
      <c r="AO940" s="71" t="s">
        <v>9609</v>
      </c>
      <c r="AP940" s="161" t="str">
        <f>IMAGE("https://bellingcat-archive.nyc3.cdn.digitaloceanspaces.com/Ukraine_Witness_Datasheet/Worksheet/youtube_dl_1498306870007762946/out2.jpg")</f>
        <v/>
      </c>
      <c r="AQ940" s="84" t="s">
        <v>9610</v>
      </c>
      <c r="AR940" s="71" t="s">
        <v>9611</v>
      </c>
      <c r="AS940" s="71" t="s">
        <v>9612</v>
      </c>
      <c r="AT940" s="71">
        <v>8.8</v>
      </c>
      <c r="AU940" s="89"/>
      <c r="AV940" s="162"/>
      <c r="AW940" s="81"/>
    </row>
    <row r="941" ht="15.75" customHeight="1">
      <c r="A941" s="246" t="s">
        <v>9613</v>
      </c>
      <c r="B941" s="73"/>
      <c r="C941" s="57" t="s">
        <v>9028</v>
      </c>
      <c r="D941" s="241" t="s">
        <v>9614</v>
      </c>
      <c r="E941" s="241" t="s">
        <v>9615</v>
      </c>
      <c r="F941" s="89"/>
      <c r="G941" s="317" t="s">
        <v>9616</v>
      </c>
      <c r="H941" s="73"/>
      <c r="I941" s="62" t="s">
        <v>9617</v>
      </c>
      <c r="J941" s="337" t="s">
        <v>9571</v>
      </c>
      <c r="K941" s="69"/>
      <c r="L941" s="65" t="s">
        <v>3542</v>
      </c>
      <c r="M941" s="92" t="s">
        <v>5590</v>
      </c>
      <c r="N941" s="73"/>
      <c r="O941" s="140" t="s">
        <v>5626</v>
      </c>
      <c r="P941" s="67" t="str">
        <f t="shared" si="1"/>
        <v>50.035058, 36.244214</v>
      </c>
      <c r="Q941" s="67" t="str">
        <f t="shared" si="2"/>
        <v>50.034524, 36.243835</v>
      </c>
      <c r="R941" s="67">
        <f t="shared" si="3"/>
        <v>50.034524</v>
      </c>
      <c r="S941" s="67">
        <f t="shared" si="4"/>
        <v>36.243835</v>
      </c>
      <c r="T941" s="161"/>
      <c r="U941" s="69"/>
      <c r="V941" s="169" t="s">
        <v>9618</v>
      </c>
      <c r="W941" s="161"/>
      <c r="X941" s="17" t="s">
        <v>9</v>
      </c>
      <c r="Y941" s="216" t="s">
        <v>5820</v>
      </c>
      <c r="Z941" s="73"/>
      <c r="AA941" s="73"/>
      <c r="AB941" s="73"/>
      <c r="AC941" s="73"/>
      <c r="AD941" s="73"/>
      <c r="AE941" s="73"/>
      <c r="AF941" s="73"/>
      <c r="AG941" s="73"/>
      <c r="AH941" s="73"/>
      <c r="AI941" s="73"/>
      <c r="AJ941" s="75"/>
      <c r="AK941" s="76" t="s">
        <v>2108</v>
      </c>
      <c r="AL941" s="83" t="s">
        <v>9619</v>
      </c>
      <c r="AM941" s="71" t="s">
        <v>9620</v>
      </c>
      <c r="AN941" s="84" t="s">
        <v>9621</v>
      </c>
      <c r="AO941" s="71" t="s">
        <v>9622</v>
      </c>
      <c r="AP941" s="161" t="str">
        <f>IMAGE("https://bellingcat-archive.nyc3.cdn.digitaloceanspaces.com/Ukraine_Witness_Datasheet/Worksheet/twitter__media_FMrp-PxWYAAPJh3.jpg")</f>
        <v/>
      </c>
      <c r="AQ941" s="161"/>
      <c r="AR941" s="161"/>
      <c r="AS941" s="71" t="s">
        <v>9623</v>
      </c>
      <c r="AT941" s="161"/>
      <c r="AU941" s="89"/>
      <c r="AV941" s="162"/>
      <c r="AW941" s="81"/>
    </row>
    <row r="942" ht="15.75" customHeight="1">
      <c r="A942" s="296" t="s">
        <v>6924</v>
      </c>
      <c r="B942" s="73"/>
      <c r="C942" s="57" t="s">
        <v>9028</v>
      </c>
      <c r="D942" s="260"/>
      <c r="E942" s="260"/>
      <c r="F942" s="89"/>
      <c r="G942" s="358" t="s">
        <v>9624</v>
      </c>
      <c r="H942" s="73"/>
      <c r="I942" s="62" t="s">
        <v>9625</v>
      </c>
      <c r="J942" s="183" t="s">
        <v>9626</v>
      </c>
      <c r="K942" s="69"/>
      <c r="L942" s="65" t="s">
        <v>3542</v>
      </c>
      <c r="M942" s="92" t="s">
        <v>5590</v>
      </c>
      <c r="N942" s="73"/>
      <c r="O942" s="140" t="s">
        <v>5626</v>
      </c>
      <c r="P942" s="67" t="str">
        <f t="shared" si="1"/>
        <v/>
      </c>
      <c r="Q942" s="67" t="str">
        <f t="shared" si="2"/>
        <v/>
      </c>
      <c r="R942" s="67" t="str">
        <f t="shared" si="3"/>
        <v/>
      </c>
      <c r="S942" s="67" t="str">
        <f t="shared" si="4"/>
        <v/>
      </c>
      <c r="T942" s="161"/>
      <c r="U942" s="69"/>
      <c r="V942" s="169" t="s">
        <v>9627</v>
      </c>
      <c r="W942" s="161"/>
      <c r="X942" s="194"/>
      <c r="Y942" s="216" t="s">
        <v>5820</v>
      </c>
      <c r="Z942" s="73"/>
      <c r="AA942" s="73"/>
      <c r="AB942" s="73"/>
      <c r="AC942" s="73"/>
      <c r="AD942" s="73"/>
      <c r="AE942" s="73"/>
      <c r="AF942" s="73"/>
      <c r="AG942" s="73"/>
      <c r="AH942" s="73"/>
      <c r="AI942" s="73"/>
      <c r="AJ942" s="75"/>
      <c r="AK942" s="76" t="s">
        <v>798</v>
      </c>
      <c r="AL942" s="83" t="s">
        <v>9628</v>
      </c>
      <c r="AM942" s="71" t="s">
        <v>9629</v>
      </c>
      <c r="AN942" s="84" t="s">
        <v>9630</v>
      </c>
      <c r="AO942" s="71" t="s">
        <v>9631</v>
      </c>
      <c r="AP942" s="161" t="str">
        <f>IMAGE("https://bellingcat-archive.nyc3.cdn.digitaloceanspaces.com/Ukraine_Witness_Datasheet/Worksheet/youtube_dl_1498257415330054144/out2.jpg")</f>
        <v/>
      </c>
      <c r="AQ942" s="84" t="s">
        <v>9632</v>
      </c>
      <c r="AR942" s="71" t="s">
        <v>9633</v>
      </c>
      <c r="AS942" s="71" t="s">
        <v>9634</v>
      </c>
      <c r="AT942" s="71">
        <v>15.566</v>
      </c>
      <c r="AU942" s="89"/>
      <c r="AV942" s="162"/>
      <c r="AW942" s="81"/>
    </row>
    <row r="943" ht="15.75" customHeight="1">
      <c r="A943" s="246" t="s">
        <v>7154</v>
      </c>
      <c r="B943" s="73"/>
      <c r="C943" s="57" t="s">
        <v>9028</v>
      </c>
      <c r="D943" s="241" t="s">
        <v>9635</v>
      </c>
      <c r="E943" s="241" t="s">
        <v>9636</v>
      </c>
      <c r="F943" s="79">
        <v>4.0</v>
      </c>
      <c r="G943" s="60" t="s">
        <v>9637</v>
      </c>
      <c r="H943" s="73"/>
      <c r="I943" s="62" t="s">
        <v>9638</v>
      </c>
      <c r="J943" s="183" t="s">
        <v>9639</v>
      </c>
      <c r="K943" s="69"/>
      <c r="L943" s="65" t="s">
        <v>3542</v>
      </c>
      <c r="M943" s="92" t="s">
        <v>5590</v>
      </c>
      <c r="N943" s="73"/>
      <c r="O943" s="140" t="s">
        <v>5626</v>
      </c>
      <c r="P943" s="67" t="str">
        <f t="shared" si="1"/>
        <v>50.032896, 36.236884</v>
      </c>
      <c r="Q943" s="67" t="str">
        <f t="shared" si="2"/>
        <v>50.032659, 36.237577</v>
      </c>
      <c r="R943" s="67">
        <f t="shared" si="3"/>
        <v>50.032659</v>
      </c>
      <c r="S943" s="67">
        <f t="shared" si="4"/>
        <v>36.237577</v>
      </c>
      <c r="T943" s="161"/>
      <c r="U943" s="69"/>
      <c r="V943" s="169" t="s">
        <v>9640</v>
      </c>
      <c r="W943" s="161"/>
      <c r="X943" s="17" t="s">
        <v>9</v>
      </c>
      <c r="Y943" s="216" t="s">
        <v>5820</v>
      </c>
      <c r="Z943" s="73"/>
      <c r="AA943" s="73"/>
      <c r="AB943" s="73"/>
      <c r="AC943" s="73"/>
      <c r="AD943" s="73"/>
      <c r="AE943" s="73"/>
      <c r="AF943" s="73"/>
      <c r="AG943" s="73"/>
      <c r="AH943" s="73"/>
      <c r="AI943" s="73"/>
      <c r="AJ943" s="75"/>
      <c r="AK943" s="76" t="s">
        <v>6276</v>
      </c>
      <c r="AL943" s="83" t="s">
        <v>9641</v>
      </c>
      <c r="AM943" s="71" t="s">
        <v>9642</v>
      </c>
      <c r="AN943" s="84" t="s">
        <v>9643</v>
      </c>
      <c r="AO943" s="71" t="s">
        <v>9644</v>
      </c>
      <c r="AP943" s="161" t="str">
        <f>IMAGE("https://bellingcat-archive.nyc3.cdn.digitaloceanspaces.com/Ukraine_Witness_Datasheet/Worksheet/telegram_1cde8137c2/out2.jpg")</f>
        <v/>
      </c>
      <c r="AQ943" s="84" t="s">
        <v>9645</v>
      </c>
      <c r="AR943" s="84" t="s">
        <v>9637</v>
      </c>
      <c r="AS943" s="161"/>
      <c r="AT943" s="71">
        <v>8.0</v>
      </c>
      <c r="AU943" s="89"/>
      <c r="AV943" s="162"/>
      <c r="AW943" s="81"/>
    </row>
    <row r="944" ht="15.75" customHeight="1">
      <c r="A944" s="296" t="s">
        <v>6924</v>
      </c>
      <c r="B944" s="73"/>
      <c r="C944" s="57" t="s">
        <v>9028</v>
      </c>
      <c r="D944" s="241" t="s">
        <v>9646</v>
      </c>
      <c r="E944" s="241" t="s">
        <v>9647</v>
      </c>
      <c r="F944" s="89"/>
      <c r="G944" s="359" t="s">
        <v>9648</v>
      </c>
      <c r="H944" s="73"/>
      <c r="I944" s="62" t="s">
        <v>9649</v>
      </c>
      <c r="J944" s="64" t="s">
        <v>9650</v>
      </c>
      <c r="K944" s="69"/>
      <c r="L944" s="65" t="s">
        <v>3542</v>
      </c>
      <c r="M944" s="92" t="s">
        <v>5590</v>
      </c>
      <c r="N944" s="73"/>
      <c r="O944" s="140" t="s">
        <v>5626</v>
      </c>
      <c r="P944" s="67" t="str">
        <f t="shared" si="1"/>
        <v>50.03477304, 36.23837548</v>
      </c>
      <c r="Q944" s="67" t="str">
        <f t="shared" si="2"/>
        <v>50.034345, 36.23786</v>
      </c>
      <c r="R944" s="67">
        <f t="shared" si="3"/>
        <v>50.034345</v>
      </c>
      <c r="S944" s="67">
        <f t="shared" si="4"/>
        <v>36.23786</v>
      </c>
      <c r="T944" s="161"/>
      <c r="U944" s="69"/>
      <c r="V944" s="169" t="s">
        <v>9651</v>
      </c>
      <c r="W944" s="161"/>
      <c r="X944" s="194"/>
      <c r="Y944" s="216" t="s">
        <v>75</v>
      </c>
      <c r="Z944" s="73"/>
      <c r="AA944" s="73"/>
      <c r="AB944" s="73"/>
      <c r="AC944" s="73"/>
      <c r="AD944" s="73"/>
      <c r="AE944" s="73"/>
      <c r="AF944" s="73"/>
      <c r="AG944" s="73"/>
      <c r="AH944" s="73"/>
      <c r="AI944" s="73"/>
      <c r="AJ944" s="75"/>
      <c r="AK944" s="76" t="s">
        <v>798</v>
      </c>
      <c r="AL944" s="83" t="s">
        <v>9652</v>
      </c>
      <c r="AM944" s="71" t="s">
        <v>9653</v>
      </c>
      <c r="AN944" s="84" t="s">
        <v>9654</v>
      </c>
      <c r="AO944" s="71" t="s">
        <v>9655</v>
      </c>
      <c r="AP944" s="161" t="str">
        <f>IMAGE("https://bellingcat-archive.nyc3.cdn.digitaloceanspaces.com/Ukraine_Witness_Datasheet/Worksheet/youtube_dl_1498254899792027653/out2.jpg")</f>
        <v/>
      </c>
      <c r="AQ944" s="84" t="s">
        <v>9656</v>
      </c>
      <c r="AR944" s="71" t="s">
        <v>9657</v>
      </c>
      <c r="AS944" s="71" t="s">
        <v>9658</v>
      </c>
      <c r="AT944" s="71">
        <v>18.033</v>
      </c>
      <c r="AU944" s="89"/>
      <c r="AV944" s="162"/>
      <c r="AW944" s="81"/>
    </row>
    <row r="945" ht="15.75" customHeight="1">
      <c r="A945" s="254" t="s">
        <v>6880</v>
      </c>
      <c r="B945" s="73"/>
      <c r="C945" s="176"/>
      <c r="D945" s="121"/>
      <c r="E945" s="121"/>
      <c r="F945" s="89"/>
      <c r="G945" s="360"/>
      <c r="H945" s="73"/>
      <c r="I945" s="75"/>
      <c r="J945" s="183"/>
      <c r="K945" s="69"/>
      <c r="L945" s="70"/>
      <c r="M945" s="73"/>
      <c r="N945" s="73"/>
      <c r="O945" s="111"/>
      <c r="P945" s="67" t="str">
        <f t="shared" si="1"/>
        <v/>
      </c>
      <c r="Q945" s="67" t="str">
        <f t="shared" si="2"/>
        <v/>
      </c>
      <c r="R945" s="67" t="str">
        <f t="shared" si="3"/>
        <v/>
      </c>
      <c r="S945" s="67" t="str">
        <f t="shared" si="4"/>
        <v/>
      </c>
      <c r="T945" s="161"/>
      <c r="U945" s="69"/>
      <c r="V945" s="169" t="s">
        <v>9659</v>
      </c>
      <c r="W945" s="161"/>
      <c r="X945" s="194"/>
      <c r="Y945" s="73"/>
      <c r="Z945" s="73"/>
      <c r="AA945" s="73"/>
      <c r="AB945" s="73"/>
      <c r="AC945" s="73"/>
      <c r="AD945" s="73"/>
      <c r="AE945" s="73"/>
      <c r="AF945" s="73"/>
      <c r="AG945" s="73"/>
      <c r="AH945" s="73"/>
      <c r="AI945" s="73"/>
      <c r="AJ945" s="75"/>
      <c r="AK945" s="236"/>
      <c r="AL945" s="269"/>
      <c r="AM945" s="161"/>
      <c r="AN945" s="161"/>
      <c r="AO945" s="161"/>
      <c r="AP945" s="161"/>
      <c r="AQ945" s="161"/>
      <c r="AR945" s="161"/>
      <c r="AS945" s="161"/>
      <c r="AT945" s="161"/>
      <c r="AU945" s="89"/>
      <c r="AV945" s="162"/>
      <c r="AW945" s="81"/>
    </row>
    <row r="946" ht="15.75" customHeight="1">
      <c r="A946" s="204" t="s">
        <v>63</v>
      </c>
      <c r="B946" s="73"/>
      <c r="C946" s="57" t="s">
        <v>9028</v>
      </c>
      <c r="D946" s="74">
        <v>49.927939</v>
      </c>
      <c r="E946" s="74">
        <v>36.43339</v>
      </c>
      <c r="F946" s="79">
        <v>2.0</v>
      </c>
      <c r="G946" s="60" t="s">
        <v>9660</v>
      </c>
      <c r="H946" s="73"/>
      <c r="I946" s="75"/>
      <c r="J946" s="64" t="s">
        <v>9661</v>
      </c>
      <c r="K946" s="69"/>
      <c r="L946" s="65" t="s">
        <v>3542</v>
      </c>
      <c r="M946" s="92" t="s">
        <v>5590</v>
      </c>
      <c r="N946" s="73"/>
      <c r="O946" s="140" t="s">
        <v>5626</v>
      </c>
      <c r="P946" s="67" t="str">
        <f t="shared" si="1"/>
        <v>49.927939, 36.43339</v>
      </c>
      <c r="Q946" s="67" t="str">
        <f t="shared" si="2"/>
        <v>49.927466, 36.433903</v>
      </c>
      <c r="R946" s="67">
        <f t="shared" si="3"/>
        <v>49.927466</v>
      </c>
      <c r="S946" s="67">
        <f t="shared" si="4"/>
        <v>36.433903</v>
      </c>
      <c r="T946" s="161"/>
      <c r="U946" s="69"/>
      <c r="V946" s="169" t="s">
        <v>9662</v>
      </c>
      <c r="W946" s="71" t="s">
        <v>3601</v>
      </c>
      <c r="X946" s="72" t="s">
        <v>2982</v>
      </c>
      <c r="Y946" s="73"/>
      <c r="Z946" s="73"/>
      <c r="AA946" s="73"/>
      <c r="AB946" s="73"/>
      <c r="AC946" s="73"/>
      <c r="AD946" s="73"/>
      <c r="AE946" s="73"/>
      <c r="AF946" s="73"/>
      <c r="AG946" s="73"/>
      <c r="AH946" s="73"/>
      <c r="AI946" s="73"/>
      <c r="AJ946" s="75"/>
      <c r="AK946" s="76" t="s">
        <v>2108</v>
      </c>
      <c r="AL946" s="83" t="s">
        <v>9507</v>
      </c>
      <c r="AM946" s="71" t="s">
        <v>9663</v>
      </c>
      <c r="AN946" s="84" t="s">
        <v>9664</v>
      </c>
      <c r="AO946" s="71" t="s">
        <v>9665</v>
      </c>
      <c r="AP946" s="161" t="str">
        <f>IMAGE("https://bellingcat-archive.nyc3.cdn.digitaloceanspaces.com/Ukraine_Witness_Datasheet/Worksheet/twitter__media_FMrY4EjXsAMCDq9.jpg")</f>
        <v/>
      </c>
      <c r="AQ946" s="161"/>
      <c r="AR946" s="161"/>
      <c r="AS946" s="71" t="s">
        <v>9511</v>
      </c>
      <c r="AT946" s="161"/>
      <c r="AU946" s="79" t="s">
        <v>63</v>
      </c>
      <c r="AV946" s="80" t="s">
        <v>3944</v>
      </c>
      <c r="AW946" s="81"/>
    </row>
    <row r="947" ht="15.75" customHeight="1">
      <c r="A947" s="204" t="s">
        <v>63</v>
      </c>
      <c r="B947" s="73"/>
      <c r="C947" s="57" t="s">
        <v>9028</v>
      </c>
      <c r="D947" s="74">
        <v>50.001833</v>
      </c>
      <c r="E947" s="74">
        <v>36.270448</v>
      </c>
      <c r="F947" s="79">
        <v>4.0</v>
      </c>
      <c r="G947" s="84" t="s">
        <v>9666</v>
      </c>
      <c r="H947" s="73"/>
      <c r="I947" s="75"/>
      <c r="J947" s="64" t="s">
        <v>9667</v>
      </c>
      <c r="K947" s="64"/>
      <c r="L947" s="65" t="s">
        <v>3542</v>
      </c>
      <c r="M947" s="92" t="s">
        <v>5590</v>
      </c>
      <c r="N947" s="73"/>
      <c r="O947" s="140" t="s">
        <v>5626</v>
      </c>
      <c r="P947" s="67" t="str">
        <f t="shared" si="1"/>
        <v>50.001833, 36.270448</v>
      </c>
      <c r="Q947" s="67" t="str">
        <f t="shared" si="2"/>
        <v>50.001716, 36.271378</v>
      </c>
      <c r="R947" s="67">
        <f t="shared" si="3"/>
        <v>50.001716</v>
      </c>
      <c r="S947" s="67">
        <f t="shared" si="4"/>
        <v>36.271378</v>
      </c>
      <c r="T947" s="71" t="s">
        <v>9668</v>
      </c>
      <c r="U947" s="69"/>
      <c r="V947" s="169" t="s">
        <v>9669</v>
      </c>
      <c r="W947" s="71" t="s">
        <v>6108</v>
      </c>
      <c r="X947" s="72" t="s">
        <v>2982</v>
      </c>
      <c r="Y947" s="73"/>
      <c r="Z947" s="73"/>
      <c r="AA947" s="73"/>
      <c r="AB947" s="73"/>
      <c r="AC947" s="73"/>
      <c r="AD947" s="73"/>
      <c r="AE947" s="73"/>
      <c r="AF947" s="73"/>
      <c r="AG947" s="73"/>
      <c r="AH947" s="73"/>
      <c r="AI947" s="73"/>
      <c r="AJ947" s="75"/>
      <c r="AK947" s="76" t="s">
        <v>6276</v>
      </c>
      <c r="AL947" s="83" t="s">
        <v>9670</v>
      </c>
      <c r="AM947" s="71" t="s">
        <v>9671</v>
      </c>
      <c r="AN947" s="84" t="s">
        <v>9672</v>
      </c>
      <c r="AO947" s="71" t="s">
        <v>9673</v>
      </c>
      <c r="AP947" s="161" t="str">
        <f>IMAGE("https://bellingcat-archive.nyc3.cdn.digitaloceanspaces.com/Ukraine_Witness_Datasheet/Worksheet/telegram_1bc4827588/out2.jpg")</f>
        <v/>
      </c>
      <c r="AQ947" s="84" t="s">
        <v>9674</v>
      </c>
      <c r="AR947" s="84" t="s">
        <v>9666</v>
      </c>
      <c r="AS947" s="71" t="s">
        <v>9481</v>
      </c>
      <c r="AT947" s="71">
        <v>26.0</v>
      </c>
      <c r="AU947" s="79" t="s">
        <v>63</v>
      </c>
      <c r="AV947" s="80" t="s">
        <v>3944</v>
      </c>
      <c r="AW947" s="81"/>
    </row>
    <row r="948" ht="15.75" customHeight="1">
      <c r="A948" s="254" t="s">
        <v>6880</v>
      </c>
      <c r="B948" s="73"/>
      <c r="C948" s="176"/>
      <c r="D948" s="121"/>
      <c r="E948" s="121"/>
      <c r="F948" s="89"/>
      <c r="G948" s="161"/>
      <c r="H948" s="73"/>
      <c r="I948" s="75"/>
      <c r="J948" s="69"/>
      <c r="K948" s="69"/>
      <c r="L948" s="70"/>
      <c r="M948" s="73"/>
      <c r="N948" s="73"/>
      <c r="O948" s="73"/>
      <c r="P948" s="67" t="str">
        <f t="shared" si="1"/>
        <v/>
      </c>
      <c r="Q948" s="67" t="str">
        <f t="shared" si="2"/>
        <v/>
      </c>
      <c r="R948" s="67" t="str">
        <f t="shared" si="3"/>
        <v/>
      </c>
      <c r="S948" s="67" t="str">
        <f t="shared" si="4"/>
        <v/>
      </c>
      <c r="T948" s="161"/>
      <c r="U948" s="69"/>
      <c r="V948" s="169" t="s">
        <v>9675</v>
      </c>
      <c r="W948" s="161"/>
      <c r="X948" s="194"/>
      <c r="Y948" s="73"/>
      <c r="Z948" s="73"/>
      <c r="AA948" s="73"/>
      <c r="AB948" s="73"/>
      <c r="AC948" s="73"/>
      <c r="AD948" s="73"/>
      <c r="AE948" s="73"/>
      <c r="AF948" s="73"/>
      <c r="AG948" s="73"/>
      <c r="AH948" s="73"/>
      <c r="AI948" s="73"/>
      <c r="AJ948" s="75"/>
      <c r="AK948" s="236"/>
      <c r="AL948" s="269"/>
      <c r="AM948" s="161"/>
      <c r="AN948" s="161"/>
      <c r="AO948" s="161"/>
      <c r="AP948" s="161"/>
      <c r="AQ948" s="161"/>
      <c r="AR948" s="161"/>
      <c r="AS948" s="161"/>
      <c r="AT948" s="161"/>
      <c r="AU948" s="89"/>
      <c r="AV948" s="162"/>
      <c r="AW948" s="81"/>
    </row>
    <row r="949" ht="15.75" customHeight="1">
      <c r="A949" s="144" t="s">
        <v>3944</v>
      </c>
      <c r="B949" s="73"/>
      <c r="C949" s="57" t="s">
        <v>9028</v>
      </c>
      <c r="D949" s="121"/>
      <c r="E949" s="121"/>
      <c r="F949" s="79">
        <v>2.0</v>
      </c>
      <c r="G949" s="84" t="s">
        <v>9676</v>
      </c>
      <c r="H949" s="73"/>
      <c r="I949" s="75"/>
      <c r="J949" s="69"/>
      <c r="K949" s="69"/>
      <c r="L949" s="70"/>
      <c r="M949" s="73"/>
      <c r="N949" s="73"/>
      <c r="O949" s="73"/>
      <c r="P949" s="67" t="str">
        <f t="shared" si="1"/>
        <v/>
      </c>
      <c r="Q949" s="67" t="str">
        <f t="shared" si="2"/>
        <v/>
      </c>
      <c r="R949" s="67" t="str">
        <f t="shared" si="3"/>
        <v/>
      </c>
      <c r="S949" s="67" t="str">
        <f t="shared" si="4"/>
        <v/>
      </c>
      <c r="T949" s="161"/>
      <c r="U949" s="69"/>
      <c r="V949" s="169" t="s">
        <v>9677</v>
      </c>
      <c r="W949" s="161"/>
      <c r="X949" s="194"/>
      <c r="Y949" s="73"/>
      <c r="Z949" s="73"/>
      <c r="AA949" s="73"/>
      <c r="AB949" s="73"/>
      <c r="AC949" s="73"/>
      <c r="AD949" s="73"/>
      <c r="AE949" s="73"/>
      <c r="AF949" s="73"/>
      <c r="AG949" s="73"/>
      <c r="AH949" s="73"/>
      <c r="AI949" s="73"/>
      <c r="AJ949" s="75"/>
      <c r="AK949" s="76" t="s">
        <v>798</v>
      </c>
      <c r="AL949" s="83" t="s">
        <v>9678</v>
      </c>
      <c r="AM949" s="71" t="s">
        <v>9679</v>
      </c>
      <c r="AN949" s="84" t="s">
        <v>9680</v>
      </c>
      <c r="AO949" s="71" t="s">
        <v>9681</v>
      </c>
      <c r="AP949" s="161" t="str">
        <f>IMAGE("https://bellingcat-archive.nyc3.cdn.digitaloceanspaces.com/Ukraine_Witness_Datasheet/Worksheet/youtube_dl_1498283825985638400/out2.jpg")</f>
        <v/>
      </c>
      <c r="AQ949" s="84" t="s">
        <v>9682</v>
      </c>
      <c r="AR949" s="71" t="s">
        <v>9683</v>
      </c>
      <c r="AS949" s="71" t="s">
        <v>9684</v>
      </c>
      <c r="AT949" s="71">
        <v>11.67</v>
      </c>
      <c r="AU949" s="89"/>
      <c r="AV949" s="162"/>
      <c r="AW949" s="81"/>
    </row>
    <row r="950" ht="15.75" customHeight="1">
      <c r="A950" s="249" t="s">
        <v>9566</v>
      </c>
      <c r="B950" s="73"/>
      <c r="C950" s="57" t="s">
        <v>8024</v>
      </c>
      <c r="D950" s="241" t="s">
        <v>9685</v>
      </c>
      <c r="E950" s="241" t="s">
        <v>9686</v>
      </c>
      <c r="F950" s="79">
        <v>5.0</v>
      </c>
      <c r="G950" s="303" t="s">
        <v>9687</v>
      </c>
      <c r="H950" s="73"/>
      <c r="I950" s="62" t="s">
        <v>9688</v>
      </c>
      <c r="J950" s="183" t="s">
        <v>9689</v>
      </c>
      <c r="K950" s="69"/>
      <c r="L950" s="65" t="s">
        <v>3542</v>
      </c>
      <c r="M950" s="61" t="s">
        <v>5827</v>
      </c>
      <c r="N950" s="73"/>
      <c r="O950" s="61" t="s">
        <v>8817</v>
      </c>
      <c r="P950" s="67" t="str">
        <f t="shared" si="1"/>
        <v>50.925932, 29.877105</v>
      </c>
      <c r="Q950" s="67" t="str">
        <f t="shared" si="2"/>
        <v>50.925337, 29.876662</v>
      </c>
      <c r="R950" s="67">
        <f t="shared" si="3"/>
        <v>50.925337</v>
      </c>
      <c r="S950" s="67">
        <f t="shared" si="4"/>
        <v>29.876662</v>
      </c>
      <c r="T950" s="161"/>
      <c r="U950" s="69"/>
      <c r="V950" s="169" t="s">
        <v>9690</v>
      </c>
      <c r="W950" s="161"/>
      <c r="X950" s="17" t="s">
        <v>9</v>
      </c>
      <c r="Y950" s="216" t="s">
        <v>5820</v>
      </c>
      <c r="Z950" s="73"/>
      <c r="AA950" s="73"/>
      <c r="AB950" s="73"/>
      <c r="AC950" s="73"/>
      <c r="AD950" s="73"/>
      <c r="AE950" s="73"/>
      <c r="AF950" s="73"/>
      <c r="AG950" s="73"/>
      <c r="AH950" s="73"/>
      <c r="AI950" s="73"/>
      <c r="AJ950" s="75"/>
      <c r="AK950" s="76" t="s">
        <v>798</v>
      </c>
      <c r="AL950" s="83" t="s">
        <v>9691</v>
      </c>
      <c r="AM950" s="71" t="s">
        <v>9692</v>
      </c>
      <c r="AN950" s="84" t="s">
        <v>9693</v>
      </c>
      <c r="AO950" s="71" t="s">
        <v>9694</v>
      </c>
      <c r="AP950" s="161" t="str">
        <f>IMAGE("https://bellingcat-archive.nyc3.cdn.digitaloceanspaces.com/Ukraine_Witness_Datasheet/Worksheet/youtube_dl_1497782496347496452/out3.jpg")</f>
        <v/>
      </c>
      <c r="AQ950" s="84" t="s">
        <v>9695</v>
      </c>
      <c r="AR950" s="71" t="s">
        <v>9696</v>
      </c>
      <c r="AS950" s="71" t="s">
        <v>9697</v>
      </c>
      <c r="AT950" s="71">
        <v>66.003</v>
      </c>
      <c r="AU950" s="89"/>
      <c r="AV950" s="162"/>
      <c r="AW950" s="81"/>
    </row>
    <row r="951" ht="15.75" customHeight="1">
      <c r="A951" s="144" t="s">
        <v>3944</v>
      </c>
      <c r="B951" s="73"/>
      <c r="C951" s="57" t="s">
        <v>9028</v>
      </c>
      <c r="D951" s="121"/>
      <c r="E951" s="121"/>
      <c r="F951" s="79">
        <v>2.0</v>
      </c>
      <c r="G951" s="84" t="s">
        <v>9698</v>
      </c>
      <c r="H951" s="73"/>
      <c r="I951" s="75"/>
      <c r="J951" s="69"/>
      <c r="K951" s="69"/>
      <c r="L951" s="70"/>
      <c r="M951" s="73"/>
      <c r="N951" s="73"/>
      <c r="O951" s="73"/>
      <c r="P951" s="67" t="str">
        <f t="shared" si="1"/>
        <v/>
      </c>
      <c r="Q951" s="67" t="str">
        <f t="shared" si="2"/>
        <v/>
      </c>
      <c r="R951" s="67" t="str">
        <f t="shared" si="3"/>
        <v/>
      </c>
      <c r="S951" s="67" t="str">
        <f t="shared" si="4"/>
        <v/>
      </c>
      <c r="T951" s="161"/>
      <c r="U951" s="69"/>
      <c r="V951" s="169" t="s">
        <v>9699</v>
      </c>
      <c r="W951" s="161"/>
      <c r="X951" s="194"/>
      <c r="Y951" s="73"/>
      <c r="Z951" s="73"/>
      <c r="AA951" s="73"/>
      <c r="AB951" s="73"/>
      <c r="AC951" s="73"/>
      <c r="AD951" s="73"/>
      <c r="AE951" s="73"/>
      <c r="AF951" s="73"/>
      <c r="AG951" s="73"/>
      <c r="AH951" s="73"/>
      <c r="AI951" s="73"/>
      <c r="AJ951" s="75"/>
      <c r="AK951" s="76" t="s">
        <v>798</v>
      </c>
      <c r="AL951" s="83" t="s">
        <v>9700</v>
      </c>
      <c r="AM951" s="71" t="s">
        <v>9701</v>
      </c>
      <c r="AN951" s="84" t="s">
        <v>9702</v>
      </c>
      <c r="AO951" s="71" t="s">
        <v>9703</v>
      </c>
      <c r="AP951" s="161" t="str">
        <f>IMAGE("https://bellingcat-archive.nyc3.cdn.digitaloceanspaces.com/Ukraine_Witness_Datasheet/Worksheet/youtube_dl_1498279966588481540/out2.jpg")</f>
        <v/>
      </c>
      <c r="AQ951" s="84" t="s">
        <v>9704</v>
      </c>
      <c r="AR951" s="71" t="s">
        <v>9705</v>
      </c>
      <c r="AS951" s="71" t="s">
        <v>9706</v>
      </c>
      <c r="AT951" s="71">
        <v>16.466</v>
      </c>
      <c r="AU951" s="89"/>
      <c r="AV951" s="162"/>
      <c r="AW951" s="81"/>
    </row>
    <row r="952" ht="15.75" customHeight="1">
      <c r="A952" s="204" t="s">
        <v>63</v>
      </c>
      <c r="B952" s="73"/>
      <c r="C952" s="57" t="s">
        <v>8024</v>
      </c>
      <c r="D952" s="74">
        <v>47.102333</v>
      </c>
      <c r="E952" s="74">
        <v>37.664528</v>
      </c>
      <c r="F952" s="79">
        <v>1.0</v>
      </c>
      <c r="G952" s="84" t="s">
        <v>9707</v>
      </c>
      <c r="H952" s="61" t="s">
        <v>5368</v>
      </c>
      <c r="I952" s="75"/>
      <c r="J952" s="64" t="s">
        <v>9708</v>
      </c>
      <c r="K952" s="69"/>
      <c r="L952" s="169" t="s">
        <v>3542</v>
      </c>
      <c r="M952" s="92" t="s">
        <v>5750</v>
      </c>
      <c r="N952" s="92" t="s">
        <v>9709</v>
      </c>
      <c r="O952" s="92" t="s">
        <v>6109</v>
      </c>
      <c r="P952" s="67" t="str">
        <f t="shared" si="1"/>
        <v>47.102333, 37.664528</v>
      </c>
      <c r="Q952" s="67" t="str">
        <f t="shared" si="2"/>
        <v>47.101793, 37.664915</v>
      </c>
      <c r="R952" s="67">
        <f t="shared" si="3"/>
        <v>47.101793</v>
      </c>
      <c r="S952" s="67">
        <f t="shared" si="4"/>
        <v>37.664915</v>
      </c>
      <c r="T952" s="161"/>
      <c r="U952" s="69"/>
      <c r="V952" s="169" t="s">
        <v>9710</v>
      </c>
      <c r="W952" s="71" t="s">
        <v>9711</v>
      </c>
      <c r="X952" s="72" t="s">
        <v>2982</v>
      </c>
      <c r="Y952" s="73"/>
      <c r="Z952" s="73"/>
      <c r="AA952" s="73"/>
      <c r="AB952" s="73"/>
      <c r="AC952" s="73"/>
      <c r="AD952" s="73"/>
      <c r="AE952" s="73"/>
      <c r="AF952" s="73"/>
      <c r="AG952" s="73"/>
      <c r="AH952" s="73"/>
      <c r="AI952" s="73"/>
      <c r="AJ952" s="75"/>
      <c r="AK952" s="76" t="s">
        <v>2108</v>
      </c>
      <c r="AL952" s="83" t="s">
        <v>9712</v>
      </c>
      <c r="AM952" s="71" t="s">
        <v>9713</v>
      </c>
      <c r="AN952" s="84" t="s">
        <v>9714</v>
      </c>
      <c r="AO952" s="71" t="s">
        <v>9715</v>
      </c>
      <c r="AP952" s="161" t="str">
        <f>IMAGE("https://bellingcat-archive.nyc3.cdn.digitaloceanspaces.com/Ukraine_Witness_Datasheet/Worksheet/twitter__media_FMnByNcXoAIhG-z.jpg")</f>
        <v/>
      </c>
      <c r="AQ952" s="161"/>
      <c r="AR952" s="161"/>
      <c r="AS952" s="71" t="s">
        <v>9716</v>
      </c>
      <c r="AT952" s="161"/>
      <c r="AU952" s="79" t="s">
        <v>63</v>
      </c>
      <c r="AV952" s="80" t="s">
        <v>3944</v>
      </c>
      <c r="AW952" s="81"/>
    </row>
    <row r="953" ht="15.75" customHeight="1">
      <c r="A953" s="204" t="s">
        <v>8023</v>
      </c>
      <c r="B953" s="73"/>
      <c r="C953" s="57" t="s">
        <v>9028</v>
      </c>
      <c r="D953" s="104">
        <v>50.02592</v>
      </c>
      <c r="E953" s="104">
        <v>36.221595</v>
      </c>
      <c r="F953" s="79">
        <v>2.0</v>
      </c>
      <c r="G953" s="84" t="s">
        <v>9717</v>
      </c>
      <c r="H953" s="61" t="s">
        <v>66</v>
      </c>
      <c r="I953" s="75"/>
      <c r="J953" s="64" t="s">
        <v>9718</v>
      </c>
      <c r="K953" s="69"/>
      <c r="L953" s="65" t="s">
        <v>3542</v>
      </c>
      <c r="M953" s="61" t="s">
        <v>5590</v>
      </c>
      <c r="N953" s="73"/>
      <c r="O953" s="93" t="s">
        <v>5626</v>
      </c>
      <c r="P953" s="67" t="str">
        <f t="shared" si="1"/>
        <v>50.02592, 36.221595</v>
      </c>
      <c r="Q953" s="67" t="str">
        <f t="shared" si="2"/>
        <v>50.025353, 36.221507</v>
      </c>
      <c r="R953" s="67">
        <f t="shared" si="3"/>
        <v>50.025353</v>
      </c>
      <c r="S953" s="67">
        <f t="shared" si="4"/>
        <v>36.221507</v>
      </c>
      <c r="T953" s="71" t="s">
        <v>9719</v>
      </c>
      <c r="U953" s="69"/>
      <c r="V953" s="169" t="s">
        <v>9720</v>
      </c>
      <c r="W953" s="71" t="s">
        <v>3601</v>
      </c>
      <c r="X953" s="72" t="s">
        <v>2982</v>
      </c>
      <c r="Y953" s="73"/>
      <c r="Z953" s="73"/>
      <c r="AA953" s="73"/>
      <c r="AB953" s="73"/>
      <c r="AC953" s="73"/>
      <c r="AD953" s="73"/>
      <c r="AE953" s="73"/>
      <c r="AF953" s="73"/>
      <c r="AG953" s="73"/>
      <c r="AH953" s="73"/>
      <c r="AI953" s="73"/>
      <c r="AJ953" s="75"/>
      <c r="AK953" s="76" t="s">
        <v>798</v>
      </c>
      <c r="AL953" s="83" t="s">
        <v>9721</v>
      </c>
      <c r="AM953" s="71" t="s">
        <v>9722</v>
      </c>
      <c r="AN953" s="84" t="s">
        <v>9723</v>
      </c>
      <c r="AO953" s="71" t="s">
        <v>9724</v>
      </c>
      <c r="AP953" s="161" t="str">
        <f>IMAGE("https://bellingcat-archive.nyc3.cdn.digitaloceanspaces.com/Ukraine_Witness_Datasheet/Worksheet/youtube_dl_1498272000946708486/out2.jpg")</f>
        <v/>
      </c>
      <c r="AQ953" s="84" t="s">
        <v>9725</v>
      </c>
      <c r="AR953" s="71" t="s">
        <v>9726</v>
      </c>
      <c r="AS953" s="71" t="s">
        <v>9727</v>
      </c>
      <c r="AT953" s="71">
        <v>30.333</v>
      </c>
      <c r="AU953" s="89"/>
      <c r="AV953" s="80" t="s">
        <v>3944</v>
      </c>
      <c r="AW953" s="81"/>
    </row>
    <row r="954" ht="15.75" customHeight="1">
      <c r="A954" s="204" t="s">
        <v>9138</v>
      </c>
      <c r="B954" s="73"/>
      <c r="C954" s="57" t="s">
        <v>9028</v>
      </c>
      <c r="D954" s="104">
        <v>50.317222</v>
      </c>
      <c r="E954" s="104">
        <v>34.872474</v>
      </c>
      <c r="F954" s="79">
        <v>1.0</v>
      </c>
      <c r="G954" s="84" t="s">
        <v>9728</v>
      </c>
      <c r="H954" s="61" t="s">
        <v>5368</v>
      </c>
      <c r="I954" s="75"/>
      <c r="J954" s="64" t="s">
        <v>9729</v>
      </c>
      <c r="K954" s="69"/>
      <c r="L954" s="65" t="s">
        <v>3542</v>
      </c>
      <c r="M954" s="61" t="s">
        <v>5978</v>
      </c>
      <c r="N954" s="73"/>
      <c r="O954" s="93" t="s">
        <v>6001</v>
      </c>
      <c r="P954" s="67" t="str">
        <f t="shared" si="1"/>
        <v>50.317222, 34.872474</v>
      </c>
      <c r="Q954" s="67" t="str">
        <f t="shared" si="2"/>
        <v>50.316817, 34.872627</v>
      </c>
      <c r="R954" s="67">
        <f t="shared" si="3"/>
        <v>50.316817</v>
      </c>
      <c r="S954" s="67">
        <f t="shared" si="4"/>
        <v>34.872627</v>
      </c>
      <c r="T954" s="161"/>
      <c r="U954" s="69"/>
      <c r="V954" s="169" t="s">
        <v>9730</v>
      </c>
      <c r="W954" s="71" t="s">
        <v>3601</v>
      </c>
      <c r="X954" s="72" t="s">
        <v>2982</v>
      </c>
      <c r="Y954" s="73"/>
      <c r="Z954" s="73"/>
      <c r="AA954" s="73"/>
      <c r="AB954" s="73"/>
      <c r="AC954" s="73"/>
      <c r="AD954" s="73"/>
      <c r="AE954" s="73"/>
      <c r="AF954" s="73"/>
      <c r="AG954" s="73"/>
      <c r="AH954" s="73"/>
      <c r="AI954" s="73"/>
      <c r="AJ954" s="75"/>
      <c r="AK954" s="76" t="s">
        <v>2108</v>
      </c>
      <c r="AL954" s="83" t="s">
        <v>9731</v>
      </c>
      <c r="AM954" s="71" t="s">
        <v>9732</v>
      </c>
      <c r="AN954" s="84" t="s">
        <v>9733</v>
      </c>
      <c r="AO954" s="71" t="s">
        <v>9734</v>
      </c>
      <c r="AP954" s="161" t="str">
        <f>IMAGE("https://bellingcat-archive.nyc3.cdn.digitaloceanspaces.com/Ukraine_Witness_Datasheet/Worksheet/twitter__media_FMsAs9ZWYAgV4Jc.jpg")</f>
        <v/>
      </c>
      <c r="AQ954" s="161"/>
      <c r="AR954" s="161"/>
      <c r="AS954" s="71" t="s">
        <v>9735</v>
      </c>
      <c r="AT954" s="161"/>
      <c r="AU954" s="89"/>
      <c r="AV954" s="80" t="s">
        <v>3944</v>
      </c>
      <c r="AW954" s="81"/>
    </row>
    <row r="955" ht="15.75" customHeight="1">
      <c r="A955" s="204" t="s">
        <v>8023</v>
      </c>
      <c r="B955" s="73"/>
      <c r="C955" s="57" t="s">
        <v>9028</v>
      </c>
      <c r="D955" s="104">
        <v>50.3131057</v>
      </c>
      <c r="E955" s="104">
        <v>34.8867137</v>
      </c>
      <c r="F955" s="79">
        <v>1.0</v>
      </c>
      <c r="G955" s="84" t="s">
        <v>9736</v>
      </c>
      <c r="H955" s="61" t="s">
        <v>66</v>
      </c>
      <c r="I955" s="75"/>
      <c r="J955" s="64" t="s">
        <v>9737</v>
      </c>
      <c r="K955" s="69"/>
      <c r="L955" s="65" t="s">
        <v>3542</v>
      </c>
      <c r="M955" s="61" t="s">
        <v>5978</v>
      </c>
      <c r="N955" s="73"/>
      <c r="O955" s="93" t="s">
        <v>6001</v>
      </c>
      <c r="P955" s="67" t="str">
        <f t="shared" si="1"/>
        <v>50.3131057, 34.8867137</v>
      </c>
      <c r="Q955" s="67" t="str">
        <f t="shared" si="2"/>
        <v>50.312705, 34.886905</v>
      </c>
      <c r="R955" s="67">
        <f t="shared" si="3"/>
        <v>50.312705</v>
      </c>
      <c r="S955" s="67">
        <f t="shared" si="4"/>
        <v>34.886905</v>
      </c>
      <c r="T955" s="71" t="s">
        <v>9738</v>
      </c>
      <c r="U955" s="69"/>
      <c r="V955" s="169" t="s">
        <v>9739</v>
      </c>
      <c r="W955" s="71" t="s">
        <v>9711</v>
      </c>
      <c r="X955" s="72" t="s">
        <v>2982</v>
      </c>
      <c r="Y955" s="73"/>
      <c r="Z955" s="73"/>
      <c r="AA955" s="73"/>
      <c r="AB955" s="73"/>
      <c r="AC955" s="73"/>
      <c r="AD955" s="73"/>
      <c r="AE955" s="73"/>
      <c r="AF955" s="73"/>
      <c r="AG955" s="73"/>
      <c r="AH955" s="73"/>
      <c r="AI955" s="73"/>
      <c r="AJ955" s="75"/>
      <c r="AK955" s="76" t="s">
        <v>798</v>
      </c>
      <c r="AL955" s="83" t="s">
        <v>9740</v>
      </c>
      <c r="AM955" s="71" t="s">
        <v>9741</v>
      </c>
      <c r="AN955" s="84" t="s">
        <v>9742</v>
      </c>
      <c r="AO955" s="71" t="s">
        <v>9743</v>
      </c>
      <c r="AP955" s="161" t="str">
        <f>IMAGE("https://bellingcat-archive.nyc3.cdn.digitaloceanspaces.com/Ukraine_Witness_Datasheet/Worksheet/youtube_dl_1498249640021528582/out2.jpg")</f>
        <v/>
      </c>
      <c r="AQ955" s="84" t="s">
        <v>9744</v>
      </c>
      <c r="AR955" s="71" t="s">
        <v>9745</v>
      </c>
      <c r="AS955" s="71" t="s">
        <v>9746</v>
      </c>
      <c r="AT955" s="71">
        <v>15.766</v>
      </c>
      <c r="AU955" s="89"/>
      <c r="AV955" s="80" t="s">
        <v>3944</v>
      </c>
      <c r="AW955" s="81"/>
    </row>
    <row r="956" ht="15.75" customHeight="1">
      <c r="A956" s="172"/>
      <c r="B956" s="73"/>
      <c r="C956" s="176"/>
      <c r="D956" s="121"/>
      <c r="E956" s="121"/>
      <c r="F956" s="89"/>
      <c r="G956" s="71"/>
      <c r="H956" s="73"/>
      <c r="I956" s="75"/>
      <c r="J956" s="69"/>
      <c r="K956" s="69"/>
      <c r="L956" s="70"/>
      <c r="M956" s="73"/>
      <c r="N956" s="73"/>
      <c r="O956" s="314"/>
      <c r="P956" s="67" t="str">
        <f t="shared" si="1"/>
        <v/>
      </c>
      <c r="Q956" s="67" t="str">
        <f t="shared" si="2"/>
        <v/>
      </c>
      <c r="R956" s="67" t="str">
        <f t="shared" si="3"/>
        <v/>
      </c>
      <c r="S956" s="67" t="str">
        <f t="shared" si="4"/>
        <v/>
      </c>
      <c r="T956" s="161"/>
      <c r="U956" s="69"/>
      <c r="V956" s="169" t="s">
        <v>9747</v>
      </c>
      <c r="W956" s="161"/>
      <c r="X956" s="194"/>
      <c r="Y956" s="73"/>
      <c r="Z956" s="73"/>
      <c r="AA956" s="73"/>
      <c r="AB956" s="73"/>
      <c r="AC956" s="73"/>
      <c r="AD956" s="73"/>
      <c r="AE956" s="73"/>
      <c r="AF956" s="73"/>
      <c r="AG956" s="73"/>
      <c r="AH956" s="73"/>
      <c r="AI956" s="73"/>
      <c r="AJ956" s="75"/>
      <c r="AK956" s="236"/>
      <c r="AL956" s="269"/>
      <c r="AM956" s="161"/>
      <c r="AN956" s="161"/>
      <c r="AO956" s="161"/>
      <c r="AP956" s="161"/>
      <c r="AQ956" s="161"/>
      <c r="AR956" s="161"/>
      <c r="AS956" s="161"/>
      <c r="AT956" s="161"/>
      <c r="AU956" s="89"/>
      <c r="AV956" s="162"/>
      <c r="AW956" s="81"/>
    </row>
    <row r="957" ht="15.75" customHeight="1">
      <c r="A957" s="87" t="s">
        <v>2580</v>
      </c>
      <c r="B957" s="73"/>
      <c r="C957" s="57" t="s">
        <v>9028</v>
      </c>
      <c r="D957" s="74">
        <v>50.305601</v>
      </c>
      <c r="E957" s="74">
        <v>34.879006</v>
      </c>
      <c r="F957" s="79">
        <v>3.0</v>
      </c>
      <c r="G957" s="84" t="s">
        <v>9748</v>
      </c>
      <c r="H957" s="61" t="s">
        <v>66</v>
      </c>
      <c r="I957" s="75"/>
      <c r="J957" s="361" t="s">
        <v>9749</v>
      </c>
      <c r="K957" s="88" t="s">
        <v>9750</v>
      </c>
      <c r="L957" s="65" t="s">
        <v>3542</v>
      </c>
      <c r="M957" s="61" t="s">
        <v>5978</v>
      </c>
      <c r="N957" s="73"/>
      <c r="O957" s="93" t="s">
        <v>6001</v>
      </c>
      <c r="P957" s="67" t="str">
        <f t="shared" si="1"/>
        <v>50.305601, 34.879006</v>
      </c>
      <c r="Q957" s="67" t="str">
        <f t="shared" si="2"/>
        <v>50.305361, 34.879702</v>
      </c>
      <c r="R957" s="67">
        <f t="shared" si="3"/>
        <v>50.305361</v>
      </c>
      <c r="S957" s="67">
        <f t="shared" si="4"/>
        <v>34.879702</v>
      </c>
      <c r="T957" s="161"/>
      <c r="U957" s="69"/>
      <c r="V957" s="169" t="s">
        <v>9751</v>
      </c>
      <c r="W957" s="71" t="s">
        <v>6014</v>
      </c>
      <c r="X957" s="72" t="s">
        <v>75</v>
      </c>
      <c r="Y957" s="73"/>
      <c r="Z957" s="73"/>
      <c r="AA957" s="73"/>
      <c r="AB957" s="73"/>
      <c r="AC957" s="73"/>
      <c r="AD957" s="73"/>
      <c r="AE957" s="73"/>
      <c r="AF957" s="73"/>
      <c r="AG957" s="73"/>
      <c r="AH957" s="73"/>
      <c r="AI957" s="73"/>
      <c r="AJ957" s="75"/>
      <c r="AK957" s="76" t="s">
        <v>798</v>
      </c>
      <c r="AL957" s="83" t="s">
        <v>9752</v>
      </c>
      <c r="AM957" s="71" t="s">
        <v>9753</v>
      </c>
      <c r="AN957" s="84" t="s">
        <v>9754</v>
      </c>
      <c r="AO957" s="71" t="s">
        <v>9755</v>
      </c>
      <c r="AP957" s="161" t="str">
        <f>IMAGE("https://bellingcat-archive.nyc3.cdn.digitaloceanspaces.com/Ukraine_Witness_Datasheet/Worksheet/youtube_dl_1498299997359587331/out2.jpg")</f>
        <v/>
      </c>
      <c r="AQ957" s="84" t="s">
        <v>9756</v>
      </c>
      <c r="AR957" s="71" t="s">
        <v>9757</v>
      </c>
      <c r="AS957" s="71" t="s">
        <v>9758</v>
      </c>
      <c r="AT957" s="71">
        <v>58.285</v>
      </c>
      <c r="AU957" s="89"/>
      <c r="AV957" s="80" t="s">
        <v>3944</v>
      </c>
      <c r="AW957" s="81"/>
    </row>
    <row r="958" ht="15.75" customHeight="1">
      <c r="A958" s="204" t="s">
        <v>63</v>
      </c>
      <c r="B958" s="73"/>
      <c r="C958" s="57" t="s">
        <v>7672</v>
      </c>
      <c r="D958" s="74">
        <v>46.61423</v>
      </c>
      <c r="E958" s="74">
        <v>32.794185</v>
      </c>
      <c r="F958" s="79">
        <v>1.0</v>
      </c>
      <c r="G958" s="84" t="s">
        <v>9759</v>
      </c>
      <c r="H958" s="61" t="s">
        <v>66</v>
      </c>
      <c r="I958" s="75"/>
      <c r="J958" s="64" t="s">
        <v>9760</v>
      </c>
      <c r="K958" s="69"/>
      <c r="L958" s="65" t="s">
        <v>3542</v>
      </c>
      <c r="M958" s="92" t="s">
        <v>5702</v>
      </c>
      <c r="N958" s="314"/>
      <c r="O958" s="92" t="s">
        <v>9432</v>
      </c>
      <c r="P958" s="67" t="str">
        <f t="shared" si="1"/>
        <v>46.61423, 32.794185</v>
      </c>
      <c r="Q958" s="67" t="str">
        <f t="shared" si="2"/>
        <v>46.613651, 32.79363</v>
      </c>
      <c r="R958" s="67">
        <f t="shared" si="3"/>
        <v>46.613651</v>
      </c>
      <c r="S958" s="67">
        <f t="shared" si="4"/>
        <v>32.79363</v>
      </c>
      <c r="T958" s="71" t="s">
        <v>9761</v>
      </c>
      <c r="U958" s="69"/>
      <c r="V958" s="169" t="s">
        <v>9762</v>
      </c>
      <c r="W958" s="71" t="s">
        <v>5739</v>
      </c>
      <c r="X958" s="72" t="s">
        <v>2982</v>
      </c>
      <c r="Y958" s="73"/>
      <c r="Z958" s="73"/>
      <c r="AA958" s="71" t="s">
        <v>5739</v>
      </c>
      <c r="AB958" s="61" t="s">
        <v>9763</v>
      </c>
      <c r="AC958" s="73"/>
      <c r="AD958" s="73"/>
      <c r="AE958" s="73"/>
      <c r="AF958" s="73"/>
      <c r="AG958" s="73"/>
      <c r="AH958" s="73"/>
      <c r="AI958" s="73"/>
      <c r="AJ958" s="75"/>
      <c r="AK958" s="76" t="s">
        <v>798</v>
      </c>
      <c r="AL958" s="83" t="s">
        <v>9764</v>
      </c>
      <c r="AM958" s="71" t="s">
        <v>9765</v>
      </c>
      <c r="AN958" s="84" t="s">
        <v>9766</v>
      </c>
      <c r="AO958" s="71" t="s">
        <v>9767</v>
      </c>
      <c r="AP958" s="161" t="str">
        <f>IMAGE("https://bellingcat-archive.nyc3.cdn.digitaloceanspaces.com/Ukraine_Witness_Datasheet/Worksheet/youtube_dl_1497651007752445954/out2.jpg")</f>
        <v/>
      </c>
      <c r="AQ958" s="84" t="s">
        <v>9768</v>
      </c>
      <c r="AR958" s="71" t="s">
        <v>9769</v>
      </c>
      <c r="AS958" s="71" t="s">
        <v>9770</v>
      </c>
      <c r="AT958" s="71">
        <v>15.022</v>
      </c>
      <c r="AU958" s="79" t="s">
        <v>63</v>
      </c>
      <c r="AV958" s="80" t="s">
        <v>3944</v>
      </c>
      <c r="AW958" s="81"/>
    </row>
    <row r="959" ht="15.75" customHeight="1">
      <c r="A959" s="72" t="s">
        <v>63</v>
      </c>
      <c r="B959" s="73"/>
      <c r="C959" s="57" t="s">
        <v>8024</v>
      </c>
      <c r="D959" s="74">
        <v>50.925932</v>
      </c>
      <c r="E959" s="74">
        <v>29.877105</v>
      </c>
      <c r="F959" s="79">
        <v>5.0</v>
      </c>
      <c r="G959" s="362" t="s">
        <v>9771</v>
      </c>
      <c r="H959" s="73"/>
      <c r="I959" s="62" t="s">
        <v>9688</v>
      </c>
      <c r="J959" s="64" t="s">
        <v>9772</v>
      </c>
      <c r="K959" s="69"/>
      <c r="L959" s="65" t="s">
        <v>3542</v>
      </c>
      <c r="M959" s="93" t="s">
        <v>5827</v>
      </c>
      <c r="N959" s="314"/>
      <c r="O959" s="93" t="s">
        <v>9773</v>
      </c>
      <c r="P959" s="67" t="str">
        <f t="shared" si="1"/>
        <v>50.925932, 29.877105</v>
      </c>
      <c r="Q959" s="67" t="str">
        <f t="shared" si="2"/>
        <v>50.925589, 29.876291</v>
      </c>
      <c r="R959" s="67">
        <f t="shared" si="3"/>
        <v>50.925589</v>
      </c>
      <c r="S959" s="67">
        <f t="shared" si="4"/>
        <v>29.876291</v>
      </c>
      <c r="T959" s="161"/>
      <c r="U959" s="69"/>
      <c r="V959" s="169" t="s">
        <v>9774</v>
      </c>
      <c r="W959" s="71" t="s">
        <v>6108</v>
      </c>
      <c r="X959" s="72" t="s">
        <v>2982</v>
      </c>
      <c r="Y959" s="216" t="s">
        <v>5820</v>
      </c>
      <c r="Z959" s="73"/>
      <c r="AA959" s="73"/>
      <c r="AB959" s="73"/>
      <c r="AC959" s="73"/>
      <c r="AD959" s="73"/>
      <c r="AE959" s="73"/>
      <c r="AF959" s="73"/>
      <c r="AG959" s="73"/>
      <c r="AH959" s="73"/>
      <c r="AI959" s="73"/>
      <c r="AJ959" s="75"/>
      <c r="AK959" s="76" t="s">
        <v>798</v>
      </c>
      <c r="AL959" s="83" t="s">
        <v>9775</v>
      </c>
      <c r="AM959" s="71" t="s">
        <v>9776</v>
      </c>
      <c r="AN959" s="84" t="s">
        <v>9777</v>
      </c>
      <c r="AO959" s="71" t="s">
        <v>9778</v>
      </c>
      <c r="AP959" s="161" t="str">
        <f>IMAGE("https://bellingcat-archive.nyc3.cdn.digitaloceanspaces.com/Ukraine_Witness_Datasheet/Worksheet/youtube_dl_1498314971398213633/out5.jpg")</f>
        <v/>
      </c>
      <c r="AQ959" s="84" t="s">
        <v>9779</v>
      </c>
      <c r="AR959" s="71" t="s">
        <v>9780</v>
      </c>
      <c r="AS959" s="71" t="s">
        <v>9781</v>
      </c>
      <c r="AT959" s="71">
        <v>140.0</v>
      </c>
      <c r="AU959" s="89"/>
      <c r="AV959" s="162"/>
      <c r="AW959" s="81"/>
    </row>
    <row r="960" ht="15.75" customHeight="1">
      <c r="A960" s="165"/>
      <c r="B960" s="73"/>
      <c r="C960" s="57" t="s">
        <v>9028</v>
      </c>
      <c r="D960" s="121"/>
      <c r="E960" s="121"/>
      <c r="F960" s="79">
        <v>5.0</v>
      </c>
      <c r="G960" s="84" t="s">
        <v>9782</v>
      </c>
      <c r="H960" s="73"/>
      <c r="I960" s="75"/>
      <c r="J960" s="64" t="s">
        <v>9783</v>
      </c>
      <c r="K960" s="69"/>
      <c r="L960" s="65" t="s">
        <v>3542</v>
      </c>
      <c r="M960" s="104" t="s">
        <v>5590</v>
      </c>
      <c r="N960" s="121"/>
      <c r="O960" s="92" t="s">
        <v>5626</v>
      </c>
      <c r="P960" s="67" t="str">
        <f t="shared" si="1"/>
        <v/>
      </c>
      <c r="Q960" s="67" t="str">
        <f t="shared" si="2"/>
        <v/>
      </c>
      <c r="R960" s="67" t="str">
        <f t="shared" si="3"/>
        <v/>
      </c>
      <c r="S960" s="67" t="str">
        <f t="shared" si="4"/>
        <v/>
      </c>
      <c r="T960" s="161"/>
      <c r="U960" s="69"/>
      <c r="V960" s="169" t="s">
        <v>9784</v>
      </c>
      <c r="W960" s="161"/>
      <c r="X960" s="194"/>
      <c r="Y960" s="73"/>
      <c r="Z960" s="73"/>
      <c r="AA960" s="73"/>
      <c r="AB960" s="73"/>
      <c r="AC960" s="73"/>
      <c r="AD960" s="73"/>
      <c r="AE960" s="73"/>
      <c r="AF960" s="73"/>
      <c r="AG960" s="73"/>
      <c r="AH960" s="73"/>
      <c r="AI960" s="73"/>
      <c r="AJ960" s="75"/>
      <c r="AK960" s="76" t="s">
        <v>798</v>
      </c>
      <c r="AL960" s="83" t="s">
        <v>9785</v>
      </c>
      <c r="AM960" s="71" t="s">
        <v>9786</v>
      </c>
      <c r="AN960" s="84" t="s">
        <v>9787</v>
      </c>
      <c r="AO960" s="71" t="s">
        <v>9788</v>
      </c>
      <c r="AP960" s="161" t="str">
        <f>IMAGE("https://bellingcat-archive.nyc3.cdn.digitaloceanspaces.com/Ukraine_Witness_Datasheet/Worksheet/youtube_dl_1498286694465949696/out2.jpg")</f>
        <v/>
      </c>
      <c r="AQ960" s="84" t="s">
        <v>9789</v>
      </c>
      <c r="AR960" s="71" t="s">
        <v>9790</v>
      </c>
      <c r="AS960" s="71" t="s">
        <v>9791</v>
      </c>
      <c r="AT960" s="71">
        <v>16.866</v>
      </c>
      <c r="AU960" s="89"/>
      <c r="AV960" s="162"/>
      <c r="AW960" s="81"/>
    </row>
    <row r="961" ht="15.75" customHeight="1">
      <c r="A961" s="95" t="s">
        <v>7968</v>
      </c>
      <c r="B961" s="73"/>
      <c r="C961" s="57" t="s">
        <v>9028</v>
      </c>
      <c r="D961" s="104">
        <v>50.4856938</v>
      </c>
      <c r="E961" s="104">
        <v>34.94237</v>
      </c>
      <c r="F961" s="79">
        <v>1.0</v>
      </c>
      <c r="G961" s="130" t="s">
        <v>9792</v>
      </c>
      <c r="H961" s="61" t="s">
        <v>66</v>
      </c>
      <c r="I961" s="75"/>
      <c r="J961" s="64" t="s">
        <v>9793</v>
      </c>
      <c r="K961" s="88" t="s">
        <v>9794</v>
      </c>
      <c r="L961" s="65" t="s">
        <v>5670</v>
      </c>
      <c r="M961" s="104" t="s">
        <v>5978</v>
      </c>
      <c r="N961" s="121"/>
      <c r="O961" s="92" t="s">
        <v>9238</v>
      </c>
      <c r="P961" s="67" t="str">
        <f t="shared" si="1"/>
        <v>50.4856938, 34.94237</v>
      </c>
      <c r="Q961" s="67" t="str">
        <f t="shared" si="2"/>
        <v>50.485133, 34.942471</v>
      </c>
      <c r="R961" s="67">
        <f t="shared" si="3"/>
        <v>50.485133</v>
      </c>
      <c r="S961" s="67">
        <f t="shared" si="4"/>
        <v>34.942471</v>
      </c>
      <c r="T961" s="161"/>
      <c r="U961" s="69"/>
      <c r="V961" s="169" t="s">
        <v>9795</v>
      </c>
      <c r="W961" s="71" t="s">
        <v>74</v>
      </c>
      <c r="X961" s="72" t="s">
        <v>75</v>
      </c>
      <c r="Y961" s="73"/>
      <c r="Z961" s="73"/>
      <c r="AA961" s="71" t="s">
        <v>74</v>
      </c>
      <c r="AB961" s="61" t="s">
        <v>9796</v>
      </c>
      <c r="AC961" s="73"/>
      <c r="AD961" s="73"/>
      <c r="AE961" s="73"/>
      <c r="AF961" s="73"/>
      <c r="AG961" s="73"/>
      <c r="AH961" s="73"/>
      <c r="AI961" s="73"/>
      <c r="AJ961" s="75"/>
      <c r="AK961" s="76" t="s">
        <v>798</v>
      </c>
      <c r="AL961" s="83" t="s">
        <v>9797</v>
      </c>
      <c r="AM961" s="71" t="s">
        <v>9798</v>
      </c>
      <c r="AN961" s="84" t="s">
        <v>9799</v>
      </c>
      <c r="AO961" s="71" t="s">
        <v>9800</v>
      </c>
      <c r="AP961" s="161" t="str">
        <f>IMAGE("https://bellingcat-archive.nyc3.cdn.digitaloceanspaces.com/Ukraine_Witness_Datasheet/Worksheet/youtube_dl_1498318948940533769/out2.jpg")</f>
        <v/>
      </c>
      <c r="AQ961" s="84" t="s">
        <v>9801</v>
      </c>
      <c r="AR961" s="71" t="s">
        <v>9802</v>
      </c>
      <c r="AS961" s="71" t="s">
        <v>9803</v>
      </c>
      <c r="AT961" s="71">
        <v>37.056</v>
      </c>
      <c r="AU961" s="79" t="s">
        <v>9804</v>
      </c>
      <c r="AV961" s="80" t="s">
        <v>9805</v>
      </c>
      <c r="AW961" s="81"/>
    </row>
    <row r="962" ht="15.75" customHeight="1">
      <c r="A962" s="87" t="s">
        <v>88</v>
      </c>
      <c r="B962" s="73"/>
      <c r="C962" s="338" t="s">
        <v>9028</v>
      </c>
      <c r="D962" s="104">
        <v>51.889468</v>
      </c>
      <c r="E962" s="74">
        <v>31.597</v>
      </c>
      <c r="F962" s="79">
        <v>1.0</v>
      </c>
      <c r="G962" s="84" t="s">
        <v>9806</v>
      </c>
      <c r="H962" s="61" t="s">
        <v>5522</v>
      </c>
      <c r="I962" s="75"/>
      <c r="J962" s="64" t="s">
        <v>9807</v>
      </c>
      <c r="K962" s="88" t="s">
        <v>9808</v>
      </c>
      <c r="L962" s="65" t="s">
        <v>5670</v>
      </c>
      <c r="M962" s="363" t="s">
        <v>5880</v>
      </c>
      <c r="N962" s="121"/>
      <c r="O962" s="364" t="s">
        <v>9809</v>
      </c>
      <c r="P962" s="67" t="str">
        <f t="shared" si="1"/>
        <v>51.889468, 31.597</v>
      </c>
      <c r="Q962" s="67" t="str">
        <f t="shared" si="2"/>
        <v>51.889012, 31.596394</v>
      </c>
      <c r="R962" s="67">
        <f t="shared" si="3"/>
        <v>51.889012</v>
      </c>
      <c r="S962" s="67">
        <f t="shared" si="4"/>
        <v>31.596394</v>
      </c>
      <c r="T962" s="161"/>
      <c r="U962" s="69"/>
      <c r="V962" s="169" t="s">
        <v>9810</v>
      </c>
      <c r="W962" s="161"/>
      <c r="X962" s="72" t="s">
        <v>2982</v>
      </c>
      <c r="Y962" s="73"/>
      <c r="Z962" s="73"/>
      <c r="AA962" s="73"/>
      <c r="AB962" s="73"/>
      <c r="AC962" s="73"/>
      <c r="AD962" s="73"/>
      <c r="AE962" s="73"/>
      <c r="AF962" s="73"/>
      <c r="AG962" s="73"/>
      <c r="AH962" s="73"/>
      <c r="AI962" s="73"/>
      <c r="AJ962" s="75"/>
      <c r="AK962" s="76" t="s">
        <v>798</v>
      </c>
      <c r="AL962" s="83" t="s">
        <v>9811</v>
      </c>
      <c r="AM962" s="71" t="s">
        <v>9812</v>
      </c>
      <c r="AN962" s="84" t="s">
        <v>9813</v>
      </c>
      <c r="AO962" s="71" t="s">
        <v>9814</v>
      </c>
      <c r="AP962" s="161" t="str">
        <f>IMAGE("https://bellingcat-archive.nyc3.cdn.digitaloceanspaces.com/Ukraine_Witness_Datasheet/Worksheet/youtube_dl_1498297184231596042/out2.jpg")</f>
        <v/>
      </c>
      <c r="AQ962" s="84" t="s">
        <v>9815</v>
      </c>
      <c r="AR962" s="71" t="s">
        <v>9816</v>
      </c>
      <c r="AS962" s="71" t="s">
        <v>9817</v>
      </c>
      <c r="AT962" s="71">
        <v>46.466</v>
      </c>
      <c r="AU962" s="89"/>
      <c r="AV962" s="162"/>
      <c r="AW962" s="81"/>
    </row>
    <row r="963" ht="15.75" customHeight="1">
      <c r="A963" s="95" t="s">
        <v>88</v>
      </c>
      <c r="B963" s="73"/>
      <c r="C963" s="338" t="s">
        <v>9028</v>
      </c>
      <c r="D963" s="104">
        <v>50.486021</v>
      </c>
      <c r="E963" s="74">
        <v>34.941636</v>
      </c>
      <c r="F963" s="79">
        <v>3.0</v>
      </c>
      <c r="G963" s="84" t="s">
        <v>9818</v>
      </c>
      <c r="H963" s="61" t="s">
        <v>5522</v>
      </c>
      <c r="I963" s="75"/>
      <c r="J963" s="64" t="s">
        <v>9819</v>
      </c>
      <c r="K963" s="88" t="s">
        <v>9820</v>
      </c>
      <c r="L963" s="65" t="s">
        <v>5670</v>
      </c>
      <c r="M963" s="104" t="s">
        <v>5978</v>
      </c>
      <c r="N963" s="121"/>
      <c r="O963" s="92" t="s">
        <v>9238</v>
      </c>
      <c r="P963" s="67" t="str">
        <f t="shared" si="1"/>
        <v>50.486021, 34.941636</v>
      </c>
      <c r="Q963" s="67" t="str">
        <f t="shared" si="2"/>
        <v>50.48576, 34.942436</v>
      </c>
      <c r="R963" s="67">
        <f t="shared" si="3"/>
        <v>50.48576</v>
      </c>
      <c r="S963" s="67">
        <f t="shared" si="4"/>
        <v>34.942436</v>
      </c>
      <c r="T963" s="161"/>
      <c r="U963" s="69"/>
      <c r="V963" s="169" t="s">
        <v>9821</v>
      </c>
      <c r="W963" s="71" t="s">
        <v>5739</v>
      </c>
      <c r="X963" s="72" t="s">
        <v>75</v>
      </c>
      <c r="Y963" s="73"/>
      <c r="Z963" s="73"/>
      <c r="AA963" s="71" t="s">
        <v>5739</v>
      </c>
      <c r="AB963" s="61" t="s">
        <v>9796</v>
      </c>
      <c r="AC963" s="73"/>
      <c r="AD963" s="73"/>
      <c r="AE963" s="73"/>
      <c r="AF963" s="73"/>
      <c r="AG963" s="73"/>
      <c r="AH963" s="73"/>
      <c r="AI963" s="73"/>
      <c r="AJ963" s="75"/>
      <c r="AK963" s="76" t="s">
        <v>798</v>
      </c>
      <c r="AL963" s="83" t="s">
        <v>9822</v>
      </c>
      <c r="AM963" s="71" t="s">
        <v>9823</v>
      </c>
      <c r="AN963" s="84" t="s">
        <v>9824</v>
      </c>
      <c r="AO963" s="71" t="s">
        <v>9825</v>
      </c>
      <c r="AP963" s="161" t="str">
        <f>IMAGE("https://bellingcat-archive.nyc3.cdn.digitaloceanspaces.com/Ukraine_Witness_Datasheet/Worksheet/youtube_dl_1498293986087387139/out5.jpg")</f>
        <v/>
      </c>
      <c r="AQ963" s="84" t="s">
        <v>9826</v>
      </c>
      <c r="AR963" s="71" t="s">
        <v>9827</v>
      </c>
      <c r="AS963" s="71" t="s">
        <v>9828</v>
      </c>
      <c r="AT963" s="71">
        <v>127.833</v>
      </c>
      <c r="AU963" s="79" t="s">
        <v>88</v>
      </c>
      <c r="AV963" s="80" t="s">
        <v>63</v>
      </c>
      <c r="AW963" s="81"/>
    </row>
    <row r="964" ht="15.75" customHeight="1">
      <c r="A964" s="55" t="s">
        <v>63</v>
      </c>
      <c r="B964" s="73"/>
      <c r="C964" s="57" t="s">
        <v>9028</v>
      </c>
      <c r="D964" s="74">
        <v>49.927838</v>
      </c>
      <c r="E964" s="74">
        <v>36.433284</v>
      </c>
      <c r="F964" s="79">
        <v>2.0</v>
      </c>
      <c r="G964" s="84" t="s">
        <v>9829</v>
      </c>
      <c r="H964" s="61" t="s">
        <v>5522</v>
      </c>
      <c r="I964" s="215" t="s">
        <v>9830</v>
      </c>
      <c r="J964" s="64" t="s">
        <v>9831</v>
      </c>
      <c r="K964" s="69"/>
      <c r="L964" s="65" t="s">
        <v>5670</v>
      </c>
      <c r="M964" s="104" t="s">
        <v>5590</v>
      </c>
      <c r="N964" s="121"/>
      <c r="O964" s="92" t="s">
        <v>5626</v>
      </c>
      <c r="P964" s="67" t="str">
        <f t="shared" si="1"/>
        <v>49.927838, 36.433284</v>
      </c>
      <c r="Q964" s="67" t="str">
        <f t="shared" si="2"/>
        <v>49.92761, 36.43445</v>
      </c>
      <c r="R964" s="67">
        <f t="shared" si="3"/>
        <v>49.92761</v>
      </c>
      <c r="S964" s="67">
        <f t="shared" si="4"/>
        <v>36.43445</v>
      </c>
      <c r="T964" s="161"/>
      <c r="U964" s="69"/>
      <c r="V964" s="169" t="s">
        <v>9832</v>
      </c>
      <c r="W964" s="71" t="s">
        <v>5904</v>
      </c>
      <c r="X964" s="72" t="s">
        <v>75</v>
      </c>
      <c r="Y964" s="216" t="s">
        <v>5820</v>
      </c>
      <c r="Z964" s="73"/>
      <c r="AA964" s="71" t="s">
        <v>5904</v>
      </c>
      <c r="AB964" s="61" t="s">
        <v>9833</v>
      </c>
      <c r="AC964" s="73"/>
      <c r="AD964" s="73"/>
      <c r="AE964" s="73"/>
      <c r="AF964" s="73"/>
      <c r="AG964" s="73"/>
      <c r="AH964" s="73"/>
      <c r="AI964" s="73"/>
      <c r="AJ964" s="75"/>
      <c r="AK964" s="76" t="s">
        <v>6276</v>
      </c>
      <c r="AL964" s="83" t="s">
        <v>9834</v>
      </c>
      <c r="AM964" s="71" t="s">
        <v>9835</v>
      </c>
      <c r="AN964" s="84" t="s">
        <v>9836</v>
      </c>
      <c r="AO964" s="71" t="s">
        <v>9837</v>
      </c>
      <c r="AP964" s="161" t="str">
        <f>IMAGE("https://bellingcat-archive.nyc3.cdn.digitaloceanspaces.com/Ukraine_Witness_Datasheet/Worksheet/telegram_752c4b844b/out2.jpg")</f>
        <v/>
      </c>
      <c r="AQ964" s="84" t="s">
        <v>9838</v>
      </c>
      <c r="AR964" s="84" t="s">
        <v>9829</v>
      </c>
      <c r="AS964" s="71" t="s">
        <v>9839</v>
      </c>
      <c r="AT964" s="71">
        <v>35.0</v>
      </c>
      <c r="AU964" s="79" t="s">
        <v>63</v>
      </c>
      <c r="AV964" s="80" t="s">
        <v>3944</v>
      </c>
      <c r="AW964" s="81"/>
    </row>
    <row r="965" ht="15.75" customHeight="1">
      <c r="A965" s="87" t="s">
        <v>88</v>
      </c>
      <c r="B965" s="73"/>
      <c r="C965" s="338" t="s">
        <v>8024</v>
      </c>
      <c r="D965" s="74">
        <v>47.379151</v>
      </c>
      <c r="E965" s="74">
        <v>35.005054</v>
      </c>
      <c r="F965" s="79">
        <v>1.0</v>
      </c>
      <c r="G965" s="84" t="s">
        <v>9840</v>
      </c>
      <c r="H965" s="61" t="s">
        <v>5522</v>
      </c>
      <c r="I965" s="75"/>
      <c r="J965" s="64" t="s">
        <v>9841</v>
      </c>
      <c r="K965" s="88" t="s">
        <v>9842</v>
      </c>
      <c r="L965" s="65" t="s">
        <v>5670</v>
      </c>
      <c r="M965" s="104" t="s">
        <v>6167</v>
      </c>
      <c r="N965" s="121"/>
      <c r="O965" s="92" t="s">
        <v>9843</v>
      </c>
      <c r="P965" s="67" t="str">
        <f t="shared" si="1"/>
        <v>47.379151, 35.005054</v>
      </c>
      <c r="Q965" s="67" t="str">
        <f t="shared" si="2"/>
        <v>47.379073, 35.004239</v>
      </c>
      <c r="R965" s="67">
        <f t="shared" si="3"/>
        <v>47.379073</v>
      </c>
      <c r="S965" s="67">
        <f t="shared" si="4"/>
        <v>35.004239</v>
      </c>
      <c r="T965" s="71"/>
      <c r="U965" s="69"/>
      <c r="V965" s="169" t="s">
        <v>9844</v>
      </c>
      <c r="W965" s="71" t="s">
        <v>74</v>
      </c>
      <c r="X965" s="72" t="s">
        <v>75</v>
      </c>
      <c r="Y965" s="73"/>
      <c r="Z965" s="73"/>
      <c r="AA965" s="71" t="s">
        <v>74</v>
      </c>
      <c r="AB965" s="61" t="s">
        <v>9845</v>
      </c>
      <c r="AC965" s="73"/>
      <c r="AD965" s="73"/>
      <c r="AE965" s="73"/>
      <c r="AF965" s="73"/>
      <c r="AG965" s="73"/>
      <c r="AH965" s="73"/>
      <c r="AI965" s="73"/>
      <c r="AJ965" s="75"/>
      <c r="AK965" s="76" t="s">
        <v>798</v>
      </c>
      <c r="AL965" s="83" t="s">
        <v>9846</v>
      </c>
      <c r="AM965" s="71" t="s">
        <v>9847</v>
      </c>
      <c r="AN965" s="84" t="s">
        <v>9848</v>
      </c>
      <c r="AO965" s="71" t="s">
        <v>9849</v>
      </c>
      <c r="AP965" s="161" t="str">
        <f>IMAGE("https://bellingcat-archive.nyc3.cdn.digitaloceanspaces.com/Ukraine_Witness_Datasheet/Worksheet/youtube_dl_1497993315551170561/out2.jpg")</f>
        <v/>
      </c>
      <c r="AQ965" s="84" t="s">
        <v>9850</v>
      </c>
      <c r="AR965" s="71" t="s">
        <v>9851</v>
      </c>
      <c r="AS965" s="71" t="s">
        <v>9852</v>
      </c>
      <c r="AT965" s="71">
        <v>15.6</v>
      </c>
      <c r="AU965" s="89"/>
      <c r="AV965" s="80" t="s">
        <v>63</v>
      </c>
      <c r="AW965" s="81"/>
    </row>
    <row r="966" ht="15.75" customHeight="1">
      <c r="A966" s="55" t="s">
        <v>63</v>
      </c>
      <c r="B966" s="73"/>
      <c r="C966" s="57" t="s">
        <v>9028</v>
      </c>
      <c r="D966" s="107">
        <v>49.927596</v>
      </c>
      <c r="E966" s="107">
        <v>36.435527</v>
      </c>
      <c r="F966" s="365">
        <v>2.0</v>
      </c>
      <c r="G966" s="60" t="s">
        <v>9853</v>
      </c>
      <c r="H966" s="71" t="s">
        <v>5522</v>
      </c>
      <c r="I966" s="215" t="s">
        <v>9570</v>
      </c>
      <c r="J966" s="64" t="s">
        <v>9854</v>
      </c>
      <c r="K966" s="69"/>
      <c r="L966" s="63" t="s">
        <v>5670</v>
      </c>
      <c r="M966" s="158" t="s">
        <v>5590</v>
      </c>
      <c r="N966" s="366"/>
      <c r="O966" s="140" t="s">
        <v>5626</v>
      </c>
      <c r="P966" s="67" t="str">
        <f t="shared" si="1"/>
        <v>49.927596, 36.435527</v>
      </c>
      <c r="Q966" s="67" t="str">
        <f t="shared" si="2"/>
        <v>49.927365, 36.436363</v>
      </c>
      <c r="R966" s="67">
        <f t="shared" si="3"/>
        <v>49.927365</v>
      </c>
      <c r="S966" s="67">
        <f t="shared" si="4"/>
        <v>36.436363</v>
      </c>
      <c r="T966" s="161"/>
      <c r="U966" s="69"/>
      <c r="V966" s="169" t="s">
        <v>9855</v>
      </c>
      <c r="W966" s="71" t="s">
        <v>3601</v>
      </c>
      <c r="X966" s="72" t="s">
        <v>75</v>
      </c>
      <c r="Y966" s="216" t="s">
        <v>5820</v>
      </c>
      <c r="Z966" s="73"/>
      <c r="AA966" s="71" t="s">
        <v>3601</v>
      </c>
      <c r="AB966" s="61" t="s">
        <v>9833</v>
      </c>
      <c r="AC966" s="73"/>
      <c r="AD966" s="73"/>
      <c r="AE966" s="73"/>
      <c r="AF966" s="73"/>
      <c r="AG966" s="73"/>
      <c r="AH966" s="73"/>
      <c r="AI966" s="73"/>
      <c r="AJ966" s="75"/>
      <c r="AK966" s="76" t="s">
        <v>6276</v>
      </c>
      <c r="AL966" s="83" t="s">
        <v>9856</v>
      </c>
      <c r="AM966" s="71" t="s">
        <v>9857</v>
      </c>
      <c r="AN966" s="84" t="s">
        <v>9858</v>
      </c>
      <c r="AO966" s="71" t="s">
        <v>9859</v>
      </c>
      <c r="AP966" s="161" t="str">
        <f>IMAGE("https://bellingcat-archive.nyc3.cdn.digitaloceanspaces.com/Ukraine_Witness_Datasheet/Worksheet/telegram_38a7187351/out2.jpg")</f>
        <v/>
      </c>
      <c r="AQ966" s="84" t="s">
        <v>9860</v>
      </c>
      <c r="AR966" s="84" t="s">
        <v>9853</v>
      </c>
      <c r="AS966" s="71" t="s">
        <v>9861</v>
      </c>
      <c r="AT966" s="71">
        <v>13.0</v>
      </c>
      <c r="AU966" s="79" t="s">
        <v>63</v>
      </c>
      <c r="AV966" s="80" t="s">
        <v>3944</v>
      </c>
      <c r="AW966" s="81"/>
    </row>
    <row r="967" ht="15.75" customHeight="1">
      <c r="A967" s="87" t="s">
        <v>88</v>
      </c>
      <c r="B967" s="73"/>
      <c r="C967" s="338" t="s">
        <v>8024</v>
      </c>
      <c r="D967" s="158">
        <v>47.641236</v>
      </c>
      <c r="E967" s="107">
        <v>37.554454</v>
      </c>
      <c r="F967" s="365">
        <v>3.0</v>
      </c>
      <c r="G967" s="84" t="s">
        <v>9862</v>
      </c>
      <c r="H967" s="71" t="s">
        <v>5522</v>
      </c>
      <c r="I967" s="75"/>
      <c r="J967" s="64" t="s">
        <v>9863</v>
      </c>
      <c r="K967" s="88" t="s">
        <v>9864</v>
      </c>
      <c r="L967" s="63" t="s">
        <v>5670</v>
      </c>
      <c r="M967" s="158" t="s">
        <v>9865</v>
      </c>
      <c r="N967" s="366"/>
      <c r="O967" s="158" t="s">
        <v>8407</v>
      </c>
      <c r="P967" s="67" t="str">
        <f t="shared" si="1"/>
        <v>47.641236, 37.554454</v>
      </c>
      <c r="Q967" s="67" t="str">
        <f t="shared" si="2"/>
        <v>47.641214, 37.553303</v>
      </c>
      <c r="R967" s="67">
        <f t="shared" si="3"/>
        <v>47.641214</v>
      </c>
      <c r="S967" s="67">
        <f t="shared" si="4"/>
        <v>37.553303</v>
      </c>
      <c r="T967" s="161"/>
      <c r="U967" s="69"/>
      <c r="V967" s="169" t="s">
        <v>9866</v>
      </c>
      <c r="W967" s="71" t="s">
        <v>3601</v>
      </c>
      <c r="X967" s="72" t="s">
        <v>75</v>
      </c>
      <c r="Y967" s="73"/>
      <c r="Z967" s="73"/>
      <c r="AA967" s="71" t="s">
        <v>3601</v>
      </c>
      <c r="AB967" s="73"/>
      <c r="AC967" s="73"/>
      <c r="AD967" s="73"/>
      <c r="AE967" s="73"/>
      <c r="AF967" s="73"/>
      <c r="AG967" s="73"/>
      <c r="AH967" s="73"/>
      <c r="AI967" s="73"/>
      <c r="AJ967" s="75"/>
      <c r="AK967" s="76" t="s">
        <v>798</v>
      </c>
      <c r="AL967" s="83" t="s">
        <v>9867</v>
      </c>
      <c r="AM967" s="71" t="s">
        <v>9868</v>
      </c>
      <c r="AN967" s="84" t="s">
        <v>9869</v>
      </c>
      <c r="AO967" s="71" t="s">
        <v>9870</v>
      </c>
      <c r="AP967" s="161" t="str">
        <f>IMAGE("https://bellingcat-archive.nyc3.cdn.digitaloceanspaces.com/Ukraine_Witness_Datasheet/Worksheet/youtube_dl_1497679185237712906/out3.jpg")</f>
        <v/>
      </c>
      <c r="AQ967" s="84" t="s">
        <v>9871</v>
      </c>
      <c r="AR967" s="71" t="s">
        <v>9872</v>
      </c>
      <c r="AS967" s="71" t="s">
        <v>9873</v>
      </c>
      <c r="AT967" s="71">
        <v>86.423</v>
      </c>
      <c r="AU967" s="89"/>
      <c r="AV967" s="80" t="s">
        <v>63</v>
      </c>
      <c r="AW967" s="81"/>
    </row>
    <row r="968" ht="15.75" customHeight="1">
      <c r="A968" s="95" t="s">
        <v>5457</v>
      </c>
      <c r="B968" s="73"/>
      <c r="C968" s="57" t="s">
        <v>9028</v>
      </c>
      <c r="D968" s="367">
        <v>47.127883</v>
      </c>
      <c r="E968" s="368">
        <v>37.893827</v>
      </c>
      <c r="F968" s="365">
        <v>1.0</v>
      </c>
      <c r="G968" s="130" t="s">
        <v>9874</v>
      </c>
      <c r="H968" s="71" t="s">
        <v>5522</v>
      </c>
      <c r="I968" s="75"/>
      <c r="J968" s="64" t="s">
        <v>9875</v>
      </c>
      <c r="K968" s="69"/>
      <c r="L968" s="63" t="s">
        <v>5670</v>
      </c>
      <c r="M968" s="158" t="s">
        <v>5750</v>
      </c>
      <c r="N968" s="158" t="s">
        <v>9876</v>
      </c>
      <c r="O968" s="366"/>
      <c r="P968" s="67" t="str">
        <f t="shared" si="1"/>
        <v>47.127883, 37.893827</v>
      </c>
      <c r="Q968" s="67" t="str">
        <f t="shared" si="2"/>
        <v>47.12773, 37.892593</v>
      </c>
      <c r="R968" s="67">
        <f t="shared" si="3"/>
        <v>47.12773</v>
      </c>
      <c r="S968" s="67">
        <f t="shared" si="4"/>
        <v>37.892593</v>
      </c>
      <c r="T968" s="220" t="s">
        <v>9877</v>
      </c>
      <c r="U968" s="69"/>
      <c r="V968" s="169" t="s">
        <v>9878</v>
      </c>
      <c r="W968" s="71" t="s">
        <v>74</v>
      </c>
      <c r="X968" s="72" t="s">
        <v>75</v>
      </c>
      <c r="Y968" s="61" t="s">
        <v>9879</v>
      </c>
      <c r="Z968" s="73"/>
      <c r="AA968" s="71" t="s">
        <v>74</v>
      </c>
      <c r="AB968" s="61" t="s">
        <v>9796</v>
      </c>
      <c r="AC968" s="73"/>
      <c r="AD968" s="73"/>
      <c r="AE968" s="73"/>
      <c r="AF968" s="73"/>
      <c r="AG968" s="73"/>
      <c r="AH968" s="73"/>
      <c r="AI968" s="73"/>
      <c r="AJ968" s="75"/>
      <c r="AK968" s="76" t="s">
        <v>798</v>
      </c>
      <c r="AL968" s="83" t="s">
        <v>9880</v>
      </c>
      <c r="AM968" s="71" t="s">
        <v>9881</v>
      </c>
      <c r="AN968" s="84" t="s">
        <v>9882</v>
      </c>
      <c r="AO968" s="71" t="s">
        <v>9883</v>
      </c>
      <c r="AP968" s="161" t="str">
        <f>IMAGE("https://bellingcat-archive.nyc3.cdn.digitaloceanspaces.com/Ukraine_Witness_Datasheet/Worksheet/youtube_dl_1498255416203087872/out2.jpg")</f>
        <v/>
      </c>
      <c r="AQ968" s="84" t="s">
        <v>9884</v>
      </c>
      <c r="AR968" s="71" t="s">
        <v>9885</v>
      </c>
      <c r="AS968" s="71" t="s">
        <v>9886</v>
      </c>
      <c r="AT968" s="71">
        <v>13.766</v>
      </c>
      <c r="AU968" s="79" t="s">
        <v>5457</v>
      </c>
      <c r="AV968" s="80" t="s">
        <v>63</v>
      </c>
      <c r="AW968" s="81"/>
    </row>
    <row r="969" ht="15.75" customHeight="1">
      <c r="A969" s="208"/>
      <c r="B969" s="73"/>
      <c r="C969" s="176"/>
      <c r="D969" s="366"/>
      <c r="E969" s="366"/>
      <c r="F969" s="365">
        <v>2.0</v>
      </c>
      <c r="G969" s="130" t="s">
        <v>9887</v>
      </c>
      <c r="H969" s="71" t="s">
        <v>5522</v>
      </c>
      <c r="I969" s="75"/>
      <c r="J969" s="64" t="s">
        <v>9888</v>
      </c>
      <c r="K969" s="69"/>
      <c r="L969" s="168"/>
      <c r="M969" s="366"/>
      <c r="N969" s="366"/>
      <c r="O969" s="366"/>
      <c r="P969" s="67" t="str">
        <f t="shared" si="1"/>
        <v/>
      </c>
      <c r="Q969" s="67" t="str">
        <f t="shared" si="2"/>
        <v/>
      </c>
      <c r="R969" s="67" t="str">
        <f t="shared" si="3"/>
        <v/>
      </c>
      <c r="S969" s="67" t="str">
        <f t="shared" si="4"/>
        <v/>
      </c>
      <c r="T969" s="161"/>
      <c r="U969" s="69"/>
      <c r="V969" s="169" t="s">
        <v>9889</v>
      </c>
      <c r="W969" s="161"/>
      <c r="X969" s="194"/>
      <c r="Y969" s="73"/>
      <c r="Z969" s="73"/>
      <c r="AA969" s="73"/>
      <c r="AB969" s="73"/>
      <c r="AC969" s="73"/>
      <c r="AD969" s="73"/>
      <c r="AE969" s="73"/>
      <c r="AF969" s="73"/>
      <c r="AG969" s="73"/>
      <c r="AH969" s="73"/>
      <c r="AI969" s="73"/>
      <c r="AJ969" s="161"/>
      <c r="AK969" s="76" t="s">
        <v>798</v>
      </c>
      <c r="AL969" s="83" t="s">
        <v>9890</v>
      </c>
      <c r="AM969" s="71" t="s">
        <v>9891</v>
      </c>
      <c r="AN969" s="84" t="s">
        <v>9892</v>
      </c>
      <c r="AO969" s="71" t="s">
        <v>9893</v>
      </c>
      <c r="AP969" s="161" t="str">
        <f>IMAGE("https://bellingcat-archive.nyc3.cdn.digitaloceanspaces.com/Ukraine_Witness_Datasheet/Worksheet/youtube_dl_1498290252548616192/out2.jpg")</f>
        <v/>
      </c>
      <c r="AQ969" s="84" t="s">
        <v>9894</v>
      </c>
      <c r="AR969" s="71" t="s">
        <v>9895</v>
      </c>
      <c r="AS969" s="71" t="s">
        <v>9896</v>
      </c>
      <c r="AT969" s="71">
        <v>41.633</v>
      </c>
      <c r="AU969" s="89"/>
      <c r="AV969" s="162"/>
      <c r="AW969" s="81"/>
    </row>
    <row r="970" ht="15.75" customHeight="1">
      <c r="A970" s="354" t="s">
        <v>9897</v>
      </c>
      <c r="B970" s="73"/>
      <c r="C970" s="57" t="s">
        <v>9028</v>
      </c>
      <c r="D970" s="369" t="s">
        <v>9898</v>
      </c>
      <c r="E970" s="370" t="s">
        <v>9899</v>
      </c>
      <c r="F970" s="371"/>
      <c r="G970" s="84" t="s">
        <v>9900</v>
      </c>
      <c r="H970" s="161"/>
      <c r="I970" s="62" t="s">
        <v>9901</v>
      </c>
      <c r="J970" s="64" t="s">
        <v>9902</v>
      </c>
      <c r="K970" s="69"/>
      <c r="L970" s="63" t="s">
        <v>3542</v>
      </c>
      <c r="M970" s="158" t="s">
        <v>5880</v>
      </c>
      <c r="N970" s="366"/>
      <c r="O970" s="107" t="s">
        <v>8524</v>
      </c>
      <c r="P970" s="67" t="str">
        <f t="shared" si="1"/>
        <v>51.466667, 31.216667</v>
      </c>
      <c r="Q970" s="67" t="str">
        <f t="shared" si="2"/>
        <v>51.466341, 31.216393</v>
      </c>
      <c r="R970" s="67">
        <f t="shared" si="3"/>
        <v>51.466341</v>
      </c>
      <c r="S970" s="67">
        <f t="shared" si="4"/>
        <v>31.216393</v>
      </c>
      <c r="T970" s="161"/>
      <c r="U970" s="69"/>
      <c r="V970" s="169" t="s">
        <v>9903</v>
      </c>
      <c r="W970" s="161"/>
      <c r="X970" s="17" t="s">
        <v>9</v>
      </c>
      <c r="Y970" s="216" t="s">
        <v>5820</v>
      </c>
      <c r="Z970" s="73"/>
      <c r="AA970" s="73"/>
      <c r="AB970" s="73"/>
      <c r="AC970" s="73"/>
      <c r="AD970" s="73"/>
      <c r="AE970" s="73"/>
      <c r="AF970" s="73"/>
      <c r="AG970" s="73"/>
      <c r="AH970" s="73"/>
      <c r="AI970" s="73"/>
      <c r="AJ970" s="161"/>
      <c r="AK970" s="76" t="s">
        <v>6276</v>
      </c>
      <c r="AL970" s="83" t="s">
        <v>9904</v>
      </c>
      <c r="AM970" s="71" t="s">
        <v>9905</v>
      </c>
      <c r="AN970" s="84" t="s">
        <v>9906</v>
      </c>
      <c r="AO970" s="71" t="s">
        <v>9907</v>
      </c>
      <c r="AP970" s="161" t="str">
        <f>IMAGE("https://bellingcat-archive.nyc3.cdn.digitaloceanspaces.com/Ukraine_Witness_Datasheet/Worksheet/telegram_01KX8_oxThSFfJu4Kg2b3QgekmexWyIMK_gOlSZMM0MhqptevfapKfAR6WyCcaXmCeTrzyiH5bBEHKXkNfqfEL1zhYi6aBI2_Ojeevm2JPumNcHkvlBAkUoXhBWkrWxg.jpg")</f>
        <v/>
      </c>
      <c r="AQ970" s="161"/>
      <c r="AR970" s="161"/>
      <c r="AS970" s="71" t="s">
        <v>9908</v>
      </c>
      <c r="AT970" s="161"/>
      <c r="AU970" s="89"/>
      <c r="AV970" s="162"/>
      <c r="AW970" s="81"/>
    </row>
    <row r="971" ht="15.75" customHeight="1">
      <c r="A971" s="354" t="s">
        <v>9566</v>
      </c>
      <c r="B971" s="73"/>
      <c r="C971" s="57" t="s">
        <v>9028</v>
      </c>
      <c r="D971" s="372">
        <v>50.020447</v>
      </c>
      <c r="E971" s="372">
        <v>36.372493</v>
      </c>
      <c r="F971" s="365">
        <v>2.0</v>
      </c>
      <c r="G971" s="130" t="s">
        <v>9909</v>
      </c>
      <c r="H971" s="161"/>
      <c r="I971" s="62" t="s">
        <v>9910</v>
      </c>
      <c r="J971" s="64" t="s">
        <v>9911</v>
      </c>
      <c r="K971" s="69"/>
      <c r="L971" s="63" t="s">
        <v>3542</v>
      </c>
      <c r="M971" s="92" t="s">
        <v>5590</v>
      </c>
      <c r="N971" s="366"/>
      <c r="O971" s="158" t="s">
        <v>5626</v>
      </c>
      <c r="P971" s="67" t="str">
        <f t="shared" si="1"/>
        <v>50.020447, 36.372493</v>
      </c>
      <c r="Q971" s="67" t="str">
        <f t="shared" si="2"/>
        <v>50.02017, 36.373003</v>
      </c>
      <c r="R971" s="67">
        <f t="shared" si="3"/>
        <v>50.02017</v>
      </c>
      <c r="S971" s="67">
        <f t="shared" si="4"/>
        <v>36.373003</v>
      </c>
      <c r="T971" s="372"/>
      <c r="U971" s="69"/>
      <c r="V971" s="169" t="s">
        <v>9912</v>
      </c>
      <c r="W971" s="161"/>
      <c r="X971" s="17" t="s">
        <v>9</v>
      </c>
      <c r="Y971" s="216" t="s">
        <v>5820</v>
      </c>
      <c r="Z971" s="73"/>
      <c r="AA971" s="73"/>
      <c r="AB971" s="73"/>
      <c r="AC971" s="73"/>
      <c r="AD971" s="73"/>
      <c r="AE971" s="73"/>
      <c r="AF971" s="73"/>
      <c r="AG971" s="73"/>
      <c r="AH971" s="73"/>
      <c r="AI971" s="73"/>
      <c r="AJ971" s="161"/>
      <c r="AK971" s="76" t="s">
        <v>6276</v>
      </c>
      <c r="AL971" s="83" t="s">
        <v>9913</v>
      </c>
      <c r="AM971" s="71" t="s">
        <v>9914</v>
      </c>
      <c r="AN971" s="84" t="s">
        <v>9915</v>
      </c>
      <c r="AO971" s="71" t="s">
        <v>9916</v>
      </c>
      <c r="AP971" s="161" t="str">
        <f>IMAGE("https://bellingcat-archive.nyc3.cdn.digitaloceanspaces.com/Ukraine_Witness_Datasheet/Worksheet/telegram_75frHLMMZa6wB_wm672w8noL2lFrxVSCTmrFBhT9n2DGgL1zGIMVoHzeE1WlI-Se5ekaZ4nVGUACo4kIa0RTWj3ChS1J7WGKkCh5NyKg51AHsAaEotObbQakED4QbZWw.jpg")</f>
        <v/>
      </c>
      <c r="AQ971" s="161"/>
      <c r="AR971" s="161"/>
      <c r="AS971" s="71" t="s">
        <v>9917</v>
      </c>
      <c r="AT971" s="161"/>
      <c r="AU971" s="89"/>
      <c r="AV971" s="162"/>
      <c r="AW971" s="81"/>
    </row>
    <row r="972" ht="15.75" customHeight="1">
      <c r="A972" s="373" t="s">
        <v>6924</v>
      </c>
      <c r="B972" s="73"/>
      <c r="C972" s="57" t="s">
        <v>9028</v>
      </c>
      <c r="D972" s="369" t="s">
        <v>9918</v>
      </c>
      <c r="E972" s="369" t="s">
        <v>9919</v>
      </c>
      <c r="F972" s="371"/>
      <c r="G972" s="84" t="s">
        <v>9920</v>
      </c>
      <c r="H972" s="161"/>
      <c r="I972" s="62" t="s">
        <v>9921</v>
      </c>
      <c r="J972" s="64" t="s">
        <v>9922</v>
      </c>
      <c r="K972" s="69"/>
      <c r="L972" s="63" t="s">
        <v>3542</v>
      </c>
      <c r="M972" s="366"/>
      <c r="N972" s="366"/>
      <c r="O972" s="158" t="s">
        <v>9923</v>
      </c>
      <c r="P972" s="67" t="str">
        <f t="shared" si="1"/>
        <v>49.271145, 38.908924</v>
      </c>
      <c r="Q972" s="67" t="str">
        <f t="shared" si="2"/>
        <v>49.270563, 38.90913</v>
      </c>
      <c r="R972" s="67">
        <f t="shared" si="3"/>
        <v>49.270563</v>
      </c>
      <c r="S972" s="67">
        <f t="shared" si="4"/>
        <v>38.90913</v>
      </c>
      <c r="T972" s="161"/>
      <c r="U972" s="69"/>
      <c r="V972" s="169" t="s">
        <v>9924</v>
      </c>
      <c r="W972" s="161"/>
      <c r="X972" s="194"/>
      <c r="Y972" s="252"/>
      <c r="Z972" s="73"/>
      <c r="AA972" s="73"/>
      <c r="AB972" s="73"/>
      <c r="AC972" s="73"/>
      <c r="AD972" s="73"/>
      <c r="AE972" s="73"/>
      <c r="AF972" s="73"/>
      <c r="AG972" s="73"/>
      <c r="AH972" s="73"/>
      <c r="AI972" s="73"/>
      <c r="AJ972" s="161"/>
      <c r="AK972" s="136" t="s">
        <v>1261</v>
      </c>
      <c r="AL972" s="147" t="s">
        <v>9925</v>
      </c>
      <c r="AM972" s="138" t="s">
        <v>9926</v>
      </c>
      <c r="AN972" s="163" t="s">
        <v>9927</v>
      </c>
      <c r="AO972" s="164"/>
      <c r="AP972" s="164"/>
      <c r="AQ972" s="164"/>
      <c r="AR972" s="138" t="s">
        <v>7184</v>
      </c>
      <c r="AS972" s="164"/>
      <c r="AT972" s="164"/>
      <c r="AU972" s="89"/>
      <c r="AV972" s="162"/>
      <c r="AW972" s="81"/>
    </row>
    <row r="973" ht="15.75" customHeight="1">
      <c r="A973" s="373" t="s">
        <v>6924</v>
      </c>
      <c r="B973" s="73"/>
      <c r="C973" s="57" t="s">
        <v>9028</v>
      </c>
      <c r="D973" s="369" t="s">
        <v>9918</v>
      </c>
      <c r="E973" s="369" t="s">
        <v>9919</v>
      </c>
      <c r="F973" s="371"/>
      <c r="G973" s="84" t="s">
        <v>9928</v>
      </c>
      <c r="H973" s="161"/>
      <c r="I973" s="62" t="s">
        <v>9921</v>
      </c>
      <c r="J973" s="64" t="s">
        <v>9922</v>
      </c>
      <c r="K973" s="69"/>
      <c r="L973" s="63" t="s">
        <v>3542</v>
      </c>
      <c r="M973" s="366"/>
      <c r="N973" s="366"/>
      <c r="O973" s="158" t="s">
        <v>9923</v>
      </c>
      <c r="P973" s="67" t="str">
        <f t="shared" si="1"/>
        <v>49.271145, 38.908924</v>
      </c>
      <c r="Q973" s="67" t="str">
        <f t="shared" si="2"/>
        <v>49.270597, 38.908389</v>
      </c>
      <c r="R973" s="67">
        <f t="shared" si="3"/>
        <v>49.270597</v>
      </c>
      <c r="S973" s="67">
        <f t="shared" si="4"/>
        <v>38.908389</v>
      </c>
      <c r="T973" s="161"/>
      <c r="U973" s="69"/>
      <c r="V973" s="169" t="s">
        <v>9929</v>
      </c>
      <c r="W973" s="161"/>
      <c r="X973" s="194"/>
      <c r="Y973" s="252"/>
      <c r="Z973" s="73"/>
      <c r="AA973" s="73"/>
      <c r="AB973" s="73"/>
      <c r="AC973" s="73"/>
      <c r="AD973" s="73"/>
      <c r="AE973" s="73"/>
      <c r="AF973" s="73"/>
      <c r="AG973" s="73"/>
      <c r="AH973" s="73"/>
      <c r="AI973" s="73"/>
      <c r="AJ973" s="161"/>
      <c r="AK973" s="136" t="s">
        <v>1261</v>
      </c>
      <c r="AL973" s="147" t="s">
        <v>9930</v>
      </c>
      <c r="AM973" s="138" t="s">
        <v>9931</v>
      </c>
      <c r="AN973" s="163" t="s">
        <v>9932</v>
      </c>
      <c r="AO973" s="164"/>
      <c r="AP973" s="164"/>
      <c r="AQ973" s="164"/>
      <c r="AR973" s="138" t="s">
        <v>7184</v>
      </c>
      <c r="AS973" s="164"/>
      <c r="AT973" s="164"/>
      <c r="AU973" s="89"/>
      <c r="AV973" s="162"/>
      <c r="AW973" s="81"/>
    </row>
    <row r="974" ht="15.75" customHeight="1">
      <c r="A974" s="373" t="s">
        <v>6924</v>
      </c>
      <c r="B974" s="73"/>
      <c r="C974" s="57" t="s">
        <v>9028</v>
      </c>
      <c r="D974" s="369" t="s">
        <v>9918</v>
      </c>
      <c r="E974" s="369" t="s">
        <v>9919</v>
      </c>
      <c r="F974" s="371"/>
      <c r="G974" s="84" t="s">
        <v>9933</v>
      </c>
      <c r="H974" s="161"/>
      <c r="I974" s="62" t="s">
        <v>9921</v>
      </c>
      <c r="J974" s="64" t="s">
        <v>9922</v>
      </c>
      <c r="K974" s="69"/>
      <c r="L974" s="63" t="s">
        <v>3542</v>
      </c>
      <c r="M974" s="366"/>
      <c r="N974" s="366"/>
      <c r="O974" s="158" t="s">
        <v>9923</v>
      </c>
      <c r="P974" s="67" t="str">
        <f t="shared" si="1"/>
        <v>49.271145, 38.908924</v>
      </c>
      <c r="Q974" s="67" t="str">
        <f t="shared" si="2"/>
        <v>49.270764, 38.909139</v>
      </c>
      <c r="R974" s="67">
        <f t="shared" si="3"/>
        <v>49.270764</v>
      </c>
      <c r="S974" s="67">
        <f t="shared" si="4"/>
        <v>38.909139</v>
      </c>
      <c r="T974" s="161"/>
      <c r="U974" s="69"/>
      <c r="V974" s="169"/>
      <c r="W974" s="161"/>
      <c r="X974" s="194"/>
      <c r="Y974" s="252"/>
      <c r="Z974" s="73"/>
      <c r="AA974" s="73"/>
      <c r="AB974" s="73"/>
      <c r="AC974" s="73"/>
      <c r="AD974" s="73"/>
      <c r="AE974" s="73"/>
      <c r="AF974" s="73"/>
      <c r="AG974" s="73"/>
      <c r="AH974" s="73"/>
      <c r="AI974" s="73"/>
      <c r="AJ974" s="161"/>
      <c r="AK974" s="136" t="s">
        <v>798</v>
      </c>
      <c r="AL974" s="147" t="s">
        <v>9934</v>
      </c>
      <c r="AM974" s="138" t="s">
        <v>9935</v>
      </c>
      <c r="AN974" s="163" t="s">
        <v>9936</v>
      </c>
      <c r="AO974" s="138" t="s">
        <v>9937</v>
      </c>
      <c r="AP974" s="164" t="str">
        <f>IMAGE("https://bellingcat-archive.nyc3.cdn.digitaloceanspaces.com/Ukraine_Witness_Datasheet/Worksheet/youtube_dl_923732664951321/out2.jpg")</f>
        <v/>
      </c>
      <c r="AQ974" s="163" t="s">
        <v>9938</v>
      </c>
      <c r="AR974" s="138" t="s">
        <v>9939</v>
      </c>
      <c r="AS974" s="138" t="s">
        <v>9940</v>
      </c>
      <c r="AT974" s="138">
        <v>47.461</v>
      </c>
      <c r="AU974" s="89"/>
      <c r="AV974" s="162"/>
      <c r="AW974" s="81"/>
    </row>
    <row r="975" ht="15.75" customHeight="1">
      <c r="A975" s="374" t="s">
        <v>9138</v>
      </c>
      <c r="B975" s="73"/>
      <c r="C975" s="57" t="s">
        <v>9941</v>
      </c>
      <c r="D975" s="158">
        <v>50.004197</v>
      </c>
      <c r="E975" s="158">
        <v>36.235971</v>
      </c>
      <c r="F975" s="365">
        <v>4.0</v>
      </c>
      <c r="G975" s="84" t="s">
        <v>9942</v>
      </c>
      <c r="H975" s="161"/>
      <c r="I975" s="75"/>
      <c r="J975" s="64" t="s">
        <v>9943</v>
      </c>
      <c r="K975" s="88" t="s">
        <v>9944</v>
      </c>
      <c r="L975" s="63" t="s">
        <v>3542</v>
      </c>
      <c r="M975" s="366"/>
      <c r="N975" s="366"/>
      <c r="O975" s="158" t="s">
        <v>5626</v>
      </c>
      <c r="P975" s="67" t="str">
        <f t="shared" si="1"/>
        <v>50.004197, 36.235971</v>
      </c>
      <c r="Q975" s="67" t="str">
        <f t="shared" si="2"/>
        <v>50.004048, 36.235006</v>
      </c>
      <c r="R975" s="67">
        <f t="shared" si="3"/>
        <v>50.004048</v>
      </c>
      <c r="S975" s="67">
        <f t="shared" si="4"/>
        <v>36.235006</v>
      </c>
      <c r="T975" s="161"/>
      <c r="U975" s="69"/>
      <c r="V975" s="169" t="s">
        <v>9945</v>
      </c>
      <c r="W975" s="161"/>
      <c r="X975" s="194"/>
      <c r="Y975" s="73"/>
      <c r="Z975" s="73"/>
      <c r="AA975" s="73"/>
      <c r="AB975" s="73"/>
      <c r="AC975" s="73"/>
      <c r="AD975" s="73"/>
      <c r="AE975" s="73"/>
      <c r="AF975" s="73"/>
      <c r="AG975" s="73"/>
      <c r="AH975" s="73"/>
      <c r="AI975" s="73"/>
      <c r="AJ975" s="161"/>
      <c r="AK975" s="76" t="s">
        <v>798</v>
      </c>
      <c r="AL975" s="83" t="s">
        <v>9946</v>
      </c>
      <c r="AM975" s="71" t="s">
        <v>9947</v>
      </c>
      <c r="AN975" s="84" t="s">
        <v>9948</v>
      </c>
      <c r="AO975" s="71" t="s">
        <v>9949</v>
      </c>
      <c r="AP975" s="161" t="str">
        <f>IMAGE("https://bellingcat-archive.nyc3.cdn.digitaloceanspaces.com/Ukraine_Witness_Datasheet/Worksheet/youtube_dl_1498550650048811012/out2.jpg")</f>
        <v/>
      </c>
      <c r="AQ975" s="84" t="s">
        <v>9950</v>
      </c>
      <c r="AR975" s="71" t="s">
        <v>9951</v>
      </c>
      <c r="AS975" s="71" t="s">
        <v>9952</v>
      </c>
      <c r="AT975" s="71">
        <v>30.941</v>
      </c>
      <c r="AU975" s="89"/>
      <c r="AV975" s="162"/>
      <c r="AW975" s="81"/>
    </row>
    <row r="976" ht="15.75" customHeight="1">
      <c r="A976" s="55" t="s">
        <v>63</v>
      </c>
      <c r="B976" s="73"/>
      <c r="C976" s="57" t="s">
        <v>9941</v>
      </c>
      <c r="D976" s="107">
        <v>50.921213</v>
      </c>
      <c r="E976" s="107">
        <v>29.897145</v>
      </c>
      <c r="F976" s="365">
        <v>1.0</v>
      </c>
      <c r="G976" s="84" t="s">
        <v>9953</v>
      </c>
      <c r="H976" s="161"/>
      <c r="I976" s="75"/>
      <c r="J976" s="64" t="s">
        <v>9954</v>
      </c>
      <c r="K976" s="69"/>
      <c r="L976" s="63" t="s">
        <v>3542</v>
      </c>
      <c r="M976" s="71" t="s">
        <v>5827</v>
      </c>
      <c r="N976" s="161"/>
      <c r="O976" s="71" t="s">
        <v>8817</v>
      </c>
      <c r="P976" s="67" t="str">
        <f t="shared" si="1"/>
        <v>50.921213, 29.897145</v>
      </c>
      <c r="Q976" s="67" t="str">
        <f t="shared" si="2"/>
        <v>50.920643, 29.896492</v>
      </c>
      <c r="R976" s="67">
        <f t="shared" si="3"/>
        <v>50.920643</v>
      </c>
      <c r="S976" s="67">
        <f t="shared" si="4"/>
        <v>29.896492</v>
      </c>
      <c r="T976" s="161"/>
      <c r="U976" s="69"/>
      <c r="V976" s="169" t="s">
        <v>9955</v>
      </c>
      <c r="W976" s="71" t="s">
        <v>5858</v>
      </c>
      <c r="X976" s="72" t="s">
        <v>2982</v>
      </c>
      <c r="Y976" s="73"/>
      <c r="Z976" s="73"/>
      <c r="AA976" s="71" t="s">
        <v>5858</v>
      </c>
      <c r="AB976" s="61" t="s">
        <v>9956</v>
      </c>
      <c r="AC976" s="73"/>
      <c r="AD976" s="73"/>
      <c r="AE976" s="73"/>
      <c r="AF976" s="73"/>
      <c r="AG976" s="73"/>
      <c r="AH976" s="73"/>
      <c r="AI976" s="73"/>
      <c r="AJ976" s="161"/>
      <c r="AK976" s="76" t="s">
        <v>2108</v>
      </c>
      <c r="AL976" s="83" t="s">
        <v>9957</v>
      </c>
      <c r="AM976" s="71" t="s">
        <v>9958</v>
      </c>
      <c r="AN976" s="84" t="s">
        <v>9959</v>
      </c>
      <c r="AO976" s="71" t="s">
        <v>9960</v>
      </c>
      <c r="AP976" s="161" t="str">
        <f>IMAGE("https://bellingcat-archive.nyc3.cdn.digitaloceanspaces.com/Ukraine_Witness_Datasheet/Worksheet/twitter__media_FMu4mWKWQAQimdi.jpg")</f>
        <v/>
      </c>
      <c r="AQ976" s="161"/>
      <c r="AR976" s="161"/>
      <c r="AS976" s="71" t="s">
        <v>9961</v>
      </c>
      <c r="AT976" s="161"/>
      <c r="AU976" s="79" t="s">
        <v>63</v>
      </c>
      <c r="AV976" s="80" t="s">
        <v>3944</v>
      </c>
      <c r="AW976" s="81"/>
    </row>
    <row r="977" ht="15.75" customHeight="1">
      <c r="A977" s="55" t="s">
        <v>63</v>
      </c>
      <c r="B977" s="73"/>
      <c r="C977" s="57" t="s">
        <v>9941</v>
      </c>
      <c r="D977" s="107">
        <v>50.645199</v>
      </c>
      <c r="E977" s="107">
        <v>29.938545</v>
      </c>
      <c r="F977" s="365">
        <v>1.0</v>
      </c>
      <c r="G977" s="84" t="s">
        <v>9962</v>
      </c>
      <c r="H977" s="161"/>
      <c r="I977" s="75"/>
      <c r="J977" s="64" t="s">
        <v>9963</v>
      </c>
      <c r="K977" s="69"/>
      <c r="L977" s="63" t="s">
        <v>3542</v>
      </c>
      <c r="M977" s="227" t="s">
        <v>5827</v>
      </c>
      <c r="N977" s="288"/>
      <c r="O977" s="140" t="s">
        <v>7832</v>
      </c>
      <c r="P977" s="67" t="str">
        <f t="shared" si="1"/>
        <v>50.645199, 29.938545</v>
      </c>
      <c r="Q977" s="67" t="str">
        <f t="shared" si="2"/>
        <v>50.645054, 29.939077</v>
      </c>
      <c r="R977" s="67">
        <f t="shared" si="3"/>
        <v>50.645054</v>
      </c>
      <c r="S977" s="67">
        <f t="shared" si="4"/>
        <v>29.939077</v>
      </c>
      <c r="T977" s="161"/>
      <c r="U977" s="69"/>
      <c r="V977" s="169" t="s">
        <v>9964</v>
      </c>
      <c r="W977" s="71" t="s">
        <v>5739</v>
      </c>
      <c r="X977" s="72" t="s">
        <v>2982</v>
      </c>
      <c r="Y977" s="73"/>
      <c r="Z977" s="73"/>
      <c r="AA977" s="71" t="s">
        <v>5739</v>
      </c>
      <c r="AB977" s="61" t="s">
        <v>77</v>
      </c>
      <c r="AC977" s="73"/>
      <c r="AD977" s="73"/>
      <c r="AE977" s="73"/>
      <c r="AF977" s="73"/>
      <c r="AG977" s="73"/>
      <c r="AH977" s="73"/>
      <c r="AI977" s="73"/>
      <c r="AJ977" s="161"/>
      <c r="AK977" s="76" t="s">
        <v>798</v>
      </c>
      <c r="AL977" s="83" t="s">
        <v>9965</v>
      </c>
      <c r="AM977" s="71" t="s">
        <v>9966</v>
      </c>
      <c r="AN977" s="84" t="s">
        <v>9967</v>
      </c>
      <c r="AO977" s="71" t="s">
        <v>9968</v>
      </c>
      <c r="AP977" s="161" t="str">
        <f>IMAGE("https://bellingcat-archive.nyc3.cdn.digitaloceanspaces.com/Ukraine_Witness_Datasheet/Worksheet/youtube_dl_1498541548757213186/out2.jpg")</f>
        <v/>
      </c>
      <c r="AQ977" s="84" t="s">
        <v>9969</v>
      </c>
      <c r="AR977" s="71" t="s">
        <v>9970</v>
      </c>
      <c r="AS977" s="71" t="s">
        <v>9971</v>
      </c>
      <c r="AT977" s="71">
        <v>16.266</v>
      </c>
      <c r="AU977" s="79" t="s">
        <v>63</v>
      </c>
      <c r="AV977" s="80" t="s">
        <v>3944</v>
      </c>
      <c r="AW977" s="81"/>
    </row>
    <row r="978" ht="15.75" customHeight="1">
      <c r="A978" s="55" t="s">
        <v>63</v>
      </c>
      <c r="B978" s="73"/>
      <c r="C978" s="57" t="s">
        <v>9941</v>
      </c>
      <c r="D978" s="107">
        <v>50.64541</v>
      </c>
      <c r="E978" s="107">
        <v>29.939209</v>
      </c>
      <c r="F978" s="365">
        <v>1.0</v>
      </c>
      <c r="G978" s="84" t="s">
        <v>9972</v>
      </c>
      <c r="H978" s="161"/>
      <c r="I978" s="75"/>
      <c r="J978" s="64" t="s">
        <v>9963</v>
      </c>
      <c r="K978" s="69"/>
      <c r="L978" s="63" t="s">
        <v>3542</v>
      </c>
      <c r="M978" s="227" t="s">
        <v>5827</v>
      </c>
      <c r="N978" s="288"/>
      <c r="O978" s="140" t="s">
        <v>7832</v>
      </c>
      <c r="P978" s="67" t="str">
        <f t="shared" si="1"/>
        <v>50.64541, 29.939209</v>
      </c>
      <c r="Q978" s="67" t="str">
        <f t="shared" si="2"/>
        <v>50.64496, 29.939046</v>
      </c>
      <c r="R978" s="67">
        <f t="shared" si="3"/>
        <v>50.64496</v>
      </c>
      <c r="S978" s="67">
        <f t="shared" si="4"/>
        <v>29.939046</v>
      </c>
      <c r="T978" s="161"/>
      <c r="U978" s="69"/>
      <c r="V978" s="169" t="s">
        <v>9973</v>
      </c>
      <c r="W978" s="71" t="s">
        <v>5739</v>
      </c>
      <c r="X978" s="72" t="s">
        <v>2982</v>
      </c>
      <c r="Y978" s="73"/>
      <c r="Z978" s="73"/>
      <c r="AA978" s="71" t="s">
        <v>5739</v>
      </c>
      <c r="AB978" s="61" t="s">
        <v>77</v>
      </c>
      <c r="AC978" s="73"/>
      <c r="AD978" s="73"/>
      <c r="AE978" s="73"/>
      <c r="AF978" s="73"/>
      <c r="AG978" s="73"/>
      <c r="AH978" s="73"/>
      <c r="AI978" s="73"/>
      <c r="AJ978" s="161"/>
      <c r="AK978" s="76" t="s">
        <v>798</v>
      </c>
      <c r="AL978" s="83" t="s">
        <v>9974</v>
      </c>
      <c r="AM978" s="71" t="s">
        <v>9975</v>
      </c>
      <c r="AN978" s="84" t="s">
        <v>9976</v>
      </c>
      <c r="AO978" s="71" t="s">
        <v>9977</v>
      </c>
      <c r="AP978" s="161" t="str">
        <f>IMAGE("https://bellingcat-archive.nyc3.cdn.digitaloceanspaces.com/Ukraine_Witness_Datasheet/Worksheet/youtube_dl_1498566462126108680/out2.jpg")</f>
        <v/>
      </c>
      <c r="AQ978" s="84" t="s">
        <v>9978</v>
      </c>
      <c r="AR978" s="71" t="s">
        <v>9979</v>
      </c>
      <c r="AS978" s="71" t="s">
        <v>9980</v>
      </c>
      <c r="AT978" s="71">
        <v>15.0</v>
      </c>
      <c r="AU978" s="79" t="s">
        <v>63</v>
      </c>
      <c r="AV978" s="80" t="s">
        <v>3944</v>
      </c>
      <c r="AW978" s="81"/>
    </row>
    <row r="979" ht="15.75" customHeight="1">
      <c r="A979" s="55" t="s">
        <v>63</v>
      </c>
      <c r="B979" s="73"/>
      <c r="C979" s="57" t="s">
        <v>9941</v>
      </c>
      <c r="D979" s="107">
        <v>50.004121</v>
      </c>
      <c r="E979" s="107">
        <v>36.236487</v>
      </c>
      <c r="F979" s="365">
        <v>2.0</v>
      </c>
      <c r="G979" s="84" t="s">
        <v>9981</v>
      </c>
      <c r="H979" s="161"/>
      <c r="I979" s="75"/>
      <c r="J979" s="64" t="s">
        <v>9982</v>
      </c>
      <c r="K979" s="69"/>
      <c r="L979" s="63" t="s">
        <v>3542</v>
      </c>
      <c r="M979" s="140" t="s">
        <v>5590</v>
      </c>
      <c r="N979" s="288"/>
      <c r="O979" s="140" t="s">
        <v>5626</v>
      </c>
      <c r="P979" s="67" t="str">
        <f t="shared" si="1"/>
        <v>50.004121, 36.236487</v>
      </c>
      <c r="Q979" s="67" t="str">
        <f t="shared" si="2"/>
        <v>50.003362, 36.236622</v>
      </c>
      <c r="R979" s="67">
        <f t="shared" si="3"/>
        <v>50.003362</v>
      </c>
      <c r="S979" s="67">
        <f t="shared" si="4"/>
        <v>36.236622</v>
      </c>
      <c r="T979" s="161"/>
      <c r="U979" s="69"/>
      <c r="V979" s="169" t="s">
        <v>9983</v>
      </c>
      <c r="W979" s="71" t="s">
        <v>3601</v>
      </c>
      <c r="X979" s="72" t="s">
        <v>2982</v>
      </c>
      <c r="Y979" s="73"/>
      <c r="Z979" s="73"/>
      <c r="AA979" s="71" t="s">
        <v>3601</v>
      </c>
      <c r="AB979" s="61" t="s">
        <v>5904</v>
      </c>
      <c r="AC979" s="73"/>
      <c r="AD979" s="73"/>
      <c r="AE979" s="73"/>
      <c r="AF979" s="73"/>
      <c r="AG979" s="73"/>
      <c r="AH979" s="73"/>
      <c r="AI979" s="73"/>
      <c r="AJ979" s="161"/>
      <c r="AK979" s="76" t="s">
        <v>798</v>
      </c>
      <c r="AL979" s="83" t="s">
        <v>9984</v>
      </c>
      <c r="AM979" s="71" t="s">
        <v>9985</v>
      </c>
      <c r="AN979" s="84" t="s">
        <v>9986</v>
      </c>
      <c r="AO979" s="71" t="s">
        <v>9987</v>
      </c>
      <c r="AP979" s="161" t="str">
        <f>IMAGE("https://bellingcat-archive.nyc3.cdn.digitaloceanspaces.com/Ukraine_Witness_Datasheet/Worksheet/youtube_dl_1498562567047979008/out2.jpg")</f>
        <v/>
      </c>
      <c r="AQ979" s="84" t="s">
        <v>9988</v>
      </c>
      <c r="AR979" s="71" t="s">
        <v>9989</v>
      </c>
      <c r="AS979" s="71" t="s">
        <v>9990</v>
      </c>
      <c r="AT979" s="71">
        <v>19.4</v>
      </c>
      <c r="AU979" s="79" t="s">
        <v>63</v>
      </c>
      <c r="AV979" s="80" t="s">
        <v>3944</v>
      </c>
      <c r="AW979" s="81"/>
    </row>
    <row r="980" ht="15.75" customHeight="1">
      <c r="A980" s="55" t="s">
        <v>63</v>
      </c>
      <c r="B980" s="73"/>
      <c r="C980" s="57" t="s">
        <v>9941</v>
      </c>
      <c r="D980" s="107">
        <v>50.004008</v>
      </c>
      <c r="E980" s="107">
        <v>36.235876</v>
      </c>
      <c r="F980" s="365">
        <v>2.0</v>
      </c>
      <c r="G980" s="84" t="s">
        <v>9991</v>
      </c>
      <c r="H980" s="161"/>
      <c r="I980" s="75"/>
      <c r="J980" s="64" t="s">
        <v>9982</v>
      </c>
      <c r="K980" s="69"/>
      <c r="L980" s="63" t="s">
        <v>3542</v>
      </c>
      <c r="M980" s="140" t="s">
        <v>5590</v>
      </c>
      <c r="N980" s="288"/>
      <c r="O980" s="140" t="s">
        <v>5626</v>
      </c>
      <c r="P980" s="67" t="str">
        <f t="shared" si="1"/>
        <v>50.004008, 36.235876</v>
      </c>
      <c r="Q980" s="67" t="str">
        <f t="shared" si="2"/>
        <v>50.003679, 36.23662</v>
      </c>
      <c r="R980" s="67">
        <f t="shared" si="3"/>
        <v>50.003679</v>
      </c>
      <c r="S980" s="67">
        <f t="shared" si="4"/>
        <v>36.23662</v>
      </c>
      <c r="T980" s="161"/>
      <c r="U980" s="69"/>
      <c r="V980" s="169" t="s">
        <v>9992</v>
      </c>
      <c r="W980" s="71" t="s">
        <v>3601</v>
      </c>
      <c r="X980" s="72" t="s">
        <v>2982</v>
      </c>
      <c r="Y980" s="73"/>
      <c r="Z980" s="73"/>
      <c r="AA980" s="71" t="s">
        <v>3601</v>
      </c>
      <c r="AB980" s="61" t="s">
        <v>5904</v>
      </c>
      <c r="AC980" s="73"/>
      <c r="AD980" s="73"/>
      <c r="AE980" s="73"/>
      <c r="AF980" s="73"/>
      <c r="AG980" s="73"/>
      <c r="AH980" s="73"/>
      <c r="AI980" s="73"/>
      <c r="AJ980" s="161"/>
      <c r="AK980" s="76" t="s">
        <v>798</v>
      </c>
      <c r="AL980" s="83" t="s">
        <v>9993</v>
      </c>
      <c r="AM980" s="71" t="s">
        <v>9994</v>
      </c>
      <c r="AN980" s="84" t="s">
        <v>9995</v>
      </c>
      <c r="AO980" s="71" t="s">
        <v>9996</v>
      </c>
      <c r="AP980" s="161" t="str">
        <f>IMAGE("https://bellingcat-archive.nyc3.cdn.digitaloceanspaces.com/Ukraine_Witness_Datasheet/Worksheet/youtube_dl_1498573344223997952/out2.jpg")</f>
        <v/>
      </c>
      <c r="AQ980" s="84" t="s">
        <v>9997</v>
      </c>
      <c r="AR980" s="71" t="s">
        <v>9998</v>
      </c>
      <c r="AS980" s="71" t="s">
        <v>9999</v>
      </c>
      <c r="AT980" s="71">
        <v>21.362</v>
      </c>
      <c r="AU980" s="79" t="s">
        <v>63</v>
      </c>
      <c r="AV980" s="80" t="s">
        <v>3944</v>
      </c>
      <c r="AW980" s="81"/>
    </row>
    <row r="981" ht="15.75" customHeight="1">
      <c r="A981" s="357" t="s">
        <v>63</v>
      </c>
      <c r="B981" s="73"/>
      <c r="C981" s="57" t="s">
        <v>9028</v>
      </c>
      <c r="D981" s="107">
        <v>50.993756</v>
      </c>
      <c r="E981" s="107">
        <v>29.765276</v>
      </c>
      <c r="F981" s="365">
        <v>1.0</v>
      </c>
      <c r="G981" s="84" t="s">
        <v>10000</v>
      </c>
      <c r="H981" s="161"/>
      <c r="I981" s="75"/>
      <c r="J981" s="64" t="s">
        <v>10001</v>
      </c>
      <c r="K981" s="69"/>
      <c r="L981" s="63" t="s">
        <v>3542</v>
      </c>
      <c r="M981" s="140" t="s">
        <v>5827</v>
      </c>
      <c r="N981" s="288"/>
      <c r="O981" s="140" t="s">
        <v>10002</v>
      </c>
      <c r="P981" s="67" t="str">
        <f t="shared" si="1"/>
        <v>50.993756, 29.765276</v>
      </c>
      <c r="Q981" s="67" t="str">
        <f t="shared" si="2"/>
        <v>50.993412, 29.766299</v>
      </c>
      <c r="R981" s="67">
        <f t="shared" si="3"/>
        <v>50.993412</v>
      </c>
      <c r="S981" s="67">
        <f t="shared" si="4"/>
        <v>29.766299</v>
      </c>
      <c r="T981" s="161"/>
      <c r="U981" s="69"/>
      <c r="V981" s="169" t="s">
        <v>10003</v>
      </c>
      <c r="W981" s="71" t="s">
        <v>3601</v>
      </c>
      <c r="X981" s="72" t="s">
        <v>2982</v>
      </c>
      <c r="Y981" s="73"/>
      <c r="Z981" s="73"/>
      <c r="AA981" s="71" t="s">
        <v>3601</v>
      </c>
      <c r="AB981" s="61" t="s">
        <v>10004</v>
      </c>
      <c r="AC981" s="73"/>
      <c r="AD981" s="73"/>
      <c r="AE981" s="73"/>
      <c r="AF981" s="73"/>
      <c r="AG981" s="73"/>
      <c r="AH981" s="73"/>
      <c r="AI981" s="73"/>
      <c r="AJ981" s="161"/>
      <c r="AK981" s="76" t="s">
        <v>2108</v>
      </c>
      <c r="AL981" s="83" t="s">
        <v>10005</v>
      </c>
      <c r="AM981" s="71" t="s">
        <v>10006</v>
      </c>
      <c r="AN981" s="84" t="s">
        <v>10007</v>
      </c>
      <c r="AO981" s="71" t="s">
        <v>10008</v>
      </c>
      <c r="AP981" s="161" t="str">
        <f>IMAGE("https://bellingcat-archive.nyc3.cdn.digitaloceanspaces.com/Ukraine_Witness_Datasheet/Worksheet/twitter__media_FMwEr31XIAAi5KA.jpg")</f>
        <v/>
      </c>
      <c r="AQ981" s="161"/>
      <c r="AR981" s="161"/>
      <c r="AS981" s="71" t="s">
        <v>10009</v>
      </c>
      <c r="AT981" s="161"/>
      <c r="AU981" s="89"/>
      <c r="AV981" s="79" t="s">
        <v>63</v>
      </c>
      <c r="AW981" s="81"/>
    </row>
    <row r="982" ht="15.75" customHeight="1">
      <c r="A982" s="375" t="s">
        <v>10010</v>
      </c>
      <c r="B982" s="73"/>
      <c r="C982" s="57" t="s">
        <v>9941</v>
      </c>
      <c r="D982" s="121"/>
      <c r="E982" s="121"/>
      <c r="F982" s="79">
        <v>1.0</v>
      </c>
      <c r="G982" s="84" t="s">
        <v>10011</v>
      </c>
      <c r="H982" s="73"/>
      <c r="I982" s="75"/>
      <c r="J982" s="64" t="s">
        <v>10012</v>
      </c>
      <c r="K982" s="69"/>
      <c r="L982" s="65" t="s">
        <v>3542</v>
      </c>
      <c r="M982" s="93" t="s">
        <v>5702</v>
      </c>
      <c r="N982" s="314"/>
      <c r="O982" s="376" t="s">
        <v>10013</v>
      </c>
      <c r="P982" s="67" t="str">
        <f t="shared" si="1"/>
        <v/>
      </c>
      <c r="Q982" s="67" t="str">
        <f t="shared" si="2"/>
        <v/>
      </c>
      <c r="R982" s="67" t="str">
        <f t="shared" si="3"/>
        <v/>
      </c>
      <c r="S982" s="67" t="str">
        <f t="shared" si="4"/>
        <v/>
      </c>
      <c r="T982" s="161"/>
      <c r="U982" s="69"/>
      <c r="V982" s="169" t="s">
        <v>10014</v>
      </c>
      <c r="W982" s="161"/>
      <c r="X982" s="194"/>
      <c r="Y982" s="73"/>
      <c r="Z982" s="73"/>
      <c r="AA982" s="73"/>
      <c r="AB982" s="73"/>
      <c r="AC982" s="73"/>
      <c r="AD982" s="73"/>
      <c r="AE982" s="73"/>
      <c r="AF982" s="73"/>
      <c r="AG982" s="73"/>
      <c r="AH982" s="73"/>
      <c r="AI982" s="73"/>
      <c r="AJ982" s="161"/>
      <c r="AK982" s="76" t="s">
        <v>2108</v>
      </c>
      <c r="AL982" s="83" t="s">
        <v>10015</v>
      </c>
      <c r="AM982" s="71" t="s">
        <v>10016</v>
      </c>
      <c r="AN982" s="84" t="s">
        <v>10017</v>
      </c>
      <c r="AO982" s="71" t="s">
        <v>10018</v>
      </c>
      <c r="AP982" s="161" t="str">
        <f>IMAGE("https://bellingcat-archive.nyc3.cdn.digitaloceanspaces.com/Ukraine_Witness_Datasheet/Worksheet/twitter__media_FMv86D5XsAMkkzA.jpg")</f>
        <v/>
      </c>
      <c r="AQ982" s="161"/>
      <c r="AR982" s="161"/>
      <c r="AS982" s="71" t="s">
        <v>10019</v>
      </c>
      <c r="AT982" s="161"/>
      <c r="AU982" s="89"/>
      <c r="AV982" s="162"/>
      <c r="AW982" s="81"/>
    </row>
    <row r="983" ht="15.75" customHeight="1">
      <c r="A983" s="208"/>
      <c r="B983" s="73"/>
      <c r="C983" s="57" t="s">
        <v>9941</v>
      </c>
      <c r="D983" s="121"/>
      <c r="E983" s="121"/>
      <c r="F983" s="79">
        <v>1.0</v>
      </c>
      <c r="G983" s="84" t="s">
        <v>10020</v>
      </c>
      <c r="H983" s="73"/>
      <c r="I983" s="75"/>
      <c r="J983" s="64" t="s">
        <v>10021</v>
      </c>
      <c r="K983" s="69"/>
      <c r="L983" s="70"/>
      <c r="M983" s="73"/>
      <c r="N983" s="73"/>
      <c r="O983" s="73"/>
      <c r="P983" s="67" t="str">
        <f t="shared" si="1"/>
        <v/>
      </c>
      <c r="Q983" s="67" t="str">
        <f t="shared" si="2"/>
        <v/>
      </c>
      <c r="R983" s="67" t="str">
        <f t="shared" si="3"/>
        <v/>
      </c>
      <c r="S983" s="67" t="str">
        <f t="shared" si="4"/>
        <v/>
      </c>
      <c r="T983" s="161"/>
      <c r="U983" s="69"/>
      <c r="V983" s="169" t="s">
        <v>10022</v>
      </c>
      <c r="W983" s="161"/>
      <c r="X983" s="194"/>
      <c r="Y983" s="73"/>
      <c r="Z983" s="73"/>
      <c r="AA983" s="73"/>
      <c r="AB983" s="73"/>
      <c r="AC983" s="73"/>
      <c r="AD983" s="73"/>
      <c r="AE983" s="73"/>
      <c r="AF983" s="73"/>
      <c r="AG983" s="73"/>
      <c r="AH983" s="73"/>
      <c r="AI983" s="73"/>
      <c r="AJ983" s="161"/>
      <c r="AK983" s="76" t="s">
        <v>798</v>
      </c>
      <c r="AL983" s="83" t="s">
        <v>10023</v>
      </c>
      <c r="AM983" s="71" t="s">
        <v>10024</v>
      </c>
      <c r="AN983" s="84" t="s">
        <v>10025</v>
      </c>
      <c r="AO983" s="71" t="s">
        <v>10026</v>
      </c>
      <c r="AP983" s="161" t="str">
        <f>IMAGE("https://bellingcat-archive.nyc3.cdn.digitaloceanspaces.com/Ukraine_Witness_Datasheet/Worksheet/youtube_dl_1498585279514529797/out2.jpg")</f>
        <v/>
      </c>
      <c r="AQ983" s="84" t="s">
        <v>10027</v>
      </c>
      <c r="AR983" s="71" t="s">
        <v>10028</v>
      </c>
      <c r="AS983" s="71" t="s">
        <v>10029</v>
      </c>
      <c r="AT983" s="71">
        <v>20.085</v>
      </c>
      <c r="AU983" s="89"/>
      <c r="AV983" s="162"/>
      <c r="AW983" s="81"/>
    </row>
    <row r="984" ht="15.75" customHeight="1">
      <c r="A984" s="95" t="s">
        <v>8023</v>
      </c>
      <c r="B984" s="73"/>
      <c r="C984" s="57" t="s">
        <v>10030</v>
      </c>
      <c r="D984" s="74">
        <v>46.641509</v>
      </c>
      <c r="E984" s="74">
        <v>32.560502</v>
      </c>
      <c r="F984" s="79">
        <v>1.0</v>
      </c>
      <c r="G984" s="84" t="s">
        <v>10031</v>
      </c>
      <c r="H984" s="73"/>
      <c r="I984" s="75"/>
      <c r="J984" s="64" t="s">
        <v>10032</v>
      </c>
      <c r="K984" s="69"/>
      <c r="L984" s="65" t="s">
        <v>5670</v>
      </c>
      <c r="M984" s="61" t="s">
        <v>5702</v>
      </c>
      <c r="N984" s="73"/>
      <c r="O984" s="61" t="s">
        <v>7098</v>
      </c>
      <c r="P984" s="67" t="str">
        <f t="shared" si="1"/>
        <v>46.641509, 32.560502</v>
      </c>
      <c r="Q984" s="67" t="str">
        <f t="shared" si="2"/>
        <v>46.641105, 32.560501</v>
      </c>
      <c r="R984" s="67">
        <f t="shared" si="3"/>
        <v>46.641105</v>
      </c>
      <c r="S984" s="67">
        <f t="shared" si="4"/>
        <v>32.560501</v>
      </c>
      <c r="T984" s="71" t="s">
        <v>10033</v>
      </c>
      <c r="U984" s="69"/>
      <c r="V984" s="169" t="s">
        <v>10034</v>
      </c>
      <c r="W984" s="71" t="s">
        <v>5858</v>
      </c>
      <c r="X984" s="72" t="s">
        <v>2982</v>
      </c>
      <c r="Y984" s="61" t="s">
        <v>551</v>
      </c>
      <c r="Z984" s="61" t="s">
        <v>10035</v>
      </c>
      <c r="AA984" s="71" t="s">
        <v>5858</v>
      </c>
      <c r="AB984" s="61" t="s">
        <v>1710</v>
      </c>
      <c r="AC984" s="73"/>
      <c r="AD984" s="73"/>
      <c r="AE984" s="73"/>
      <c r="AF984" s="73"/>
      <c r="AG984" s="73"/>
      <c r="AH984" s="73"/>
      <c r="AI984" s="73"/>
      <c r="AJ984" s="161"/>
      <c r="AK984" s="76" t="s">
        <v>798</v>
      </c>
      <c r="AL984" s="83" t="s">
        <v>10036</v>
      </c>
      <c r="AM984" s="71" t="s">
        <v>10037</v>
      </c>
      <c r="AN984" s="84" t="s">
        <v>10038</v>
      </c>
      <c r="AO984" s="71" t="s">
        <v>10039</v>
      </c>
      <c r="AP984" s="161" t="str">
        <f>IMAGE("https://bellingcat-archive.nyc3.cdn.digitaloceanspaces.com/Ukraine_Witness_Datasheet/Worksheet/youtube_dl_1498560089032114177/out2.jpg")</f>
        <v/>
      </c>
      <c r="AQ984" s="84" t="s">
        <v>10040</v>
      </c>
      <c r="AR984" s="71" t="s">
        <v>10041</v>
      </c>
      <c r="AS984" s="71" t="s">
        <v>10042</v>
      </c>
      <c r="AT984" s="71">
        <v>45.0</v>
      </c>
      <c r="AU984" s="89"/>
      <c r="AV984" s="79" t="s">
        <v>63</v>
      </c>
      <c r="AW984" s="81"/>
    </row>
    <row r="985" ht="15.75" customHeight="1">
      <c r="A985" s="95" t="s">
        <v>8023</v>
      </c>
      <c r="B985" s="73"/>
      <c r="C985" s="57" t="s">
        <v>9941</v>
      </c>
      <c r="D985" s="104">
        <v>54.57696448</v>
      </c>
      <c r="E985" s="104">
        <v>39.74786231</v>
      </c>
      <c r="F985" s="79">
        <v>3.0</v>
      </c>
      <c r="G985" s="84" t="s">
        <v>10043</v>
      </c>
      <c r="H985" s="61" t="s">
        <v>5368</v>
      </c>
      <c r="I985" s="75"/>
      <c r="J985" s="64" t="s">
        <v>10044</v>
      </c>
      <c r="K985" s="69"/>
      <c r="L985" s="65" t="s">
        <v>79</v>
      </c>
      <c r="M985" s="61" t="s">
        <v>10045</v>
      </c>
      <c r="N985" s="73"/>
      <c r="O985" s="61" t="s">
        <v>10046</v>
      </c>
      <c r="P985" s="67" t="str">
        <f t="shared" si="1"/>
        <v>54.57696448, 39.74786231</v>
      </c>
      <c r="Q985" s="67" t="str">
        <f t="shared" si="2"/>
        <v>54.576433, 39.747976</v>
      </c>
      <c r="R985" s="67">
        <f t="shared" si="3"/>
        <v>54.576433</v>
      </c>
      <c r="S985" s="67">
        <f t="shared" si="4"/>
        <v>39.747976</v>
      </c>
      <c r="T985" s="71" t="s">
        <v>10047</v>
      </c>
      <c r="U985" s="69"/>
      <c r="V985" s="169" t="s">
        <v>10048</v>
      </c>
      <c r="W985" s="71" t="s">
        <v>9711</v>
      </c>
      <c r="X985" s="72" t="s">
        <v>2982</v>
      </c>
      <c r="Y985" s="73"/>
      <c r="Z985" s="71"/>
      <c r="AA985" s="71" t="s">
        <v>6641</v>
      </c>
      <c r="AB985" s="61" t="s">
        <v>10049</v>
      </c>
      <c r="AC985" s="73"/>
      <c r="AD985" s="73"/>
      <c r="AE985" s="73"/>
      <c r="AF985" s="73"/>
      <c r="AG985" s="73"/>
      <c r="AH985" s="73"/>
      <c r="AI985" s="73"/>
      <c r="AJ985" s="161"/>
      <c r="AK985" s="76" t="s">
        <v>2108</v>
      </c>
      <c r="AL985" s="83" t="s">
        <v>10050</v>
      </c>
      <c r="AM985" s="71" t="s">
        <v>10051</v>
      </c>
      <c r="AN985" s="84" t="s">
        <v>10052</v>
      </c>
      <c r="AO985" s="71" t="s">
        <v>10053</v>
      </c>
      <c r="AP985" s="161" t="str">
        <f>IMAGE("https://bellingcat-archive.nyc3.cdn.digitaloceanspaces.com/Ukraine_Witness_Datasheet/Worksheet/twitter__media_FMwXQuwWYAAm_iS.jpg")</f>
        <v/>
      </c>
      <c r="AQ985" s="161"/>
      <c r="AR985" s="161"/>
      <c r="AS985" s="71" t="s">
        <v>10054</v>
      </c>
      <c r="AT985" s="161"/>
      <c r="AU985" s="89"/>
      <c r="AV985" s="79" t="s">
        <v>63</v>
      </c>
      <c r="AW985" s="81"/>
    </row>
    <row r="986" ht="15.75" customHeight="1">
      <c r="A986" s="95" t="s">
        <v>8023</v>
      </c>
      <c r="B986" s="73"/>
      <c r="C986" s="57" t="s">
        <v>9941</v>
      </c>
      <c r="D986" s="104">
        <v>46.6391616</v>
      </c>
      <c r="E986" s="104">
        <v>32.5615633</v>
      </c>
      <c r="F986" s="79">
        <v>1.0</v>
      </c>
      <c r="G986" s="84" t="s">
        <v>10055</v>
      </c>
      <c r="H986" s="61" t="s">
        <v>66</v>
      </c>
      <c r="I986" s="75"/>
      <c r="J986" s="64" t="s">
        <v>10056</v>
      </c>
      <c r="K986" s="69"/>
      <c r="L986" s="65" t="s">
        <v>3542</v>
      </c>
      <c r="M986" s="61" t="s">
        <v>5702</v>
      </c>
      <c r="N986" s="73"/>
      <c r="O986" s="74" t="s">
        <v>10057</v>
      </c>
      <c r="P986" s="67" t="str">
        <f t="shared" si="1"/>
        <v>46.6391616, 32.5615633</v>
      </c>
      <c r="Q986" s="67" t="str">
        <f t="shared" si="2"/>
        <v>46.638674, 32.561126</v>
      </c>
      <c r="R986" s="67">
        <f t="shared" si="3"/>
        <v>46.638674</v>
      </c>
      <c r="S986" s="67">
        <f t="shared" si="4"/>
        <v>32.561126</v>
      </c>
      <c r="T986" s="71" t="s">
        <v>10058</v>
      </c>
      <c r="U986" s="69"/>
      <c r="V986" s="169" t="s">
        <v>10059</v>
      </c>
      <c r="W986" s="71" t="s">
        <v>5858</v>
      </c>
      <c r="X986" s="72" t="s">
        <v>2982</v>
      </c>
      <c r="Y986" s="61" t="s">
        <v>551</v>
      </c>
      <c r="Z986" s="61" t="s">
        <v>10035</v>
      </c>
      <c r="AA986" s="71" t="s">
        <v>5858</v>
      </c>
      <c r="AB986" s="73"/>
      <c r="AC986" s="73"/>
      <c r="AD986" s="73"/>
      <c r="AE986" s="73"/>
      <c r="AF986" s="73"/>
      <c r="AG986" s="73"/>
      <c r="AH986" s="73"/>
      <c r="AI986" s="73"/>
      <c r="AJ986" s="161"/>
      <c r="AK986" s="76" t="s">
        <v>798</v>
      </c>
      <c r="AL986" s="83" t="s">
        <v>10060</v>
      </c>
      <c r="AM986" s="71" t="s">
        <v>10061</v>
      </c>
      <c r="AN986" s="84" t="s">
        <v>10062</v>
      </c>
      <c r="AO986" s="71" t="s">
        <v>10063</v>
      </c>
      <c r="AP986" s="161" t="str">
        <f>IMAGE("https://bellingcat-archive.nyc3.cdn.digitaloceanspaces.com/Ukraine_Witness_Datasheet/Worksheet/youtube_dl_1498597357360930817/out3.jpg")</f>
        <v/>
      </c>
      <c r="AQ986" s="84" t="s">
        <v>10064</v>
      </c>
      <c r="AR986" s="71" t="s">
        <v>10065</v>
      </c>
      <c r="AS986" s="71" t="s">
        <v>10066</v>
      </c>
      <c r="AT986" s="71">
        <v>63.272</v>
      </c>
      <c r="AU986" s="89"/>
      <c r="AV986" s="80" t="s">
        <v>63</v>
      </c>
      <c r="AW986" s="81"/>
    </row>
    <row r="987" ht="15.75" customHeight="1">
      <c r="A987" s="374" t="s">
        <v>9138</v>
      </c>
      <c r="B987" s="73"/>
      <c r="C987" s="57" t="s">
        <v>9941</v>
      </c>
      <c r="D987" s="104">
        <v>46.679027</v>
      </c>
      <c r="E987" s="104">
        <v>32.614079</v>
      </c>
      <c r="F987" s="79">
        <v>1.0</v>
      </c>
      <c r="G987" s="84" t="s">
        <v>10067</v>
      </c>
      <c r="H987" s="73"/>
      <c r="I987" s="75"/>
      <c r="J987" s="64" t="s">
        <v>10068</v>
      </c>
      <c r="K987" s="69"/>
      <c r="L987" s="65" t="s">
        <v>3542</v>
      </c>
      <c r="M987" s="61" t="s">
        <v>5702</v>
      </c>
      <c r="N987" s="73"/>
      <c r="O987" s="61" t="s">
        <v>7098</v>
      </c>
      <c r="P987" s="67" t="str">
        <f t="shared" si="1"/>
        <v>46.679027, 32.614079</v>
      </c>
      <c r="Q987" s="67" t="str">
        <f t="shared" si="2"/>
        <v>46.678227, 32.613859</v>
      </c>
      <c r="R987" s="67">
        <f t="shared" si="3"/>
        <v>46.678227</v>
      </c>
      <c r="S987" s="67">
        <f t="shared" si="4"/>
        <v>32.613859</v>
      </c>
      <c r="T987" s="161"/>
      <c r="U987" s="69"/>
      <c r="V987" s="169" t="s">
        <v>10069</v>
      </c>
      <c r="W987" s="161"/>
      <c r="X987" s="194"/>
      <c r="Y987" s="73"/>
      <c r="Z987" s="73"/>
      <c r="AA987" s="73"/>
      <c r="AB987" s="73"/>
      <c r="AC987" s="73"/>
      <c r="AD987" s="73"/>
      <c r="AE987" s="73"/>
      <c r="AF987" s="73"/>
      <c r="AG987" s="73"/>
      <c r="AH987" s="73"/>
      <c r="AI987" s="73"/>
      <c r="AJ987" s="161"/>
      <c r="AK987" s="76" t="s">
        <v>798</v>
      </c>
      <c r="AL987" s="83" t="s">
        <v>10070</v>
      </c>
      <c r="AM987" s="71" t="s">
        <v>10071</v>
      </c>
      <c r="AN987" s="84" t="s">
        <v>10072</v>
      </c>
      <c r="AO987" s="71" t="s">
        <v>10073</v>
      </c>
      <c r="AP987" s="161" t="str">
        <f>IMAGE("https://bellingcat-archive.nyc3.cdn.digitaloceanspaces.com/Ukraine_Witness_Datasheet/Worksheet/youtube_dl_1498589896772096005/out2.jpg")</f>
        <v/>
      </c>
      <c r="AQ987" s="84" t="s">
        <v>10074</v>
      </c>
      <c r="AR987" s="71" t="s">
        <v>10075</v>
      </c>
      <c r="AS987" s="71" t="s">
        <v>10076</v>
      </c>
      <c r="AT987" s="71">
        <v>20.863</v>
      </c>
      <c r="AU987" s="89"/>
      <c r="AV987" s="162"/>
      <c r="AW987" s="81"/>
    </row>
    <row r="988" ht="15.75" customHeight="1">
      <c r="A988" s="357" t="s">
        <v>3944</v>
      </c>
      <c r="B988" s="73"/>
      <c r="C988" s="57" t="s">
        <v>9028</v>
      </c>
      <c r="D988" s="104">
        <v>50.0178159471296</v>
      </c>
      <c r="E988" s="104">
        <v>36.2125351110143</v>
      </c>
      <c r="F988" s="365">
        <v>1.0</v>
      </c>
      <c r="G988" s="84" t="s">
        <v>10077</v>
      </c>
      <c r="H988" s="73"/>
      <c r="I988" s="75"/>
      <c r="J988" s="64" t="s">
        <v>10078</v>
      </c>
      <c r="K988" s="88" t="s">
        <v>10079</v>
      </c>
      <c r="L988" s="63" t="s">
        <v>3542</v>
      </c>
      <c r="M988" s="140" t="s">
        <v>5590</v>
      </c>
      <c r="N988" s="288"/>
      <c r="O988" s="140" t="s">
        <v>5626</v>
      </c>
      <c r="P988" s="67" t="str">
        <f t="shared" si="1"/>
        <v>50.0178159471296, 36.2125351110143</v>
      </c>
      <c r="Q988" s="67" t="str">
        <f t="shared" si="2"/>
        <v>50.017228, 36.212475</v>
      </c>
      <c r="R988" s="67">
        <f t="shared" si="3"/>
        <v>50.017228</v>
      </c>
      <c r="S988" s="67">
        <f t="shared" si="4"/>
        <v>36.212475</v>
      </c>
      <c r="T988" s="161"/>
      <c r="U988" s="69"/>
      <c r="V988" s="169" t="s">
        <v>10080</v>
      </c>
      <c r="W988" s="174" t="s">
        <v>9711</v>
      </c>
      <c r="X988" s="72" t="s">
        <v>75</v>
      </c>
      <c r="Y988" s="73"/>
      <c r="Z988" s="73"/>
      <c r="AA988" s="73"/>
      <c r="AB988" s="73"/>
      <c r="AC988" s="73"/>
      <c r="AD988" s="73"/>
      <c r="AE988" s="73"/>
      <c r="AF988" s="73"/>
      <c r="AG988" s="73"/>
      <c r="AH988" s="73"/>
      <c r="AI988" s="73"/>
      <c r="AJ988" s="161"/>
      <c r="AK988" s="76" t="s">
        <v>2108</v>
      </c>
      <c r="AL988" s="83" t="s">
        <v>10081</v>
      </c>
      <c r="AM988" s="71" t="s">
        <v>10082</v>
      </c>
      <c r="AN988" s="84" t="s">
        <v>10083</v>
      </c>
      <c r="AO988" s="71" t="s">
        <v>10084</v>
      </c>
      <c r="AP988" s="161" t="str">
        <f>IMAGE("https://bellingcat-archive.nyc3.cdn.digitaloceanspaces.com/Ukraine_Witness_Datasheet/Worksheet/twitter__media_FMwSPGLX0AAkxlZ.jpg")</f>
        <v/>
      </c>
      <c r="AQ988" s="161"/>
      <c r="AR988" s="161"/>
      <c r="AS988" s="71" t="s">
        <v>10085</v>
      </c>
      <c r="AT988" s="161"/>
      <c r="AU988" s="89"/>
      <c r="AV988" s="162"/>
      <c r="AW988" s="81"/>
    </row>
    <row r="989" ht="15.75" customHeight="1">
      <c r="A989" s="357" t="s">
        <v>3944</v>
      </c>
      <c r="B989" s="73"/>
      <c r="C989" s="57" t="s">
        <v>9028</v>
      </c>
      <c r="D989" s="104">
        <v>50.0178159471296</v>
      </c>
      <c r="E989" s="104">
        <v>36.2125351110143</v>
      </c>
      <c r="F989" s="365">
        <v>5.0</v>
      </c>
      <c r="G989" s="84" t="s">
        <v>10086</v>
      </c>
      <c r="H989" s="73"/>
      <c r="I989" s="75"/>
      <c r="J989" s="64" t="s">
        <v>10087</v>
      </c>
      <c r="K989" s="302" t="s">
        <v>10079</v>
      </c>
      <c r="L989" s="63" t="s">
        <v>3542</v>
      </c>
      <c r="M989" s="140" t="s">
        <v>5590</v>
      </c>
      <c r="N989" s="288"/>
      <c r="O989" s="140" t="s">
        <v>5626</v>
      </c>
      <c r="P989" s="67" t="str">
        <f t="shared" si="1"/>
        <v>50.0178159471296, 36.2125351110143</v>
      </c>
      <c r="Q989" s="67" t="str">
        <f t="shared" si="2"/>
        <v>50.017755, 36.211469</v>
      </c>
      <c r="R989" s="67">
        <f t="shared" si="3"/>
        <v>50.017755</v>
      </c>
      <c r="S989" s="67">
        <f t="shared" si="4"/>
        <v>36.211469</v>
      </c>
      <c r="T989" s="161"/>
      <c r="U989" s="69"/>
      <c r="V989" s="169" t="s">
        <v>10088</v>
      </c>
      <c r="W989" s="161"/>
      <c r="X989" s="72" t="s">
        <v>75</v>
      </c>
      <c r="Y989" s="73"/>
      <c r="Z989" s="73"/>
      <c r="AA989" s="73"/>
      <c r="AB989" s="73"/>
      <c r="AC989" s="73"/>
      <c r="AD989" s="73"/>
      <c r="AE989" s="73"/>
      <c r="AF989" s="73"/>
      <c r="AG989" s="73"/>
      <c r="AH989" s="73"/>
      <c r="AI989" s="73"/>
      <c r="AJ989" s="161"/>
      <c r="AK989" s="76" t="s">
        <v>798</v>
      </c>
      <c r="AL989" s="83" t="s">
        <v>10089</v>
      </c>
      <c r="AM989" s="71" t="s">
        <v>10090</v>
      </c>
      <c r="AN989" s="84" t="s">
        <v>10091</v>
      </c>
      <c r="AO989" s="71" t="s">
        <v>10092</v>
      </c>
      <c r="AP989" s="161" t="str">
        <f>IMAGE("https://bellingcat-archive.nyc3.cdn.digitaloceanspaces.com/Ukraine_Witness_Datasheet/Worksheet/youtube_dl_1498261970318991366/out2.jpg")</f>
        <v/>
      </c>
      <c r="AQ989" s="84" t="s">
        <v>10093</v>
      </c>
      <c r="AR989" s="71" t="s">
        <v>10094</v>
      </c>
      <c r="AS989" s="71" t="s">
        <v>10095</v>
      </c>
      <c r="AT989" s="71">
        <v>21.339</v>
      </c>
      <c r="AU989" s="89"/>
      <c r="AV989" s="162"/>
      <c r="AW989" s="81"/>
    </row>
    <row r="990" ht="15.75" customHeight="1">
      <c r="A990" s="72" t="s">
        <v>8023</v>
      </c>
      <c r="B990" s="73"/>
      <c r="C990" s="57" t="s">
        <v>9941</v>
      </c>
      <c r="D990" s="104">
        <v>46.63226</v>
      </c>
      <c r="E990" s="104">
        <v>32.566231</v>
      </c>
      <c r="F990" s="79">
        <v>3.0</v>
      </c>
      <c r="G990" s="84" t="s">
        <v>10096</v>
      </c>
      <c r="H990" s="61" t="s">
        <v>66</v>
      </c>
      <c r="I990" s="75"/>
      <c r="J990" s="64" t="s">
        <v>10097</v>
      </c>
      <c r="K990" s="69"/>
      <c r="L990" s="65" t="s">
        <v>3542</v>
      </c>
      <c r="M990" s="93" t="s">
        <v>5702</v>
      </c>
      <c r="N990" s="314"/>
      <c r="O990" s="93" t="s">
        <v>7098</v>
      </c>
      <c r="P990" s="67" t="str">
        <f t="shared" si="1"/>
        <v>46.63226, 32.566231</v>
      </c>
      <c r="Q990" s="67" t="str">
        <f t="shared" si="2"/>
        <v>46.631834, 32.566633</v>
      </c>
      <c r="R990" s="67">
        <f t="shared" si="3"/>
        <v>46.631834</v>
      </c>
      <c r="S990" s="67">
        <f t="shared" si="4"/>
        <v>32.566633</v>
      </c>
      <c r="T990" s="71" t="s">
        <v>10098</v>
      </c>
      <c r="U990" s="69"/>
      <c r="V990" s="169" t="s">
        <v>10099</v>
      </c>
      <c r="W990" s="71" t="s">
        <v>3601</v>
      </c>
      <c r="X990" s="72" t="s">
        <v>75</v>
      </c>
      <c r="Y990" s="61"/>
      <c r="Z990" s="73"/>
      <c r="AA990" s="73"/>
      <c r="AB990" s="73"/>
      <c r="AC990" s="73"/>
      <c r="AD990" s="73"/>
      <c r="AE990" s="73"/>
      <c r="AF990" s="73"/>
      <c r="AG990" s="73"/>
      <c r="AH990" s="73"/>
      <c r="AI990" s="73"/>
      <c r="AJ990" s="161"/>
      <c r="AK990" s="76" t="s">
        <v>798</v>
      </c>
      <c r="AL990" s="83" t="s">
        <v>10100</v>
      </c>
      <c r="AM990" s="71" t="s">
        <v>10101</v>
      </c>
      <c r="AN990" s="84" t="s">
        <v>10102</v>
      </c>
      <c r="AO990" s="71" t="s">
        <v>10103</v>
      </c>
      <c r="AP990" s="161" t="str">
        <f>IMAGE("https://bellingcat-archive.nyc3.cdn.digitaloceanspaces.com/Ukraine_Witness_Datasheet/Worksheet/youtube_dl_1498608507486093315/out2.jpg")</f>
        <v/>
      </c>
      <c r="AQ990" s="84" t="s">
        <v>10104</v>
      </c>
      <c r="AR990" s="71" t="s">
        <v>10105</v>
      </c>
      <c r="AS990" s="71" t="s">
        <v>10106</v>
      </c>
      <c r="AT990" s="71">
        <v>7.918</v>
      </c>
      <c r="AU990" s="89"/>
      <c r="AV990" s="80" t="s">
        <v>63</v>
      </c>
      <c r="AW990" s="81"/>
    </row>
    <row r="991" ht="15.75" customHeight="1">
      <c r="A991" s="204" t="s">
        <v>63</v>
      </c>
      <c r="B991" s="73"/>
      <c r="C991" s="57" t="s">
        <v>5586</v>
      </c>
      <c r="D991" s="104">
        <v>50.622651</v>
      </c>
      <c r="E991" s="104">
        <v>30.486304</v>
      </c>
      <c r="F991" s="79">
        <v>2.0</v>
      </c>
      <c r="G991" s="84" t="s">
        <v>10107</v>
      </c>
      <c r="H991" s="61" t="s">
        <v>66</v>
      </c>
      <c r="I991" s="75"/>
      <c r="J991" s="64" t="s">
        <v>10108</v>
      </c>
      <c r="K991" s="69"/>
      <c r="L991" s="65" t="s">
        <v>3542</v>
      </c>
      <c r="M991" s="93" t="s">
        <v>5827</v>
      </c>
      <c r="N991" s="314"/>
      <c r="O991" s="92" t="s">
        <v>5902</v>
      </c>
      <c r="P991" s="67" t="str">
        <f t="shared" si="1"/>
        <v>50.622651, 30.486304</v>
      </c>
      <c r="Q991" s="67" t="str">
        <f t="shared" si="2"/>
        <v>50.622596, 30.485138</v>
      </c>
      <c r="R991" s="67">
        <f t="shared" si="3"/>
        <v>50.622596</v>
      </c>
      <c r="S991" s="67">
        <f t="shared" si="4"/>
        <v>30.485138</v>
      </c>
      <c r="T991" s="161"/>
      <c r="U991" s="69"/>
      <c r="V991" s="169" t="s">
        <v>10109</v>
      </c>
      <c r="W991" s="71" t="s">
        <v>5739</v>
      </c>
      <c r="X991" s="72" t="s">
        <v>2982</v>
      </c>
      <c r="Y991" s="73"/>
      <c r="Z991" s="73"/>
      <c r="AA991" s="71" t="s">
        <v>5739</v>
      </c>
      <c r="AB991" s="61" t="s">
        <v>10110</v>
      </c>
      <c r="AC991" s="73"/>
      <c r="AD991" s="73"/>
      <c r="AE991" s="73"/>
      <c r="AF991" s="73"/>
      <c r="AG991" s="73"/>
      <c r="AH991" s="73"/>
      <c r="AI991" s="73"/>
      <c r="AJ991" s="161"/>
      <c r="AK991" s="76" t="s">
        <v>798</v>
      </c>
      <c r="AL991" s="83" t="s">
        <v>10111</v>
      </c>
      <c r="AM991" s="71" t="s">
        <v>10112</v>
      </c>
      <c r="AN991" s="84" t="s">
        <v>10113</v>
      </c>
      <c r="AO991" s="71" t="s">
        <v>10114</v>
      </c>
      <c r="AP991" s="161" t="str">
        <f>IMAGE("https://bellingcat-archive.nyc3.cdn.digitaloceanspaces.com/Ukraine_Witness_Datasheet/Worksheet/youtube_dl_1498592167966695424/out2.jpg")</f>
        <v/>
      </c>
      <c r="AQ991" s="84" t="s">
        <v>10115</v>
      </c>
      <c r="AR991" s="71" t="s">
        <v>10116</v>
      </c>
      <c r="AS991" s="71" t="s">
        <v>10117</v>
      </c>
      <c r="AT991" s="71">
        <v>17.251</v>
      </c>
      <c r="AU991" s="89"/>
      <c r="AV991" s="80" t="s">
        <v>88</v>
      </c>
      <c r="AW991" s="81"/>
    </row>
    <row r="992" ht="15.75" customHeight="1">
      <c r="A992" s="55" t="s">
        <v>63</v>
      </c>
      <c r="B992" s="73"/>
      <c r="C992" s="57" t="s">
        <v>9941</v>
      </c>
      <c r="D992" s="74">
        <v>46.641881</v>
      </c>
      <c r="E992" s="74">
        <v>32.560857</v>
      </c>
      <c r="F992" s="79">
        <v>1.0</v>
      </c>
      <c r="G992" s="84" t="s">
        <v>10118</v>
      </c>
      <c r="H992" s="73"/>
      <c r="I992" s="75"/>
      <c r="J992" s="64" t="s">
        <v>10119</v>
      </c>
      <c r="K992" s="69"/>
      <c r="L992" s="65" t="s">
        <v>3542</v>
      </c>
      <c r="M992" s="61" t="s">
        <v>5702</v>
      </c>
      <c r="N992" s="73"/>
      <c r="O992" s="61" t="s">
        <v>7098</v>
      </c>
      <c r="P992" s="67" t="str">
        <f t="shared" si="1"/>
        <v>46.641881, 32.560857</v>
      </c>
      <c r="Q992" s="67" t="str">
        <f t="shared" si="2"/>
        <v>46.641557, 32.561097</v>
      </c>
      <c r="R992" s="67">
        <f t="shared" si="3"/>
        <v>46.641557</v>
      </c>
      <c r="S992" s="67">
        <f t="shared" si="4"/>
        <v>32.561097</v>
      </c>
      <c r="T992" s="161"/>
      <c r="U992" s="69"/>
      <c r="V992" s="169" t="s">
        <v>10120</v>
      </c>
      <c r="W992" s="71" t="s">
        <v>5858</v>
      </c>
      <c r="X992" s="72" t="s">
        <v>2982</v>
      </c>
      <c r="Y992" s="73"/>
      <c r="Z992" s="73"/>
      <c r="AA992" s="71" t="s">
        <v>5858</v>
      </c>
      <c r="AB992" s="61" t="s">
        <v>1710</v>
      </c>
      <c r="AC992" s="73"/>
      <c r="AD992" s="73"/>
      <c r="AE992" s="73"/>
      <c r="AF992" s="73"/>
      <c r="AG992" s="73"/>
      <c r="AH992" s="73"/>
      <c r="AI992" s="73"/>
      <c r="AJ992" s="161"/>
      <c r="AK992" s="76" t="s">
        <v>798</v>
      </c>
      <c r="AL992" s="83" t="s">
        <v>10121</v>
      </c>
      <c r="AM992" s="71" t="s">
        <v>10122</v>
      </c>
      <c r="AN992" s="84" t="s">
        <v>10123</v>
      </c>
      <c r="AO992" s="71" t="s">
        <v>10124</v>
      </c>
      <c r="AP992" s="161" t="str">
        <f>IMAGE("https://bellingcat-archive.nyc3.cdn.digitaloceanspaces.com/Ukraine_Witness_Datasheet/Worksheet/youtube_dl_1498605883886080000/out3.jpg")</f>
        <v/>
      </c>
      <c r="AQ992" s="84" t="s">
        <v>10125</v>
      </c>
      <c r="AR992" s="71" t="s">
        <v>10126</v>
      </c>
      <c r="AS992" s="71" t="s">
        <v>10127</v>
      </c>
      <c r="AT992" s="71">
        <v>88.866</v>
      </c>
      <c r="AU992" s="79" t="s">
        <v>63</v>
      </c>
      <c r="AV992" s="162"/>
      <c r="AW992" s="81"/>
    </row>
    <row r="993" ht="15.75" customHeight="1">
      <c r="A993" s="55" t="s">
        <v>63</v>
      </c>
      <c r="B993" s="73"/>
      <c r="C993" s="57" t="s">
        <v>9941</v>
      </c>
      <c r="D993" s="74">
        <v>46.678993</v>
      </c>
      <c r="E993" s="74">
        <v>32.613705</v>
      </c>
      <c r="F993" s="79">
        <v>2.0</v>
      </c>
      <c r="G993" s="377" t="s">
        <v>10128</v>
      </c>
      <c r="H993" s="73"/>
      <c r="I993" s="62" t="s">
        <v>10129</v>
      </c>
      <c r="J993" s="64" t="s">
        <v>10130</v>
      </c>
      <c r="K993" s="378"/>
      <c r="L993" s="65" t="s">
        <v>3542</v>
      </c>
      <c r="M993" s="61" t="s">
        <v>5702</v>
      </c>
      <c r="N993" s="73"/>
      <c r="O993" s="61" t="s">
        <v>7098</v>
      </c>
      <c r="P993" s="67" t="str">
        <f t="shared" si="1"/>
        <v>46.678993, 32.613705</v>
      </c>
      <c r="Q993" s="67" t="str">
        <f t="shared" si="2"/>
        <v>46.678756, 32.612925</v>
      </c>
      <c r="R993" s="67">
        <f t="shared" si="3"/>
        <v>46.678756</v>
      </c>
      <c r="S993" s="67">
        <f t="shared" si="4"/>
        <v>32.612925</v>
      </c>
      <c r="T993" s="161"/>
      <c r="U993" s="69"/>
      <c r="V993" s="169" t="s">
        <v>10131</v>
      </c>
      <c r="W993" s="71" t="s">
        <v>5904</v>
      </c>
      <c r="X993" s="72" t="s">
        <v>2982</v>
      </c>
      <c r="Y993" s="61" t="s">
        <v>551</v>
      </c>
      <c r="Z993" s="61" t="s">
        <v>10035</v>
      </c>
      <c r="AA993" s="61" t="s">
        <v>5904</v>
      </c>
      <c r="AB993" s="61" t="s">
        <v>5787</v>
      </c>
      <c r="AC993" s="73"/>
      <c r="AD993" s="73"/>
      <c r="AE993" s="73"/>
      <c r="AF993" s="73"/>
      <c r="AG993" s="73"/>
      <c r="AH993" s="73"/>
      <c r="AI993" s="73"/>
      <c r="AJ993" s="161"/>
      <c r="AK993" s="76" t="s">
        <v>798</v>
      </c>
      <c r="AL993" s="83" t="s">
        <v>10132</v>
      </c>
      <c r="AM993" s="71" t="s">
        <v>10133</v>
      </c>
      <c r="AN993" s="84" t="s">
        <v>10134</v>
      </c>
      <c r="AO993" s="71" t="s">
        <v>10135</v>
      </c>
      <c r="AP993" s="161" t="str">
        <f>IMAGE("https://bellingcat-archive.nyc3.cdn.digitaloceanspaces.com/Ukraine_Witness_Datasheet/Worksheet/youtube_dl_1498603941214441478/out2.jpg")</f>
        <v/>
      </c>
      <c r="AQ993" s="84" t="s">
        <v>10136</v>
      </c>
      <c r="AR993" s="71" t="s">
        <v>10137</v>
      </c>
      <c r="AS993" s="71" t="s">
        <v>10138</v>
      </c>
      <c r="AT993" s="71">
        <v>20.613</v>
      </c>
      <c r="AU993" s="79" t="s">
        <v>63</v>
      </c>
      <c r="AV993" s="162"/>
      <c r="AW993" s="81"/>
    </row>
    <row r="994" ht="15.75" customHeight="1">
      <c r="A994" s="95" t="s">
        <v>8023</v>
      </c>
      <c r="B994" s="73"/>
      <c r="C994" s="57" t="s">
        <v>9941</v>
      </c>
      <c r="D994" s="104">
        <v>50.434459874</v>
      </c>
      <c r="E994" s="104">
        <v>36.38876486</v>
      </c>
      <c r="F994" s="79">
        <v>1.0</v>
      </c>
      <c r="G994" s="84" t="s">
        <v>10139</v>
      </c>
      <c r="H994" s="61" t="s">
        <v>66</v>
      </c>
      <c r="I994" s="75"/>
      <c r="J994" s="64" t="s">
        <v>10140</v>
      </c>
      <c r="K994" s="69"/>
      <c r="L994" s="65" t="s">
        <v>79</v>
      </c>
      <c r="M994" s="61" t="s">
        <v>1325</v>
      </c>
      <c r="N994" s="73"/>
      <c r="O994" s="61" t="s">
        <v>1763</v>
      </c>
      <c r="P994" s="67" t="str">
        <f t="shared" si="1"/>
        <v>50.434459874, 36.38876486</v>
      </c>
      <c r="Q994" s="67" t="str">
        <f t="shared" si="2"/>
        <v>50.434278, 36.387702</v>
      </c>
      <c r="R994" s="67">
        <f t="shared" si="3"/>
        <v>50.434278</v>
      </c>
      <c r="S994" s="67">
        <f t="shared" si="4"/>
        <v>36.387702</v>
      </c>
      <c r="T994" s="71" t="s">
        <v>10141</v>
      </c>
      <c r="U994" s="69"/>
      <c r="V994" s="169" t="s">
        <v>10142</v>
      </c>
      <c r="W994" s="71" t="s">
        <v>5858</v>
      </c>
      <c r="X994" s="72" t="s">
        <v>75</v>
      </c>
      <c r="Y994" s="73"/>
      <c r="Z994" s="73"/>
      <c r="AA994" s="73"/>
      <c r="AB994" s="73"/>
      <c r="AC994" s="73"/>
      <c r="AD994" s="73"/>
      <c r="AE994" s="73"/>
      <c r="AF994" s="73"/>
      <c r="AG994" s="73"/>
      <c r="AH994" s="73"/>
      <c r="AI994" s="73"/>
      <c r="AJ994" s="161"/>
      <c r="AK994" s="76" t="s">
        <v>798</v>
      </c>
      <c r="AL994" s="83" t="s">
        <v>10143</v>
      </c>
      <c r="AM994" s="71" t="s">
        <v>10144</v>
      </c>
      <c r="AN994" s="84" t="s">
        <v>10145</v>
      </c>
      <c r="AO994" s="71" t="s">
        <v>10146</v>
      </c>
      <c r="AP994" s="161" t="str">
        <f>IMAGE("https://bellingcat-archive.nyc3.cdn.digitaloceanspaces.com/Ukraine_Witness_Datasheet/Worksheet/youtube_dl_1498611237948694533/out5.jpg")</f>
        <v/>
      </c>
      <c r="AQ994" s="84" t="s">
        <v>10147</v>
      </c>
      <c r="AR994" s="71" t="s">
        <v>10148</v>
      </c>
      <c r="AS994" s="71" t="s">
        <v>10149</v>
      </c>
      <c r="AT994" s="71">
        <v>140.0</v>
      </c>
      <c r="AU994" s="79" t="s">
        <v>8023</v>
      </c>
      <c r="AV994" s="80" t="s">
        <v>63</v>
      </c>
      <c r="AW994" s="81"/>
    </row>
    <row r="995" ht="15.75" customHeight="1">
      <c r="A995" s="208"/>
      <c r="B995" s="73"/>
      <c r="C995" s="176"/>
      <c r="D995" s="121"/>
      <c r="E995" s="121"/>
      <c r="F995" s="89"/>
      <c r="G995" s="84" t="s">
        <v>10150</v>
      </c>
      <c r="H995" s="73"/>
      <c r="I995" s="75"/>
      <c r="J995" s="64" t="s">
        <v>10151</v>
      </c>
      <c r="K995" s="69"/>
      <c r="L995" s="70"/>
      <c r="M995" s="73"/>
      <c r="N995" s="73"/>
      <c r="O995" s="73"/>
      <c r="P995" s="67" t="str">
        <f t="shared" si="1"/>
        <v/>
      </c>
      <c r="Q995" s="67" t="str">
        <f t="shared" si="2"/>
        <v/>
      </c>
      <c r="R995" s="67" t="str">
        <f t="shared" si="3"/>
        <v/>
      </c>
      <c r="S995" s="67" t="str">
        <f t="shared" si="4"/>
        <v/>
      </c>
      <c r="T995" s="161"/>
      <c r="U995" s="69"/>
      <c r="V995" s="169" t="s">
        <v>10152</v>
      </c>
      <c r="W995" s="161"/>
      <c r="X995" s="194"/>
      <c r="Y995" s="73"/>
      <c r="Z995" s="73"/>
      <c r="AA995" s="73"/>
      <c r="AB995" s="73"/>
      <c r="AC995" s="73"/>
      <c r="AD995" s="73"/>
      <c r="AE995" s="73"/>
      <c r="AF995" s="73"/>
      <c r="AG995" s="73"/>
      <c r="AH995" s="73"/>
      <c r="AI995" s="73"/>
      <c r="AJ995" s="161"/>
      <c r="AK995" s="76" t="s">
        <v>1261</v>
      </c>
      <c r="AL995" s="83" t="s">
        <v>10153</v>
      </c>
      <c r="AM995" s="71" t="s">
        <v>10154</v>
      </c>
      <c r="AN995" s="84" t="s">
        <v>10155</v>
      </c>
      <c r="AO995" s="161"/>
      <c r="AP995" s="161"/>
      <c r="AQ995" s="161"/>
      <c r="AR995" s="71" t="s">
        <v>7184</v>
      </c>
      <c r="AS995" s="161"/>
      <c r="AT995" s="161"/>
      <c r="AU995" s="89"/>
      <c r="AV995" s="162"/>
      <c r="AW995" s="81"/>
    </row>
    <row r="996" ht="15.75" customHeight="1">
      <c r="A996" s="55" t="s">
        <v>63</v>
      </c>
      <c r="B996" s="73"/>
      <c r="C996" s="57" t="s">
        <v>9941</v>
      </c>
      <c r="D996" s="74">
        <v>48.037918</v>
      </c>
      <c r="E996" s="74">
        <v>37.781902</v>
      </c>
      <c r="F996" s="79">
        <v>2.0</v>
      </c>
      <c r="G996" s="84" t="s">
        <v>10156</v>
      </c>
      <c r="H996" s="73"/>
      <c r="I996" s="75"/>
      <c r="J996" s="64" t="s">
        <v>10157</v>
      </c>
      <c r="K996" s="69"/>
      <c r="L996" s="65" t="s">
        <v>3542</v>
      </c>
      <c r="M996" s="61" t="s">
        <v>5750</v>
      </c>
      <c r="N996" s="73"/>
      <c r="O996" s="61" t="s">
        <v>3544</v>
      </c>
      <c r="P996" s="67" t="str">
        <f t="shared" si="1"/>
        <v>48.037918, 37.781902</v>
      </c>
      <c r="Q996" s="67" t="str">
        <f t="shared" si="2"/>
        <v>48.037316, 37.782432</v>
      </c>
      <c r="R996" s="67">
        <f t="shared" si="3"/>
        <v>48.037316</v>
      </c>
      <c r="S996" s="67">
        <f t="shared" si="4"/>
        <v>37.782432</v>
      </c>
      <c r="T996" s="161"/>
      <c r="U996" s="69"/>
      <c r="V996" s="169" t="s">
        <v>10158</v>
      </c>
      <c r="W996" s="71" t="s">
        <v>3601</v>
      </c>
      <c r="X996" s="72" t="s">
        <v>2982</v>
      </c>
      <c r="Y996" s="73"/>
      <c r="Z996" s="73"/>
      <c r="AA996" s="71" t="s">
        <v>3601</v>
      </c>
      <c r="AB996" s="61" t="s">
        <v>10049</v>
      </c>
      <c r="AC996" s="73"/>
      <c r="AD996" s="73"/>
      <c r="AE996" s="73"/>
      <c r="AF996" s="73"/>
      <c r="AG996" s="73"/>
      <c r="AH996" s="73"/>
      <c r="AI996" s="73"/>
      <c r="AJ996" s="161"/>
      <c r="AK996" s="76" t="s">
        <v>798</v>
      </c>
      <c r="AL996" s="83" t="s">
        <v>10159</v>
      </c>
      <c r="AM996" s="71" t="s">
        <v>10160</v>
      </c>
      <c r="AN996" s="84" t="s">
        <v>10161</v>
      </c>
      <c r="AO996" s="71" t="s">
        <v>10162</v>
      </c>
      <c r="AP996" s="161" t="str">
        <f>IMAGE("https://bellingcat-archive.nyc3.cdn.digitaloceanspaces.com/Ukraine_Witness_Datasheet/Worksheet/youtube_dl_1498636315004489734/out2.jpg")</f>
        <v/>
      </c>
      <c r="AQ996" s="84" t="s">
        <v>10163</v>
      </c>
      <c r="AR996" s="71" t="s">
        <v>10164</v>
      </c>
      <c r="AS996" s="71" t="s">
        <v>10165</v>
      </c>
      <c r="AT996" s="71">
        <v>10.166</v>
      </c>
      <c r="AU996" s="79" t="s">
        <v>63</v>
      </c>
      <c r="AV996" s="162"/>
      <c r="AW996" s="81"/>
    </row>
    <row r="997" ht="15.75" customHeight="1">
      <c r="A997" s="373" t="s">
        <v>6924</v>
      </c>
      <c r="B997" s="73"/>
      <c r="C997" s="57" t="s">
        <v>9941</v>
      </c>
      <c r="D997" s="241" t="s">
        <v>10166</v>
      </c>
      <c r="E997" s="241" t="s">
        <v>10167</v>
      </c>
      <c r="F997" s="79">
        <v>2.0</v>
      </c>
      <c r="G997" s="84" t="s">
        <v>10168</v>
      </c>
      <c r="H997" s="73"/>
      <c r="I997" s="62" t="s">
        <v>10169</v>
      </c>
      <c r="J997" s="64" t="s">
        <v>10170</v>
      </c>
      <c r="K997" s="69"/>
      <c r="L997" s="70"/>
      <c r="M997" s="73"/>
      <c r="N997" s="73"/>
      <c r="O997" s="73"/>
      <c r="P997" s="67" t="str">
        <f t="shared" si="1"/>
        <v>47.112148, 37.553096</v>
      </c>
      <c r="Q997" s="67" t="str">
        <f t="shared" si="2"/>
        <v>47.111494, 37.553041</v>
      </c>
      <c r="R997" s="67">
        <f t="shared" si="3"/>
        <v>47.111494</v>
      </c>
      <c r="S997" s="67">
        <f t="shared" si="4"/>
        <v>37.553041</v>
      </c>
      <c r="T997" s="161"/>
      <c r="U997" s="69"/>
      <c r="V997" s="169" t="s">
        <v>10171</v>
      </c>
      <c r="W997" s="161"/>
      <c r="X997" s="194"/>
      <c r="Y997" s="252"/>
      <c r="Z997" s="73"/>
      <c r="AA997" s="73"/>
      <c r="AB997" s="73"/>
      <c r="AC997" s="73"/>
      <c r="AD997" s="73"/>
      <c r="AE997" s="73"/>
      <c r="AF997" s="73"/>
      <c r="AG997" s="73"/>
      <c r="AH997" s="73"/>
      <c r="AI997" s="73"/>
      <c r="AJ997" s="161"/>
      <c r="AK997" s="76" t="s">
        <v>2108</v>
      </c>
      <c r="AL997" s="83" t="s">
        <v>10172</v>
      </c>
      <c r="AM997" s="71" t="s">
        <v>10173</v>
      </c>
      <c r="AN997" s="84" t="s">
        <v>10174</v>
      </c>
      <c r="AO997" s="71" t="s">
        <v>10175</v>
      </c>
      <c r="AP997" s="161" t="str">
        <f>IMAGE("https://bellingcat-archive.nyc3.cdn.digitaloceanspaces.com/Ukraine_Witness_Datasheet/Worksheet/twitter__media_FMw7fg0X0AA5Us9.jpg")</f>
        <v/>
      </c>
      <c r="AQ997" s="161"/>
      <c r="AR997" s="161"/>
      <c r="AS997" s="71" t="s">
        <v>10176</v>
      </c>
      <c r="AT997" s="161"/>
      <c r="AU997" s="89"/>
      <c r="AV997" s="162"/>
      <c r="AW997" s="81"/>
    </row>
    <row r="998" ht="15.75" customHeight="1">
      <c r="A998" s="55" t="s">
        <v>63</v>
      </c>
      <c r="B998" s="73"/>
      <c r="C998" s="57" t="s">
        <v>9941</v>
      </c>
      <c r="D998" s="74">
        <v>46.646652</v>
      </c>
      <c r="E998" s="74">
        <v>32.559465</v>
      </c>
      <c r="F998" s="79">
        <v>1.0</v>
      </c>
      <c r="G998" s="84" t="s">
        <v>10177</v>
      </c>
      <c r="H998" s="73"/>
      <c r="I998" s="75"/>
      <c r="J998" s="64" t="s">
        <v>10178</v>
      </c>
      <c r="K998" s="69"/>
      <c r="L998" s="65" t="s">
        <v>3542</v>
      </c>
      <c r="M998" s="61" t="s">
        <v>5702</v>
      </c>
      <c r="N998" s="73"/>
      <c r="O998" s="61" t="s">
        <v>7098</v>
      </c>
      <c r="P998" s="67" t="str">
        <f t="shared" si="1"/>
        <v>46.646652, 32.559465</v>
      </c>
      <c r="Q998" s="67" t="str">
        <f t="shared" si="2"/>
        <v>46.646556, 32.558942</v>
      </c>
      <c r="R998" s="67">
        <f t="shared" si="3"/>
        <v>46.646556</v>
      </c>
      <c r="S998" s="67">
        <f t="shared" si="4"/>
        <v>32.558942</v>
      </c>
      <c r="T998" s="161"/>
      <c r="U998" s="69"/>
      <c r="V998" s="169" t="s">
        <v>10179</v>
      </c>
      <c r="W998" s="71" t="s">
        <v>5858</v>
      </c>
      <c r="X998" s="72" t="s">
        <v>2982</v>
      </c>
      <c r="Y998" s="73"/>
      <c r="Z998" s="73"/>
      <c r="AA998" s="71" t="s">
        <v>5858</v>
      </c>
      <c r="AB998" s="61" t="s">
        <v>1710</v>
      </c>
      <c r="AC998" s="73"/>
      <c r="AD998" s="73"/>
      <c r="AE998" s="73"/>
      <c r="AF998" s="73"/>
      <c r="AG998" s="73"/>
      <c r="AH998" s="73"/>
      <c r="AI998" s="73"/>
      <c r="AJ998" s="161"/>
      <c r="AK998" s="76" t="s">
        <v>798</v>
      </c>
      <c r="AL998" s="83" t="s">
        <v>10180</v>
      </c>
      <c r="AM998" s="71" t="s">
        <v>10181</v>
      </c>
      <c r="AN998" s="84" t="s">
        <v>10182</v>
      </c>
      <c r="AO998" s="71" t="s">
        <v>10183</v>
      </c>
      <c r="AP998" s="161" t="str">
        <f>IMAGE("https://bellingcat-archive.nyc3.cdn.digitaloceanspaces.com/Ukraine_Witness_Datasheet/Worksheet/youtube_dl_1498531616540536836/out2.jpg")</f>
        <v/>
      </c>
      <c r="AQ998" s="84" t="s">
        <v>10184</v>
      </c>
      <c r="AR998" s="71" t="s">
        <v>10185</v>
      </c>
      <c r="AS998" s="71" t="s">
        <v>10186</v>
      </c>
      <c r="AT998" s="71">
        <v>18.933</v>
      </c>
      <c r="AU998" s="79" t="s">
        <v>63</v>
      </c>
      <c r="AV998" s="162"/>
      <c r="AW998" s="81"/>
    </row>
    <row r="999" ht="15.75" customHeight="1">
      <c r="A999" s="72" t="s">
        <v>3944</v>
      </c>
      <c r="B999" s="73"/>
      <c r="C999" s="57" t="s">
        <v>9941</v>
      </c>
      <c r="D999" s="104">
        <v>46.65856</v>
      </c>
      <c r="E999" s="104">
        <v>32.59421</v>
      </c>
      <c r="F999" s="79">
        <v>1.0</v>
      </c>
      <c r="G999" s="193" t="s">
        <v>10187</v>
      </c>
      <c r="H999" s="73"/>
      <c r="I999" s="75"/>
      <c r="J999" s="64" t="s">
        <v>10188</v>
      </c>
      <c r="K999" s="69"/>
      <c r="L999" s="65" t="s">
        <v>3542</v>
      </c>
      <c r="M999" s="61" t="s">
        <v>5702</v>
      </c>
      <c r="N999" s="73"/>
      <c r="O999" s="61" t="s">
        <v>7098</v>
      </c>
      <c r="P999" s="67" t="str">
        <f t="shared" si="1"/>
        <v>46.65856, 32.59421</v>
      </c>
      <c r="Q999" s="67" t="str">
        <f t="shared" si="2"/>
        <v>46.658439, 32.593257</v>
      </c>
      <c r="R999" s="67">
        <f t="shared" si="3"/>
        <v>46.658439</v>
      </c>
      <c r="S999" s="67">
        <f t="shared" si="4"/>
        <v>32.593257</v>
      </c>
      <c r="T999" s="161"/>
      <c r="U999" s="69"/>
      <c r="V999" s="169" t="s">
        <v>10189</v>
      </c>
      <c r="W999" s="71" t="s">
        <v>5858</v>
      </c>
      <c r="X999" s="72" t="s">
        <v>2982</v>
      </c>
      <c r="Y999" s="73"/>
      <c r="Z999" s="73"/>
      <c r="AA999" s="73"/>
      <c r="AB999" s="73"/>
      <c r="AC999" s="73"/>
      <c r="AD999" s="73"/>
      <c r="AE999" s="73"/>
      <c r="AF999" s="73"/>
      <c r="AG999" s="73"/>
      <c r="AH999" s="73"/>
      <c r="AI999" s="73"/>
      <c r="AJ999" s="161"/>
      <c r="AK999" s="76" t="s">
        <v>798</v>
      </c>
      <c r="AL999" s="83" t="s">
        <v>10190</v>
      </c>
      <c r="AM999" s="71" t="s">
        <v>10191</v>
      </c>
      <c r="AN999" s="84" t="s">
        <v>10192</v>
      </c>
      <c r="AO999" s="71" t="s">
        <v>10193</v>
      </c>
      <c r="AP999" s="161" t="str">
        <f>IMAGE("https://bellingcat-archive.nyc3.cdn.digitaloceanspaces.com/Ukraine_Witness_Datasheet/Worksheet/youtube_dl_1498644134894125064/out2.jpg")</f>
        <v/>
      </c>
      <c r="AQ999" s="84" t="s">
        <v>10194</v>
      </c>
      <c r="AR999" s="71" t="s">
        <v>10195</v>
      </c>
      <c r="AS999" s="71" t="s">
        <v>10196</v>
      </c>
      <c r="AT999" s="71">
        <v>14.117</v>
      </c>
      <c r="AU999" s="79"/>
      <c r="AV999" s="162"/>
      <c r="AW999" s="81"/>
    </row>
    <row r="1000" ht="15.75" customHeight="1">
      <c r="A1000" s="208"/>
      <c r="B1000" s="73"/>
      <c r="C1000" s="176"/>
      <c r="D1000" s="121"/>
      <c r="E1000" s="121"/>
      <c r="F1000" s="79">
        <v>1.0</v>
      </c>
      <c r="G1000" s="84" t="s">
        <v>10197</v>
      </c>
      <c r="H1000" s="73"/>
      <c r="I1000" s="75"/>
      <c r="J1000" s="64" t="s">
        <v>10198</v>
      </c>
      <c r="K1000" s="69"/>
      <c r="L1000" s="70"/>
      <c r="M1000" s="73"/>
      <c r="N1000" s="73"/>
      <c r="O1000" s="73"/>
      <c r="P1000" s="67" t="str">
        <f t="shared" si="1"/>
        <v/>
      </c>
      <c r="Q1000" s="67" t="str">
        <f t="shared" si="2"/>
        <v/>
      </c>
      <c r="R1000" s="67" t="str">
        <f t="shared" si="3"/>
        <v/>
      </c>
      <c r="S1000" s="67" t="str">
        <f t="shared" si="4"/>
        <v/>
      </c>
      <c r="T1000" s="161"/>
      <c r="U1000" s="69"/>
      <c r="V1000" s="169" t="s">
        <v>10199</v>
      </c>
      <c r="W1000" s="161"/>
      <c r="X1000" s="194"/>
      <c r="Y1000" s="73"/>
      <c r="Z1000" s="73"/>
      <c r="AA1000" s="73"/>
      <c r="AB1000" s="73"/>
      <c r="AC1000" s="73"/>
      <c r="AD1000" s="73"/>
      <c r="AE1000" s="73"/>
      <c r="AF1000" s="73"/>
      <c r="AG1000" s="73"/>
      <c r="AH1000" s="73"/>
      <c r="AI1000" s="73"/>
      <c r="AJ1000" s="161"/>
      <c r="AK1000" s="76" t="s">
        <v>2108</v>
      </c>
      <c r="AL1000" s="83" t="s">
        <v>10200</v>
      </c>
      <c r="AM1000" s="71" t="s">
        <v>10201</v>
      </c>
      <c r="AN1000" s="84" t="s">
        <v>10202</v>
      </c>
      <c r="AO1000" s="71" t="s">
        <v>10203</v>
      </c>
      <c r="AP1000" s="161" t="str">
        <f>IMAGE("https://bellingcat-archive.nyc3.cdn.digitaloceanspaces.com/Ukraine_Witness_Datasheet/Worksheet/twitter__media_FMv72E1XoAI5pII.jpg")</f>
        <v/>
      </c>
      <c r="AQ1000" s="161"/>
      <c r="AR1000" s="161"/>
      <c r="AS1000" s="71" t="s">
        <v>10204</v>
      </c>
      <c r="AT1000" s="161"/>
      <c r="AU1000" s="89"/>
      <c r="AV1000" s="162"/>
      <c r="AW1000" s="81"/>
    </row>
    <row r="1001" ht="15.75" customHeight="1">
      <c r="A1001" s="208"/>
      <c r="B1001" s="73"/>
      <c r="C1001" s="176"/>
      <c r="D1001" s="121"/>
      <c r="E1001" s="121"/>
      <c r="F1001" s="89"/>
      <c r="G1001" s="84" t="s">
        <v>10205</v>
      </c>
      <c r="H1001" s="61" t="s">
        <v>66</v>
      </c>
      <c r="I1001" s="62" t="s">
        <v>10206</v>
      </c>
      <c r="J1001" s="64" t="s">
        <v>10207</v>
      </c>
      <c r="K1001" s="69"/>
      <c r="L1001" s="70"/>
      <c r="M1001" s="73"/>
      <c r="N1001" s="73"/>
      <c r="O1001" s="73"/>
      <c r="P1001" s="67" t="str">
        <f t="shared" si="1"/>
        <v/>
      </c>
      <c r="Q1001" s="67" t="str">
        <f t="shared" si="2"/>
        <v/>
      </c>
      <c r="R1001" s="67" t="str">
        <f t="shared" si="3"/>
        <v/>
      </c>
      <c r="S1001" s="67" t="str">
        <f t="shared" si="4"/>
        <v/>
      </c>
      <c r="T1001" s="161"/>
      <c r="U1001" s="69"/>
      <c r="V1001" s="169" t="s">
        <v>10208</v>
      </c>
      <c r="W1001" s="161"/>
      <c r="X1001" s="194"/>
      <c r="Y1001" s="73"/>
      <c r="Z1001" s="73"/>
      <c r="AA1001" s="73"/>
      <c r="AB1001" s="73"/>
      <c r="AC1001" s="73"/>
      <c r="AD1001" s="73"/>
      <c r="AE1001" s="73"/>
      <c r="AF1001" s="73"/>
      <c r="AG1001" s="73"/>
      <c r="AH1001" s="73"/>
      <c r="AI1001" s="73"/>
      <c r="AJ1001" s="161"/>
      <c r="AK1001" s="76" t="s">
        <v>798</v>
      </c>
      <c r="AL1001" s="83" t="s">
        <v>10209</v>
      </c>
      <c r="AM1001" s="71" t="s">
        <v>10210</v>
      </c>
      <c r="AN1001" s="84" t="s">
        <v>10211</v>
      </c>
      <c r="AO1001" s="71" t="s">
        <v>10212</v>
      </c>
      <c r="AP1001" s="161" t="str">
        <f>IMAGE("https://bellingcat-archive.nyc3.cdn.digitaloceanspaces.com/Ukraine_Witness_Datasheet/Worksheet/youtube_dl_1498647794319564808/out5.jpg")</f>
        <v/>
      </c>
      <c r="AQ1001" s="84" t="s">
        <v>10213</v>
      </c>
      <c r="AR1001" s="71" t="s">
        <v>10214</v>
      </c>
      <c r="AS1001" s="71" t="s">
        <v>10215</v>
      </c>
      <c r="AT1001" s="71">
        <v>140.014</v>
      </c>
      <c r="AU1001" s="89"/>
      <c r="AV1001" s="162"/>
      <c r="AW1001" s="81"/>
    </row>
    <row r="1002" ht="15.75" customHeight="1">
      <c r="A1002" s="208"/>
      <c r="B1002" s="73"/>
      <c r="C1002" s="176"/>
      <c r="D1002" s="121"/>
      <c r="E1002" s="121"/>
      <c r="F1002" s="89"/>
      <c r="G1002" s="84" t="s">
        <v>10216</v>
      </c>
      <c r="H1002" s="61" t="s">
        <v>66</v>
      </c>
      <c r="I1002" s="62" t="s">
        <v>10206</v>
      </c>
      <c r="J1002" s="64" t="s">
        <v>10217</v>
      </c>
      <c r="K1002" s="69"/>
      <c r="L1002" s="70"/>
      <c r="M1002" s="73"/>
      <c r="N1002" s="73"/>
      <c r="O1002" s="73"/>
      <c r="P1002" s="67" t="str">
        <f t="shared" si="1"/>
        <v/>
      </c>
      <c r="Q1002" s="67" t="str">
        <f t="shared" si="2"/>
        <v/>
      </c>
      <c r="R1002" s="67" t="str">
        <f t="shared" si="3"/>
        <v/>
      </c>
      <c r="S1002" s="67" t="str">
        <f t="shared" si="4"/>
        <v/>
      </c>
      <c r="T1002" s="161"/>
      <c r="U1002" s="69"/>
      <c r="V1002" s="169" t="s">
        <v>10218</v>
      </c>
      <c r="W1002" s="161"/>
      <c r="X1002" s="194"/>
      <c r="Y1002" s="73"/>
      <c r="Z1002" s="73"/>
      <c r="AA1002" s="73"/>
      <c r="AB1002" s="73"/>
      <c r="AC1002" s="73"/>
      <c r="AD1002" s="73"/>
      <c r="AE1002" s="73"/>
      <c r="AF1002" s="73"/>
      <c r="AG1002" s="73"/>
      <c r="AH1002" s="73"/>
      <c r="AI1002" s="73"/>
      <c r="AJ1002" s="161"/>
      <c r="AK1002" s="76" t="s">
        <v>4410</v>
      </c>
      <c r="AL1002" s="83" t="s">
        <v>10219</v>
      </c>
      <c r="AM1002" s="71" t="s">
        <v>10220</v>
      </c>
      <c r="AN1002" s="84" t="s">
        <v>10221</v>
      </c>
      <c r="AO1002" s="71" t="s">
        <v>10222</v>
      </c>
      <c r="AP1002" s="161" t="str">
        <f>IMAGE("https://bellingcat-archive.nyc3.cdn.digitaloceanspaces.com/Ukraine_Witness_Datasheet/Worksheet/telegram_2471eec51f/out2.jpg")</f>
        <v/>
      </c>
      <c r="AQ1002" s="84" t="s">
        <v>10223</v>
      </c>
      <c r="AR1002" s="84" t="s">
        <v>10216</v>
      </c>
      <c r="AS1002" s="71" t="s">
        <v>10224</v>
      </c>
      <c r="AT1002" s="71">
        <v>33.0</v>
      </c>
      <c r="AU1002" s="89"/>
      <c r="AV1002" s="162"/>
      <c r="AW1002" s="81"/>
    </row>
    <row r="1003" ht="15.75" customHeight="1">
      <c r="A1003" s="72" t="s">
        <v>3944</v>
      </c>
      <c r="B1003" s="73"/>
      <c r="C1003" s="57" t="s">
        <v>5586</v>
      </c>
      <c r="D1003" s="104">
        <v>50.438639</v>
      </c>
      <c r="E1003" s="104">
        <v>30.609917</v>
      </c>
      <c r="F1003" s="79">
        <v>1.0</v>
      </c>
      <c r="G1003" s="193" t="s">
        <v>10225</v>
      </c>
      <c r="H1003" s="61" t="s">
        <v>5522</v>
      </c>
      <c r="I1003" s="75"/>
      <c r="J1003" s="64" t="s">
        <v>10226</v>
      </c>
      <c r="K1003" s="69"/>
      <c r="L1003" s="65" t="s">
        <v>3542</v>
      </c>
      <c r="M1003" s="73"/>
      <c r="N1003" s="73"/>
      <c r="O1003" s="61" t="s">
        <v>6121</v>
      </c>
      <c r="P1003" s="67" t="str">
        <f t="shared" si="1"/>
        <v>50.438639, 30.609917</v>
      </c>
      <c r="Q1003" s="67" t="str">
        <f t="shared" si="2"/>
        <v>50.438127, 30.609301</v>
      </c>
      <c r="R1003" s="67">
        <f t="shared" si="3"/>
        <v>50.438127</v>
      </c>
      <c r="S1003" s="67">
        <f t="shared" si="4"/>
        <v>30.609301</v>
      </c>
      <c r="T1003" s="161"/>
      <c r="U1003" s="69"/>
      <c r="V1003" s="169" t="s">
        <v>10227</v>
      </c>
      <c r="W1003" s="71" t="s">
        <v>3546</v>
      </c>
      <c r="X1003" s="72" t="s">
        <v>75</v>
      </c>
      <c r="Y1003" s="73"/>
      <c r="Z1003" s="73"/>
      <c r="AA1003" s="73"/>
      <c r="AB1003" s="73"/>
      <c r="AC1003" s="73"/>
      <c r="AD1003" s="73"/>
      <c r="AE1003" s="73"/>
      <c r="AF1003" s="73"/>
      <c r="AG1003" s="73"/>
      <c r="AH1003" s="73"/>
      <c r="AI1003" s="73"/>
      <c r="AJ1003" s="161"/>
      <c r="AK1003" s="76" t="s">
        <v>798</v>
      </c>
      <c r="AL1003" s="83" t="s">
        <v>10228</v>
      </c>
      <c r="AM1003" s="71" t="s">
        <v>10229</v>
      </c>
      <c r="AN1003" s="84" t="s">
        <v>10230</v>
      </c>
      <c r="AO1003" s="71" t="s">
        <v>10231</v>
      </c>
      <c r="AP1003" s="161" t="str">
        <f>IMAGE("https://bellingcat-archive.nyc3.cdn.digitaloceanspaces.com/Ukraine_Witness_Datasheet/Worksheet/youtube_dl_1496704498177294355/out2.jpg")</f>
        <v/>
      </c>
      <c r="AQ1003" s="84" t="s">
        <v>10232</v>
      </c>
      <c r="AR1003" s="71" t="s">
        <v>10233</v>
      </c>
      <c r="AS1003" s="71" t="s">
        <v>10234</v>
      </c>
      <c r="AT1003" s="71">
        <v>3.689</v>
      </c>
      <c r="AU1003" s="89"/>
      <c r="AV1003" s="80" t="s">
        <v>63</v>
      </c>
      <c r="AW1003" s="81"/>
    </row>
    <row r="1004" ht="15.75" customHeight="1">
      <c r="A1004" s="72" t="s">
        <v>3944</v>
      </c>
      <c r="B1004" s="73"/>
      <c r="C1004" s="57" t="s">
        <v>7672</v>
      </c>
      <c r="D1004" s="104">
        <v>50.447806</v>
      </c>
      <c r="E1004" s="104">
        <v>30.478583</v>
      </c>
      <c r="F1004" s="79">
        <v>1.0</v>
      </c>
      <c r="G1004" s="84" t="s">
        <v>10235</v>
      </c>
      <c r="H1004" s="61" t="s">
        <v>5522</v>
      </c>
      <c r="I1004" s="75"/>
      <c r="J1004" s="64" t="s">
        <v>10236</v>
      </c>
      <c r="K1004" s="69"/>
      <c r="L1004" s="65" t="s">
        <v>5670</v>
      </c>
      <c r="M1004" s="73"/>
      <c r="N1004" s="73"/>
      <c r="O1004" s="61" t="s">
        <v>6121</v>
      </c>
      <c r="P1004" s="67" t="str">
        <f t="shared" si="1"/>
        <v>50.447806, 30.478583</v>
      </c>
      <c r="Q1004" s="67" t="str">
        <f t="shared" si="2"/>
        <v>50.44738, 30.479566</v>
      </c>
      <c r="R1004" s="67">
        <f t="shared" si="3"/>
        <v>50.44738</v>
      </c>
      <c r="S1004" s="67">
        <f t="shared" si="4"/>
        <v>30.479566</v>
      </c>
      <c r="T1004" s="161"/>
      <c r="U1004" s="69"/>
      <c r="V1004" s="169" t="s">
        <v>10237</v>
      </c>
      <c r="W1004" s="71" t="s">
        <v>10238</v>
      </c>
      <c r="X1004" s="72" t="s">
        <v>75</v>
      </c>
      <c r="Y1004" s="73"/>
      <c r="Z1004" s="73"/>
      <c r="AA1004" s="73"/>
      <c r="AB1004" s="73"/>
      <c r="AC1004" s="73"/>
      <c r="AD1004" s="73"/>
      <c r="AE1004" s="73"/>
      <c r="AF1004" s="73"/>
      <c r="AG1004" s="73"/>
      <c r="AH1004" s="73"/>
      <c r="AI1004" s="73"/>
      <c r="AJ1004" s="161"/>
      <c r="AK1004" s="76" t="s">
        <v>798</v>
      </c>
      <c r="AL1004" s="83" t="s">
        <v>10239</v>
      </c>
      <c r="AM1004" s="71" t="s">
        <v>10240</v>
      </c>
      <c r="AN1004" s="84" t="s">
        <v>10241</v>
      </c>
      <c r="AO1004" s="71" t="s">
        <v>10242</v>
      </c>
      <c r="AP1004" s="161" t="str">
        <f>IMAGE("https://bellingcat-archive.nyc3.cdn.digitaloceanspaces.com/Ukraine_Witness_Datasheet/Worksheet/youtube_dl_1497637169128693763/out2.jpg")</f>
        <v/>
      </c>
      <c r="AQ1004" s="84" t="s">
        <v>10243</v>
      </c>
      <c r="AR1004" s="71" t="s">
        <v>10244</v>
      </c>
      <c r="AS1004" s="71" t="s">
        <v>10245</v>
      </c>
      <c r="AT1004" s="71">
        <v>54.115</v>
      </c>
      <c r="AU1004" s="89"/>
      <c r="AV1004" s="80" t="s">
        <v>63</v>
      </c>
      <c r="AW1004" s="81"/>
    </row>
    <row r="1005" ht="15.75" customHeight="1">
      <c r="A1005" s="357" t="s">
        <v>63</v>
      </c>
      <c r="B1005" s="73"/>
      <c r="C1005" s="57" t="s">
        <v>9028</v>
      </c>
      <c r="D1005" s="74">
        <v>50.46366</v>
      </c>
      <c r="E1005" s="74">
        <v>29.796315</v>
      </c>
      <c r="F1005" s="79">
        <v>5.0</v>
      </c>
      <c r="G1005" s="84" t="s">
        <v>10246</v>
      </c>
      <c r="H1005" s="73"/>
      <c r="I1005" s="75"/>
      <c r="J1005" s="64" t="s">
        <v>10247</v>
      </c>
      <c r="K1005" s="88" t="s">
        <v>10248</v>
      </c>
      <c r="L1005" s="65" t="s">
        <v>5670</v>
      </c>
      <c r="M1005" s="61" t="s">
        <v>5827</v>
      </c>
      <c r="N1005" s="73"/>
      <c r="O1005" s="92" t="s">
        <v>10249</v>
      </c>
      <c r="P1005" s="67" t="str">
        <f t="shared" si="1"/>
        <v>50.46366, 29.796315</v>
      </c>
      <c r="Q1005" s="67" t="str">
        <f t="shared" si="2"/>
        <v>50.463391, 29.795734</v>
      </c>
      <c r="R1005" s="67">
        <f t="shared" si="3"/>
        <v>50.463391</v>
      </c>
      <c r="S1005" s="67">
        <f t="shared" si="4"/>
        <v>29.795734</v>
      </c>
      <c r="T1005" s="161"/>
      <c r="U1005" s="69"/>
      <c r="V1005" s="169" t="s">
        <v>10250</v>
      </c>
      <c r="W1005" s="71" t="s">
        <v>6108</v>
      </c>
      <c r="X1005" s="72" t="s">
        <v>75</v>
      </c>
      <c r="Y1005" s="73"/>
      <c r="Z1005" s="73"/>
      <c r="AA1005" s="71" t="s">
        <v>6108</v>
      </c>
      <c r="AB1005" s="61" t="s">
        <v>10251</v>
      </c>
      <c r="AC1005" s="73"/>
      <c r="AD1005" s="73"/>
      <c r="AE1005" s="73"/>
      <c r="AF1005" s="73"/>
      <c r="AG1005" s="73"/>
      <c r="AH1005" s="73"/>
      <c r="AI1005" s="73"/>
      <c r="AJ1005" s="161"/>
      <c r="AK1005" s="76" t="s">
        <v>798</v>
      </c>
      <c r="AL1005" s="83" t="s">
        <v>10252</v>
      </c>
      <c r="AM1005" s="71" t="s">
        <v>10253</v>
      </c>
      <c r="AN1005" s="84" t="s">
        <v>10254</v>
      </c>
      <c r="AO1005" s="71" t="s">
        <v>10255</v>
      </c>
      <c r="AP1005" s="161" t="str">
        <f>IMAGE("https://bellingcat-archive.nyc3.cdn.digitaloceanspaces.com/Ukraine_Witness_Datasheet/Worksheet/youtube_dl_1498393005027475461/out3.jpg")</f>
        <v/>
      </c>
      <c r="AQ1005" s="84" t="s">
        <v>10256</v>
      </c>
      <c r="AR1005" s="71" t="s">
        <v>10257</v>
      </c>
      <c r="AS1005" s="71" t="s">
        <v>10258</v>
      </c>
      <c r="AT1005" s="71">
        <v>83.878</v>
      </c>
      <c r="AU1005" s="89"/>
      <c r="AV1005" s="80" t="s">
        <v>63</v>
      </c>
      <c r="AW1005" s="81"/>
    </row>
    <row r="1006" ht="15.75" customHeight="1">
      <c r="A1006" s="379" t="s">
        <v>6924</v>
      </c>
      <c r="B1006" s="73"/>
      <c r="C1006" s="380" t="s">
        <v>5586</v>
      </c>
      <c r="D1006" s="285" t="s">
        <v>10259</v>
      </c>
      <c r="E1006" s="241" t="s">
        <v>10260</v>
      </c>
      <c r="F1006" s="89"/>
      <c r="G1006" s="273" t="s">
        <v>10261</v>
      </c>
      <c r="H1006" s="73"/>
      <c r="I1006" s="381" t="s">
        <v>10262</v>
      </c>
      <c r="J1006" s="276" t="s">
        <v>10263</v>
      </c>
      <c r="K1006" s="69"/>
      <c r="L1006" s="70"/>
      <c r="M1006" s="73"/>
      <c r="N1006" s="73"/>
      <c r="O1006" s="73"/>
      <c r="P1006" s="67" t="str">
        <f t="shared" si="1"/>
        <v>49.212119, 38.905921</v>
      </c>
      <c r="Q1006" s="67" t="str">
        <f t="shared" si="2"/>
        <v>49.212103, 38.906763</v>
      </c>
      <c r="R1006" s="67">
        <f t="shared" si="3"/>
        <v>49.212103</v>
      </c>
      <c r="S1006" s="67">
        <f t="shared" si="4"/>
        <v>38.906763</v>
      </c>
      <c r="T1006" s="161"/>
      <c r="U1006" s="69"/>
      <c r="V1006" s="169" t="s">
        <v>10264</v>
      </c>
      <c r="W1006" s="161"/>
      <c r="X1006" s="194"/>
      <c r="Y1006" s="252"/>
      <c r="Z1006" s="73"/>
      <c r="AA1006" s="73"/>
      <c r="AB1006" s="73"/>
      <c r="AC1006" s="73"/>
      <c r="AD1006" s="73"/>
      <c r="AE1006" s="73"/>
      <c r="AF1006" s="73"/>
      <c r="AG1006" s="73"/>
      <c r="AH1006" s="73"/>
      <c r="AI1006" s="73"/>
      <c r="AJ1006" s="161"/>
      <c r="AK1006" s="136" t="s">
        <v>1261</v>
      </c>
      <c r="AL1006" s="147" t="s">
        <v>10265</v>
      </c>
      <c r="AM1006" s="138" t="s">
        <v>10266</v>
      </c>
      <c r="AN1006" s="163" t="s">
        <v>10267</v>
      </c>
      <c r="AO1006" s="164"/>
      <c r="AP1006" s="164"/>
      <c r="AQ1006" s="164"/>
      <c r="AR1006" s="138" t="s">
        <v>7184</v>
      </c>
      <c r="AS1006" s="164"/>
      <c r="AT1006" s="164"/>
      <c r="AU1006" s="89"/>
      <c r="AV1006" s="162"/>
      <c r="AW1006" s="81"/>
    </row>
    <row r="1007" ht="15.75" customHeight="1">
      <c r="A1007" s="382" t="s">
        <v>9613</v>
      </c>
      <c r="B1007" s="73"/>
      <c r="C1007" s="214" t="s">
        <v>9028</v>
      </c>
      <c r="D1007" s="383" t="s">
        <v>10268</v>
      </c>
      <c r="E1007" s="383" t="s">
        <v>10269</v>
      </c>
      <c r="F1007" s="79">
        <v>1.0</v>
      </c>
      <c r="G1007" s="273" t="s">
        <v>10270</v>
      </c>
      <c r="H1007" s="121"/>
      <c r="I1007" s="384" t="s">
        <v>10271</v>
      </c>
      <c r="J1007" s="276" t="s">
        <v>10272</v>
      </c>
      <c r="K1007" s="69"/>
      <c r="L1007" s="65" t="s">
        <v>3542</v>
      </c>
      <c r="M1007" s="61" t="s">
        <v>10273</v>
      </c>
      <c r="N1007" s="73"/>
      <c r="O1007" s="311" t="s">
        <v>10274</v>
      </c>
      <c r="P1007" s="67" t="str">
        <f t="shared" si="1"/>
        <v>48.957558, 38.503902</v>
      </c>
      <c r="Q1007" s="67" t="str">
        <f t="shared" si="2"/>
        <v>48.957316, 38.504354</v>
      </c>
      <c r="R1007" s="67">
        <f t="shared" si="3"/>
        <v>48.957316</v>
      </c>
      <c r="S1007" s="67">
        <f t="shared" si="4"/>
        <v>38.504354</v>
      </c>
      <c r="T1007" s="161"/>
      <c r="U1007" s="69"/>
      <c r="V1007" s="169" t="s">
        <v>10275</v>
      </c>
      <c r="W1007" s="71" t="s">
        <v>3601</v>
      </c>
      <c r="X1007" s="72" t="s">
        <v>5504</v>
      </c>
      <c r="Y1007" s="216" t="s">
        <v>5820</v>
      </c>
      <c r="Z1007" s="73"/>
      <c r="AA1007" s="73"/>
      <c r="AB1007" s="73"/>
      <c r="AC1007" s="73"/>
      <c r="AD1007" s="73"/>
      <c r="AE1007" s="73"/>
      <c r="AF1007" s="73"/>
      <c r="AG1007" s="73"/>
      <c r="AH1007" s="73"/>
      <c r="AI1007" s="73"/>
      <c r="AJ1007" s="161"/>
      <c r="AK1007" s="136" t="s">
        <v>1261</v>
      </c>
      <c r="AL1007" s="147" t="s">
        <v>10276</v>
      </c>
      <c r="AM1007" s="138" t="s">
        <v>10277</v>
      </c>
      <c r="AN1007" s="163" t="s">
        <v>10278</v>
      </c>
      <c r="AO1007" s="164"/>
      <c r="AP1007" s="164"/>
      <c r="AQ1007" s="164"/>
      <c r="AR1007" s="138" t="s">
        <v>7184</v>
      </c>
      <c r="AS1007" s="164"/>
      <c r="AT1007" s="164"/>
      <c r="AU1007" s="89"/>
      <c r="AV1007" s="80" t="s">
        <v>63</v>
      </c>
      <c r="AW1007" s="203"/>
    </row>
    <row r="1008" ht="15.75" customHeight="1">
      <c r="A1008" s="382" t="s">
        <v>7154</v>
      </c>
      <c r="B1008" s="73"/>
      <c r="C1008" s="214" t="s">
        <v>7672</v>
      </c>
      <c r="D1008" s="383" t="s">
        <v>10279</v>
      </c>
      <c r="E1008" s="383" t="s">
        <v>10280</v>
      </c>
      <c r="F1008" s="79">
        <v>1.0</v>
      </c>
      <c r="G1008" s="273" t="s">
        <v>10281</v>
      </c>
      <c r="H1008" s="121"/>
      <c r="I1008" s="384" t="s">
        <v>10282</v>
      </c>
      <c r="J1008" s="276" t="s">
        <v>10272</v>
      </c>
      <c r="K1008" s="69"/>
      <c r="L1008" s="65" t="s">
        <v>3542</v>
      </c>
      <c r="M1008" s="61" t="s">
        <v>10273</v>
      </c>
      <c r="N1008" s="73"/>
      <c r="O1008" s="92" t="s">
        <v>10283</v>
      </c>
      <c r="P1008" s="67" t="str">
        <f t="shared" si="1"/>
        <v>48.915311, 38.429935</v>
      </c>
      <c r="Q1008" s="67" t="str">
        <f t="shared" si="2"/>
        <v>48.91496, 38.428884</v>
      </c>
      <c r="R1008" s="67">
        <f t="shared" si="3"/>
        <v>48.91496</v>
      </c>
      <c r="S1008" s="67">
        <f t="shared" si="4"/>
        <v>38.428884</v>
      </c>
      <c r="T1008" s="161"/>
      <c r="U1008" s="69"/>
      <c r="V1008" s="169" t="s">
        <v>10284</v>
      </c>
      <c r="W1008" s="71" t="s">
        <v>3601</v>
      </c>
      <c r="X1008" s="72" t="s">
        <v>5504</v>
      </c>
      <c r="Y1008" s="216" t="s">
        <v>5820</v>
      </c>
      <c r="Z1008" s="73"/>
      <c r="AA1008" s="73"/>
      <c r="AB1008" s="73"/>
      <c r="AC1008" s="73"/>
      <c r="AD1008" s="73"/>
      <c r="AE1008" s="73"/>
      <c r="AF1008" s="73"/>
      <c r="AG1008" s="73"/>
      <c r="AH1008" s="73"/>
      <c r="AI1008" s="73"/>
      <c r="AJ1008" s="161"/>
      <c r="AK1008" s="136" t="s">
        <v>1261</v>
      </c>
      <c r="AL1008" s="147" t="s">
        <v>10285</v>
      </c>
      <c r="AM1008" s="138" t="s">
        <v>10286</v>
      </c>
      <c r="AN1008" s="163" t="s">
        <v>10287</v>
      </c>
      <c r="AO1008" s="164"/>
      <c r="AP1008" s="164"/>
      <c r="AQ1008" s="164"/>
      <c r="AR1008" s="138" t="s">
        <v>7184</v>
      </c>
      <c r="AS1008" s="164"/>
      <c r="AT1008" s="164"/>
      <c r="AU1008" s="89"/>
      <c r="AV1008" s="80" t="s">
        <v>63</v>
      </c>
      <c r="AW1008" s="203"/>
    </row>
    <row r="1009" ht="15.75" customHeight="1">
      <c r="A1009" s="379" t="s">
        <v>6924</v>
      </c>
      <c r="B1009" s="73"/>
      <c r="C1009" s="380" t="s">
        <v>9028</v>
      </c>
      <c r="D1009" s="285" t="s">
        <v>10288</v>
      </c>
      <c r="E1009" s="241" t="s">
        <v>10289</v>
      </c>
      <c r="F1009" s="89"/>
      <c r="G1009" s="273" t="s">
        <v>10290</v>
      </c>
      <c r="H1009" s="73"/>
      <c r="I1009" s="381" t="s">
        <v>10291</v>
      </c>
      <c r="J1009" s="276" t="s">
        <v>10292</v>
      </c>
      <c r="K1009" s="69"/>
      <c r="L1009" s="70"/>
      <c r="M1009" s="73"/>
      <c r="N1009" s="73"/>
      <c r="O1009" s="73"/>
      <c r="P1009" s="67" t="str">
        <f t="shared" si="1"/>
        <v>47.61663979, 37.49803344</v>
      </c>
      <c r="Q1009" s="67" t="str">
        <f t="shared" si="2"/>
        <v>47.616118, 37.498446</v>
      </c>
      <c r="R1009" s="67">
        <f t="shared" si="3"/>
        <v>47.616118</v>
      </c>
      <c r="S1009" s="67">
        <f t="shared" si="4"/>
        <v>37.498446</v>
      </c>
      <c r="T1009" s="161"/>
      <c r="U1009" s="69"/>
      <c r="V1009" s="169" t="s">
        <v>10293</v>
      </c>
      <c r="W1009" s="161"/>
      <c r="X1009" s="194"/>
      <c r="Y1009" s="216" t="s">
        <v>5820</v>
      </c>
      <c r="Z1009" s="73"/>
      <c r="AA1009" s="73"/>
      <c r="AB1009" s="73"/>
      <c r="AC1009" s="73"/>
      <c r="AD1009" s="73"/>
      <c r="AE1009" s="73"/>
      <c r="AF1009" s="73"/>
      <c r="AG1009" s="73"/>
      <c r="AH1009" s="73"/>
      <c r="AI1009" s="73"/>
      <c r="AJ1009" s="161"/>
      <c r="AK1009" s="76" t="s">
        <v>2108</v>
      </c>
      <c r="AL1009" s="83" t="s">
        <v>10294</v>
      </c>
      <c r="AM1009" s="71" t="s">
        <v>10295</v>
      </c>
      <c r="AN1009" s="84" t="s">
        <v>10296</v>
      </c>
      <c r="AO1009" s="71" t="s">
        <v>10297</v>
      </c>
      <c r="AP1009" s="161" t="str">
        <f>IMAGE("https://bellingcat-archive.nyc3.cdn.digitaloceanspaces.com/Ukraine_Witness_Datasheet/Worksheet/twitter__media_FMsPsIbXoAUOUHj.jpg")</f>
        <v/>
      </c>
      <c r="AQ1009" s="161"/>
      <c r="AR1009" s="161"/>
      <c r="AS1009" s="71" t="s">
        <v>10298</v>
      </c>
      <c r="AT1009" s="161"/>
      <c r="AU1009" s="89"/>
      <c r="AV1009" s="162"/>
      <c r="AW1009" s="81"/>
    </row>
    <row r="1010" ht="15.75" customHeight="1">
      <c r="A1010" s="379" t="s">
        <v>6924</v>
      </c>
      <c r="B1010" s="73"/>
      <c r="C1010" s="380" t="s">
        <v>9028</v>
      </c>
      <c r="D1010" s="385" t="s">
        <v>10299</v>
      </c>
      <c r="E1010" s="385" t="s">
        <v>10300</v>
      </c>
      <c r="F1010" s="79">
        <v>1.0</v>
      </c>
      <c r="G1010" s="295" t="s">
        <v>10301</v>
      </c>
      <c r="H1010" s="73"/>
      <c r="I1010" s="381" t="s">
        <v>10302</v>
      </c>
      <c r="J1010" s="276" t="s">
        <v>10303</v>
      </c>
      <c r="K1010" s="69"/>
      <c r="L1010" s="65" t="s">
        <v>3542</v>
      </c>
      <c r="M1010" s="61" t="s">
        <v>5827</v>
      </c>
      <c r="N1010" s="73"/>
      <c r="O1010" s="61" t="s">
        <v>10304</v>
      </c>
      <c r="P1010" s="67" t="str">
        <f t="shared" si="1"/>
        <v>50.430742, 30.037756</v>
      </c>
      <c r="Q1010" s="67" t="str">
        <f t="shared" si="2"/>
        <v>50.430498, 30.038651</v>
      </c>
      <c r="R1010" s="67">
        <f t="shared" si="3"/>
        <v>50.430498</v>
      </c>
      <c r="S1010" s="67">
        <f t="shared" si="4"/>
        <v>30.038651</v>
      </c>
      <c r="T1010" s="161"/>
      <c r="U1010" s="69"/>
      <c r="V1010" s="169" t="s">
        <v>10305</v>
      </c>
      <c r="W1010" s="71" t="s">
        <v>3601</v>
      </c>
      <c r="X1010" s="194"/>
      <c r="Y1010" s="252"/>
      <c r="Z1010" s="73"/>
      <c r="AA1010" s="73"/>
      <c r="AB1010" s="73"/>
      <c r="AC1010" s="73"/>
      <c r="AD1010" s="73"/>
      <c r="AE1010" s="73"/>
      <c r="AF1010" s="73"/>
      <c r="AG1010" s="73"/>
      <c r="AH1010" s="73"/>
      <c r="AI1010" s="73"/>
      <c r="AJ1010" s="161"/>
      <c r="AK1010" s="76" t="s">
        <v>1261</v>
      </c>
      <c r="AL1010" s="83" t="s">
        <v>10306</v>
      </c>
      <c r="AM1010" s="71" t="s">
        <v>10307</v>
      </c>
      <c r="AN1010" s="84" t="s">
        <v>10308</v>
      </c>
      <c r="AO1010" s="161"/>
      <c r="AP1010" s="161"/>
      <c r="AQ1010" s="161"/>
      <c r="AR1010" s="71" t="s">
        <v>2228</v>
      </c>
      <c r="AS1010" s="161"/>
      <c r="AT1010" s="161"/>
      <c r="AU1010" s="89"/>
      <c r="AV1010" s="162"/>
      <c r="AW1010" s="81"/>
    </row>
    <row r="1011" ht="15.75" customHeight="1">
      <c r="A1011" s="386" t="s">
        <v>7092</v>
      </c>
      <c r="B1011" s="73"/>
      <c r="C1011" s="387">
        <v>44564.0</v>
      </c>
      <c r="D1011" s="192">
        <v>50.004</v>
      </c>
      <c r="E1011" s="192">
        <v>36.23609</v>
      </c>
      <c r="F1011" s="79">
        <v>2.0</v>
      </c>
      <c r="G1011" s="273" t="s">
        <v>10309</v>
      </c>
      <c r="H1011" s="73"/>
      <c r="I1011" s="381" t="s">
        <v>10310</v>
      </c>
      <c r="J1011" s="388" t="s">
        <v>10311</v>
      </c>
      <c r="K1011" s="69"/>
      <c r="L1011" s="65" t="s">
        <v>3542</v>
      </c>
      <c r="M1011" s="61" t="s">
        <v>5590</v>
      </c>
      <c r="N1011" s="73"/>
      <c r="O1011" s="61" t="s">
        <v>5626</v>
      </c>
      <c r="P1011" s="67" t="str">
        <f t="shared" si="1"/>
        <v>50.004, 36.23609</v>
      </c>
      <c r="Q1011" s="67" t="str">
        <f t="shared" si="2"/>
        <v>50.003264, 36.235676</v>
      </c>
      <c r="R1011" s="67">
        <f t="shared" si="3"/>
        <v>50.003264</v>
      </c>
      <c r="S1011" s="67">
        <f t="shared" si="4"/>
        <v>36.235676</v>
      </c>
      <c r="T1011" s="161"/>
      <c r="U1011" s="69"/>
      <c r="V1011" s="110" t="s">
        <v>10312</v>
      </c>
      <c r="W1011" s="71" t="s">
        <v>3601</v>
      </c>
      <c r="X1011" s="72" t="s">
        <v>75</v>
      </c>
      <c r="Y1011" s="216" t="s">
        <v>5820</v>
      </c>
      <c r="Z1011" s="73"/>
      <c r="AA1011" s="73"/>
      <c r="AB1011" s="73"/>
      <c r="AC1011" s="73"/>
      <c r="AD1011" s="73"/>
      <c r="AE1011" s="73"/>
      <c r="AF1011" s="73"/>
      <c r="AG1011" s="73"/>
      <c r="AH1011" s="73"/>
      <c r="AI1011" s="73"/>
      <c r="AJ1011" s="161"/>
      <c r="AK1011" s="76" t="s">
        <v>798</v>
      </c>
      <c r="AL1011" s="83" t="s">
        <v>10313</v>
      </c>
      <c r="AM1011" s="71" t="s">
        <v>10314</v>
      </c>
      <c r="AN1011" s="84" t="s">
        <v>10315</v>
      </c>
      <c r="AO1011" s="71" t="s">
        <v>10316</v>
      </c>
      <c r="AP1011" s="161" t="str">
        <f>IMAGE("https://bellingcat-archive.nyc3.cdn.digitaloceanspaces.com/Ukraine_Witness_Datasheet/Worksheet/youtube_dl_1498559231141765120/out2.jpg")</f>
        <v/>
      </c>
      <c r="AQ1011" s="84" t="s">
        <v>10317</v>
      </c>
      <c r="AR1011" s="71" t="s">
        <v>10318</v>
      </c>
      <c r="AS1011" s="71" t="s">
        <v>10319</v>
      </c>
      <c r="AT1011" s="71">
        <v>30.975</v>
      </c>
      <c r="AU1011" s="89"/>
      <c r="AV1011" s="80" t="s">
        <v>63</v>
      </c>
      <c r="AW1011" s="81"/>
    </row>
    <row r="1012" ht="15.75" customHeight="1">
      <c r="A1012" s="379" t="s">
        <v>6924</v>
      </c>
      <c r="B1012" s="73"/>
      <c r="C1012" s="387">
        <v>44564.0</v>
      </c>
      <c r="D1012" s="285" t="s">
        <v>10320</v>
      </c>
      <c r="E1012" s="241" t="s">
        <v>10321</v>
      </c>
      <c r="F1012" s="79">
        <v>2.0</v>
      </c>
      <c r="G1012" s="273" t="s">
        <v>10322</v>
      </c>
      <c r="H1012" s="73"/>
      <c r="I1012" s="381" t="s">
        <v>10323</v>
      </c>
      <c r="J1012" s="388" t="s">
        <v>10324</v>
      </c>
      <c r="K1012" s="69"/>
      <c r="L1012" s="70"/>
      <c r="M1012" s="73"/>
      <c r="N1012" s="73"/>
      <c r="O1012" s="73"/>
      <c r="P1012" s="67" t="str">
        <f t="shared" si="1"/>
        <v>46.86900864, 35.36848132</v>
      </c>
      <c r="Q1012" s="67" t="str">
        <f t="shared" si="2"/>
        <v>46.868759, 35.368863</v>
      </c>
      <c r="R1012" s="67">
        <f t="shared" si="3"/>
        <v>46.868759</v>
      </c>
      <c r="S1012" s="67">
        <f t="shared" si="4"/>
        <v>35.368863</v>
      </c>
      <c r="T1012" s="161"/>
      <c r="U1012" s="69"/>
      <c r="V1012" s="110" t="s">
        <v>10325</v>
      </c>
      <c r="W1012" s="161"/>
      <c r="X1012" s="194"/>
      <c r="Y1012" s="216" t="s">
        <v>5820</v>
      </c>
      <c r="Z1012" s="73"/>
      <c r="AA1012" s="73"/>
      <c r="AB1012" s="73"/>
      <c r="AC1012" s="73"/>
      <c r="AD1012" s="73"/>
      <c r="AE1012" s="73"/>
      <c r="AF1012" s="73"/>
      <c r="AG1012" s="73"/>
      <c r="AH1012" s="73"/>
      <c r="AI1012" s="73"/>
      <c r="AJ1012" s="161"/>
      <c r="AK1012" s="76" t="s">
        <v>798</v>
      </c>
      <c r="AL1012" s="83" t="s">
        <v>10326</v>
      </c>
      <c r="AM1012" s="71" t="s">
        <v>10327</v>
      </c>
      <c r="AN1012" s="84" t="s">
        <v>10328</v>
      </c>
      <c r="AO1012" s="71" t="s">
        <v>10329</v>
      </c>
      <c r="AP1012" s="161" t="str">
        <f>IMAGE("https://bellingcat-archive.nyc3.cdn.digitaloceanspaces.com/Ukraine_Witness_Datasheet/Worksheet/youtube_dl_1498555475025137667/out2.jpg")</f>
        <v/>
      </c>
      <c r="AQ1012" s="84" t="s">
        <v>10330</v>
      </c>
      <c r="AR1012" s="71" t="s">
        <v>10331</v>
      </c>
      <c r="AS1012" s="71" t="s">
        <v>10332</v>
      </c>
      <c r="AT1012" s="71">
        <v>22.1</v>
      </c>
      <c r="AU1012" s="89"/>
      <c r="AV1012" s="162"/>
      <c r="AW1012" s="81"/>
    </row>
    <row r="1013" ht="15.75" customHeight="1">
      <c r="A1013" s="386" t="s">
        <v>8554</v>
      </c>
      <c r="B1013" s="73"/>
      <c r="C1013" s="387">
        <v>44564.0</v>
      </c>
      <c r="D1013" s="335">
        <v>50.5155896645516</v>
      </c>
      <c r="E1013" s="192">
        <v>30.5987574944239</v>
      </c>
      <c r="F1013" s="79">
        <v>2.0</v>
      </c>
      <c r="G1013" s="273" t="s">
        <v>10333</v>
      </c>
      <c r="H1013" s="73"/>
      <c r="I1013" s="381" t="s">
        <v>10334</v>
      </c>
      <c r="J1013" s="388" t="s">
        <v>10335</v>
      </c>
      <c r="K1013" s="69"/>
      <c r="L1013" s="65" t="s">
        <v>3542</v>
      </c>
      <c r="M1013" s="61" t="s">
        <v>5827</v>
      </c>
      <c r="N1013" s="73"/>
      <c r="O1013" s="61" t="s">
        <v>6121</v>
      </c>
      <c r="P1013" s="67" t="str">
        <f t="shared" si="1"/>
        <v>50.5155896645516, 30.5987574944239</v>
      </c>
      <c r="Q1013" s="67" t="str">
        <f t="shared" si="2"/>
        <v>50.514902, 30.598916</v>
      </c>
      <c r="R1013" s="67">
        <f t="shared" si="3"/>
        <v>50.514902</v>
      </c>
      <c r="S1013" s="67">
        <f t="shared" si="4"/>
        <v>30.598916</v>
      </c>
      <c r="T1013" s="161"/>
      <c r="U1013" s="69"/>
      <c r="V1013" s="110" t="s">
        <v>10336</v>
      </c>
      <c r="W1013" s="71" t="s">
        <v>3601</v>
      </c>
      <c r="X1013" s="72" t="s">
        <v>75</v>
      </c>
      <c r="Y1013" s="216" t="s">
        <v>75</v>
      </c>
      <c r="Z1013" s="73"/>
      <c r="AA1013" s="73"/>
      <c r="AB1013" s="73"/>
      <c r="AC1013" s="73"/>
      <c r="AD1013" s="73"/>
      <c r="AE1013" s="73"/>
      <c r="AF1013" s="73"/>
      <c r="AG1013" s="73"/>
      <c r="AH1013" s="73"/>
      <c r="AI1013" s="73"/>
      <c r="AJ1013" s="161"/>
      <c r="AK1013" s="76" t="s">
        <v>798</v>
      </c>
      <c r="AL1013" s="83" t="s">
        <v>10337</v>
      </c>
      <c r="AM1013" s="71" t="s">
        <v>10338</v>
      </c>
      <c r="AN1013" s="84" t="s">
        <v>10339</v>
      </c>
      <c r="AO1013" s="71" t="s">
        <v>10340</v>
      </c>
      <c r="AP1013" s="161" t="str">
        <f>IMAGE("https://bellingcat-archive.nyc3.cdn.digitaloceanspaces.com/Ukraine_Witness_Datasheet/Worksheet/youtube_dl_1498564169234268166/out2.jpg")</f>
        <v/>
      </c>
      <c r="AQ1013" s="84" t="s">
        <v>10341</v>
      </c>
      <c r="AR1013" s="71" t="s">
        <v>10342</v>
      </c>
      <c r="AS1013" s="71" t="s">
        <v>10343</v>
      </c>
      <c r="AT1013" s="71">
        <v>37.293</v>
      </c>
      <c r="AU1013" s="89"/>
      <c r="AV1013" s="80" t="s">
        <v>63</v>
      </c>
      <c r="AW1013" s="81"/>
    </row>
    <row r="1014" ht="15.75" customHeight="1">
      <c r="A1014" s="386" t="s">
        <v>7092</v>
      </c>
      <c r="B1014" s="73"/>
      <c r="C1014" s="387">
        <v>44564.0</v>
      </c>
      <c r="D1014" s="335">
        <v>50.004</v>
      </c>
      <c r="E1014" s="280">
        <v>36.23609</v>
      </c>
      <c r="F1014" s="79">
        <v>2.0</v>
      </c>
      <c r="G1014" s="273" t="s">
        <v>10344</v>
      </c>
      <c r="H1014" s="73"/>
      <c r="I1014" s="389" t="s">
        <v>10345</v>
      </c>
      <c r="J1014" s="276" t="s">
        <v>10346</v>
      </c>
      <c r="K1014" s="69"/>
      <c r="L1014" s="65" t="s">
        <v>3542</v>
      </c>
      <c r="M1014" s="61" t="s">
        <v>5590</v>
      </c>
      <c r="N1014" s="73"/>
      <c r="O1014" s="61" t="s">
        <v>5626</v>
      </c>
      <c r="P1014" s="67" t="str">
        <f t="shared" si="1"/>
        <v>50.004, 36.23609</v>
      </c>
      <c r="Q1014" s="67" t="str">
        <f t="shared" si="2"/>
        <v>50.003432, 36.235623</v>
      </c>
      <c r="R1014" s="67">
        <f t="shared" si="3"/>
        <v>50.003432</v>
      </c>
      <c r="S1014" s="67">
        <f t="shared" si="4"/>
        <v>36.235623</v>
      </c>
      <c r="T1014" s="161"/>
      <c r="U1014" s="69"/>
      <c r="V1014" s="110" t="s">
        <v>10347</v>
      </c>
      <c r="W1014" s="71" t="s">
        <v>3601</v>
      </c>
      <c r="X1014" s="72" t="s">
        <v>75</v>
      </c>
      <c r="Y1014" s="216" t="s">
        <v>5820</v>
      </c>
      <c r="Z1014" s="73"/>
      <c r="AA1014" s="73"/>
      <c r="AB1014" s="73"/>
      <c r="AC1014" s="73"/>
      <c r="AD1014" s="73"/>
      <c r="AE1014" s="73"/>
      <c r="AF1014" s="73"/>
      <c r="AG1014" s="73"/>
      <c r="AH1014" s="73"/>
      <c r="AI1014" s="73"/>
      <c r="AJ1014" s="161"/>
      <c r="AK1014" s="76" t="s">
        <v>1261</v>
      </c>
      <c r="AL1014" s="83" t="s">
        <v>10348</v>
      </c>
      <c r="AM1014" s="71" t="s">
        <v>10349</v>
      </c>
      <c r="AN1014" s="84" t="s">
        <v>10350</v>
      </c>
      <c r="AO1014" s="161"/>
      <c r="AP1014" s="161"/>
      <c r="AQ1014" s="161"/>
      <c r="AR1014" s="71" t="s">
        <v>7184</v>
      </c>
      <c r="AS1014" s="161"/>
      <c r="AT1014" s="161"/>
      <c r="AU1014" s="89"/>
      <c r="AV1014" s="80" t="s">
        <v>63</v>
      </c>
      <c r="AW1014" s="81"/>
    </row>
    <row r="1015" ht="15.75" customHeight="1">
      <c r="A1015" s="390" t="s">
        <v>10351</v>
      </c>
      <c r="B1015" s="73"/>
      <c r="C1015" s="387">
        <v>44564.0</v>
      </c>
      <c r="D1015" s="335">
        <v>46.67891</v>
      </c>
      <c r="E1015" s="192">
        <v>32.61393</v>
      </c>
      <c r="F1015" s="79">
        <v>2.0</v>
      </c>
      <c r="G1015" s="391" t="s">
        <v>10352</v>
      </c>
      <c r="H1015" s="73"/>
      <c r="I1015" s="381" t="s">
        <v>10353</v>
      </c>
      <c r="J1015" s="276" t="s">
        <v>10354</v>
      </c>
      <c r="K1015" s="69"/>
      <c r="L1015" s="65" t="s">
        <v>3542</v>
      </c>
      <c r="M1015" s="61" t="s">
        <v>5702</v>
      </c>
      <c r="N1015" s="73"/>
      <c r="O1015" s="61" t="s">
        <v>7098</v>
      </c>
      <c r="P1015" s="67" t="str">
        <f t="shared" si="1"/>
        <v>46.67891, 32.61393</v>
      </c>
      <c r="Q1015" s="67" t="str">
        <f t="shared" si="2"/>
        <v>46.678458, 32.614414</v>
      </c>
      <c r="R1015" s="67">
        <f t="shared" si="3"/>
        <v>46.678458</v>
      </c>
      <c r="S1015" s="67">
        <f t="shared" si="4"/>
        <v>32.614414</v>
      </c>
      <c r="T1015" s="161"/>
      <c r="U1015" s="69"/>
      <c r="V1015" s="110" t="s">
        <v>10355</v>
      </c>
      <c r="W1015" s="71" t="s">
        <v>9711</v>
      </c>
      <c r="X1015" s="72" t="s">
        <v>2982</v>
      </c>
      <c r="Y1015" s="216" t="s">
        <v>75</v>
      </c>
      <c r="Z1015" s="73"/>
      <c r="AA1015" s="73"/>
      <c r="AB1015" s="73"/>
      <c r="AC1015" s="73"/>
      <c r="AD1015" s="73"/>
      <c r="AE1015" s="73"/>
      <c r="AF1015" s="73"/>
      <c r="AG1015" s="73"/>
      <c r="AH1015" s="73"/>
      <c r="AI1015" s="73"/>
      <c r="AJ1015" s="161"/>
      <c r="AK1015" s="76" t="s">
        <v>798</v>
      </c>
      <c r="AL1015" s="83" t="s">
        <v>10356</v>
      </c>
      <c r="AM1015" s="71" t="s">
        <v>10357</v>
      </c>
      <c r="AN1015" s="84" t="s">
        <v>10358</v>
      </c>
      <c r="AO1015" s="71" t="s">
        <v>10359</v>
      </c>
      <c r="AP1015" s="161" t="str">
        <f>IMAGE("https://bellingcat-archive.nyc3.cdn.digitaloceanspaces.com/Ukraine_Witness_Datasheet/Worksheet/youtube_dl_1498593301699739649/out2.jpg")</f>
        <v/>
      </c>
      <c r="AQ1015" s="84" t="s">
        <v>10360</v>
      </c>
      <c r="AR1015" s="71" t="s">
        <v>10361</v>
      </c>
      <c r="AS1015" s="71" t="s">
        <v>10362</v>
      </c>
      <c r="AT1015" s="71">
        <v>20.819</v>
      </c>
      <c r="AU1015" s="89"/>
      <c r="AV1015" s="80" t="s">
        <v>88</v>
      </c>
      <c r="AW1015" s="81"/>
    </row>
    <row r="1016" ht="15.75" customHeight="1">
      <c r="A1016" s="392" t="s">
        <v>10351</v>
      </c>
      <c r="B1016" s="73"/>
      <c r="C1016" s="387">
        <v>44564.0</v>
      </c>
      <c r="D1016" s="335">
        <v>46.67891</v>
      </c>
      <c r="E1016" s="192">
        <v>32.61393</v>
      </c>
      <c r="F1016" s="79">
        <v>2.0</v>
      </c>
      <c r="G1016" s="393" t="s">
        <v>10363</v>
      </c>
      <c r="H1016" s="73"/>
      <c r="I1016" s="381" t="s">
        <v>10353</v>
      </c>
      <c r="J1016" s="276" t="s">
        <v>10354</v>
      </c>
      <c r="K1016" s="69"/>
      <c r="L1016" s="65" t="s">
        <v>3542</v>
      </c>
      <c r="M1016" s="61" t="s">
        <v>5702</v>
      </c>
      <c r="N1016" s="73"/>
      <c r="O1016" s="61" t="s">
        <v>7098</v>
      </c>
      <c r="P1016" s="67" t="str">
        <f t="shared" si="1"/>
        <v>46.67891, 32.61393</v>
      </c>
      <c r="Q1016" s="67" t="str">
        <f t="shared" si="2"/>
        <v>46.678488, 32.612977</v>
      </c>
      <c r="R1016" s="67">
        <f t="shared" si="3"/>
        <v>46.678488</v>
      </c>
      <c r="S1016" s="67">
        <f t="shared" si="4"/>
        <v>32.612977</v>
      </c>
      <c r="T1016" s="161"/>
      <c r="U1016" s="69"/>
      <c r="V1016" s="394" t="s">
        <v>10353</v>
      </c>
      <c r="W1016" s="71"/>
      <c r="X1016" s="194"/>
      <c r="Y1016" s="216" t="s">
        <v>75</v>
      </c>
      <c r="Z1016" s="73"/>
      <c r="AA1016" s="73"/>
      <c r="AB1016" s="73"/>
      <c r="AC1016" s="73"/>
      <c r="AD1016" s="73"/>
      <c r="AE1016" s="73"/>
      <c r="AF1016" s="73"/>
      <c r="AG1016" s="73"/>
      <c r="AH1016" s="73"/>
      <c r="AI1016" s="73"/>
      <c r="AJ1016" s="161"/>
      <c r="AK1016" s="76" t="s">
        <v>6276</v>
      </c>
      <c r="AL1016" s="83" t="s">
        <v>10364</v>
      </c>
      <c r="AM1016" s="71" t="s">
        <v>10365</v>
      </c>
      <c r="AN1016" s="84" t="s">
        <v>10366</v>
      </c>
      <c r="AO1016" s="71" t="s">
        <v>10367</v>
      </c>
      <c r="AP1016" s="161" t="str">
        <f>IMAGE("https://bellingcat-archive.nyc3.cdn.digitaloceanspaces.com/Ukraine_Witness_Datasheet/Worksheet/telegram_e16209d3fd/out7.jpg")</f>
        <v/>
      </c>
      <c r="AQ1016" s="84" t="s">
        <v>10368</v>
      </c>
      <c r="AR1016" s="84" t="s">
        <v>10363</v>
      </c>
      <c r="AS1016" s="71" t="s">
        <v>10369</v>
      </c>
      <c r="AT1016" s="71">
        <v>20.0</v>
      </c>
      <c r="AU1016" s="89"/>
      <c r="AV1016" s="162"/>
      <c r="AW1016" s="81"/>
    </row>
    <row r="1017" ht="15.75" customHeight="1">
      <c r="A1017" s="390" t="s">
        <v>10351</v>
      </c>
      <c r="B1017" s="73"/>
      <c r="C1017" s="387">
        <v>44564.0</v>
      </c>
      <c r="D1017" s="335">
        <v>46.67891</v>
      </c>
      <c r="E1017" s="192">
        <v>32.61393</v>
      </c>
      <c r="F1017" s="79">
        <v>2.0</v>
      </c>
      <c r="G1017" s="393" t="s">
        <v>10370</v>
      </c>
      <c r="H1017" s="73"/>
      <c r="I1017" s="381" t="s">
        <v>10353</v>
      </c>
      <c r="J1017" s="276" t="s">
        <v>10354</v>
      </c>
      <c r="K1017" s="69"/>
      <c r="L1017" s="65" t="s">
        <v>3542</v>
      </c>
      <c r="M1017" s="61" t="s">
        <v>5702</v>
      </c>
      <c r="N1017" s="73"/>
      <c r="O1017" s="61" t="s">
        <v>7098</v>
      </c>
      <c r="P1017" s="67" t="str">
        <f t="shared" si="1"/>
        <v>46.67891, 32.61393</v>
      </c>
      <c r="Q1017" s="67" t="str">
        <f t="shared" si="2"/>
        <v>46.678342, 32.613576</v>
      </c>
      <c r="R1017" s="67">
        <f t="shared" si="3"/>
        <v>46.678342</v>
      </c>
      <c r="S1017" s="67">
        <f t="shared" si="4"/>
        <v>32.613576</v>
      </c>
      <c r="T1017" s="161"/>
      <c r="U1017" s="69"/>
      <c r="V1017" s="394" t="s">
        <v>10353</v>
      </c>
      <c r="W1017" s="71" t="s">
        <v>3601</v>
      </c>
      <c r="X1017" s="72" t="s">
        <v>2982</v>
      </c>
      <c r="Y1017" s="216" t="s">
        <v>75</v>
      </c>
      <c r="Z1017" s="73"/>
      <c r="AA1017" s="73"/>
      <c r="AB1017" s="73"/>
      <c r="AC1017" s="73"/>
      <c r="AD1017" s="73"/>
      <c r="AE1017" s="73"/>
      <c r="AF1017" s="73"/>
      <c r="AG1017" s="73"/>
      <c r="AH1017" s="73"/>
      <c r="AI1017" s="73"/>
      <c r="AJ1017" s="161"/>
      <c r="AK1017" s="76" t="s">
        <v>2108</v>
      </c>
      <c r="AL1017" s="83" t="s">
        <v>10371</v>
      </c>
      <c r="AM1017" s="71" t="s">
        <v>10372</v>
      </c>
      <c r="AN1017" s="84" t="s">
        <v>10373</v>
      </c>
      <c r="AO1017" s="71" t="s">
        <v>10374</v>
      </c>
      <c r="AP1017" s="161" t="str">
        <f>IMAGE("https://bellingcat-archive.nyc3.cdn.digitaloceanspaces.com/Ukraine_Witness_Datasheet/Worksheet/twitter__media_FMwVuslXwAguGvR.jpg")</f>
        <v/>
      </c>
      <c r="AQ1017" s="71"/>
      <c r="AR1017" s="71"/>
      <c r="AS1017" s="71" t="s">
        <v>10375</v>
      </c>
      <c r="AT1017" s="71"/>
      <c r="AU1017" s="89"/>
      <c r="AV1017" s="80" t="s">
        <v>88</v>
      </c>
      <c r="AW1017" s="81"/>
    </row>
    <row r="1018" ht="15.75" customHeight="1">
      <c r="A1018" s="392" t="s">
        <v>10351</v>
      </c>
      <c r="B1018" s="73"/>
      <c r="C1018" s="387">
        <v>44564.0</v>
      </c>
      <c r="D1018" s="335">
        <v>46.67891</v>
      </c>
      <c r="E1018" s="192">
        <v>32.61393</v>
      </c>
      <c r="F1018" s="79">
        <v>2.0</v>
      </c>
      <c r="G1018" s="393" t="s">
        <v>10376</v>
      </c>
      <c r="H1018" s="73"/>
      <c r="I1018" s="381" t="s">
        <v>10353</v>
      </c>
      <c r="J1018" s="276" t="s">
        <v>10354</v>
      </c>
      <c r="K1018" s="69"/>
      <c r="L1018" s="65" t="s">
        <v>3542</v>
      </c>
      <c r="M1018" s="61" t="s">
        <v>5702</v>
      </c>
      <c r="N1018" s="73"/>
      <c r="O1018" s="61" t="s">
        <v>7098</v>
      </c>
      <c r="P1018" s="67" t="str">
        <f t="shared" si="1"/>
        <v>46.67891, 32.61393</v>
      </c>
      <c r="Q1018" s="67" t="str">
        <f t="shared" si="2"/>
        <v>46.678673, 32.614521</v>
      </c>
      <c r="R1018" s="67">
        <f t="shared" si="3"/>
        <v>46.678673</v>
      </c>
      <c r="S1018" s="67">
        <f t="shared" si="4"/>
        <v>32.614521</v>
      </c>
      <c r="T1018" s="161"/>
      <c r="U1018" s="69"/>
      <c r="V1018" s="394" t="s">
        <v>10353</v>
      </c>
      <c r="W1018" s="71"/>
      <c r="X1018" s="194"/>
      <c r="Y1018" s="216" t="s">
        <v>75</v>
      </c>
      <c r="Z1018" s="73"/>
      <c r="AA1018" s="73"/>
      <c r="AB1018" s="73"/>
      <c r="AC1018" s="73"/>
      <c r="AD1018" s="73"/>
      <c r="AE1018" s="73"/>
      <c r="AF1018" s="73"/>
      <c r="AG1018" s="73"/>
      <c r="AH1018" s="73"/>
      <c r="AI1018" s="73"/>
      <c r="AJ1018" s="161"/>
      <c r="AK1018" s="76" t="s">
        <v>1261</v>
      </c>
      <c r="AL1018" s="83" t="s">
        <v>10377</v>
      </c>
      <c r="AM1018" s="71" t="s">
        <v>10378</v>
      </c>
      <c r="AN1018" s="84" t="s">
        <v>10379</v>
      </c>
      <c r="AO1018" s="71"/>
      <c r="AP1018" s="161"/>
      <c r="AQ1018" s="71"/>
      <c r="AR1018" s="71" t="s">
        <v>10380</v>
      </c>
      <c r="AS1018" s="71"/>
      <c r="AT1018" s="71"/>
      <c r="AU1018" s="89"/>
      <c r="AV1018" s="162"/>
      <c r="AW1018" s="81"/>
    </row>
    <row r="1019" ht="15.75" customHeight="1">
      <c r="A1019" s="392" t="s">
        <v>9566</v>
      </c>
      <c r="B1019" s="73"/>
      <c r="C1019" s="395" t="s">
        <v>9028</v>
      </c>
      <c r="D1019" s="74">
        <v>50.46366</v>
      </c>
      <c r="E1019" s="74">
        <v>29.796315</v>
      </c>
      <c r="F1019" s="79">
        <v>5.0</v>
      </c>
      <c r="G1019" s="273" t="s">
        <v>10381</v>
      </c>
      <c r="H1019" s="73"/>
      <c r="I1019" s="381" t="s">
        <v>10382</v>
      </c>
      <c r="J1019" s="276" t="s">
        <v>10383</v>
      </c>
      <c r="K1019" s="69"/>
      <c r="L1019" s="65" t="s">
        <v>3542</v>
      </c>
      <c r="M1019" s="61" t="s">
        <v>5827</v>
      </c>
      <c r="N1019" s="73"/>
      <c r="O1019" s="61" t="s">
        <v>10249</v>
      </c>
      <c r="P1019" s="67" t="str">
        <f t="shared" si="1"/>
        <v>50.46366, 29.796315</v>
      </c>
      <c r="Q1019" s="67" t="str">
        <f t="shared" si="2"/>
        <v>50.463443, 29.795406</v>
      </c>
      <c r="R1019" s="67">
        <f t="shared" si="3"/>
        <v>50.463443</v>
      </c>
      <c r="S1019" s="67">
        <f t="shared" si="4"/>
        <v>29.795406</v>
      </c>
      <c r="T1019" s="161"/>
      <c r="U1019" s="69"/>
      <c r="V1019" s="110" t="s">
        <v>10384</v>
      </c>
      <c r="W1019" s="71" t="s">
        <v>6108</v>
      </c>
      <c r="X1019" s="194"/>
      <c r="Y1019" s="216" t="s">
        <v>5820</v>
      </c>
      <c r="Z1019" s="73"/>
      <c r="AA1019" s="73"/>
      <c r="AB1019" s="73"/>
      <c r="AC1019" s="73"/>
      <c r="AD1019" s="73"/>
      <c r="AE1019" s="73"/>
      <c r="AF1019" s="73"/>
      <c r="AG1019" s="73"/>
      <c r="AH1019" s="73"/>
      <c r="AI1019" s="73"/>
      <c r="AJ1019" s="161"/>
      <c r="AK1019" s="76" t="s">
        <v>798</v>
      </c>
      <c r="AL1019" s="83" t="s">
        <v>10385</v>
      </c>
      <c r="AM1019" s="71" t="s">
        <v>10386</v>
      </c>
      <c r="AN1019" s="84" t="s">
        <v>10387</v>
      </c>
      <c r="AO1019" s="71" t="s">
        <v>10388</v>
      </c>
      <c r="AP1019" s="161" t="str">
        <f>IMAGE("https://bellingcat-archive.nyc3.cdn.digitaloceanspaces.com/Ukraine_Witness_Datasheet/Worksheet/youtube_dl_1498404775939002380/out3.jpg")</f>
        <v/>
      </c>
      <c r="AQ1019" s="84" t="s">
        <v>10389</v>
      </c>
      <c r="AR1019" s="71" t="s">
        <v>10390</v>
      </c>
      <c r="AS1019" s="71" t="s">
        <v>10391</v>
      </c>
      <c r="AT1019" s="71">
        <v>83.99</v>
      </c>
      <c r="AU1019" s="89"/>
      <c r="AV1019" s="162"/>
      <c r="AW1019" s="81"/>
    </row>
    <row r="1020" ht="15.75" customHeight="1">
      <c r="A1020" s="386" t="s">
        <v>6682</v>
      </c>
      <c r="B1020" s="73"/>
      <c r="C1020" s="191" t="s">
        <v>7672</v>
      </c>
      <c r="D1020" s="396">
        <v>50.0207638451727</v>
      </c>
      <c r="E1020" s="396">
        <v>36.3474313685762</v>
      </c>
      <c r="F1020" s="79">
        <v>2.0</v>
      </c>
      <c r="G1020" s="273" t="s">
        <v>10392</v>
      </c>
      <c r="H1020" s="73"/>
      <c r="I1020" s="397" t="s">
        <v>10393</v>
      </c>
      <c r="J1020" s="276" t="s">
        <v>10394</v>
      </c>
      <c r="K1020" s="69"/>
      <c r="L1020" s="65" t="s">
        <v>3542</v>
      </c>
      <c r="M1020" s="61" t="s">
        <v>5590</v>
      </c>
      <c r="N1020" s="73"/>
      <c r="O1020" s="61" t="s">
        <v>5626</v>
      </c>
      <c r="P1020" s="67" t="str">
        <f t="shared" si="1"/>
        <v>50.0207638451727, 36.3474313685762</v>
      </c>
      <c r="Q1020" s="67" t="str">
        <f t="shared" si="2"/>
        <v>50.020442, 36.348034</v>
      </c>
      <c r="R1020" s="67">
        <f t="shared" si="3"/>
        <v>50.020442</v>
      </c>
      <c r="S1020" s="67">
        <f t="shared" si="4"/>
        <v>36.348034</v>
      </c>
      <c r="T1020" s="161"/>
      <c r="U1020" s="69"/>
      <c r="V1020" s="110" t="s">
        <v>10395</v>
      </c>
      <c r="W1020" s="71" t="s">
        <v>10396</v>
      </c>
      <c r="X1020" s="72" t="s">
        <v>75</v>
      </c>
      <c r="Y1020" s="216" t="s">
        <v>75</v>
      </c>
      <c r="Z1020" s="73"/>
      <c r="AA1020" s="73"/>
      <c r="AB1020" s="73"/>
      <c r="AC1020" s="73"/>
      <c r="AD1020" s="73"/>
      <c r="AE1020" s="73"/>
      <c r="AF1020" s="73"/>
      <c r="AG1020" s="73"/>
      <c r="AH1020" s="73"/>
      <c r="AI1020" s="73"/>
      <c r="AJ1020" s="161"/>
      <c r="AK1020" s="76" t="s">
        <v>6276</v>
      </c>
      <c r="AL1020" s="83" t="s">
        <v>10397</v>
      </c>
      <c r="AM1020" s="71" t="s">
        <v>10398</v>
      </c>
      <c r="AN1020" s="84" t="s">
        <v>10399</v>
      </c>
      <c r="AO1020" s="71" t="s">
        <v>10400</v>
      </c>
      <c r="AP1020" s="161" t="str">
        <f>IMAGE("https://bellingcat-archive.nyc3.cdn.digitaloceanspaces.com/Ukraine_Witness_Datasheet/Worksheet/telegram_61038725a6/out2.jpg")</f>
        <v/>
      </c>
      <c r="AQ1020" s="84" t="s">
        <v>10401</v>
      </c>
      <c r="AR1020" s="84" t="s">
        <v>10392</v>
      </c>
      <c r="AS1020" s="71" t="s">
        <v>10402</v>
      </c>
      <c r="AT1020" s="71">
        <v>23.0</v>
      </c>
      <c r="AU1020" s="89"/>
      <c r="AV1020" s="80" t="s">
        <v>63</v>
      </c>
      <c r="AW1020" s="81"/>
    </row>
    <row r="1021" ht="15.75" customHeight="1">
      <c r="A1021" s="386" t="s">
        <v>6682</v>
      </c>
      <c r="B1021" s="73"/>
      <c r="C1021" s="191" t="s">
        <v>7672</v>
      </c>
      <c r="D1021" s="396">
        <v>50.0207638451727</v>
      </c>
      <c r="E1021" s="396">
        <v>36.3474313685762</v>
      </c>
      <c r="F1021" s="79">
        <v>2.0</v>
      </c>
      <c r="G1021" s="398" t="s">
        <v>10403</v>
      </c>
      <c r="H1021" s="73"/>
      <c r="I1021" s="397" t="s">
        <v>10393</v>
      </c>
      <c r="J1021" s="276" t="s">
        <v>10394</v>
      </c>
      <c r="K1021" s="69"/>
      <c r="L1021" s="65" t="s">
        <v>3542</v>
      </c>
      <c r="M1021" s="61" t="s">
        <v>5590</v>
      </c>
      <c r="N1021" s="73"/>
      <c r="O1021" s="61" t="s">
        <v>5626</v>
      </c>
      <c r="P1021" s="67" t="str">
        <f t="shared" si="1"/>
        <v>50.0207638451727, 36.3474313685762</v>
      </c>
      <c r="Q1021" s="67" t="str">
        <f t="shared" si="2"/>
        <v>50.020355, 36.347268</v>
      </c>
      <c r="R1021" s="67">
        <f t="shared" si="3"/>
        <v>50.020355</v>
      </c>
      <c r="S1021" s="67">
        <f t="shared" si="4"/>
        <v>36.347268</v>
      </c>
      <c r="T1021" s="161"/>
      <c r="U1021" s="69"/>
      <c r="V1021" s="110" t="s">
        <v>10404</v>
      </c>
      <c r="W1021" s="71"/>
      <c r="X1021" s="72"/>
      <c r="Y1021" s="216" t="s">
        <v>75</v>
      </c>
      <c r="Z1021" s="73"/>
      <c r="AA1021" s="73"/>
      <c r="AB1021" s="73"/>
      <c r="AC1021" s="73"/>
      <c r="AD1021" s="73"/>
      <c r="AE1021" s="73"/>
      <c r="AF1021" s="73"/>
      <c r="AG1021" s="73"/>
      <c r="AH1021" s="73"/>
      <c r="AI1021" s="73"/>
      <c r="AJ1021" s="161"/>
      <c r="AK1021" s="76" t="s">
        <v>1261</v>
      </c>
      <c r="AL1021" s="83" t="s">
        <v>10405</v>
      </c>
      <c r="AM1021" s="71" t="s">
        <v>10406</v>
      </c>
      <c r="AN1021" s="84" t="s">
        <v>10407</v>
      </c>
      <c r="AO1021" s="71"/>
      <c r="AP1021" s="161"/>
      <c r="AQ1021" s="71"/>
      <c r="AR1021" s="71" t="s">
        <v>10408</v>
      </c>
      <c r="AS1021" s="71"/>
      <c r="AT1021" s="71"/>
      <c r="AU1021" s="89"/>
      <c r="AV1021" s="80"/>
      <c r="AW1021" s="81"/>
    </row>
    <row r="1022" ht="15.75" customHeight="1">
      <c r="A1022" s="399" t="s">
        <v>6682</v>
      </c>
      <c r="B1022" s="73"/>
      <c r="C1022" s="191" t="s">
        <v>7672</v>
      </c>
      <c r="D1022" s="383" t="s">
        <v>10409</v>
      </c>
      <c r="E1022" s="383" t="s">
        <v>10410</v>
      </c>
      <c r="F1022" s="79">
        <v>2.0</v>
      </c>
      <c r="G1022" s="273" t="s">
        <v>10411</v>
      </c>
      <c r="H1022" s="73"/>
      <c r="I1022" s="381" t="s">
        <v>10412</v>
      </c>
      <c r="J1022" s="276" t="s">
        <v>10413</v>
      </c>
      <c r="K1022" s="69"/>
      <c r="L1022" s="65" t="s">
        <v>3542</v>
      </c>
      <c r="M1022" s="61" t="s">
        <v>5827</v>
      </c>
      <c r="N1022" s="73"/>
      <c r="O1022" s="61" t="s">
        <v>6121</v>
      </c>
      <c r="P1022" s="67" t="str">
        <f t="shared" si="1"/>
        <v>50.42295716, 30.46515814</v>
      </c>
      <c r="Q1022" s="67" t="str">
        <f t="shared" si="2"/>
        <v>50.422255, 30.465386</v>
      </c>
      <c r="R1022" s="67">
        <f t="shared" si="3"/>
        <v>50.422255</v>
      </c>
      <c r="S1022" s="67">
        <f t="shared" si="4"/>
        <v>30.465386</v>
      </c>
      <c r="T1022" s="161"/>
      <c r="U1022" s="69"/>
      <c r="V1022" s="110" t="s">
        <v>10414</v>
      </c>
      <c r="W1022" s="161"/>
      <c r="X1022" s="17" t="s">
        <v>9</v>
      </c>
      <c r="Y1022" s="216" t="s">
        <v>5820</v>
      </c>
      <c r="Z1022" s="73"/>
      <c r="AA1022" s="73"/>
      <c r="AB1022" s="73"/>
      <c r="AC1022" s="73"/>
      <c r="AD1022" s="73"/>
      <c r="AE1022" s="73"/>
      <c r="AF1022" s="73"/>
      <c r="AG1022" s="73"/>
      <c r="AH1022" s="73"/>
      <c r="AI1022" s="73"/>
      <c r="AJ1022" s="161"/>
      <c r="AK1022" s="76" t="s">
        <v>2108</v>
      </c>
      <c r="AL1022" s="83" t="s">
        <v>10415</v>
      </c>
      <c r="AM1022" s="71" t="s">
        <v>10416</v>
      </c>
      <c r="AN1022" s="84" t="s">
        <v>10417</v>
      </c>
      <c r="AO1022" s="71" t="s">
        <v>10418</v>
      </c>
      <c r="AP1022" s="161" t="str">
        <f>IMAGE("https://bellingcat-archive.nyc3.cdn.digitaloceanspaces.com/Ukraine_Witness_Datasheet/Worksheet/twitter__media_FMhjxx6XMAMSt6z.jpg")</f>
        <v/>
      </c>
      <c r="AQ1022" s="161"/>
      <c r="AR1022" s="161"/>
      <c r="AS1022" s="71" t="s">
        <v>10419</v>
      </c>
      <c r="AT1022" s="161"/>
      <c r="AU1022" s="89"/>
      <c r="AV1022" s="162"/>
      <c r="AW1022" s="81"/>
    </row>
    <row r="1023" ht="15.75" customHeight="1">
      <c r="A1023" s="399" t="s">
        <v>6682</v>
      </c>
      <c r="B1023" s="73"/>
      <c r="C1023" s="191" t="s">
        <v>7672</v>
      </c>
      <c r="D1023" s="396">
        <v>50.422957155949</v>
      </c>
      <c r="E1023" s="396">
        <v>30.4651581449245</v>
      </c>
      <c r="F1023" s="79">
        <v>2.0</v>
      </c>
      <c r="G1023" s="398" t="s">
        <v>10420</v>
      </c>
      <c r="H1023" s="73"/>
      <c r="I1023" s="381" t="s">
        <v>10412</v>
      </c>
      <c r="J1023" s="276" t="s">
        <v>10413</v>
      </c>
      <c r="K1023" s="69"/>
      <c r="L1023" s="65" t="s">
        <v>3542</v>
      </c>
      <c r="M1023" s="61" t="s">
        <v>5827</v>
      </c>
      <c r="N1023" s="73"/>
      <c r="O1023" s="61" t="s">
        <v>6121</v>
      </c>
      <c r="P1023" s="67" t="str">
        <f t="shared" si="1"/>
        <v>50.422957155949, 30.4651581449245</v>
      </c>
      <c r="Q1023" s="67" t="str">
        <f t="shared" si="2"/>
        <v>50.422515, 30.466069</v>
      </c>
      <c r="R1023" s="67">
        <f t="shared" si="3"/>
        <v>50.422515</v>
      </c>
      <c r="S1023" s="67">
        <f t="shared" si="4"/>
        <v>30.466069</v>
      </c>
      <c r="T1023" s="161"/>
      <c r="U1023" s="69"/>
      <c r="V1023" s="394" t="s">
        <v>10412</v>
      </c>
      <c r="W1023" s="161"/>
      <c r="X1023" s="17" t="s">
        <v>9</v>
      </c>
      <c r="Y1023" s="252"/>
      <c r="Z1023" s="73"/>
      <c r="AA1023" s="73"/>
      <c r="AB1023" s="73"/>
      <c r="AC1023" s="73"/>
      <c r="AD1023" s="73"/>
      <c r="AE1023" s="73"/>
      <c r="AF1023" s="73"/>
      <c r="AG1023" s="73"/>
      <c r="AH1023" s="73"/>
      <c r="AI1023" s="73"/>
      <c r="AJ1023" s="161"/>
      <c r="AK1023" s="76" t="s">
        <v>798</v>
      </c>
      <c r="AL1023" s="83" t="s">
        <v>10421</v>
      </c>
      <c r="AM1023" s="71" t="s">
        <v>10422</v>
      </c>
      <c r="AN1023" s="84" t="s">
        <v>10423</v>
      </c>
      <c r="AO1023" s="71" t="s">
        <v>10424</v>
      </c>
      <c r="AP1023" s="161" t="str">
        <f>IMAGE("https://bellingcat-archive.nyc3.cdn.digitaloceanspaces.com/Ukraine_Witness_Datasheet/Worksheet/youtube_dl_1497583504577732610/out7.jpg")</f>
        <v/>
      </c>
      <c r="AQ1023" s="84" t="s">
        <v>10425</v>
      </c>
      <c r="AR1023" s="71" t="s">
        <v>10426</v>
      </c>
      <c r="AS1023" s="71" t="s">
        <v>10427</v>
      </c>
      <c r="AT1023" s="71">
        <v>9.728</v>
      </c>
      <c r="AU1023" s="89"/>
      <c r="AV1023" s="162"/>
      <c r="AW1023" s="81"/>
    </row>
    <row r="1024" ht="15.75" customHeight="1">
      <c r="A1024" s="400" t="s">
        <v>6682</v>
      </c>
      <c r="B1024" s="73"/>
      <c r="C1024" s="191" t="s">
        <v>7672</v>
      </c>
      <c r="D1024" s="396">
        <v>50.541125</v>
      </c>
      <c r="E1024" s="396">
        <v>30.174271</v>
      </c>
      <c r="F1024" s="79">
        <v>2.0</v>
      </c>
      <c r="G1024" s="273" t="s">
        <v>10428</v>
      </c>
      <c r="H1024" s="73"/>
      <c r="I1024" s="381" t="s">
        <v>10429</v>
      </c>
      <c r="J1024" s="276" t="s">
        <v>10430</v>
      </c>
      <c r="K1024" s="69"/>
      <c r="L1024" s="65" t="s">
        <v>3542</v>
      </c>
      <c r="M1024" s="61" t="s">
        <v>5827</v>
      </c>
      <c r="N1024" s="73"/>
      <c r="O1024" s="92" t="s">
        <v>10431</v>
      </c>
      <c r="P1024" s="67" t="str">
        <f t="shared" si="1"/>
        <v>50.541125, 30.174271</v>
      </c>
      <c r="Q1024" s="67" t="str">
        <f t="shared" si="2"/>
        <v>50.540804, 30.17456</v>
      </c>
      <c r="R1024" s="67">
        <f t="shared" si="3"/>
        <v>50.540804</v>
      </c>
      <c r="S1024" s="67">
        <f t="shared" si="4"/>
        <v>30.17456</v>
      </c>
      <c r="T1024" s="161"/>
      <c r="U1024" s="69"/>
      <c r="V1024" s="110" t="s">
        <v>10432</v>
      </c>
      <c r="W1024" s="71" t="s">
        <v>3601</v>
      </c>
      <c r="X1024" s="72" t="s">
        <v>2982</v>
      </c>
      <c r="Y1024" s="252"/>
      <c r="Z1024" s="73"/>
      <c r="AA1024" s="73"/>
      <c r="AB1024" s="73"/>
      <c r="AC1024" s="73"/>
      <c r="AD1024" s="73"/>
      <c r="AE1024" s="73"/>
      <c r="AF1024" s="73"/>
      <c r="AG1024" s="73"/>
      <c r="AH1024" s="73"/>
      <c r="AI1024" s="73"/>
      <c r="AJ1024" s="161"/>
      <c r="AK1024" s="76" t="s">
        <v>798</v>
      </c>
      <c r="AL1024" s="83" t="s">
        <v>10433</v>
      </c>
      <c r="AM1024" s="71" t="s">
        <v>10434</v>
      </c>
      <c r="AN1024" s="84" t="s">
        <v>10435</v>
      </c>
      <c r="AO1024" s="71" t="s">
        <v>10436</v>
      </c>
      <c r="AP1024" s="161" t="str">
        <f>IMAGE("https://bellingcat-archive.nyc3.cdn.digitaloceanspaces.com/Ukraine_Witness_Datasheet/Worksheet/youtube_dl_Cab70RxFXMU/out10.jpg")</f>
        <v/>
      </c>
      <c r="AQ1024" s="84" t="s">
        <v>10437</v>
      </c>
      <c r="AR1024" s="71" t="s">
        <v>10438</v>
      </c>
      <c r="AS1024" s="71" t="s">
        <v>10439</v>
      </c>
      <c r="AT1024" s="161"/>
      <c r="AU1024" s="89"/>
      <c r="AV1024" s="162"/>
      <c r="AW1024" s="81"/>
    </row>
    <row r="1025" ht="15.75" customHeight="1">
      <c r="A1025" s="400" t="s">
        <v>7092</v>
      </c>
      <c r="B1025" s="73"/>
      <c r="C1025" s="191" t="s">
        <v>8024</v>
      </c>
      <c r="D1025" s="396">
        <v>50.189362</v>
      </c>
      <c r="E1025" s="396">
        <v>30.310863</v>
      </c>
      <c r="F1025" s="79">
        <v>2.0</v>
      </c>
      <c r="G1025" s="273" t="s">
        <v>10440</v>
      </c>
      <c r="H1025" s="73"/>
      <c r="I1025" s="381" t="s">
        <v>10441</v>
      </c>
      <c r="J1025" s="276" t="s">
        <v>10442</v>
      </c>
      <c r="K1025" s="69"/>
      <c r="L1025" s="65" t="s">
        <v>3542</v>
      </c>
      <c r="M1025" s="61" t="s">
        <v>5827</v>
      </c>
      <c r="N1025" s="73"/>
      <c r="O1025" s="92" t="s">
        <v>8013</v>
      </c>
      <c r="P1025" s="67" t="str">
        <f t="shared" si="1"/>
        <v>50.189362, 30.310863</v>
      </c>
      <c r="Q1025" s="67" t="str">
        <f t="shared" si="2"/>
        <v>50.189046, 30.311325</v>
      </c>
      <c r="R1025" s="67">
        <f t="shared" si="3"/>
        <v>50.189046</v>
      </c>
      <c r="S1025" s="67">
        <f t="shared" si="4"/>
        <v>30.311325</v>
      </c>
      <c r="T1025" s="161"/>
      <c r="U1025" s="69"/>
      <c r="V1025" s="110" t="s">
        <v>10443</v>
      </c>
      <c r="W1025" s="161"/>
      <c r="X1025" s="401" t="s">
        <v>10444</v>
      </c>
      <c r="Y1025" s="216" t="s">
        <v>5820</v>
      </c>
      <c r="Z1025" s="73"/>
      <c r="AA1025" s="73"/>
      <c r="AB1025" s="73"/>
      <c r="AC1025" s="73"/>
      <c r="AD1025" s="73"/>
      <c r="AE1025" s="73"/>
      <c r="AF1025" s="73"/>
      <c r="AG1025" s="73"/>
      <c r="AH1025" s="73"/>
      <c r="AI1025" s="73"/>
      <c r="AJ1025" s="161"/>
      <c r="AK1025" s="76" t="s">
        <v>798</v>
      </c>
      <c r="AL1025" s="83" t="s">
        <v>10445</v>
      </c>
      <c r="AM1025" s="71" t="s">
        <v>10446</v>
      </c>
      <c r="AN1025" s="84" t="s">
        <v>10447</v>
      </c>
      <c r="AO1025" s="71" t="s">
        <v>10448</v>
      </c>
      <c r="AP1025" s="161" t="str">
        <f>IMAGE("https://bellingcat-archive.nyc3.cdn.digitaloceanspaces.com/Ukraine_Witness_Datasheet/Worksheet/youtube_dl_1Ui6Vm7ShCFcR69010g64in53Z4UrKFCZ/out2.jpg")</f>
        <v/>
      </c>
      <c r="AQ1025" s="84" t="s">
        <v>10449</v>
      </c>
      <c r="AR1025" s="71" t="s">
        <v>10450</v>
      </c>
      <c r="AS1025" s="161"/>
      <c r="AT1025" s="71">
        <v>34.0</v>
      </c>
      <c r="AU1025" s="89"/>
      <c r="AV1025" s="162"/>
      <c r="AW1025" s="81"/>
    </row>
    <row r="1026" ht="15.75" customHeight="1">
      <c r="A1026" s="400" t="s">
        <v>7092</v>
      </c>
      <c r="B1026" s="73"/>
      <c r="C1026" s="191" t="s">
        <v>8024</v>
      </c>
      <c r="D1026" s="396">
        <v>50.188952</v>
      </c>
      <c r="E1026" s="396">
        <v>30.312061</v>
      </c>
      <c r="F1026" s="79">
        <v>2.0</v>
      </c>
      <c r="G1026" s="273" t="s">
        <v>10451</v>
      </c>
      <c r="H1026" s="73"/>
      <c r="I1026" s="381" t="s">
        <v>10452</v>
      </c>
      <c r="J1026" s="276" t="s">
        <v>10453</v>
      </c>
      <c r="K1026" s="69"/>
      <c r="L1026" s="65" t="s">
        <v>3542</v>
      </c>
      <c r="M1026" s="61" t="s">
        <v>5827</v>
      </c>
      <c r="N1026" s="73"/>
      <c r="O1026" s="92" t="s">
        <v>8013</v>
      </c>
      <c r="P1026" s="67" t="str">
        <f t="shared" si="1"/>
        <v>50.188952, 30.312061</v>
      </c>
      <c r="Q1026" s="67" t="str">
        <f t="shared" si="2"/>
        <v>50.188172, 30.312359</v>
      </c>
      <c r="R1026" s="67">
        <f t="shared" si="3"/>
        <v>50.188172</v>
      </c>
      <c r="S1026" s="67">
        <f t="shared" si="4"/>
        <v>30.312359</v>
      </c>
      <c r="T1026" s="161"/>
      <c r="U1026" s="69"/>
      <c r="V1026" s="110" t="s">
        <v>10454</v>
      </c>
      <c r="W1026" s="161"/>
      <c r="X1026" s="401" t="s">
        <v>10444</v>
      </c>
      <c r="Y1026" s="216" t="s">
        <v>5820</v>
      </c>
      <c r="Z1026" s="73"/>
      <c r="AA1026" s="73"/>
      <c r="AB1026" s="73"/>
      <c r="AC1026" s="73"/>
      <c r="AD1026" s="73"/>
      <c r="AE1026" s="73"/>
      <c r="AF1026" s="73"/>
      <c r="AG1026" s="73"/>
      <c r="AH1026" s="73"/>
      <c r="AI1026" s="73"/>
      <c r="AJ1026" s="161"/>
      <c r="AK1026" s="76" t="s">
        <v>798</v>
      </c>
      <c r="AL1026" s="83" t="s">
        <v>10455</v>
      </c>
      <c r="AM1026" s="71" t="s">
        <v>10456</v>
      </c>
      <c r="AN1026" s="84" t="s">
        <v>10457</v>
      </c>
      <c r="AO1026" s="71" t="s">
        <v>10458</v>
      </c>
      <c r="AP1026" s="161" t="str">
        <f>IMAGE("https://bellingcat-archive.nyc3.cdn.digitaloceanspaces.com/Ukraine_Witness_Datasheet/Worksheet/youtube_dl_1P3TS1hmAr-Lkf_FM7F3OxC-0SxfQSkdI/out2.jpg")</f>
        <v/>
      </c>
      <c r="AQ1026" s="84" t="s">
        <v>10459</v>
      </c>
      <c r="AR1026" s="71" t="s">
        <v>10460</v>
      </c>
      <c r="AS1026" s="161"/>
      <c r="AT1026" s="71">
        <v>24.0</v>
      </c>
      <c r="AU1026" s="89"/>
      <c r="AV1026" s="162"/>
      <c r="AW1026" s="81"/>
    </row>
    <row r="1027" ht="15.75" customHeight="1">
      <c r="A1027" s="402" t="s">
        <v>9566</v>
      </c>
      <c r="B1027" s="73"/>
      <c r="C1027" s="191" t="s">
        <v>8024</v>
      </c>
      <c r="D1027" s="284" t="s">
        <v>9685</v>
      </c>
      <c r="E1027" s="284" t="s">
        <v>9686</v>
      </c>
      <c r="F1027" s="79">
        <v>5.0</v>
      </c>
      <c r="G1027" s="403" t="s">
        <v>10461</v>
      </c>
      <c r="H1027" s="73"/>
      <c r="I1027" s="389" t="s">
        <v>10462</v>
      </c>
      <c r="J1027" s="290" t="s">
        <v>10463</v>
      </c>
      <c r="K1027" s="69"/>
      <c r="L1027" s="70"/>
      <c r="M1027" s="73"/>
      <c r="N1027" s="73"/>
      <c r="O1027" s="73"/>
      <c r="P1027" s="67" t="str">
        <f t="shared" si="1"/>
        <v>50.925932, 29.877105</v>
      </c>
      <c r="Q1027" s="67" t="str">
        <f t="shared" si="2"/>
        <v>50.925319, 29.877924</v>
      </c>
      <c r="R1027" s="67">
        <f t="shared" si="3"/>
        <v>50.925319</v>
      </c>
      <c r="S1027" s="67">
        <f t="shared" si="4"/>
        <v>29.877924</v>
      </c>
      <c r="T1027" s="161"/>
      <c r="U1027" s="69"/>
      <c r="V1027" s="110" t="s">
        <v>10464</v>
      </c>
      <c r="W1027" s="71" t="s">
        <v>6108</v>
      </c>
      <c r="X1027" s="404"/>
      <c r="Y1027" s="252"/>
      <c r="Z1027" s="73"/>
      <c r="AA1027" s="73"/>
      <c r="AB1027" s="73"/>
      <c r="AC1027" s="73"/>
      <c r="AD1027" s="73"/>
      <c r="AE1027" s="73"/>
      <c r="AF1027" s="73"/>
      <c r="AG1027" s="73"/>
      <c r="AH1027" s="73"/>
      <c r="AI1027" s="73"/>
      <c r="AJ1027" s="161"/>
      <c r="AK1027" s="76" t="s">
        <v>798</v>
      </c>
      <c r="AL1027" s="83" t="s">
        <v>10465</v>
      </c>
      <c r="AM1027" s="71" t="s">
        <v>10466</v>
      </c>
      <c r="AN1027" s="84" t="s">
        <v>10467</v>
      </c>
      <c r="AO1027" s="71" t="s">
        <v>10468</v>
      </c>
      <c r="AP1027" s="161" t="str">
        <f>IMAGE("https://bellingcat-archive.nyc3.cdn.digitaloceanspaces.com/Ukraine_Witness_Datasheet/Worksheet/youtube_dl_3hefkebvrbk81/out2.jpg")</f>
        <v/>
      </c>
      <c r="AQ1027" s="84" t="s">
        <v>10469</v>
      </c>
      <c r="AR1027" s="71" t="s">
        <v>10470</v>
      </c>
      <c r="AS1027" s="71" t="s">
        <v>10471</v>
      </c>
      <c r="AT1027" s="71">
        <v>53.0</v>
      </c>
      <c r="AU1027" s="89"/>
      <c r="AV1027" s="162"/>
      <c r="AW1027" s="81"/>
    </row>
    <row r="1028" ht="15.75" customHeight="1">
      <c r="A1028" s="400" t="s">
        <v>7092</v>
      </c>
      <c r="B1028" s="73"/>
      <c r="C1028" s="191" t="s">
        <v>8024</v>
      </c>
      <c r="D1028" s="396">
        <v>51.314197</v>
      </c>
      <c r="E1028" s="396">
        <v>26.096736</v>
      </c>
      <c r="F1028" s="79">
        <v>2.0</v>
      </c>
      <c r="G1028" s="273" t="s">
        <v>10472</v>
      </c>
      <c r="H1028" s="73"/>
      <c r="I1028" s="381" t="s">
        <v>10473</v>
      </c>
      <c r="J1028" s="290" t="s">
        <v>10474</v>
      </c>
      <c r="K1028" s="69"/>
      <c r="L1028" s="65" t="s">
        <v>3542</v>
      </c>
      <c r="M1028" s="61" t="s">
        <v>10475</v>
      </c>
      <c r="N1028" s="73"/>
      <c r="O1028" s="92" t="s">
        <v>10476</v>
      </c>
      <c r="P1028" s="67" t="str">
        <f t="shared" si="1"/>
        <v>51.314197, 26.096736</v>
      </c>
      <c r="Q1028" s="67" t="str">
        <f t="shared" si="2"/>
        <v>51.313617, 26.097659</v>
      </c>
      <c r="R1028" s="67">
        <f t="shared" si="3"/>
        <v>51.313617</v>
      </c>
      <c r="S1028" s="67">
        <f t="shared" si="4"/>
        <v>26.097659</v>
      </c>
      <c r="T1028" s="161"/>
      <c r="U1028" s="69"/>
      <c r="V1028" s="110" t="s">
        <v>10477</v>
      </c>
      <c r="W1028" s="161"/>
      <c r="X1028" s="401" t="s">
        <v>10444</v>
      </c>
      <c r="Y1028" s="216" t="s">
        <v>5820</v>
      </c>
      <c r="Z1028" s="73"/>
      <c r="AA1028" s="73"/>
      <c r="AB1028" s="73"/>
      <c r="AC1028" s="73"/>
      <c r="AD1028" s="73"/>
      <c r="AE1028" s="73"/>
      <c r="AF1028" s="73"/>
      <c r="AG1028" s="73"/>
      <c r="AH1028" s="73"/>
      <c r="AI1028" s="73"/>
      <c r="AJ1028" s="161"/>
      <c r="AK1028" s="76" t="s">
        <v>798</v>
      </c>
      <c r="AL1028" s="83" t="s">
        <v>10478</v>
      </c>
      <c r="AM1028" s="71" t="s">
        <v>10479</v>
      </c>
      <c r="AN1028" s="84" t="s">
        <v>10480</v>
      </c>
      <c r="AO1028" s="71" t="s">
        <v>10481</v>
      </c>
      <c r="AP1028" s="161" t="str">
        <f>IMAGE("https://bellingcat-archive.nyc3.cdn.digitaloceanspaces.com/Ukraine_Witness_Datasheet/Worksheet/youtube_dl_1m6PlMAA6I8Oh-bIj1EVTw0Up-s1c1G-n/out2.jpg")</f>
        <v/>
      </c>
      <c r="AQ1028" s="84" t="s">
        <v>10482</v>
      </c>
      <c r="AR1028" s="71" t="s">
        <v>10483</v>
      </c>
      <c r="AS1028" s="161"/>
      <c r="AT1028" s="71">
        <v>37.0</v>
      </c>
      <c r="AU1028" s="89"/>
      <c r="AV1028" s="162"/>
      <c r="AW1028" s="81"/>
    </row>
    <row r="1029" ht="21.0" customHeight="1">
      <c r="A1029" s="400" t="s">
        <v>7092</v>
      </c>
      <c r="B1029" s="73"/>
      <c r="C1029" s="191" t="s">
        <v>8024</v>
      </c>
      <c r="D1029" s="396">
        <v>51.314197</v>
      </c>
      <c r="E1029" s="396">
        <v>26.096736</v>
      </c>
      <c r="F1029" s="79">
        <v>2.0</v>
      </c>
      <c r="G1029" s="398" t="s">
        <v>10484</v>
      </c>
      <c r="H1029" s="73"/>
      <c r="I1029" s="381" t="s">
        <v>10473</v>
      </c>
      <c r="J1029" s="405" t="s">
        <v>10485</v>
      </c>
      <c r="K1029" s="69"/>
      <c r="L1029" s="65" t="s">
        <v>3542</v>
      </c>
      <c r="M1029" s="61" t="s">
        <v>10475</v>
      </c>
      <c r="N1029" s="73"/>
      <c r="O1029" s="92" t="s">
        <v>10476</v>
      </c>
      <c r="P1029" s="67" t="str">
        <f t="shared" si="1"/>
        <v>51.314197, 26.096736</v>
      </c>
      <c r="Q1029" s="67" t="str">
        <f t="shared" si="2"/>
        <v>51.313729, 26.095886</v>
      </c>
      <c r="R1029" s="67">
        <f t="shared" si="3"/>
        <v>51.313729</v>
      </c>
      <c r="S1029" s="67">
        <f t="shared" si="4"/>
        <v>26.095886</v>
      </c>
      <c r="T1029" s="161"/>
      <c r="U1029" s="69"/>
      <c r="V1029" s="394" t="s">
        <v>10473</v>
      </c>
      <c r="W1029" s="71" t="s">
        <v>3601</v>
      </c>
      <c r="X1029" s="72" t="s">
        <v>2982</v>
      </c>
      <c r="Y1029" s="216" t="s">
        <v>5820</v>
      </c>
      <c r="Z1029" s="73"/>
      <c r="AA1029" s="73"/>
      <c r="AB1029" s="73"/>
      <c r="AC1029" s="73"/>
      <c r="AD1029" s="73"/>
      <c r="AE1029" s="73"/>
      <c r="AF1029" s="73"/>
      <c r="AG1029" s="73"/>
      <c r="AH1029" s="73"/>
      <c r="AI1029" s="73"/>
      <c r="AJ1029" s="161"/>
      <c r="AK1029" s="76" t="s">
        <v>1261</v>
      </c>
      <c r="AL1029" s="83" t="s">
        <v>10486</v>
      </c>
      <c r="AM1029" s="71" t="s">
        <v>10487</v>
      </c>
      <c r="AN1029" s="84" t="s">
        <v>10488</v>
      </c>
      <c r="AO1029" s="71"/>
      <c r="AP1029" s="161"/>
      <c r="AQ1029" s="71"/>
      <c r="AR1029" s="71" t="s">
        <v>10489</v>
      </c>
      <c r="AS1029" s="161"/>
      <c r="AT1029" s="71"/>
      <c r="AU1029" s="89"/>
      <c r="AV1029" s="162"/>
      <c r="AW1029" s="81"/>
    </row>
    <row r="1030" ht="15.75" customHeight="1">
      <c r="A1030" s="390" t="s">
        <v>7154</v>
      </c>
      <c r="B1030" s="73"/>
      <c r="C1030" s="191" t="s">
        <v>9028</v>
      </c>
      <c r="D1030" s="396">
        <v>50.032896</v>
      </c>
      <c r="E1030" s="396">
        <v>36.236884</v>
      </c>
      <c r="F1030" s="79">
        <v>5.0</v>
      </c>
      <c r="G1030" s="403" t="s">
        <v>10490</v>
      </c>
      <c r="H1030" s="73"/>
      <c r="I1030" s="381" t="s">
        <v>10491</v>
      </c>
      <c r="J1030" s="405" t="s">
        <v>10492</v>
      </c>
      <c r="K1030" s="69"/>
      <c r="L1030" s="65" t="s">
        <v>3542</v>
      </c>
      <c r="M1030" s="61" t="s">
        <v>5590</v>
      </c>
      <c r="N1030" s="73"/>
      <c r="O1030" s="61" t="s">
        <v>5626</v>
      </c>
      <c r="P1030" s="67" t="str">
        <f t="shared" si="1"/>
        <v>50.032896, 36.236884</v>
      </c>
      <c r="Q1030" s="67" t="str">
        <f t="shared" si="2"/>
        <v>50.032165, 36.237525</v>
      </c>
      <c r="R1030" s="67">
        <f t="shared" si="3"/>
        <v>50.032165</v>
      </c>
      <c r="S1030" s="67">
        <f t="shared" si="4"/>
        <v>36.237525</v>
      </c>
      <c r="T1030" s="161"/>
      <c r="U1030" s="69"/>
      <c r="V1030" s="110" t="s">
        <v>10493</v>
      </c>
      <c r="W1030" s="71" t="s">
        <v>6108</v>
      </c>
      <c r="X1030" s="72" t="s">
        <v>2982</v>
      </c>
      <c r="Y1030" s="216" t="s">
        <v>5820</v>
      </c>
      <c r="Z1030" s="73"/>
      <c r="AA1030" s="73"/>
      <c r="AB1030" s="73"/>
      <c r="AC1030" s="73"/>
      <c r="AD1030" s="73"/>
      <c r="AE1030" s="73"/>
      <c r="AF1030" s="73"/>
      <c r="AG1030" s="73"/>
      <c r="AH1030" s="73"/>
      <c r="AI1030" s="73"/>
      <c r="AJ1030" s="161"/>
      <c r="AK1030" s="76" t="s">
        <v>6276</v>
      </c>
      <c r="AL1030" s="83" t="s">
        <v>10494</v>
      </c>
      <c r="AM1030" s="71" t="s">
        <v>10495</v>
      </c>
      <c r="AN1030" s="84" t="s">
        <v>10496</v>
      </c>
      <c r="AO1030" s="71" t="s">
        <v>10497</v>
      </c>
      <c r="AP1030" s="161" t="str">
        <f>IMAGE("https://bellingcat-archive.nyc3.cdn.digitaloceanspaces.com/Ukraine_Witness_Datasheet/Worksheet/telegram_8bc8f9489a/out2.jpg")</f>
        <v/>
      </c>
      <c r="AQ1030" s="84" t="s">
        <v>10498</v>
      </c>
      <c r="AR1030" s="84" t="s">
        <v>10490</v>
      </c>
      <c r="AS1030" s="71" t="s">
        <v>10499</v>
      </c>
      <c r="AT1030" s="71">
        <v>36.0</v>
      </c>
      <c r="AU1030" s="89"/>
      <c r="AV1030" s="162"/>
      <c r="AW1030" s="81"/>
    </row>
    <row r="1031" ht="15.75" customHeight="1">
      <c r="A1031" s="406" t="s">
        <v>7154</v>
      </c>
      <c r="B1031" s="73"/>
      <c r="C1031" s="191" t="s">
        <v>9028</v>
      </c>
      <c r="D1031" s="396">
        <v>50.032896</v>
      </c>
      <c r="E1031" s="396">
        <v>36.236884</v>
      </c>
      <c r="F1031" s="79">
        <v>5.0</v>
      </c>
      <c r="G1031" s="407" t="s">
        <v>10500</v>
      </c>
      <c r="H1031" s="73"/>
      <c r="I1031" s="381" t="s">
        <v>10491</v>
      </c>
      <c r="J1031" s="290" t="s">
        <v>10501</v>
      </c>
      <c r="K1031" s="69"/>
      <c r="L1031" s="65" t="s">
        <v>3542</v>
      </c>
      <c r="M1031" s="61" t="s">
        <v>5590</v>
      </c>
      <c r="N1031" s="73"/>
      <c r="O1031" s="61" t="s">
        <v>5626</v>
      </c>
      <c r="P1031" s="67" t="str">
        <f t="shared" si="1"/>
        <v>50.032896, 36.236884</v>
      </c>
      <c r="Q1031" s="67" t="str">
        <f t="shared" si="2"/>
        <v>50.032422, 36.237275</v>
      </c>
      <c r="R1031" s="67">
        <f t="shared" si="3"/>
        <v>50.032422</v>
      </c>
      <c r="S1031" s="67">
        <f t="shared" si="4"/>
        <v>36.237275</v>
      </c>
      <c r="T1031" s="161"/>
      <c r="U1031" s="69"/>
      <c r="V1031" s="394" t="s">
        <v>10491</v>
      </c>
      <c r="W1031" s="161"/>
      <c r="X1031" s="17" t="s">
        <v>9</v>
      </c>
      <c r="Y1031" s="216" t="s">
        <v>5820</v>
      </c>
      <c r="Z1031" s="73"/>
      <c r="AA1031" s="73"/>
      <c r="AB1031" s="73"/>
      <c r="AC1031" s="73"/>
      <c r="AD1031" s="73"/>
      <c r="AE1031" s="73"/>
      <c r="AF1031" s="73"/>
      <c r="AG1031" s="73"/>
      <c r="AH1031" s="73"/>
      <c r="AI1031" s="73"/>
      <c r="AJ1031" s="161"/>
      <c r="AK1031" s="76" t="s">
        <v>1261</v>
      </c>
      <c r="AL1031" s="83" t="s">
        <v>10502</v>
      </c>
      <c r="AM1031" s="71" t="s">
        <v>10503</v>
      </c>
      <c r="AN1031" s="84" t="s">
        <v>10504</v>
      </c>
      <c r="AO1031" s="71"/>
      <c r="AP1031" s="161"/>
      <c r="AQ1031" s="71"/>
      <c r="AR1031" s="71" t="s">
        <v>10505</v>
      </c>
      <c r="AS1031" s="71"/>
      <c r="AT1031" s="71"/>
      <c r="AU1031" s="89"/>
      <c r="AV1031" s="162"/>
      <c r="AW1031" s="81"/>
    </row>
    <row r="1032" ht="15.75" customHeight="1">
      <c r="A1032" s="408" t="s">
        <v>6924</v>
      </c>
      <c r="B1032" s="73"/>
      <c r="C1032" s="191" t="s">
        <v>9028</v>
      </c>
      <c r="D1032" s="396">
        <v>50.01784</v>
      </c>
      <c r="E1032" s="396">
        <v>36.212691</v>
      </c>
      <c r="F1032" s="89"/>
      <c r="G1032" s="409"/>
      <c r="H1032" s="73"/>
      <c r="I1032" s="381" t="s">
        <v>10506</v>
      </c>
      <c r="J1032" s="290" t="s">
        <v>10507</v>
      </c>
      <c r="K1032" s="69"/>
      <c r="L1032" s="70"/>
      <c r="M1032" s="73"/>
      <c r="N1032" s="73"/>
      <c r="O1032" s="73"/>
      <c r="P1032" s="67" t="str">
        <f t="shared" si="1"/>
        <v>50.01784, 36.212691</v>
      </c>
      <c r="Q1032" s="67" t="str">
        <f t="shared" si="2"/>
        <v>50.017361, 36.213405</v>
      </c>
      <c r="R1032" s="67">
        <f t="shared" si="3"/>
        <v>50.017361</v>
      </c>
      <c r="S1032" s="67">
        <f t="shared" si="4"/>
        <v>36.213405</v>
      </c>
      <c r="T1032" s="161"/>
      <c r="U1032" s="69"/>
      <c r="V1032" s="110" t="s">
        <v>10508</v>
      </c>
      <c r="W1032" s="161"/>
      <c r="X1032" s="194"/>
      <c r="Y1032" s="73"/>
      <c r="Z1032" s="73"/>
      <c r="AA1032" s="73"/>
      <c r="AB1032" s="73"/>
      <c r="AC1032" s="73"/>
      <c r="AD1032" s="73"/>
      <c r="AE1032" s="73"/>
      <c r="AF1032" s="73"/>
      <c r="AG1032" s="73"/>
      <c r="AH1032" s="73"/>
      <c r="AI1032" s="73"/>
      <c r="AJ1032" s="161"/>
      <c r="AK1032" s="236"/>
      <c r="AL1032" s="269"/>
      <c r="AM1032" s="161"/>
      <c r="AN1032" s="161"/>
      <c r="AO1032" s="161"/>
      <c r="AP1032" s="161"/>
      <c r="AQ1032" s="161"/>
      <c r="AR1032" s="161"/>
      <c r="AS1032" s="161"/>
      <c r="AT1032" s="161"/>
      <c r="AU1032" s="89"/>
      <c r="AV1032" s="162"/>
      <c r="AW1032" s="81"/>
    </row>
    <row r="1033" ht="15.75" customHeight="1">
      <c r="A1033" s="392" t="s">
        <v>6682</v>
      </c>
      <c r="B1033" s="73"/>
      <c r="C1033" s="191" t="s">
        <v>9028</v>
      </c>
      <c r="D1033" s="396">
        <v>50.026988</v>
      </c>
      <c r="E1033" s="396">
        <v>36.207614</v>
      </c>
      <c r="F1033" s="79">
        <v>5.0</v>
      </c>
      <c r="G1033" s="403" t="s">
        <v>10509</v>
      </c>
      <c r="H1033" s="73"/>
      <c r="I1033" s="381" t="s">
        <v>10510</v>
      </c>
      <c r="J1033" s="290" t="s">
        <v>10511</v>
      </c>
      <c r="K1033" s="69"/>
      <c r="L1033" s="65" t="s">
        <v>3542</v>
      </c>
      <c r="M1033" s="61" t="s">
        <v>5590</v>
      </c>
      <c r="N1033" s="73"/>
      <c r="O1033" s="61" t="s">
        <v>5591</v>
      </c>
      <c r="P1033" s="67" t="str">
        <f t="shared" si="1"/>
        <v>50.026988, 36.207614</v>
      </c>
      <c r="Q1033" s="67" t="str">
        <f t="shared" si="2"/>
        <v>50.026376, 36.207582</v>
      </c>
      <c r="R1033" s="67">
        <f t="shared" si="3"/>
        <v>50.026376</v>
      </c>
      <c r="S1033" s="67">
        <f t="shared" si="4"/>
        <v>36.207582</v>
      </c>
      <c r="T1033" s="161"/>
      <c r="U1033" s="69"/>
      <c r="V1033" s="110" t="s">
        <v>10512</v>
      </c>
      <c r="W1033" s="161"/>
      <c r="X1033" s="194"/>
      <c r="Y1033" s="216" t="s">
        <v>5820</v>
      </c>
      <c r="Z1033" s="73"/>
      <c r="AA1033" s="73"/>
      <c r="AB1033" s="73"/>
      <c r="AC1033" s="73"/>
      <c r="AD1033" s="73"/>
      <c r="AE1033" s="73"/>
      <c r="AF1033" s="73"/>
      <c r="AG1033" s="73"/>
      <c r="AH1033" s="73"/>
      <c r="AI1033" s="73"/>
      <c r="AJ1033" s="161"/>
      <c r="AK1033" s="76" t="s">
        <v>6276</v>
      </c>
      <c r="AL1033" s="83" t="s">
        <v>10513</v>
      </c>
      <c r="AM1033" s="71" t="s">
        <v>10514</v>
      </c>
      <c r="AN1033" s="84" t="s">
        <v>10515</v>
      </c>
      <c r="AO1033" s="71" t="s">
        <v>10516</v>
      </c>
      <c r="AP1033" s="161" t="str">
        <f>IMAGE("https://bellingcat-archive.nyc3.cdn.digitaloceanspaces.com/Ukraine_Witness_Datasheet/Worksheet/telegram_c1a36b9569/out2.jpg")</f>
        <v/>
      </c>
      <c r="AQ1033" s="84" t="s">
        <v>10517</v>
      </c>
      <c r="AR1033" s="84" t="s">
        <v>10509</v>
      </c>
      <c r="AS1033" s="71" t="s">
        <v>10518</v>
      </c>
      <c r="AT1033" s="71">
        <v>16.0</v>
      </c>
      <c r="AU1033" s="89"/>
      <c r="AV1033" s="162"/>
      <c r="AW1033" s="81"/>
    </row>
    <row r="1034" ht="15.75" customHeight="1">
      <c r="A1034" s="392" t="s">
        <v>6682</v>
      </c>
      <c r="B1034" s="73"/>
      <c r="C1034" s="191" t="s">
        <v>9028</v>
      </c>
      <c r="D1034" s="396">
        <v>50.026988</v>
      </c>
      <c r="E1034" s="396">
        <v>36.207614</v>
      </c>
      <c r="F1034" s="79">
        <v>5.0</v>
      </c>
      <c r="G1034" s="407" t="s">
        <v>10519</v>
      </c>
      <c r="H1034" s="73"/>
      <c r="I1034" s="381" t="s">
        <v>10510</v>
      </c>
      <c r="J1034" s="290" t="s">
        <v>10511</v>
      </c>
      <c r="K1034" s="69"/>
      <c r="L1034" s="65" t="s">
        <v>3542</v>
      </c>
      <c r="M1034" s="61" t="s">
        <v>5590</v>
      </c>
      <c r="N1034" s="73"/>
      <c r="O1034" s="61" t="s">
        <v>5591</v>
      </c>
      <c r="P1034" s="67" t="str">
        <f t="shared" si="1"/>
        <v>50.026988, 36.207614</v>
      </c>
      <c r="Q1034" s="67" t="str">
        <f t="shared" si="2"/>
        <v>50.026292, 36.207388</v>
      </c>
      <c r="R1034" s="67">
        <f t="shared" si="3"/>
        <v>50.026292</v>
      </c>
      <c r="S1034" s="67">
        <f t="shared" si="4"/>
        <v>36.207388</v>
      </c>
      <c r="T1034" s="161"/>
      <c r="U1034" s="69"/>
      <c r="V1034" s="394" t="s">
        <v>10510</v>
      </c>
      <c r="W1034" s="161"/>
      <c r="X1034" s="194"/>
      <c r="Y1034" s="216" t="s">
        <v>5820</v>
      </c>
      <c r="Z1034" s="73"/>
      <c r="AA1034" s="73"/>
      <c r="AB1034" s="73"/>
      <c r="AC1034" s="73"/>
      <c r="AD1034" s="73"/>
      <c r="AE1034" s="73"/>
      <c r="AF1034" s="73"/>
      <c r="AG1034" s="73"/>
      <c r="AH1034" s="73"/>
      <c r="AI1034" s="73"/>
      <c r="AJ1034" s="161"/>
      <c r="AK1034" s="76" t="s">
        <v>1261</v>
      </c>
      <c r="AL1034" s="83" t="s">
        <v>10520</v>
      </c>
      <c r="AM1034" s="71" t="s">
        <v>10521</v>
      </c>
      <c r="AN1034" s="84" t="s">
        <v>10522</v>
      </c>
      <c r="AO1034" s="71"/>
      <c r="AP1034" s="161"/>
      <c r="AQ1034" s="71"/>
      <c r="AR1034" s="71" t="s">
        <v>10523</v>
      </c>
      <c r="AS1034" s="71"/>
      <c r="AT1034" s="71"/>
      <c r="AU1034" s="89"/>
      <c r="AV1034" s="162"/>
      <c r="AW1034" s="81"/>
    </row>
    <row r="1035" ht="15.75" customHeight="1">
      <c r="A1035" s="379" t="s">
        <v>6924</v>
      </c>
      <c r="B1035" s="73"/>
      <c r="C1035" s="191" t="s">
        <v>9028</v>
      </c>
      <c r="D1035" s="383" t="s">
        <v>10524</v>
      </c>
      <c r="E1035" s="383" t="s">
        <v>10525</v>
      </c>
      <c r="F1035" s="79">
        <v>2.0</v>
      </c>
      <c r="G1035" s="273" t="s">
        <v>10526</v>
      </c>
      <c r="H1035" s="73"/>
      <c r="I1035" s="381" t="s">
        <v>10527</v>
      </c>
      <c r="J1035" s="276" t="s">
        <v>10528</v>
      </c>
      <c r="K1035" s="69"/>
      <c r="L1035" s="65" t="s">
        <v>3542</v>
      </c>
      <c r="M1035" s="61" t="s">
        <v>5590</v>
      </c>
      <c r="N1035" s="73"/>
      <c r="O1035" s="61" t="s">
        <v>5591</v>
      </c>
      <c r="P1035" s="67" t="str">
        <f t="shared" si="1"/>
        <v>50.026464, 36.220547</v>
      </c>
      <c r="Q1035" s="67" t="str">
        <f t="shared" si="2"/>
        <v>50.02613, 36.219395</v>
      </c>
      <c r="R1035" s="67">
        <f t="shared" si="3"/>
        <v>50.02613</v>
      </c>
      <c r="S1035" s="67">
        <f t="shared" si="4"/>
        <v>36.219395</v>
      </c>
      <c r="T1035" s="161"/>
      <c r="U1035" s="69"/>
      <c r="V1035" s="110" t="s">
        <v>10529</v>
      </c>
      <c r="W1035" s="161"/>
      <c r="X1035" s="194"/>
      <c r="Y1035" s="252"/>
      <c r="Z1035" s="73"/>
      <c r="AA1035" s="73"/>
      <c r="AB1035" s="73"/>
      <c r="AC1035" s="73"/>
      <c r="AD1035" s="73"/>
      <c r="AE1035" s="73"/>
      <c r="AF1035" s="73"/>
      <c r="AG1035" s="73"/>
      <c r="AH1035" s="73"/>
      <c r="AI1035" s="73"/>
      <c r="AJ1035" s="161"/>
      <c r="AK1035" s="76" t="s">
        <v>6276</v>
      </c>
      <c r="AL1035" s="83" t="s">
        <v>10530</v>
      </c>
      <c r="AM1035" s="71" t="s">
        <v>10531</v>
      </c>
      <c r="AN1035" s="84" t="s">
        <v>10532</v>
      </c>
      <c r="AO1035" s="71" t="s">
        <v>10533</v>
      </c>
      <c r="AP1035" s="161" t="str">
        <f>IMAGE("https://bellingcat-archive.nyc3.cdn.digitaloceanspaces.com/Ukraine_Witness_Datasheet/Worksheet/telegram_7d40c74f5d/out2.jpg")</f>
        <v/>
      </c>
      <c r="AQ1035" s="84" t="s">
        <v>10534</v>
      </c>
      <c r="AR1035" s="84" t="s">
        <v>10526</v>
      </c>
      <c r="AS1035" s="71" t="s">
        <v>10535</v>
      </c>
      <c r="AT1035" s="71">
        <v>35.0</v>
      </c>
      <c r="AU1035" s="89"/>
      <c r="AV1035" s="162"/>
      <c r="AW1035" s="81"/>
    </row>
    <row r="1036" ht="15.75" customHeight="1">
      <c r="A1036" s="379" t="s">
        <v>6924</v>
      </c>
      <c r="B1036" s="73"/>
      <c r="C1036" s="191" t="s">
        <v>9028</v>
      </c>
      <c r="D1036" s="383" t="s">
        <v>10524</v>
      </c>
      <c r="E1036" s="383" t="s">
        <v>10525</v>
      </c>
      <c r="F1036" s="79">
        <v>2.0</v>
      </c>
      <c r="G1036" s="398" t="s">
        <v>10536</v>
      </c>
      <c r="H1036" s="73"/>
      <c r="I1036" s="381" t="s">
        <v>10527</v>
      </c>
      <c r="J1036" s="276" t="s">
        <v>10528</v>
      </c>
      <c r="K1036" s="69"/>
      <c r="L1036" s="65" t="s">
        <v>3542</v>
      </c>
      <c r="M1036" s="61" t="s">
        <v>5590</v>
      </c>
      <c r="N1036" s="73"/>
      <c r="O1036" s="61" t="s">
        <v>5591</v>
      </c>
      <c r="P1036" s="67" t="str">
        <f t="shared" si="1"/>
        <v>50.026464, 36.220547</v>
      </c>
      <c r="Q1036" s="67" t="str">
        <f t="shared" si="2"/>
        <v>50.026319, 36.220066</v>
      </c>
      <c r="R1036" s="67">
        <f t="shared" si="3"/>
        <v>50.026319</v>
      </c>
      <c r="S1036" s="67">
        <f t="shared" si="4"/>
        <v>36.220066</v>
      </c>
      <c r="T1036" s="161"/>
      <c r="U1036" s="69"/>
      <c r="V1036" s="394" t="s">
        <v>10527</v>
      </c>
      <c r="W1036" s="161"/>
      <c r="X1036" s="194"/>
      <c r="Y1036" s="252"/>
      <c r="Z1036" s="73"/>
      <c r="AA1036" s="73"/>
      <c r="AB1036" s="73"/>
      <c r="AC1036" s="73"/>
      <c r="AD1036" s="73"/>
      <c r="AE1036" s="73"/>
      <c r="AF1036" s="73"/>
      <c r="AG1036" s="73"/>
      <c r="AH1036" s="73"/>
      <c r="AI1036" s="73"/>
      <c r="AJ1036" s="161"/>
      <c r="AK1036" s="76" t="s">
        <v>1261</v>
      </c>
      <c r="AL1036" s="83" t="s">
        <v>10537</v>
      </c>
      <c r="AM1036" s="71" t="s">
        <v>10538</v>
      </c>
      <c r="AN1036" s="84" t="s">
        <v>10539</v>
      </c>
      <c r="AO1036" s="71"/>
      <c r="AP1036" s="161"/>
      <c r="AQ1036" s="71"/>
      <c r="AR1036" s="71" t="s">
        <v>10540</v>
      </c>
      <c r="AS1036" s="71"/>
      <c r="AT1036" s="71"/>
      <c r="AU1036" s="89"/>
      <c r="AV1036" s="162"/>
      <c r="AW1036" s="81"/>
    </row>
    <row r="1037" ht="15.75" customHeight="1">
      <c r="A1037" s="386" t="s">
        <v>6682</v>
      </c>
      <c r="B1037" s="73"/>
      <c r="C1037" s="191" t="s">
        <v>9028</v>
      </c>
      <c r="D1037" s="396">
        <v>50.930109</v>
      </c>
      <c r="E1037" s="396">
        <v>29.90638</v>
      </c>
      <c r="F1037" s="79">
        <v>2.0</v>
      </c>
      <c r="G1037" s="273" t="s">
        <v>10541</v>
      </c>
      <c r="H1037" s="73"/>
      <c r="I1037" s="381" t="s">
        <v>10542</v>
      </c>
      <c r="J1037" s="276" t="s">
        <v>10543</v>
      </c>
      <c r="K1037" s="69"/>
      <c r="L1037" s="65" t="s">
        <v>3542</v>
      </c>
      <c r="M1037" s="61" t="s">
        <v>5827</v>
      </c>
      <c r="N1037" s="73"/>
      <c r="O1037" s="61" t="s">
        <v>8817</v>
      </c>
      <c r="P1037" s="67" t="str">
        <f t="shared" si="1"/>
        <v>50.930109, 29.90638</v>
      </c>
      <c r="Q1037" s="67" t="str">
        <f t="shared" si="2"/>
        <v>50.9301, 29.90731</v>
      </c>
      <c r="R1037" s="67">
        <f t="shared" si="3"/>
        <v>50.9301</v>
      </c>
      <c r="S1037" s="67">
        <f t="shared" si="4"/>
        <v>29.90731</v>
      </c>
      <c r="T1037" s="161"/>
      <c r="U1037" s="69"/>
      <c r="V1037" s="110" t="s">
        <v>10544</v>
      </c>
      <c r="W1037" s="71" t="s">
        <v>3601</v>
      </c>
      <c r="X1037" s="72" t="s">
        <v>75</v>
      </c>
      <c r="Y1037" s="216" t="s">
        <v>5820</v>
      </c>
      <c r="Z1037" s="73"/>
      <c r="AA1037" s="73"/>
      <c r="AB1037" s="73"/>
      <c r="AC1037" s="73"/>
      <c r="AD1037" s="73"/>
      <c r="AE1037" s="73"/>
      <c r="AF1037" s="73"/>
      <c r="AG1037" s="73"/>
      <c r="AH1037" s="73"/>
      <c r="AI1037" s="73"/>
      <c r="AJ1037" s="161"/>
      <c r="AK1037" s="76" t="s">
        <v>6276</v>
      </c>
      <c r="AL1037" s="83" t="s">
        <v>10545</v>
      </c>
      <c r="AM1037" s="71" t="s">
        <v>10546</v>
      </c>
      <c r="AN1037" s="84" t="s">
        <v>10547</v>
      </c>
      <c r="AO1037" s="71" t="s">
        <v>10548</v>
      </c>
      <c r="AP1037" s="161" t="str">
        <f>IMAGE("https://bellingcat-archive.nyc3.cdn.digitaloceanspaces.com/Ukraine_Witness_Datasheet/Worksheet/telegram_74ea211ec4/out3.jpg")</f>
        <v/>
      </c>
      <c r="AQ1037" s="84" t="s">
        <v>10549</v>
      </c>
      <c r="AR1037" s="84" t="s">
        <v>10541</v>
      </c>
      <c r="AS1037" s="71" t="s">
        <v>10550</v>
      </c>
      <c r="AT1037" s="71">
        <v>65.0</v>
      </c>
      <c r="AU1037" s="89"/>
      <c r="AV1037" s="80" t="s">
        <v>63</v>
      </c>
      <c r="AW1037" s="81"/>
    </row>
    <row r="1038" ht="15.75" customHeight="1">
      <c r="A1038" s="392" t="s">
        <v>6682</v>
      </c>
      <c r="B1038" s="73"/>
      <c r="C1038" s="191" t="s">
        <v>9028</v>
      </c>
      <c r="D1038" s="396">
        <v>49.987271</v>
      </c>
      <c r="E1038" s="396">
        <v>36.26139</v>
      </c>
      <c r="F1038" s="79">
        <v>1.0</v>
      </c>
      <c r="G1038" s="273" t="s">
        <v>10551</v>
      </c>
      <c r="H1038" s="73"/>
      <c r="I1038" s="381" t="s">
        <v>10552</v>
      </c>
      <c r="J1038" s="276" t="s">
        <v>10553</v>
      </c>
      <c r="K1038" s="64" t="s">
        <v>10554</v>
      </c>
      <c r="L1038" s="65" t="s">
        <v>3542</v>
      </c>
      <c r="M1038" s="61" t="s">
        <v>5590</v>
      </c>
      <c r="N1038" s="73"/>
      <c r="O1038" s="61" t="s">
        <v>5591</v>
      </c>
      <c r="P1038" s="67" t="str">
        <f t="shared" si="1"/>
        <v>49.987271, 36.26139</v>
      </c>
      <c r="Q1038" s="67" t="str">
        <f t="shared" si="2"/>
        <v>49.9869, 36.260874</v>
      </c>
      <c r="R1038" s="67">
        <f t="shared" si="3"/>
        <v>49.9869</v>
      </c>
      <c r="S1038" s="67">
        <f t="shared" si="4"/>
        <v>36.260874</v>
      </c>
      <c r="T1038" s="161"/>
      <c r="U1038" s="69"/>
      <c r="V1038" s="110" t="s">
        <v>10555</v>
      </c>
      <c r="W1038" s="161"/>
      <c r="X1038" s="194"/>
      <c r="Y1038" s="216" t="s">
        <v>5820</v>
      </c>
      <c r="Z1038" s="73"/>
      <c r="AA1038" s="73"/>
      <c r="AB1038" s="73"/>
      <c r="AC1038" s="73"/>
      <c r="AD1038" s="73"/>
      <c r="AE1038" s="73"/>
      <c r="AF1038" s="73"/>
      <c r="AG1038" s="73"/>
      <c r="AH1038" s="73"/>
      <c r="AI1038" s="73"/>
      <c r="AJ1038" s="161"/>
      <c r="AK1038" s="76" t="s">
        <v>6276</v>
      </c>
      <c r="AL1038" s="83" t="s">
        <v>10556</v>
      </c>
      <c r="AM1038" s="71" t="s">
        <v>10557</v>
      </c>
      <c r="AN1038" s="84" t="s">
        <v>10558</v>
      </c>
      <c r="AO1038" s="71" t="s">
        <v>10559</v>
      </c>
      <c r="AP1038" s="161"/>
      <c r="AQ1038" s="161"/>
      <c r="AR1038" s="161"/>
      <c r="AS1038" s="71" t="s">
        <v>10560</v>
      </c>
      <c r="AT1038" s="161"/>
      <c r="AU1038" s="89"/>
      <c r="AV1038" s="162"/>
      <c r="AW1038" s="81"/>
    </row>
    <row r="1039" ht="15.75" customHeight="1">
      <c r="A1039" s="386" t="s">
        <v>7092</v>
      </c>
      <c r="B1039" s="73"/>
      <c r="C1039" s="191" t="s">
        <v>9028</v>
      </c>
      <c r="D1039" s="396">
        <v>50.03509</v>
      </c>
      <c r="E1039" s="396">
        <v>36.244267</v>
      </c>
      <c r="F1039" s="79">
        <v>2.0</v>
      </c>
      <c r="G1039" s="273" t="s">
        <v>10561</v>
      </c>
      <c r="H1039" s="73"/>
      <c r="I1039" s="381" t="s">
        <v>10562</v>
      </c>
      <c r="J1039" s="276" t="s">
        <v>10563</v>
      </c>
      <c r="K1039" s="69"/>
      <c r="L1039" s="65" t="s">
        <v>3542</v>
      </c>
      <c r="M1039" s="61" t="s">
        <v>5590</v>
      </c>
      <c r="N1039" s="73"/>
      <c r="O1039" s="61" t="s">
        <v>5591</v>
      </c>
      <c r="P1039" s="67" t="str">
        <f t="shared" si="1"/>
        <v>50.03509, 36.244267</v>
      </c>
      <c r="Q1039" s="67" t="str">
        <f t="shared" si="2"/>
        <v>50.034713, 36.244236</v>
      </c>
      <c r="R1039" s="67">
        <f t="shared" si="3"/>
        <v>50.034713</v>
      </c>
      <c r="S1039" s="67">
        <f t="shared" si="4"/>
        <v>36.244236</v>
      </c>
      <c r="T1039" s="161"/>
      <c r="U1039" s="69"/>
      <c r="V1039" s="110" t="s">
        <v>10564</v>
      </c>
      <c r="W1039" s="71" t="s">
        <v>3601</v>
      </c>
      <c r="X1039" s="72" t="s">
        <v>75</v>
      </c>
      <c r="Y1039" s="216" t="s">
        <v>75</v>
      </c>
      <c r="Z1039" s="73"/>
      <c r="AA1039" s="73"/>
      <c r="AB1039" s="73"/>
      <c r="AC1039" s="73"/>
      <c r="AD1039" s="73"/>
      <c r="AE1039" s="73"/>
      <c r="AF1039" s="73"/>
      <c r="AG1039" s="73"/>
      <c r="AH1039" s="73"/>
      <c r="AI1039" s="73"/>
      <c r="AJ1039" s="161"/>
      <c r="AK1039" s="76" t="s">
        <v>6276</v>
      </c>
      <c r="AL1039" s="83" t="s">
        <v>10565</v>
      </c>
      <c r="AM1039" s="71" t="s">
        <v>10566</v>
      </c>
      <c r="AN1039" s="84" t="s">
        <v>10567</v>
      </c>
      <c r="AO1039" s="71" t="s">
        <v>10568</v>
      </c>
      <c r="AP1039" s="161" t="str">
        <f>IMAGE("https://bellingcat-archive.nyc3.cdn.digitaloceanspaces.com/Ukraine_Witness_Datasheet/Worksheet/telegram_5yA9sMQWAmGmSBtBdBUTeGVd7KX0xqj8-4ZTPbtXpbp1GM1fpwz6FFbeKY2SvnwRIbFKTYqk4oXCuZdFo7vodIgmh_jygskYQio-tyvyIi1QXXSlpFKcHY72LShd9SQQ.jpg")</f>
        <v/>
      </c>
      <c r="AQ1039" s="161"/>
      <c r="AR1039" s="161"/>
      <c r="AS1039" s="71" t="s">
        <v>10569</v>
      </c>
      <c r="AT1039" s="161"/>
      <c r="AU1039" s="89"/>
      <c r="AV1039" s="80" t="s">
        <v>63</v>
      </c>
      <c r="AW1039" s="81"/>
    </row>
    <row r="1040" ht="15.75" customHeight="1">
      <c r="A1040" s="386" t="s">
        <v>7092</v>
      </c>
      <c r="B1040" s="73"/>
      <c r="C1040" s="191" t="s">
        <v>8024</v>
      </c>
      <c r="D1040" s="396">
        <v>50.02633</v>
      </c>
      <c r="E1040" s="396">
        <v>36.36466</v>
      </c>
      <c r="F1040" s="79">
        <v>1.0</v>
      </c>
      <c r="G1040" s="273" t="s">
        <v>10570</v>
      </c>
      <c r="H1040" s="73"/>
      <c r="I1040" s="381" t="s">
        <v>10571</v>
      </c>
      <c r="J1040" s="276" t="s">
        <v>10572</v>
      </c>
      <c r="K1040" s="69"/>
      <c r="L1040" s="65" t="s">
        <v>3542</v>
      </c>
      <c r="M1040" s="61" t="s">
        <v>5590</v>
      </c>
      <c r="N1040" s="73"/>
      <c r="O1040" s="61" t="s">
        <v>5591</v>
      </c>
      <c r="P1040" s="67" t="str">
        <f t="shared" si="1"/>
        <v>50.02633, 36.36466</v>
      </c>
      <c r="Q1040" s="67" t="str">
        <f t="shared" si="2"/>
        <v>50.025969, 36.36394</v>
      </c>
      <c r="R1040" s="67">
        <f t="shared" si="3"/>
        <v>50.025969</v>
      </c>
      <c r="S1040" s="67">
        <f t="shared" si="4"/>
        <v>36.36394</v>
      </c>
      <c r="T1040" s="161"/>
      <c r="U1040" s="69"/>
      <c r="V1040" s="110" t="s">
        <v>10573</v>
      </c>
      <c r="W1040" s="71" t="s">
        <v>3601</v>
      </c>
      <c r="X1040" s="72" t="s">
        <v>75</v>
      </c>
      <c r="Y1040" s="216" t="s">
        <v>5820</v>
      </c>
      <c r="Z1040" s="73"/>
      <c r="AA1040" s="73"/>
      <c r="AB1040" s="73"/>
      <c r="AC1040" s="73"/>
      <c r="AD1040" s="73"/>
      <c r="AE1040" s="73"/>
      <c r="AF1040" s="73"/>
      <c r="AG1040" s="73"/>
      <c r="AH1040" s="73"/>
      <c r="AI1040" s="73"/>
      <c r="AJ1040" s="161"/>
      <c r="AK1040" s="76" t="s">
        <v>6276</v>
      </c>
      <c r="AL1040" s="83" t="s">
        <v>10574</v>
      </c>
      <c r="AM1040" s="71" t="s">
        <v>10575</v>
      </c>
      <c r="AN1040" s="84" t="s">
        <v>10576</v>
      </c>
      <c r="AO1040" s="71" t="s">
        <v>10577</v>
      </c>
      <c r="AP1040" s="161"/>
      <c r="AQ1040" s="161"/>
      <c r="AR1040" s="161"/>
      <c r="AS1040" s="71" t="s">
        <v>10578</v>
      </c>
      <c r="AT1040" s="161"/>
      <c r="AU1040" s="89"/>
      <c r="AV1040" s="80" t="s">
        <v>63</v>
      </c>
      <c r="AW1040" s="81"/>
    </row>
    <row r="1041" ht="15.75" customHeight="1">
      <c r="A1041" s="410" t="s">
        <v>10579</v>
      </c>
      <c r="B1041" s="73"/>
      <c r="C1041" s="387">
        <v>44564.0</v>
      </c>
      <c r="D1041" s="104">
        <v>46.584742</v>
      </c>
      <c r="E1041" s="104">
        <v>30.554071</v>
      </c>
      <c r="F1041" s="79">
        <v>2.0</v>
      </c>
      <c r="G1041" s="273" t="s">
        <v>10580</v>
      </c>
      <c r="H1041" s="61" t="s">
        <v>5522</v>
      </c>
      <c r="I1041" s="381" t="s">
        <v>10581</v>
      </c>
      <c r="J1041" s="276" t="s">
        <v>10582</v>
      </c>
      <c r="K1041" s="69"/>
      <c r="L1041" s="65" t="s">
        <v>3542</v>
      </c>
      <c r="M1041" s="61" t="s">
        <v>5559</v>
      </c>
      <c r="N1041" s="73"/>
      <c r="O1041" s="92" t="s">
        <v>10583</v>
      </c>
      <c r="P1041" s="67" t="str">
        <f t="shared" si="1"/>
        <v>46.584742, 30.554071</v>
      </c>
      <c r="Q1041" s="67" t="str">
        <f t="shared" si="2"/>
        <v>46.584703, 30.554883</v>
      </c>
      <c r="R1041" s="67">
        <f t="shared" si="3"/>
        <v>46.584703</v>
      </c>
      <c r="S1041" s="67">
        <f t="shared" si="4"/>
        <v>30.554883</v>
      </c>
      <c r="T1041" s="71" t="s">
        <v>10584</v>
      </c>
      <c r="U1041" s="69"/>
      <c r="V1041" s="110" t="s">
        <v>10585</v>
      </c>
      <c r="W1041" s="71" t="s">
        <v>3601</v>
      </c>
      <c r="X1041" s="72" t="s">
        <v>2982</v>
      </c>
      <c r="Y1041" s="216" t="s">
        <v>5820</v>
      </c>
      <c r="Z1041" s="73"/>
      <c r="AA1041" s="73"/>
      <c r="AB1041" s="73"/>
      <c r="AC1041" s="73"/>
      <c r="AD1041" s="73"/>
      <c r="AE1041" s="73"/>
      <c r="AF1041" s="73"/>
      <c r="AG1041" s="73"/>
      <c r="AH1041" s="73"/>
      <c r="AI1041" s="73"/>
      <c r="AJ1041" s="161"/>
      <c r="AK1041" s="76" t="s">
        <v>798</v>
      </c>
      <c r="AL1041" s="83" t="s">
        <v>10586</v>
      </c>
      <c r="AM1041" s="71" t="s">
        <v>10587</v>
      </c>
      <c r="AN1041" s="84" t="s">
        <v>10588</v>
      </c>
      <c r="AO1041" s="71" t="s">
        <v>10589</v>
      </c>
      <c r="AP1041" s="161" t="str">
        <f>IMAGE("https://bellingcat-archive.nyc3.cdn.digitaloceanspaces.com/Ukraine_Witness_Datasheet/Worksheet/youtube_dl_1498627544437960710/out2.jpg")</f>
        <v/>
      </c>
      <c r="AQ1041" s="84" t="s">
        <v>10590</v>
      </c>
      <c r="AR1041" s="71" t="s">
        <v>10591</v>
      </c>
      <c r="AS1041" s="71" t="s">
        <v>10592</v>
      </c>
      <c r="AT1041" s="71">
        <v>23.733</v>
      </c>
      <c r="AU1041" s="89"/>
      <c r="AV1041" s="162"/>
      <c r="AW1041" s="81"/>
    </row>
    <row r="1042" ht="15.75" customHeight="1">
      <c r="A1042" s="411" t="s">
        <v>2580</v>
      </c>
      <c r="B1042" s="73"/>
      <c r="C1042" s="57" t="s">
        <v>9941</v>
      </c>
      <c r="D1042" s="74">
        <v>50.913795</v>
      </c>
      <c r="E1042" s="74">
        <v>31.123677</v>
      </c>
      <c r="F1042" s="79">
        <v>1.0</v>
      </c>
      <c r="G1042" s="84" t="s">
        <v>10593</v>
      </c>
      <c r="H1042" s="73"/>
      <c r="I1042" s="75"/>
      <c r="J1042" s="64" t="s">
        <v>10594</v>
      </c>
      <c r="K1042" s="88" t="s">
        <v>10593</v>
      </c>
      <c r="L1042" s="70"/>
      <c r="M1042" s="73"/>
      <c r="N1042" s="73"/>
      <c r="O1042" s="73"/>
      <c r="P1042" s="67" t="str">
        <f t="shared" si="1"/>
        <v>50.913795, 31.123677</v>
      </c>
      <c r="Q1042" s="67" t="str">
        <f t="shared" si="2"/>
        <v>50.913289, 31.123272</v>
      </c>
      <c r="R1042" s="67">
        <f t="shared" si="3"/>
        <v>50.913289</v>
      </c>
      <c r="S1042" s="67">
        <f t="shared" si="4"/>
        <v>31.123272</v>
      </c>
      <c r="T1042" s="161"/>
      <c r="U1042" s="69"/>
      <c r="V1042" s="110" t="s">
        <v>10595</v>
      </c>
      <c r="W1042" s="71" t="s">
        <v>5858</v>
      </c>
      <c r="X1042" s="208"/>
      <c r="Y1042" s="73"/>
      <c r="Z1042" s="73"/>
      <c r="AA1042" s="73"/>
      <c r="AB1042" s="73"/>
      <c r="AC1042" s="73"/>
      <c r="AD1042" s="73"/>
      <c r="AE1042" s="73"/>
      <c r="AF1042" s="73"/>
      <c r="AG1042" s="73"/>
      <c r="AH1042" s="73"/>
      <c r="AI1042" s="73"/>
      <c r="AJ1042" s="161"/>
      <c r="AK1042" s="76" t="s">
        <v>2108</v>
      </c>
      <c r="AL1042" s="83" t="s">
        <v>10596</v>
      </c>
      <c r="AM1042" s="71" t="s">
        <v>10597</v>
      </c>
      <c r="AN1042" s="84" t="s">
        <v>10598</v>
      </c>
      <c r="AO1042" s="71" t="s">
        <v>10599</v>
      </c>
      <c r="AP1042" s="161" t="str">
        <f>IMAGE("https://bellingcat-archive.nyc3.cdn.digitaloceanspaces.com/Ukraine_Witness_Datasheet/Worksheet/twitter__media_FMxGwUJXsAErKig.jpg")</f>
        <v/>
      </c>
      <c r="AQ1042" s="161"/>
      <c r="AR1042" s="161"/>
      <c r="AS1042" s="71" t="s">
        <v>10600</v>
      </c>
      <c r="AT1042" s="161"/>
      <c r="AU1042" s="89"/>
      <c r="AV1042" s="162"/>
      <c r="AW1042" s="81"/>
    </row>
    <row r="1043" ht="15.75" customHeight="1">
      <c r="A1043" s="72" t="s">
        <v>3259</v>
      </c>
      <c r="B1043" s="73"/>
      <c r="C1043" s="57" t="s">
        <v>9941</v>
      </c>
      <c r="D1043" s="104">
        <v>47.104717409037</v>
      </c>
      <c r="E1043" s="104">
        <v>37.6682944598126</v>
      </c>
      <c r="F1043" s="79">
        <v>2.0</v>
      </c>
      <c r="G1043" s="84" t="s">
        <v>10601</v>
      </c>
      <c r="H1043" s="73"/>
      <c r="I1043" s="75"/>
      <c r="J1043" s="64" t="s">
        <v>10602</v>
      </c>
      <c r="K1043" s="69"/>
      <c r="L1043" s="65" t="s">
        <v>3542</v>
      </c>
      <c r="M1043" s="61" t="s">
        <v>3544</v>
      </c>
      <c r="N1043" s="73"/>
      <c r="O1043" s="61" t="s">
        <v>6109</v>
      </c>
      <c r="P1043" s="67" t="str">
        <f t="shared" si="1"/>
        <v>47.104717409037, 37.6682944598126</v>
      </c>
      <c r="Q1043" s="67" t="str">
        <f t="shared" si="2"/>
        <v>47.104464, 37.669048</v>
      </c>
      <c r="R1043" s="67">
        <f t="shared" si="3"/>
        <v>47.104464</v>
      </c>
      <c r="S1043" s="67">
        <f t="shared" si="4"/>
        <v>37.669048</v>
      </c>
      <c r="T1043" s="71" t="s">
        <v>10603</v>
      </c>
      <c r="U1043" s="69"/>
      <c r="V1043" s="110" t="s">
        <v>10604</v>
      </c>
      <c r="W1043" s="71" t="s">
        <v>3601</v>
      </c>
      <c r="X1043" s="72" t="s">
        <v>75</v>
      </c>
      <c r="Y1043" s="73"/>
      <c r="Z1043" s="73"/>
      <c r="AA1043" s="73"/>
      <c r="AB1043" s="73"/>
      <c r="AC1043" s="73"/>
      <c r="AD1043" s="73"/>
      <c r="AE1043" s="73"/>
      <c r="AF1043" s="73"/>
      <c r="AG1043" s="73"/>
      <c r="AH1043" s="73"/>
      <c r="AI1043" s="73"/>
      <c r="AJ1043" s="161"/>
      <c r="AK1043" s="76" t="s">
        <v>798</v>
      </c>
      <c r="AL1043" s="83" t="s">
        <v>10605</v>
      </c>
      <c r="AM1043" s="71" t="s">
        <v>10606</v>
      </c>
      <c r="AN1043" s="84" t="s">
        <v>10607</v>
      </c>
      <c r="AO1043" s="71" t="s">
        <v>10608</v>
      </c>
      <c r="AP1043" s="161" t="str">
        <f>IMAGE("https://bellingcat-archive.nyc3.cdn.digitaloceanspaces.com/Ukraine_Witness_Datasheet/Worksheet/youtube_dl_c8rgp5ImoMc/out2.jpg")</f>
        <v/>
      </c>
      <c r="AQ1043" s="84" t="s">
        <v>10609</v>
      </c>
      <c r="AR1043" s="71" t="s">
        <v>10610</v>
      </c>
      <c r="AS1043" s="71" t="s">
        <v>10611</v>
      </c>
      <c r="AT1043" s="71">
        <v>35.0</v>
      </c>
      <c r="AU1043" s="89"/>
      <c r="AV1043" s="80" t="s">
        <v>63</v>
      </c>
      <c r="AW1043" s="81"/>
    </row>
    <row r="1044" ht="15.75" customHeight="1">
      <c r="A1044" s="357" t="s">
        <v>2580</v>
      </c>
      <c r="B1044" s="73"/>
      <c r="C1044" s="57" t="s">
        <v>9941</v>
      </c>
      <c r="D1044" s="412">
        <v>46.655948</v>
      </c>
      <c r="E1044" s="413">
        <v>32.605152</v>
      </c>
      <c r="F1044" s="79">
        <v>1.0</v>
      </c>
      <c r="G1044" s="84" t="s">
        <v>10612</v>
      </c>
      <c r="H1044" s="73"/>
      <c r="I1044" s="75"/>
      <c r="J1044" s="64" t="s">
        <v>10613</v>
      </c>
      <c r="K1044" s="69"/>
      <c r="L1044" s="65" t="s">
        <v>3542</v>
      </c>
      <c r="M1044" s="61" t="s">
        <v>5702</v>
      </c>
      <c r="N1044" s="73"/>
      <c r="O1044" s="61" t="s">
        <v>7098</v>
      </c>
      <c r="P1044" s="67" t="str">
        <f t="shared" si="1"/>
        <v>46.655948, 32.605152</v>
      </c>
      <c r="Q1044" s="67" t="str">
        <f t="shared" si="2"/>
        <v>46.655895, 32.604586</v>
      </c>
      <c r="R1044" s="67">
        <f t="shared" si="3"/>
        <v>46.655895</v>
      </c>
      <c r="S1044" s="67">
        <f t="shared" si="4"/>
        <v>32.604586</v>
      </c>
      <c r="T1044" s="71" t="s">
        <v>10614</v>
      </c>
      <c r="U1044" s="69"/>
      <c r="V1044" s="110" t="s">
        <v>10615</v>
      </c>
      <c r="W1044" s="71" t="s">
        <v>5858</v>
      </c>
      <c r="X1044" s="72" t="s">
        <v>75</v>
      </c>
      <c r="Y1044" s="73"/>
      <c r="Z1044" s="73"/>
      <c r="AA1044" s="73"/>
      <c r="AB1044" s="73"/>
      <c r="AC1044" s="73"/>
      <c r="AD1044" s="73"/>
      <c r="AE1044" s="73"/>
      <c r="AF1044" s="73"/>
      <c r="AG1044" s="73"/>
      <c r="AH1044" s="73"/>
      <c r="AI1044" s="73"/>
      <c r="AJ1044" s="161"/>
      <c r="AK1044" s="76" t="s">
        <v>798</v>
      </c>
      <c r="AL1044" s="83" t="s">
        <v>10616</v>
      </c>
      <c r="AM1044" s="71" t="s">
        <v>10617</v>
      </c>
      <c r="AN1044" s="84" t="s">
        <v>10618</v>
      </c>
      <c r="AO1044" s="71" t="s">
        <v>10619</v>
      </c>
      <c r="AP1044" s="161" t="str">
        <f>IMAGE("https://bellingcat-archive.nyc3.cdn.digitaloceanspaces.com/Ukraine_Witness_Datasheet/Worksheet/youtube_dl_1498671012887638016/out2.jpg")</f>
        <v/>
      </c>
      <c r="AQ1044" s="84" t="s">
        <v>10620</v>
      </c>
      <c r="AR1044" s="71" t="s">
        <v>10621</v>
      </c>
      <c r="AS1044" s="71" t="s">
        <v>10622</v>
      </c>
      <c r="AT1044" s="71">
        <v>26.033</v>
      </c>
      <c r="AU1044" s="89"/>
      <c r="AV1044" s="162"/>
      <c r="AW1044" s="81"/>
    </row>
    <row r="1045" ht="15.75" customHeight="1">
      <c r="A1045" s="72" t="s">
        <v>5457</v>
      </c>
      <c r="B1045" s="73"/>
      <c r="C1045" s="57" t="s">
        <v>9941</v>
      </c>
      <c r="D1045" s="104">
        <v>50.472667</v>
      </c>
      <c r="E1045" s="104">
        <v>30.454816</v>
      </c>
      <c r="F1045" s="79">
        <v>2.0</v>
      </c>
      <c r="G1045" s="130" t="s">
        <v>10623</v>
      </c>
      <c r="H1045" s="73"/>
      <c r="I1045" s="75"/>
      <c r="J1045" s="64" t="s">
        <v>10624</v>
      </c>
      <c r="K1045" s="69"/>
      <c r="L1045" s="65" t="s">
        <v>3542</v>
      </c>
      <c r="M1045" s="61" t="s">
        <v>5827</v>
      </c>
      <c r="N1045" s="73"/>
      <c r="O1045" s="61" t="s">
        <v>6121</v>
      </c>
      <c r="P1045" s="67" t="str">
        <f t="shared" si="1"/>
        <v>50.472667, 30.454816</v>
      </c>
      <c r="Q1045" s="67" t="str">
        <f t="shared" si="2"/>
        <v>50.47227, 30.454753</v>
      </c>
      <c r="R1045" s="67">
        <f t="shared" si="3"/>
        <v>50.47227</v>
      </c>
      <c r="S1045" s="67">
        <f t="shared" si="4"/>
        <v>30.454753</v>
      </c>
      <c r="T1045" s="161"/>
      <c r="U1045" s="69"/>
      <c r="V1045" s="110" t="s">
        <v>10625</v>
      </c>
      <c r="W1045" s="71" t="s">
        <v>3601</v>
      </c>
      <c r="X1045" s="72" t="s">
        <v>75</v>
      </c>
      <c r="Y1045" s="73"/>
      <c r="Z1045" s="73"/>
      <c r="AA1045" s="73"/>
      <c r="AB1045" s="73"/>
      <c r="AC1045" s="73"/>
      <c r="AD1045" s="73"/>
      <c r="AE1045" s="73"/>
      <c r="AF1045" s="73"/>
      <c r="AG1045" s="73"/>
      <c r="AH1045" s="73"/>
      <c r="AI1045" s="73"/>
      <c r="AJ1045" s="161"/>
      <c r="AK1045" s="76" t="s">
        <v>798</v>
      </c>
      <c r="AL1045" s="83" t="s">
        <v>10626</v>
      </c>
      <c r="AM1045" s="71" t="s">
        <v>10627</v>
      </c>
      <c r="AN1045" s="84" t="s">
        <v>10628</v>
      </c>
      <c r="AO1045" s="71" t="s">
        <v>10629</v>
      </c>
      <c r="AP1045" s="161" t="str">
        <f>IMAGE("https://bellingcat-archive.nyc3.cdn.digitaloceanspaces.com/Ukraine_Witness_Datasheet/Worksheet/youtube_dl_1498680800572751875/out2.jpg")</f>
        <v/>
      </c>
      <c r="AQ1045" s="84" t="s">
        <v>10630</v>
      </c>
      <c r="AR1045" s="71" t="s">
        <v>10631</v>
      </c>
      <c r="AS1045" s="71" t="s">
        <v>10632</v>
      </c>
      <c r="AT1045" s="71">
        <v>51.899</v>
      </c>
      <c r="AU1045" s="89"/>
      <c r="AV1045" s="80" t="s">
        <v>63</v>
      </c>
      <c r="AW1045" s="81"/>
    </row>
    <row r="1046" ht="15.75" customHeight="1">
      <c r="A1046" s="72" t="s">
        <v>3944</v>
      </c>
      <c r="B1046" s="73"/>
      <c r="C1046" s="57" t="s">
        <v>9941</v>
      </c>
      <c r="D1046" s="104">
        <v>49.950587</v>
      </c>
      <c r="E1046" s="104">
        <v>36.154538</v>
      </c>
      <c r="F1046" s="79">
        <v>2.0</v>
      </c>
      <c r="G1046" s="84" t="s">
        <v>10633</v>
      </c>
      <c r="H1046" s="73"/>
      <c r="I1046" s="75"/>
      <c r="J1046" s="64" t="s">
        <v>10634</v>
      </c>
      <c r="K1046" s="69"/>
      <c r="L1046" s="65" t="s">
        <v>3542</v>
      </c>
      <c r="M1046" s="73"/>
      <c r="N1046" s="73"/>
      <c r="O1046" s="61" t="s">
        <v>5591</v>
      </c>
      <c r="P1046" s="67" t="str">
        <f t="shared" si="1"/>
        <v>49.950587, 36.154538</v>
      </c>
      <c r="Q1046" s="67" t="str">
        <f t="shared" si="2"/>
        <v>49.950158, 36.154895</v>
      </c>
      <c r="R1046" s="67">
        <f t="shared" si="3"/>
        <v>49.950158</v>
      </c>
      <c r="S1046" s="67">
        <f t="shared" si="4"/>
        <v>36.154895</v>
      </c>
      <c r="T1046" s="161"/>
      <c r="U1046" s="69"/>
      <c r="V1046" s="110" t="s">
        <v>10635</v>
      </c>
      <c r="W1046" s="71" t="s">
        <v>3601</v>
      </c>
      <c r="X1046" s="72" t="s">
        <v>75</v>
      </c>
      <c r="Y1046" s="73"/>
      <c r="Z1046" s="73"/>
      <c r="AA1046" s="71" t="s">
        <v>3601</v>
      </c>
      <c r="AB1046" s="61" t="s">
        <v>10636</v>
      </c>
      <c r="AC1046" s="73"/>
      <c r="AD1046" s="73"/>
      <c r="AE1046" s="73"/>
      <c r="AF1046" s="73"/>
      <c r="AG1046" s="73"/>
      <c r="AH1046" s="73"/>
      <c r="AI1046" s="73"/>
      <c r="AJ1046" s="161"/>
      <c r="AK1046" s="76" t="s">
        <v>798</v>
      </c>
      <c r="AL1046" s="83" t="s">
        <v>10637</v>
      </c>
      <c r="AM1046" s="71" t="s">
        <v>10638</v>
      </c>
      <c r="AN1046" s="84" t="s">
        <v>10639</v>
      </c>
      <c r="AO1046" s="71" t="s">
        <v>10640</v>
      </c>
      <c r="AP1046" s="161" t="str">
        <f>IMAGE("https://bellingcat-archive.nyc3.cdn.digitaloceanspaces.com/Ukraine_Witness_Datasheet/Worksheet/youtube_dl_1498667975045525510/out2.jpg")</f>
        <v/>
      </c>
      <c r="AQ1046" s="84" t="s">
        <v>10641</v>
      </c>
      <c r="AR1046" s="71" t="s">
        <v>10642</v>
      </c>
      <c r="AS1046" s="71" t="s">
        <v>10643</v>
      </c>
      <c r="AT1046" s="71">
        <v>41.14</v>
      </c>
      <c r="AU1046" s="89"/>
      <c r="AV1046" s="80" t="s">
        <v>63</v>
      </c>
      <c r="AW1046" s="81"/>
    </row>
    <row r="1047" ht="15.75" customHeight="1">
      <c r="A1047" s="72" t="s">
        <v>3944</v>
      </c>
      <c r="B1047" s="73"/>
      <c r="C1047" s="57" t="s">
        <v>9941</v>
      </c>
      <c r="D1047" s="104">
        <v>50.472542</v>
      </c>
      <c r="E1047" s="104">
        <v>30.454973</v>
      </c>
      <c r="F1047" s="79">
        <v>5.0</v>
      </c>
      <c r="G1047" s="84" t="s">
        <v>10644</v>
      </c>
      <c r="H1047" s="161"/>
      <c r="I1047" s="75"/>
      <c r="J1047" s="64" t="s">
        <v>10645</v>
      </c>
      <c r="K1047" s="69"/>
      <c r="L1047" s="65" t="s">
        <v>3542</v>
      </c>
      <c r="M1047" s="61" t="s">
        <v>5827</v>
      </c>
      <c r="N1047" s="73"/>
      <c r="O1047" s="61" t="s">
        <v>6121</v>
      </c>
      <c r="P1047" s="67" t="str">
        <f t="shared" si="1"/>
        <v>50.472542, 30.454973</v>
      </c>
      <c r="Q1047" s="67" t="str">
        <f t="shared" si="2"/>
        <v>50.472272, 30.45429</v>
      </c>
      <c r="R1047" s="67">
        <f t="shared" si="3"/>
        <v>50.472272</v>
      </c>
      <c r="S1047" s="67">
        <f t="shared" si="4"/>
        <v>30.45429</v>
      </c>
      <c r="T1047" s="161"/>
      <c r="U1047" s="69"/>
      <c r="V1047" s="110" t="s">
        <v>10646</v>
      </c>
      <c r="W1047" s="71" t="s">
        <v>6108</v>
      </c>
      <c r="X1047" s="72" t="s">
        <v>75</v>
      </c>
      <c r="Y1047" s="73"/>
      <c r="Z1047" s="73"/>
      <c r="AA1047" s="71" t="s">
        <v>6108</v>
      </c>
      <c r="AB1047" s="61" t="s">
        <v>10647</v>
      </c>
      <c r="AC1047" s="73"/>
      <c r="AD1047" s="73"/>
      <c r="AE1047" s="73"/>
      <c r="AF1047" s="73"/>
      <c r="AG1047" s="73"/>
      <c r="AH1047" s="73"/>
      <c r="AI1047" s="73"/>
      <c r="AJ1047" s="161"/>
      <c r="AK1047" s="76" t="s">
        <v>798</v>
      </c>
      <c r="AL1047" s="83" t="s">
        <v>10648</v>
      </c>
      <c r="AM1047" s="71" t="s">
        <v>10649</v>
      </c>
      <c r="AN1047" s="84" t="s">
        <v>10650</v>
      </c>
      <c r="AO1047" s="71" t="s">
        <v>10651</v>
      </c>
      <c r="AP1047" s="161" t="str">
        <f>IMAGE("https://bellingcat-archive.nyc3.cdn.digitaloceanspaces.com/Ukraine_Witness_Datasheet/Worksheet/youtube_dl_1498692622386348032/out3.jpg")</f>
        <v/>
      </c>
      <c r="AQ1047" s="84" t="s">
        <v>10652</v>
      </c>
      <c r="AR1047" s="71" t="s">
        <v>10653</v>
      </c>
      <c r="AS1047" s="71" t="s">
        <v>10654</v>
      </c>
      <c r="AT1047" s="71">
        <v>65.01</v>
      </c>
      <c r="AU1047" s="89"/>
      <c r="AV1047" s="80" t="s">
        <v>63</v>
      </c>
      <c r="AW1047" s="81"/>
    </row>
    <row r="1048" ht="15.75" customHeight="1">
      <c r="A1048" s="72" t="s">
        <v>63</v>
      </c>
      <c r="B1048" s="73"/>
      <c r="C1048" s="57" t="s">
        <v>9941</v>
      </c>
      <c r="D1048" s="104">
        <v>50.472542</v>
      </c>
      <c r="E1048" s="104">
        <v>30.454973</v>
      </c>
      <c r="F1048" s="79">
        <v>5.0</v>
      </c>
      <c r="G1048" s="84" t="s">
        <v>10655</v>
      </c>
      <c r="H1048" s="161"/>
      <c r="I1048" s="75"/>
      <c r="J1048" s="64" t="s">
        <v>10645</v>
      </c>
      <c r="K1048" s="69"/>
      <c r="L1048" s="65" t="s">
        <v>3542</v>
      </c>
      <c r="M1048" s="61" t="s">
        <v>5827</v>
      </c>
      <c r="N1048" s="73"/>
      <c r="O1048" s="61" t="s">
        <v>6121</v>
      </c>
      <c r="P1048" s="67" t="str">
        <f t="shared" si="1"/>
        <v>50.472542, 30.454973</v>
      </c>
      <c r="Q1048" s="67" t="str">
        <f t="shared" si="2"/>
        <v>50.472157, 30.455038</v>
      </c>
      <c r="R1048" s="67">
        <f t="shared" si="3"/>
        <v>50.472157</v>
      </c>
      <c r="S1048" s="67">
        <f t="shared" si="4"/>
        <v>30.455038</v>
      </c>
      <c r="T1048" s="161"/>
      <c r="U1048" s="69"/>
      <c r="V1048" s="110" t="s">
        <v>10656</v>
      </c>
      <c r="W1048" s="71" t="s">
        <v>6108</v>
      </c>
      <c r="X1048" s="72" t="s">
        <v>75</v>
      </c>
      <c r="Y1048" s="73"/>
      <c r="Z1048" s="73"/>
      <c r="AA1048" s="71" t="s">
        <v>6108</v>
      </c>
      <c r="AB1048" s="61" t="s">
        <v>10647</v>
      </c>
      <c r="AC1048" s="73"/>
      <c r="AD1048" s="73"/>
      <c r="AE1048" s="73"/>
      <c r="AF1048" s="73"/>
      <c r="AG1048" s="73"/>
      <c r="AH1048" s="73"/>
      <c r="AI1048" s="73"/>
      <c r="AJ1048" s="161"/>
      <c r="AK1048" s="76" t="s">
        <v>798</v>
      </c>
      <c r="AL1048" s="83" t="s">
        <v>10657</v>
      </c>
      <c r="AM1048" s="71" t="s">
        <v>10658</v>
      </c>
      <c r="AN1048" s="84" t="s">
        <v>10659</v>
      </c>
      <c r="AO1048" s="71" t="s">
        <v>10660</v>
      </c>
      <c r="AP1048" s="161" t="str">
        <f>IMAGE("https://bellingcat-archive.nyc3.cdn.digitaloceanspaces.com/Ukraine_Witness_Datasheet/Worksheet/youtube_dl_1498696448883535883/out2.jpg")</f>
        <v/>
      </c>
      <c r="AQ1048" s="84" t="s">
        <v>10661</v>
      </c>
      <c r="AR1048" s="71" t="s">
        <v>10662</v>
      </c>
      <c r="AS1048" s="71" t="s">
        <v>10663</v>
      </c>
      <c r="AT1048" s="71">
        <v>19.16</v>
      </c>
      <c r="AU1048" s="89"/>
      <c r="AV1048" s="80" t="s">
        <v>3944</v>
      </c>
      <c r="AW1048" s="81"/>
    </row>
    <row r="1049" ht="15.75" customHeight="1">
      <c r="A1049" s="208"/>
      <c r="B1049" s="73"/>
      <c r="C1049" s="191" t="s">
        <v>9028</v>
      </c>
      <c r="D1049" s="192">
        <v>50.01784</v>
      </c>
      <c r="E1049" s="192">
        <v>36.212691</v>
      </c>
      <c r="F1049" s="79">
        <v>5.0</v>
      </c>
      <c r="G1049" s="414" t="s">
        <v>9415</v>
      </c>
      <c r="H1049" s="161"/>
      <c r="I1049" s="62" t="s">
        <v>9398</v>
      </c>
      <c r="J1049" s="64" t="s">
        <v>10664</v>
      </c>
      <c r="K1049" s="69"/>
      <c r="L1049" s="65" t="s">
        <v>3542</v>
      </c>
      <c r="M1049" s="61" t="s">
        <v>5590</v>
      </c>
      <c r="N1049" s="73"/>
      <c r="O1049" s="61" t="s">
        <v>5591</v>
      </c>
      <c r="P1049" s="67" t="str">
        <f t="shared" si="1"/>
        <v>50.01784, 36.212691</v>
      </c>
      <c r="Q1049" s="67" t="str">
        <f t="shared" si="2"/>
        <v>50.017484, 36.212297</v>
      </c>
      <c r="R1049" s="67">
        <f t="shared" si="3"/>
        <v>50.017484</v>
      </c>
      <c r="S1049" s="67">
        <f t="shared" si="4"/>
        <v>36.212297</v>
      </c>
      <c r="T1049" s="192"/>
      <c r="U1049" s="69"/>
      <c r="V1049" s="110" t="s">
        <v>10665</v>
      </c>
      <c r="W1049" s="71" t="s">
        <v>10666</v>
      </c>
      <c r="X1049" s="194"/>
      <c r="Y1049" s="73"/>
      <c r="Z1049" s="73"/>
      <c r="AA1049" s="73"/>
      <c r="AB1049" s="73"/>
      <c r="AC1049" s="73"/>
      <c r="AD1049" s="73"/>
      <c r="AE1049" s="73"/>
      <c r="AF1049" s="73"/>
      <c r="AG1049" s="73"/>
      <c r="AH1049" s="73"/>
      <c r="AI1049" s="73"/>
      <c r="AJ1049" s="161"/>
      <c r="AK1049" s="76" t="s">
        <v>6276</v>
      </c>
      <c r="AL1049" s="83" t="s">
        <v>9416</v>
      </c>
      <c r="AM1049" s="71" t="s">
        <v>10667</v>
      </c>
      <c r="AN1049" s="84" t="s">
        <v>10668</v>
      </c>
      <c r="AO1049" s="71" t="s">
        <v>9419</v>
      </c>
      <c r="AP1049" s="161" t="str">
        <f>IMAGE("https://bellingcat-archive.nyc3.cdn.digitaloceanspaces.com/Ukraine_Witness_Datasheet/Worksheet/telegram_8677afb7d2/out2.jpg")</f>
        <v/>
      </c>
      <c r="AQ1049" s="84" t="s">
        <v>9420</v>
      </c>
      <c r="AR1049" s="84" t="s">
        <v>9415</v>
      </c>
      <c r="AS1049" s="71" t="s">
        <v>9421</v>
      </c>
      <c r="AT1049" s="71">
        <v>21.0</v>
      </c>
      <c r="AU1049" s="89"/>
      <c r="AV1049" s="162"/>
      <c r="AW1049" s="81"/>
    </row>
    <row r="1050" ht="15.75" customHeight="1">
      <c r="A1050" s="415" t="s">
        <v>9412</v>
      </c>
      <c r="B1050" s="73"/>
      <c r="C1050" s="214" t="s">
        <v>9028</v>
      </c>
      <c r="D1050" s="192">
        <v>50.01784</v>
      </c>
      <c r="E1050" s="192">
        <v>36.212691</v>
      </c>
      <c r="F1050" s="79">
        <v>5.0</v>
      </c>
      <c r="G1050" s="358" t="s">
        <v>10669</v>
      </c>
      <c r="H1050" s="366"/>
      <c r="I1050" s="251" t="s">
        <v>9398</v>
      </c>
      <c r="J1050" s="64" t="s">
        <v>10670</v>
      </c>
      <c r="K1050" s="69"/>
      <c r="L1050" s="65" t="s">
        <v>3542</v>
      </c>
      <c r="M1050" s="61" t="s">
        <v>5590</v>
      </c>
      <c r="N1050" s="73"/>
      <c r="O1050" s="61" t="s">
        <v>5591</v>
      </c>
      <c r="P1050" s="67" t="str">
        <f t="shared" si="1"/>
        <v>50.01784, 36.212691</v>
      </c>
      <c r="Q1050" s="67" t="str">
        <f t="shared" si="2"/>
        <v>50.017834, 36.213544</v>
      </c>
      <c r="R1050" s="67">
        <f t="shared" si="3"/>
        <v>50.017834</v>
      </c>
      <c r="S1050" s="67">
        <f t="shared" si="4"/>
        <v>36.213544</v>
      </c>
      <c r="T1050" s="161"/>
      <c r="U1050" s="69"/>
      <c r="V1050" s="110" t="s">
        <v>10671</v>
      </c>
      <c r="W1050" s="71" t="s">
        <v>8546</v>
      </c>
      <c r="X1050" s="72" t="s">
        <v>5504</v>
      </c>
      <c r="Y1050" s="216" t="s">
        <v>75</v>
      </c>
      <c r="Z1050" s="73"/>
      <c r="AA1050" s="73"/>
      <c r="AB1050" s="73"/>
      <c r="AC1050" s="73"/>
      <c r="AD1050" s="73"/>
      <c r="AE1050" s="73"/>
      <c r="AF1050" s="73"/>
      <c r="AG1050" s="73"/>
      <c r="AH1050" s="73"/>
      <c r="AI1050" s="73"/>
      <c r="AJ1050" s="161"/>
      <c r="AK1050" s="76" t="s">
        <v>1261</v>
      </c>
      <c r="AL1050" s="83" t="s">
        <v>10672</v>
      </c>
      <c r="AM1050" s="71" t="s">
        <v>10673</v>
      </c>
      <c r="AN1050" s="84" t="s">
        <v>10674</v>
      </c>
      <c r="AO1050" s="161"/>
      <c r="AP1050" s="161"/>
      <c r="AQ1050" s="161"/>
      <c r="AR1050" s="71" t="s">
        <v>10675</v>
      </c>
      <c r="AS1050" s="161"/>
      <c r="AT1050" s="161"/>
      <c r="AU1050" s="79"/>
      <c r="AV1050" s="80" t="s">
        <v>3944</v>
      </c>
      <c r="AW1050" s="203"/>
    </row>
    <row r="1051" ht="15.75" customHeight="1">
      <c r="A1051" s="354" t="s">
        <v>9412</v>
      </c>
      <c r="B1051" s="73"/>
      <c r="C1051" s="191" t="s">
        <v>9028</v>
      </c>
      <c r="D1051" s="192">
        <v>50.01784</v>
      </c>
      <c r="E1051" s="192">
        <v>36.212691</v>
      </c>
      <c r="F1051" s="89"/>
      <c r="G1051" s="84" t="s">
        <v>10676</v>
      </c>
      <c r="H1051" s="161"/>
      <c r="I1051" s="62" t="s">
        <v>9398</v>
      </c>
      <c r="J1051" s="64" t="s">
        <v>10664</v>
      </c>
      <c r="K1051" s="69"/>
      <c r="L1051" s="65" t="s">
        <v>3542</v>
      </c>
      <c r="M1051" s="61" t="s">
        <v>5590</v>
      </c>
      <c r="N1051" s="73"/>
      <c r="O1051" s="61" t="s">
        <v>5591</v>
      </c>
      <c r="P1051" s="67" t="str">
        <f t="shared" si="1"/>
        <v>50.01784, 36.212691</v>
      </c>
      <c r="Q1051" s="67" t="str">
        <f t="shared" si="2"/>
        <v>50.01751, 36.211862</v>
      </c>
      <c r="R1051" s="67">
        <f t="shared" si="3"/>
        <v>50.01751</v>
      </c>
      <c r="S1051" s="67">
        <f t="shared" si="4"/>
        <v>36.211862</v>
      </c>
      <c r="T1051" s="161"/>
      <c r="U1051" s="69"/>
      <c r="V1051" s="110" t="s">
        <v>10677</v>
      </c>
      <c r="W1051" s="161"/>
      <c r="X1051" s="17" t="s">
        <v>9</v>
      </c>
      <c r="Y1051" s="216" t="s">
        <v>75</v>
      </c>
      <c r="Z1051" s="73"/>
      <c r="AA1051" s="73"/>
      <c r="AB1051" s="73"/>
      <c r="AC1051" s="73"/>
      <c r="AD1051" s="73"/>
      <c r="AE1051" s="73"/>
      <c r="AF1051" s="73"/>
      <c r="AG1051" s="73"/>
      <c r="AH1051" s="73"/>
      <c r="AI1051" s="73"/>
      <c r="AJ1051" s="161"/>
      <c r="AK1051" s="76" t="s">
        <v>6276</v>
      </c>
      <c r="AL1051" s="83" t="s">
        <v>10678</v>
      </c>
      <c r="AM1051" s="71" t="s">
        <v>10679</v>
      </c>
      <c r="AN1051" s="84" t="s">
        <v>10680</v>
      </c>
      <c r="AO1051" s="71" t="s">
        <v>10681</v>
      </c>
      <c r="AP1051" s="161"/>
      <c r="AQ1051" s="161"/>
      <c r="AR1051" s="161"/>
      <c r="AS1051" s="71" t="s">
        <v>10682</v>
      </c>
      <c r="AT1051" s="161"/>
      <c r="AU1051" s="89"/>
      <c r="AV1051" s="162"/>
      <c r="AW1051" s="81"/>
    </row>
    <row r="1052" ht="15.75" customHeight="1">
      <c r="A1052" s="354" t="s">
        <v>6682</v>
      </c>
      <c r="B1052" s="73"/>
      <c r="C1052" s="191" t="s">
        <v>9028</v>
      </c>
      <c r="D1052" s="192">
        <v>50.01784</v>
      </c>
      <c r="E1052" s="192">
        <v>36.212691</v>
      </c>
      <c r="F1052" s="89"/>
      <c r="G1052" s="403" t="s">
        <v>10683</v>
      </c>
      <c r="H1052" s="161"/>
      <c r="I1052" s="62" t="s">
        <v>9398</v>
      </c>
      <c r="J1052" s="64" t="s">
        <v>10664</v>
      </c>
      <c r="K1052" s="69"/>
      <c r="L1052" s="65" t="s">
        <v>3542</v>
      </c>
      <c r="M1052" s="61" t="s">
        <v>5590</v>
      </c>
      <c r="N1052" s="73"/>
      <c r="O1052" s="61" t="s">
        <v>5591</v>
      </c>
      <c r="P1052" s="67" t="str">
        <f t="shared" si="1"/>
        <v>50.01784, 36.212691</v>
      </c>
      <c r="Q1052" s="67" t="str">
        <f t="shared" si="2"/>
        <v>50.017346, 36.212344</v>
      </c>
      <c r="R1052" s="67">
        <f t="shared" si="3"/>
        <v>50.017346</v>
      </c>
      <c r="S1052" s="67">
        <f t="shared" si="4"/>
        <v>36.212344</v>
      </c>
      <c r="T1052" s="161"/>
      <c r="U1052" s="69"/>
      <c r="V1052" s="110" t="s">
        <v>10684</v>
      </c>
      <c r="W1052" s="161"/>
      <c r="X1052" s="17" t="s">
        <v>9</v>
      </c>
      <c r="Y1052" s="216" t="s">
        <v>75</v>
      </c>
      <c r="Z1052" s="73"/>
      <c r="AA1052" s="73"/>
      <c r="AB1052" s="73"/>
      <c r="AC1052" s="73"/>
      <c r="AD1052" s="73"/>
      <c r="AE1052" s="73"/>
      <c r="AF1052" s="73"/>
      <c r="AG1052" s="73"/>
      <c r="AH1052" s="73"/>
      <c r="AI1052" s="73"/>
      <c r="AJ1052" s="161"/>
      <c r="AK1052" s="76" t="s">
        <v>6276</v>
      </c>
      <c r="AL1052" s="83" t="s">
        <v>10685</v>
      </c>
      <c r="AM1052" s="71" t="s">
        <v>10686</v>
      </c>
      <c r="AN1052" s="84" t="s">
        <v>10687</v>
      </c>
      <c r="AO1052" s="71" t="s">
        <v>10688</v>
      </c>
      <c r="AP1052" s="161" t="str">
        <f>IMAGE("https://bellingcat-archive.nyc3.cdn.digitaloceanspaces.com/Ukraine_Witness_Datasheet/Worksheet/telegram_72fd4c64e0/out2.jpg")</f>
        <v/>
      </c>
      <c r="AQ1052" s="84" t="s">
        <v>10689</v>
      </c>
      <c r="AR1052" s="84" t="s">
        <v>10683</v>
      </c>
      <c r="AS1052" s="71" t="s">
        <v>10690</v>
      </c>
      <c r="AT1052" s="71">
        <v>28.0</v>
      </c>
      <c r="AU1052" s="89"/>
      <c r="AV1052" s="162"/>
      <c r="AW1052" s="81"/>
    </row>
    <row r="1053" ht="15.75" customHeight="1">
      <c r="A1053" s="354" t="s">
        <v>6682</v>
      </c>
      <c r="B1053" s="73"/>
      <c r="C1053" s="191" t="s">
        <v>9028</v>
      </c>
      <c r="D1053" s="192">
        <v>50.01784</v>
      </c>
      <c r="E1053" s="192">
        <v>36.212691</v>
      </c>
      <c r="F1053" s="89"/>
      <c r="G1053" s="403" t="s">
        <v>10691</v>
      </c>
      <c r="H1053" s="161"/>
      <c r="I1053" s="62" t="s">
        <v>9398</v>
      </c>
      <c r="J1053" s="64" t="s">
        <v>10664</v>
      </c>
      <c r="K1053" s="69"/>
      <c r="L1053" s="65" t="s">
        <v>3542</v>
      </c>
      <c r="M1053" s="61" t="s">
        <v>5590</v>
      </c>
      <c r="N1053" s="73"/>
      <c r="O1053" s="61" t="s">
        <v>5591</v>
      </c>
      <c r="P1053" s="67" t="str">
        <f t="shared" si="1"/>
        <v>50.01784, 36.212691</v>
      </c>
      <c r="Q1053" s="67" t="str">
        <f t="shared" si="2"/>
        <v>50.017633, 36.211762</v>
      </c>
      <c r="R1053" s="67">
        <f t="shared" si="3"/>
        <v>50.017633</v>
      </c>
      <c r="S1053" s="67">
        <f t="shared" si="4"/>
        <v>36.211762</v>
      </c>
      <c r="T1053" s="161"/>
      <c r="U1053" s="69"/>
      <c r="V1053" s="110" t="s">
        <v>10692</v>
      </c>
      <c r="W1053" s="161"/>
      <c r="X1053" s="17" t="s">
        <v>9</v>
      </c>
      <c r="Y1053" s="216" t="s">
        <v>75</v>
      </c>
      <c r="Z1053" s="73"/>
      <c r="AA1053" s="73"/>
      <c r="AB1053" s="73"/>
      <c r="AC1053" s="73"/>
      <c r="AD1053" s="73"/>
      <c r="AE1053" s="73"/>
      <c r="AF1053" s="73"/>
      <c r="AG1053" s="73"/>
      <c r="AH1053" s="73"/>
      <c r="AI1053" s="73"/>
      <c r="AJ1053" s="161"/>
      <c r="AK1053" s="76" t="s">
        <v>798</v>
      </c>
      <c r="AL1053" s="83" t="s">
        <v>10693</v>
      </c>
      <c r="AM1053" s="71" t="s">
        <v>10694</v>
      </c>
      <c r="AN1053" s="84" t="s">
        <v>10695</v>
      </c>
      <c r="AO1053" s="71" t="s">
        <v>10688</v>
      </c>
      <c r="AP1053" s="161" t="str">
        <f>IMAGE("https://bellingcat-archive.nyc3.cdn.digitaloceanspaces.com/Ukraine_Witness_Datasheet/Worksheet/youtube_dl_1mPujwIWeoGdsvyUK1v4LVtN4Eb_5gW9T/out2.jpg")</f>
        <v/>
      </c>
      <c r="AQ1053" s="84" t="s">
        <v>10696</v>
      </c>
      <c r="AR1053" s="71" t="s">
        <v>10697</v>
      </c>
      <c r="AS1053" s="161"/>
      <c r="AT1053" s="71">
        <v>28.0</v>
      </c>
      <c r="AU1053" s="89"/>
      <c r="AV1053" s="162"/>
      <c r="AW1053" s="81"/>
    </row>
    <row r="1054" ht="15.75" customHeight="1">
      <c r="A1054" s="416" t="s">
        <v>9566</v>
      </c>
      <c r="B1054" s="73"/>
      <c r="C1054" s="191" t="s">
        <v>9028</v>
      </c>
      <c r="D1054" s="335">
        <v>50.032164</v>
      </c>
      <c r="E1054" s="280">
        <v>36.236881</v>
      </c>
      <c r="F1054" s="79">
        <v>3.0</v>
      </c>
      <c r="G1054" s="84" t="s">
        <v>10698</v>
      </c>
      <c r="H1054" s="366"/>
      <c r="I1054" s="251" t="s">
        <v>9570</v>
      </c>
      <c r="J1054" s="64" t="s">
        <v>9571</v>
      </c>
      <c r="K1054" s="69"/>
      <c r="L1054" s="65" t="s">
        <v>3542</v>
      </c>
      <c r="M1054" s="61" t="s">
        <v>5590</v>
      </c>
      <c r="N1054" s="73"/>
      <c r="O1054" s="61" t="s">
        <v>5591</v>
      </c>
      <c r="P1054" s="67" t="str">
        <f t="shared" si="1"/>
        <v>50.032164, 36.236881</v>
      </c>
      <c r="Q1054" s="67" t="str">
        <f t="shared" si="2"/>
        <v>50.031988, 36.238122</v>
      </c>
      <c r="R1054" s="67">
        <f t="shared" si="3"/>
        <v>50.031988</v>
      </c>
      <c r="S1054" s="67">
        <f t="shared" si="4"/>
        <v>36.238122</v>
      </c>
      <c r="T1054" s="280"/>
      <c r="U1054" s="69"/>
      <c r="V1054" s="110" t="s">
        <v>10699</v>
      </c>
      <c r="W1054" s="71" t="s">
        <v>3601</v>
      </c>
      <c r="X1054" s="208"/>
      <c r="Y1054" s="216" t="s">
        <v>5820</v>
      </c>
      <c r="Z1054" s="73"/>
      <c r="AA1054" s="73"/>
      <c r="AB1054" s="73"/>
      <c r="AC1054" s="73"/>
      <c r="AD1054" s="73"/>
      <c r="AE1054" s="73"/>
      <c r="AF1054" s="73"/>
      <c r="AG1054" s="73"/>
      <c r="AH1054" s="73"/>
      <c r="AI1054" s="73"/>
      <c r="AJ1054" s="161"/>
      <c r="AK1054" s="76" t="s">
        <v>1261</v>
      </c>
      <c r="AL1054" s="83" t="s">
        <v>10700</v>
      </c>
      <c r="AM1054" s="71" t="s">
        <v>10701</v>
      </c>
      <c r="AN1054" s="84" t="s">
        <v>10702</v>
      </c>
      <c r="AO1054" s="161"/>
      <c r="AP1054" s="161"/>
      <c r="AQ1054" s="161"/>
      <c r="AR1054" s="71" t="s">
        <v>2228</v>
      </c>
      <c r="AS1054" s="161"/>
      <c r="AT1054" s="161"/>
      <c r="AU1054" s="89"/>
      <c r="AV1054" s="80" t="s">
        <v>63</v>
      </c>
      <c r="AW1054" s="203" t="s">
        <v>10703</v>
      </c>
    </row>
    <row r="1055" ht="15.75" customHeight="1">
      <c r="A1055" s="354" t="s">
        <v>9566</v>
      </c>
      <c r="B1055" s="73"/>
      <c r="C1055" s="191" t="s">
        <v>9028</v>
      </c>
      <c r="D1055" s="335">
        <v>50.032164</v>
      </c>
      <c r="E1055" s="280">
        <v>36.236881</v>
      </c>
      <c r="F1055" s="89"/>
      <c r="G1055" s="84" t="s">
        <v>10704</v>
      </c>
      <c r="H1055" s="161"/>
      <c r="I1055" s="62" t="s">
        <v>9570</v>
      </c>
      <c r="J1055" s="64" t="s">
        <v>9571</v>
      </c>
      <c r="K1055" s="69"/>
      <c r="L1055" s="65" t="s">
        <v>3542</v>
      </c>
      <c r="M1055" s="61" t="s">
        <v>5590</v>
      </c>
      <c r="N1055" s="73"/>
      <c r="O1055" s="61" t="s">
        <v>5591</v>
      </c>
      <c r="P1055" s="67" t="str">
        <f t="shared" si="1"/>
        <v>50.032164, 36.236881</v>
      </c>
      <c r="Q1055" s="67" t="str">
        <f t="shared" si="2"/>
        <v>50.031691, 36.236623</v>
      </c>
      <c r="R1055" s="67">
        <f t="shared" si="3"/>
        <v>50.031691</v>
      </c>
      <c r="S1055" s="67">
        <f t="shared" si="4"/>
        <v>36.236623</v>
      </c>
      <c r="T1055" s="161"/>
      <c r="U1055" s="69"/>
      <c r="V1055" s="169" t="s">
        <v>10705</v>
      </c>
      <c r="W1055" s="161"/>
      <c r="X1055" s="17" t="s">
        <v>9</v>
      </c>
      <c r="Y1055" s="216" t="s">
        <v>5820</v>
      </c>
      <c r="Z1055" s="73"/>
      <c r="AA1055" s="73"/>
      <c r="AB1055" s="73"/>
      <c r="AC1055" s="73"/>
      <c r="AD1055" s="73"/>
      <c r="AE1055" s="73"/>
      <c r="AF1055" s="73"/>
      <c r="AG1055" s="73"/>
      <c r="AH1055" s="73"/>
      <c r="AI1055" s="73"/>
      <c r="AJ1055" s="161"/>
      <c r="AK1055" s="76" t="s">
        <v>798</v>
      </c>
      <c r="AL1055" s="83" t="s">
        <v>10706</v>
      </c>
      <c r="AM1055" s="71" t="s">
        <v>10707</v>
      </c>
      <c r="AN1055" s="84" t="s">
        <v>10708</v>
      </c>
      <c r="AO1055" s="71" t="s">
        <v>10709</v>
      </c>
      <c r="AP1055" s="161" t="str">
        <f>IMAGE("https://bellingcat-archive.nyc3.cdn.digitaloceanspaces.com/Ukraine_Witness_Datasheet/Worksheet/youtube_dl_1498262958287302658/out2.jpg")</f>
        <v/>
      </c>
      <c r="AQ1055" s="84" t="s">
        <v>10710</v>
      </c>
      <c r="AR1055" s="71" t="s">
        <v>10711</v>
      </c>
      <c r="AS1055" s="71" t="s">
        <v>10712</v>
      </c>
      <c r="AT1055" s="71">
        <v>36.399</v>
      </c>
      <c r="AU1055" s="89"/>
      <c r="AV1055" s="162"/>
      <c r="AW1055" s="81"/>
    </row>
    <row r="1056" ht="15.75" customHeight="1">
      <c r="A1056" s="204" t="s">
        <v>7968</v>
      </c>
      <c r="B1056" s="73"/>
      <c r="C1056" s="57" t="s">
        <v>9941</v>
      </c>
      <c r="D1056" s="104">
        <v>50.4734469</v>
      </c>
      <c r="E1056" s="104">
        <v>30.4472488</v>
      </c>
      <c r="F1056" s="79">
        <v>3.0</v>
      </c>
      <c r="G1056" s="60" t="s">
        <v>10713</v>
      </c>
      <c r="H1056" s="161"/>
      <c r="I1056" s="75"/>
      <c r="J1056" s="64" t="s">
        <v>10714</v>
      </c>
      <c r="K1056" s="69"/>
      <c r="L1056" s="65" t="s">
        <v>3542</v>
      </c>
      <c r="M1056" s="61" t="s">
        <v>5827</v>
      </c>
      <c r="N1056" s="73"/>
      <c r="O1056" s="61" t="s">
        <v>6121</v>
      </c>
      <c r="P1056" s="67" t="str">
        <f t="shared" si="1"/>
        <v>50.4734469, 30.4472488</v>
      </c>
      <c r="Q1056" s="67" t="str">
        <f t="shared" si="2"/>
        <v>50.473438, 30.446486</v>
      </c>
      <c r="R1056" s="67">
        <f t="shared" si="3"/>
        <v>50.473438</v>
      </c>
      <c r="S1056" s="67">
        <f t="shared" si="4"/>
        <v>30.446486</v>
      </c>
      <c r="T1056" s="71" t="s">
        <v>10715</v>
      </c>
      <c r="U1056" s="69"/>
      <c r="V1056" s="169" t="s">
        <v>10716</v>
      </c>
      <c r="W1056" s="71" t="s">
        <v>6641</v>
      </c>
      <c r="X1056" s="72" t="s">
        <v>75</v>
      </c>
      <c r="Y1056" s="73"/>
      <c r="Z1056" s="73"/>
      <c r="AA1056" s="73"/>
      <c r="AB1056" s="73"/>
      <c r="AC1056" s="73"/>
      <c r="AD1056" s="73"/>
      <c r="AE1056" s="73"/>
      <c r="AF1056" s="73"/>
      <c r="AG1056" s="73"/>
      <c r="AH1056" s="73"/>
      <c r="AI1056" s="73"/>
      <c r="AJ1056" s="161"/>
      <c r="AK1056" s="76" t="s">
        <v>798</v>
      </c>
      <c r="AL1056" s="83" t="s">
        <v>10717</v>
      </c>
      <c r="AM1056" s="71" t="s">
        <v>10718</v>
      </c>
      <c r="AN1056" s="84" t="s">
        <v>10719</v>
      </c>
      <c r="AO1056" s="71" t="s">
        <v>10720</v>
      </c>
      <c r="AP1056" s="161" t="str">
        <f>IMAGE("https://bellingcat-archive.nyc3.cdn.digitaloceanspaces.com/Ukraine_Witness_Datasheet/Worksheet/youtube_dl_1498695443638894595/out2.jpg")</f>
        <v/>
      </c>
      <c r="AQ1056" s="84" t="s">
        <v>10721</v>
      </c>
      <c r="AR1056" s="71" t="s">
        <v>10722</v>
      </c>
      <c r="AS1056" s="71" t="s">
        <v>10723</v>
      </c>
      <c r="AT1056" s="71">
        <v>44.961</v>
      </c>
      <c r="AU1056" s="89"/>
      <c r="AV1056" s="80" t="s">
        <v>3944</v>
      </c>
      <c r="AW1056" s="81"/>
    </row>
    <row r="1057" ht="15.75" customHeight="1">
      <c r="A1057" s="354" t="s">
        <v>6871</v>
      </c>
      <c r="B1057" s="73"/>
      <c r="C1057" s="247" t="s">
        <v>5586</v>
      </c>
      <c r="D1057" s="253">
        <v>47.775609</v>
      </c>
      <c r="E1057" s="253">
        <v>37.239673</v>
      </c>
      <c r="F1057" s="89"/>
      <c r="G1057" s="358" t="s">
        <v>10724</v>
      </c>
      <c r="H1057" s="161"/>
      <c r="I1057" s="62" t="s">
        <v>6873</v>
      </c>
      <c r="J1057" s="64" t="s">
        <v>6874</v>
      </c>
      <c r="K1057" s="69"/>
      <c r="L1057" s="65" t="s">
        <v>3542</v>
      </c>
      <c r="M1057" s="93" t="s">
        <v>5750</v>
      </c>
      <c r="N1057" s="314"/>
      <c r="O1057" s="93" t="s">
        <v>5716</v>
      </c>
      <c r="P1057" s="67" t="str">
        <f t="shared" si="1"/>
        <v>47.775609, 37.239673</v>
      </c>
      <c r="Q1057" s="67" t="str">
        <f t="shared" si="2"/>
        <v>47.774985, 37.239067</v>
      </c>
      <c r="R1057" s="67">
        <f t="shared" si="3"/>
        <v>47.774985</v>
      </c>
      <c r="S1057" s="67">
        <f t="shared" si="4"/>
        <v>37.239067</v>
      </c>
      <c r="T1057" s="161"/>
      <c r="U1057" s="69"/>
      <c r="V1057" s="169" t="s">
        <v>10725</v>
      </c>
      <c r="W1057" s="161"/>
      <c r="X1057" s="17" t="s">
        <v>9</v>
      </c>
      <c r="Y1057" s="216" t="s">
        <v>5820</v>
      </c>
      <c r="Z1057" s="73"/>
      <c r="AA1057" s="73"/>
      <c r="AB1057" s="73"/>
      <c r="AC1057" s="73"/>
      <c r="AD1057" s="73"/>
      <c r="AE1057" s="73"/>
      <c r="AF1057" s="73"/>
      <c r="AG1057" s="73"/>
      <c r="AH1057" s="73"/>
      <c r="AI1057" s="73"/>
      <c r="AJ1057" s="161"/>
      <c r="AK1057" s="76" t="s">
        <v>798</v>
      </c>
      <c r="AL1057" s="83" t="s">
        <v>10726</v>
      </c>
      <c r="AM1057" s="71" t="s">
        <v>10727</v>
      </c>
      <c r="AN1057" s="84" t="s">
        <v>10728</v>
      </c>
      <c r="AO1057" s="71" t="s">
        <v>10729</v>
      </c>
      <c r="AP1057" s="161" t="str">
        <f>IMAGE("https://bellingcat-archive.nyc3.cdn.digitaloceanspaces.com/Ukraine_Witness_Datasheet/Worksheet/youtube_dl_1497348792038924290/out2.jpg")</f>
        <v/>
      </c>
      <c r="AQ1057" s="84" t="s">
        <v>10730</v>
      </c>
      <c r="AR1057" s="71" t="s">
        <v>10731</v>
      </c>
      <c r="AS1057" s="71" t="s">
        <v>10732</v>
      </c>
      <c r="AT1057" s="71">
        <v>36.96</v>
      </c>
      <c r="AU1057" s="89"/>
      <c r="AV1057" s="162"/>
      <c r="AW1057" s="81"/>
    </row>
    <row r="1058" ht="15.75" customHeight="1">
      <c r="A1058" s="354" t="s">
        <v>6871</v>
      </c>
      <c r="B1058" s="73"/>
      <c r="C1058" s="176" t="s">
        <v>5586</v>
      </c>
      <c r="D1058" s="417">
        <v>47.775609</v>
      </c>
      <c r="E1058" s="417">
        <v>37.239673</v>
      </c>
      <c r="F1058" s="418"/>
      <c r="G1058" s="358" t="s">
        <v>10733</v>
      </c>
      <c r="H1058" s="174"/>
      <c r="I1058" s="275" t="s">
        <v>6873</v>
      </c>
      <c r="J1058" s="276" t="s">
        <v>6874</v>
      </c>
      <c r="K1058" s="69"/>
      <c r="L1058" s="65" t="s">
        <v>3542</v>
      </c>
      <c r="M1058" s="93" t="s">
        <v>5750</v>
      </c>
      <c r="N1058" s="314"/>
      <c r="O1058" s="93" t="s">
        <v>5716</v>
      </c>
      <c r="P1058" s="67" t="str">
        <f t="shared" si="1"/>
        <v>47.775609, 37.239673</v>
      </c>
      <c r="Q1058" s="67" t="str">
        <f t="shared" si="2"/>
        <v>47.775354, 37.240471</v>
      </c>
      <c r="R1058" s="67">
        <f t="shared" si="3"/>
        <v>47.775354</v>
      </c>
      <c r="S1058" s="67">
        <f t="shared" si="4"/>
        <v>37.240471</v>
      </c>
      <c r="T1058" s="161"/>
      <c r="U1058" s="69"/>
      <c r="V1058" s="169" t="s">
        <v>10734</v>
      </c>
      <c r="W1058" s="161"/>
      <c r="X1058" s="17" t="s">
        <v>9</v>
      </c>
      <c r="Y1058" s="216" t="s">
        <v>5820</v>
      </c>
      <c r="Z1058" s="73"/>
      <c r="AA1058" s="73"/>
      <c r="AB1058" s="73"/>
      <c r="AC1058" s="73"/>
      <c r="AD1058" s="73"/>
      <c r="AE1058" s="73"/>
      <c r="AF1058" s="73"/>
      <c r="AG1058" s="73"/>
      <c r="AH1058" s="73"/>
      <c r="AI1058" s="73"/>
      <c r="AJ1058" s="161"/>
      <c r="AK1058" s="76" t="s">
        <v>798</v>
      </c>
      <c r="AL1058" s="83" t="s">
        <v>10735</v>
      </c>
      <c r="AM1058" s="71" t="s">
        <v>10736</v>
      </c>
      <c r="AN1058" s="84" t="s">
        <v>10737</v>
      </c>
      <c r="AO1058" s="71" t="s">
        <v>10738</v>
      </c>
      <c r="AP1058" s="161" t="str">
        <f>IMAGE("https://bellingcat-archive.nyc3.cdn.digitaloceanspaces.com/Ukraine_Witness_Datasheet/Worksheet/youtube_dl_42NknSPpcCI/out2.jpg")</f>
        <v/>
      </c>
      <c r="AQ1058" s="84" t="s">
        <v>10739</v>
      </c>
      <c r="AR1058" s="71" t="s">
        <v>10740</v>
      </c>
      <c r="AS1058" s="71" t="s">
        <v>10741</v>
      </c>
      <c r="AT1058" s="71">
        <v>33.0</v>
      </c>
      <c r="AU1058" s="89"/>
      <c r="AV1058" s="162"/>
      <c r="AW1058" s="81"/>
    </row>
    <row r="1059" ht="15.75" customHeight="1">
      <c r="A1059" s="373" t="s">
        <v>6924</v>
      </c>
      <c r="B1059" s="73"/>
      <c r="C1059" s="419" t="s">
        <v>6118</v>
      </c>
      <c r="D1059" s="241" t="s">
        <v>7436</v>
      </c>
      <c r="E1059" s="420" t="s">
        <v>7437</v>
      </c>
      <c r="F1059" s="89"/>
      <c r="G1059" s="317" t="s">
        <v>7715</v>
      </c>
      <c r="H1059" s="161"/>
      <c r="I1059" s="62" t="s">
        <v>7439</v>
      </c>
      <c r="J1059" s="195" t="s">
        <v>10742</v>
      </c>
      <c r="K1059" s="69"/>
      <c r="L1059" s="65" t="s">
        <v>3542</v>
      </c>
      <c r="M1059" s="314"/>
      <c r="N1059" s="314"/>
      <c r="O1059" s="93" t="s">
        <v>5626</v>
      </c>
      <c r="P1059" s="67" t="str">
        <f t="shared" si="1"/>
        <v>50.016577, 36.278364</v>
      </c>
      <c r="Q1059" s="67" t="str">
        <f t="shared" si="2"/>
        <v>50.016368, 36.277796</v>
      </c>
      <c r="R1059" s="67">
        <f t="shared" si="3"/>
        <v>50.016368</v>
      </c>
      <c r="S1059" s="67">
        <f t="shared" si="4"/>
        <v>36.277796</v>
      </c>
      <c r="T1059" s="161"/>
      <c r="U1059" s="69"/>
      <c r="V1059" s="169" t="s">
        <v>10743</v>
      </c>
      <c r="W1059" s="161"/>
      <c r="X1059" s="194"/>
      <c r="Y1059" s="216" t="s">
        <v>75</v>
      </c>
      <c r="Z1059" s="73"/>
      <c r="AA1059" s="73"/>
      <c r="AB1059" s="73"/>
      <c r="AC1059" s="73"/>
      <c r="AD1059" s="73"/>
      <c r="AE1059" s="73"/>
      <c r="AF1059" s="73"/>
      <c r="AG1059" s="73"/>
      <c r="AH1059" s="73"/>
      <c r="AI1059" s="73"/>
      <c r="AJ1059" s="161"/>
      <c r="AK1059" s="76" t="s">
        <v>930</v>
      </c>
      <c r="AL1059" s="83" t="s">
        <v>7717</v>
      </c>
      <c r="AM1059" s="71" t="s">
        <v>10744</v>
      </c>
      <c r="AN1059" s="84" t="s">
        <v>10745</v>
      </c>
      <c r="AO1059" s="71" t="s">
        <v>7720</v>
      </c>
      <c r="AP1059" s="161" t="str">
        <f>IMAGE("https://bellingcat-archive.nyc3.cdn.digitaloceanspaces.com/Ukraine_Witness_Datasheet/Worksheet/youtube_dl_1497437744125128709/out2.jpg")</f>
        <v/>
      </c>
      <c r="AQ1059" s="84" t="s">
        <v>7721</v>
      </c>
      <c r="AR1059" s="71" t="s">
        <v>7722</v>
      </c>
      <c r="AS1059" s="71" t="s">
        <v>10746</v>
      </c>
      <c r="AT1059" s="71">
        <v>36.333</v>
      </c>
      <c r="AU1059" s="89"/>
      <c r="AV1059" s="162"/>
      <c r="AW1059" s="81"/>
    </row>
    <row r="1060" ht="15.75" customHeight="1">
      <c r="A1060" s="72" t="s">
        <v>7849</v>
      </c>
      <c r="B1060" s="73"/>
      <c r="C1060" s="57" t="s">
        <v>9941</v>
      </c>
      <c r="D1060" s="74">
        <v>46.850296</v>
      </c>
      <c r="E1060" s="74">
        <v>35.375036</v>
      </c>
      <c r="F1060" s="79">
        <v>1.0</v>
      </c>
      <c r="G1060" s="84" t="s">
        <v>10747</v>
      </c>
      <c r="H1060" s="161"/>
      <c r="I1060" s="75"/>
      <c r="J1060" s="64" t="s">
        <v>10748</v>
      </c>
      <c r="K1060" s="88" t="s">
        <v>10749</v>
      </c>
      <c r="L1060" s="65" t="s">
        <v>3542</v>
      </c>
      <c r="M1060" s="311" t="s">
        <v>7947</v>
      </c>
      <c r="N1060" s="314"/>
      <c r="O1060" s="311" t="s">
        <v>6168</v>
      </c>
      <c r="P1060" s="67" t="str">
        <f t="shared" si="1"/>
        <v>46.850296, 35.375036</v>
      </c>
      <c r="Q1060" s="67" t="str">
        <f t="shared" si="2"/>
        <v>46.849843, 35.37575</v>
      </c>
      <c r="R1060" s="67">
        <f t="shared" si="3"/>
        <v>46.849843</v>
      </c>
      <c r="S1060" s="67">
        <f t="shared" si="4"/>
        <v>35.37575</v>
      </c>
      <c r="T1060" s="161"/>
      <c r="U1060" s="69"/>
      <c r="V1060" s="169" t="s">
        <v>10750</v>
      </c>
      <c r="W1060" s="71" t="s">
        <v>5858</v>
      </c>
      <c r="X1060" s="72" t="s">
        <v>75</v>
      </c>
      <c r="Y1060" s="73"/>
      <c r="Z1060" s="73"/>
      <c r="AA1060" s="71" t="s">
        <v>5858</v>
      </c>
      <c r="AB1060" s="61" t="s">
        <v>9796</v>
      </c>
      <c r="AC1060" s="73"/>
      <c r="AD1060" s="73"/>
      <c r="AE1060" s="73"/>
      <c r="AF1060" s="73"/>
      <c r="AG1060" s="73"/>
      <c r="AH1060" s="73"/>
      <c r="AI1060" s="73"/>
      <c r="AJ1060" s="161"/>
      <c r="AK1060" s="76" t="s">
        <v>798</v>
      </c>
      <c r="AL1060" s="83" t="s">
        <v>10751</v>
      </c>
      <c r="AM1060" s="71" t="s">
        <v>10752</v>
      </c>
      <c r="AN1060" s="84" t="s">
        <v>10753</v>
      </c>
      <c r="AO1060" s="71" t="s">
        <v>10754</v>
      </c>
      <c r="AP1060" s="161" t="str">
        <f>IMAGE("https://bellingcat-archive.nyc3.cdn.digitaloceanspaces.com/Ukraine_Witness_Datasheet/Worksheet/youtube_dl_1498699212577460224/out2.jpg")</f>
        <v/>
      </c>
      <c r="AQ1060" s="84" t="s">
        <v>10755</v>
      </c>
      <c r="AR1060" s="71" t="s">
        <v>7688</v>
      </c>
      <c r="AS1060" s="71" t="s">
        <v>10756</v>
      </c>
      <c r="AT1060" s="71">
        <v>2.346</v>
      </c>
      <c r="AU1060" s="89"/>
      <c r="AV1060" s="80" t="s">
        <v>3944</v>
      </c>
      <c r="AW1060" s="81"/>
    </row>
    <row r="1061" ht="15.75" customHeight="1">
      <c r="A1061" s="72" t="s">
        <v>9138</v>
      </c>
      <c r="B1061" s="73"/>
      <c r="C1061" s="57" t="s">
        <v>9028</v>
      </c>
      <c r="D1061" s="104">
        <v>50.640247</v>
      </c>
      <c r="E1061" s="104">
        <v>29.917316</v>
      </c>
      <c r="F1061" s="79">
        <v>1.0</v>
      </c>
      <c r="G1061" s="84" t="s">
        <v>10757</v>
      </c>
      <c r="H1061" s="161"/>
      <c r="I1061" s="75"/>
      <c r="J1061" s="64" t="s">
        <v>10758</v>
      </c>
      <c r="K1061" s="69"/>
      <c r="L1061" s="65" t="s">
        <v>3542</v>
      </c>
      <c r="M1061" s="93" t="s">
        <v>5827</v>
      </c>
      <c r="N1061" s="314"/>
      <c r="O1061" s="93" t="s">
        <v>7832</v>
      </c>
      <c r="P1061" s="67" t="str">
        <f t="shared" si="1"/>
        <v>50.640247, 29.917316</v>
      </c>
      <c r="Q1061" s="67" t="str">
        <f t="shared" si="2"/>
        <v>50.639897, 29.916497</v>
      </c>
      <c r="R1061" s="67">
        <f t="shared" si="3"/>
        <v>50.639897</v>
      </c>
      <c r="S1061" s="67">
        <f t="shared" si="4"/>
        <v>29.916497</v>
      </c>
      <c r="T1061" s="161"/>
      <c r="U1061" s="69"/>
      <c r="V1061" s="169" t="s">
        <v>10759</v>
      </c>
      <c r="W1061" s="61" t="s">
        <v>10760</v>
      </c>
      <c r="X1061" s="72" t="s">
        <v>2982</v>
      </c>
      <c r="Y1061" s="73"/>
      <c r="Z1061" s="73"/>
      <c r="AA1061" s="73"/>
      <c r="AB1061" s="73"/>
      <c r="AC1061" s="73"/>
      <c r="AD1061" s="73"/>
      <c r="AE1061" s="73"/>
      <c r="AF1061" s="73"/>
      <c r="AG1061" s="73"/>
      <c r="AH1061" s="73"/>
      <c r="AI1061" s="73"/>
      <c r="AJ1061" s="161"/>
      <c r="AK1061" s="76" t="s">
        <v>798</v>
      </c>
      <c r="AL1061" s="83" t="s">
        <v>10761</v>
      </c>
      <c r="AM1061" s="71" t="s">
        <v>10762</v>
      </c>
      <c r="AN1061" s="84" t="s">
        <v>10763</v>
      </c>
      <c r="AO1061" s="71" t="s">
        <v>10764</v>
      </c>
      <c r="AP1061" s="161" t="str">
        <f>IMAGE("https://bellingcat-archive.nyc3.cdn.digitaloceanspaces.com/Ukraine_Witness_Datasheet/Worksheet/youtube_dl_1498619666708799489/out2.jpg")</f>
        <v/>
      </c>
      <c r="AQ1061" s="84" t="s">
        <v>10765</v>
      </c>
      <c r="AR1061" s="71" t="s">
        <v>10766</v>
      </c>
      <c r="AS1061" s="71" t="s">
        <v>10767</v>
      </c>
      <c r="AT1061" s="71">
        <v>15.033</v>
      </c>
      <c r="AU1061" s="89"/>
      <c r="AV1061" s="80" t="s">
        <v>3944</v>
      </c>
      <c r="AW1061" s="81"/>
    </row>
    <row r="1062" ht="15.75" customHeight="1">
      <c r="A1062" s="354" t="s">
        <v>7092</v>
      </c>
      <c r="B1062" s="73"/>
      <c r="C1062" s="57" t="s">
        <v>6118</v>
      </c>
      <c r="D1062" s="241" t="s">
        <v>7093</v>
      </c>
      <c r="E1062" s="241" t="s">
        <v>7094</v>
      </c>
      <c r="F1062" s="89"/>
      <c r="G1062" s="84" t="s">
        <v>10768</v>
      </c>
      <c r="H1062" s="161"/>
      <c r="I1062" s="62" t="s">
        <v>7096</v>
      </c>
      <c r="J1062" s="64" t="s">
        <v>10769</v>
      </c>
      <c r="K1062" s="69"/>
      <c r="L1062" s="65" t="s">
        <v>3542</v>
      </c>
      <c r="M1062" s="61" t="s">
        <v>5702</v>
      </c>
      <c r="N1062" s="73"/>
      <c r="O1062" s="61" t="s">
        <v>7098</v>
      </c>
      <c r="P1062" s="67" t="str">
        <f t="shared" si="1"/>
        <v>46.63901988, 32.61059724</v>
      </c>
      <c r="Q1062" s="67" t="str">
        <f t="shared" si="2"/>
        <v>46.638925, 32.611779</v>
      </c>
      <c r="R1062" s="67">
        <f t="shared" si="3"/>
        <v>46.638925</v>
      </c>
      <c r="S1062" s="67">
        <f t="shared" si="4"/>
        <v>32.611779</v>
      </c>
      <c r="T1062" s="161"/>
      <c r="U1062" s="69"/>
      <c r="V1062" s="169" t="s">
        <v>10770</v>
      </c>
      <c r="W1062" s="161"/>
      <c r="X1062" s="17" t="s">
        <v>9</v>
      </c>
      <c r="Y1062" s="216" t="s">
        <v>5820</v>
      </c>
      <c r="Z1062" s="73"/>
      <c r="AA1062" s="73"/>
      <c r="AB1062" s="73"/>
      <c r="AC1062" s="73"/>
      <c r="AD1062" s="73"/>
      <c r="AE1062" s="73"/>
      <c r="AF1062" s="73"/>
      <c r="AG1062" s="73"/>
      <c r="AH1062" s="73"/>
      <c r="AI1062" s="73"/>
      <c r="AJ1062" s="161"/>
      <c r="AK1062" s="76" t="s">
        <v>798</v>
      </c>
      <c r="AL1062" s="83" t="s">
        <v>10771</v>
      </c>
      <c r="AM1062" s="71" t="s">
        <v>10772</v>
      </c>
      <c r="AN1062" s="84" t="s">
        <v>10773</v>
      </c>
      <c r="AO1062" s="71" t="s">
        <v>10774</v>
      </c>
      <c r="AP1062" s="161" t="str">
        <f>IMAGE("https://bellingcat-archive.nyc3.cdn.digitaloceanspaces.com/Ukraine_Witness_Datasheet/Worksheet/youtube_dl_1497140485013467137/out2.jpg")</f>
        <v/>
      </c>
      <c r="AQ1062" s="84" t="s">
        <v>10775</v>
      </c>
      <c r="AR1062" s="71" t="s">
        <v>10776</v>
      </c>
      <c r="AS1062" s="71" t="s">
        <v>10777</v>
      </c>
      <c r="AT1062" s="71">
        <v>52.966</v>
      </c>
      <c r="AU1062" s="89"/>
      <c r="AV1062" s="162"/>
      <c r="AW1062" s="81"/>
    </row>
    <row r="1063" ht="15.75" customHeight="1">
      <c r="A1063" s="354" t="s">
        <v>7128</v>
      </c>
      <c r="B1063" s="73"/>
      <c r="C1063" s="57" t="s">
        <v>6118</v>
      </c>
      <c r="D1063" s="192">
        <v>50.515083</v>
      </c>
      <c r="E1063" s="192">
        <v>30.227848</v>
      </c>
      <c r="F1063" s="89"/>
      <c r="G1063" s="421" t="s">
        <v>10778</v>
      </c>
      <c r="H1063" s="161"/>
      <c r="I1063" s="62" t="s">
        <v>7132</v>
      </c>
      <c r="J1063" s="422" t="s">
        <v>10779</v>
      </c>
      <c r="K1063" s="69"/>
      <c r="L1063" s="65" t="s">
        <v>3542</v>
      </c>
      <c r="M1063" s="61" t="s">
        <v>5827</v>
      </c>
      <c r="N1063" s="73"/>
      <c r="O1063" s="61" t="s">
        <v>7134</v>
      </c>
      <c r="P1063" s="67" t="str">
        <f t="shared" si="1"/>
        <v>50.515083, 30.227848</v>
      </c>
      <c r="Q1063" s="67" t="str">
        <f t="shared" si="2"/>
        <v>50.514642, 30.228132</v>
      </c>
      <c r="R1063" s="67">
        <f t="shared" si="3"/>
        <v>50.514642</v>
      </c>
      <c r="S1063" s="67">
        <f t="shared" si="4"/>
        <v>30.228132</v>
      </c>
      <c r="T1063" s="161"/>
      <c r="U1063" s="69"/>
      <c r="V1063" s="169" t="s">
        <v>10780</v>
      </c>
      <c r="W1063" s="161"/>
      <c r="X1063" s="17" t="s">
        <v>9</v>
      </c>
      <c r="Y1063" s="216" t="s">
        <v>75</v>
      </c>
      <c r="Z1063" s="73"/>
      <c r="AA1063" s="73"/>
      <c r="AB1063" s="73"/>
      <c r="AC1063" s="73"/>
      <c r="AD1063" s="73"/>
      <c r="AE1063" s="73"/>
      <c r="AF1063" s="73"/>
      <c r="AG1063" s="73"/>
      <c r="AH1063" s="73"/>
      <c r="AI1063" s="73"/>
      <c r="AJ1063" s="161"/>
      <c r="AK1063" s="76" t="s">
        <v>10781</v>
      </c>
      <c r="AL1063" s="269"/>
      <c r="AM1063" s="71" t="s">
        <v>10782</v>
      </c>
      <c r="AN1063" s="161"/>
      <c r="AO1063" s="161"/>
      <c r="AP1063" s="161"/>
      <c r="AQ1063" s="161"/>
      <c r="AR1063" s="161"/>
      <c r="AS1063" s="161"/>
      <c r="AT1063" s="161"/>
      <c r="AU1063" s="89"/>
      <c r="AV1063" s="162"/>
      <c r="AW1063" s="81"/>
    </row>
    <row r="1064" ht="15.75" customHeight="1">
      <c r="A1064" s="72" t="s">
        <v>63</v>
      </c>
      <c r="B1064" s="73"/>
      <c r="C1064" s="57" t="s">
        <v>9941</v>
      </c>
      <c r="D1064" s="300">
        <v>50.642256</v>
      </c>
      <c r="E1064" s="300">
        <v>29.929897</v>
      </c>
      <c r="F1064" s="79">
        <v>3.0</v>
      </c>
      <c r="G1064" s="84" t="s">
        <v>10783</v>
      </c>
      <c r="H1064" s="161"/>
      <c r="I1064" s="75"/>
      <c r="J1064" s="64" t="s">
        <v>10784</v>
      </c>
      <c r="K1064" s="69"/>
      <c r="L1064" s="65" t="s">
        <v>3542</v>
      </c>
      <c r="M1064" s="93" t="s">
        <v>5827</v>
      </c>
      <c r="N1064" s="73"/>
      <c r="O1064" s="310" t="s">
        <v>7832</v>
      </c>
      <c r="P1064" s="67" t="str">
        <f t="shared" si="1"/>
        <v>50.642256, 29.929897</v>
      </c>
      <c r="Q1064" s="67" t="str">
        <f t="shared" si="2"/>
        <v>50.641789, 29.93045</v>
      </c>
      <c r="R1064" s="67">
        <f t="shared" si="3"/>
        <v>50.641789</v>
      </c>
      <c r="S1064" s="67">
        <f t="shared" si="4"/>
        <v>29.93045</v>
      </c>
      <c r="T1064" s="161"/>
      <c r="U1064" s="69"/>
      <c r="V1064" s="169" t="s">
        <v>10785</v>
      </c>
      <c r="W1064" s="71" t="s">
        <v>3601</v>
      </c>
      <c r="X1064" s="72" t="s">
        <v>75</v>
      </c>
      <c r="Y1064" s="73"/>
      <c r="Z1064" s="73"/>
      <c r="AA1064" s="71" t="s">
        <v>3601</v>
      </c>
      <c r="AB1064" s="61" t="s">
        <v>10786</v>
      </c>
      <c r="AC1064" s="73"/>
      <c r="AD1064" s="73"/>
      <c r="AE1064" s="73"/>
      <c r="AF1064" s="73"/>
      <c r="AG1064" s="73"/>
      <c r="AH1064" s="73"/>
      <c r="AI1064" s="73"/>
      <c r="AJ1064" s="161"/>
      <c r="AK1064" s="76" t="s">
        <v>798</v>
      </c>
      <c r="AL1064" s="83" t="s">
        <v>10787</v>
      </c>
      <c r="AM1064" s="71" t="s">
        <v>10788</v>
      </c>
      <c r="AN1064" s="84" t="s">
        <v>10789</v>
      </c>
      <c r="AO1064" s="71" t="s">
        <v>10790</v>
      </c>
      <c r="AP1064" s="161" t="str">
        <f>IMAGE("https://bellingcat-archive.nyc3.cdn.digitaloceanspaces.com/Ukraine_Witness_Datasheet/Worksheet/youtube_dl_1498703033391325184/out2.jpg")</f>
        <v/>
      </c>
      <c r="AQ1064" s="84" t="s">
        <v>10791</v>
      </c>
      <c r="AR1064" s="71" t="s">
        <v>10792</v>
      </c>
      <c r="AS1064" s="71" t="s">
        <v>10793</v>
      </c>
      <c r="AT1064" s="71">
        <v>54.357</v>
      </c>
      <c r="AU1064" s="89"/>
      <c r="AV1064" s="80" t="s">
        <v>3944</v>
      </c>
      <c r="AW1064" s="81"/>
    </row>
    <row r="1065" ht="15.75" customHeight="1">
      <c r="A1065" s="72" t="s">
        <v>8023</v>
      </c>
      <c r="B1065" s="73"/>
      <c r="C1065" s="57" t="s">
        <v>9941</v>
      </c>
      <c r="D1065" s="104">
        <v>46.836742075</v>
      </c>
      <c r="E1065" s="104">
        <v>35.36979272</v>
      </c>
      <c r="F1065" s="79">
        <v>1.0</v>
      </c>
      <c r="G1065" s="84" t="s">
        <v>10794</v>
      </c>
      <c r="H1065" s="71" t="s">
        <v>66</v>
      </c>
      <c r="I1065" s="62" t="s">
        <v>10206</v>
      </c>
      <c r="J1065" s="64" t="s">
        <v>10795</v>
      </c>
      <c r="K1065" s="69"/>
      <c r="L1065" s="65" t="s">
        <v>3542</v>
      </c>
      <c r="M1065" s="61" t="s">
        <v>6167</v>
      </c>
      <c r="N1065" s="73"/>
      <c r="O1065" s="61" t="s">
        <v>7948</v>
      </c>
      <c r="P1065" s="67" t="str">
        <f t="shared" si="1"/>
        <v>46.836742075, 35.36979272</v>
      </c>
      <c r="Q1065" s="67" t="str">
        <f t="shared" si="2"/>
        <v>46.836358, 35.370339</v>
      </c>
      <c r="R1065" s="67">
        <f t="shared" si="3"/>
        <v>46.836358</v>
      </c>
      <c r="S1065" s="67">
        <f t="shared" si="4"/>
        <v>35.370339</v>
      </c>
      <c r="T1065" s="71" t="s">
        <v>10796</v>
      </c>
      <c r="U1065" s="69"/>
      <c r="V1065" s="169" t="s">
        <v>10797</v>
      </c>
      <c r="W1065" s="71" t="s">
        <v>74</v>
      </c>
      <c r="X1065" s="72" t="s">
        <v>2982</v>
      </c>
      <c r="Y1065" s="73"/>
      <c r="Z1065" s="73"/>
      <c r="AA1065" s="73"/>
      <c r="AB1065" s="73"/>
      <c r="AC1065" s="73"/>
      <c r="AD1065" s="73"/>
      <c r="AE1065" s="73"/>
      <c r="AF1065" s="73"/>
      <c r="AG1065" s="73"/>
      <c r="AH1065" s="73"/>
      <c r="AI1065" s="73"/>
      <c r="AJ1065" s="161"/>
      <c r="AK1065" s="76" t="s">
        <v>6276</v>
      </c>
      <c r="AL1065" s="83" t="s">
        <v>10798</v>
      </c>
      <c r="AM1065" s="71" t="s">
        <v>10799</v>
      </c>
      <c r="AN1065" s="84" t="s">
        <v>10800</v>
      </c>
      <c r="AO1065" s="71" t="s">
        <v>10801</v>
      </c>
      <c r="AP1065" s="161" t="str">
        <f>IMAGE("https://bellingcat-archive.nyc3.cdn.digitaloceanspaces.com/Ukraine_Witness_Datasheet/Worksheet/telegram_c3050b39d1/out2.jpg")</f>
        <v/>
      </c>
      <c r="AQ1065" s="84" t="s">
        <v>10802</v>
      </c>
      <c r="AR1065" s="84" t="s">
        <v>10794</v>
      </c>
      <c r="AS1065" s="71" t="s">
        <v>10803</v>
      </c>
      <c r="AT1065" s="71">
        <v>34.0</v>
      </c>
      <c r="AU1065" s="89"/>
      <c r="AV1065" s="80" t="s">
        <v>3944</v>
      </c>
      <c r="AW1065" s="81"/>
    </row>
    <row r="1066" ht="15.75" customHeight="1">
      <c r="A1066" s="208"/>
      <c r="B1066" s="73"/>
      <c r="C1066" s="57" t="s">
        <v>9941</v>
      </c>
      <c r="D1066" s="121"/>
      <c r="E1066" s="121"/>
      <c r="F1066" s="79">
        <v>2.0</v>
      </c>
      <c r="G1066" s="84" t="s">
        <v>10804</v>
      </c>
      <c r="H1066" s="73"/>
      <c r="I1066" s="75"/>
      <c r="J1066" s="64" t="s">
        <v>10805</v>
      </c>
      <c r="K1066" s="69"/>
      <c r="L1066" s="65" t="s">
        <v>3542</v>
      </c>
      <c r="M1066" s="61" t="s">
        <v>5702</v>
      </c>
      <c r="N1066" s="73"/>
      <c r="O1066" s="61" t="s">
        <v>7098</v>
      </c>
      <c r="P1066" s="67" t="str">
        <f t="shared" si="1"/>
        <v/>
      </c>
      <c r="Q1066" s="67" t="str">
        <f t="shared" si="2"/>
        <v/>
      </c>
      <c r="R1066" s="67" t="str">
        <f t="shared" si="3"/>
        <v/>
      </c>
      <c r="S1066" s="67" t="str">
        <f t="shared" si="4"/>
        <v/>
      </c>
      <c r="T1066" s="161"/>
      <c r="U1066" s="69"/>
      <c r="V1066" s="169" t="s">
        <v>10806</v>
      </c>
      <c r="W1066" s="161"/>
      <c r="X1066" s="194"/>
      <c r="Y1066" s="73"/>
      <c r="Z1066" s="73"/>
      <c r="AA1066" s="73"/>
      <c r="AB1066" s="73"/>
      <c r="AC1066" s="73"/>
      <c r="AD1066" s="73"/>
      <c r="AE1066" s="73"/>
      <c r="AF1066" s="73"/>
      <c r="AG1066" s="73"/>
      <c r="AH1066" s="73"/>
      <c r="AI1066" s="73"/>
      <c r="AJ1066" s="161"/>
      <c r="AK1066" s="76" t="s">
        <v>798</v>
      </c>
      <c r="AL1066" s="83" t="s">
        <v>10807</v>
      </c>
      <c r="AM1066" s="71" t="s">
        <v>10808</v>
      </c>
      <c r="AN1066" s="84" t="s">
        <v>10809</v>
      </c>
      <c r="AO1066" s="71" t="s">
        <v>10810</v>
      </c>
      <c r="AP1066" s="161" t="str">
        <f>IMAGE("https://bellingcat-archive.nyc3.cdn.digitaloceanspaces.com/Ukraine_Witness_Datasheet/Worksheet/youtube_dl_1498714042155905031/out2.jpg")</f>
        <v/>
      </c>
      <c r="AQ1066" s="84" t="s">
        <v>10811</v>
      </c>
      <c r="AR1066" s="71" t="s">
        <v>10812</v>
      </c>
      <c r="AS1066" s="71" t="s">
        <v>10813</v>
      </c>
      <c r="AT1066" s="71">
        <v>58.756</v>
      </c>
      <c r="AU1066" s="89"/>
      <c r="AV1066" s="162"/>
      <c r="AW1066" s="81"/>
    </row>
    <row r="1067" ht="15.75" customHeight="1">
      <c r="A1067" s="208"/>
      <c r="B1067" s="73"/>
      <c r="C1067" s="176"/>
      <c r="D1067" s="121"/>
      <c r="E1067" s="121"/>
      <c r="F1067" s="89"/>
      <c r="G1067" s="84" t="s">
        <v>10814</v>
      </c>
      <c r="H1067" s="73"/>
      <c r="I1067" s="75"/>
      <c r="J1067" s="69"/>
      <c r="K1067" s="69"/>
      <c r="L1067" s="70"/>
      <c r="M1067" s="73"/>
      <c r="N1067" s="73"/>
      <c r="O1067" s="73"/>
      <c r="P1067" s="67" t="str">
        <f t="shared" si="1"/>
        <v/>
      </c>
      <c r="Q1067" s="67" t="str">
        <f t="shared" si="2"/>
        <v/>
      </c>
      <c r="R1067" s="67" t="str">
        <f t="shared" si="3"/>
        <v/>
      </c>
      <c r="S1067" s="67" t="str">
        <f t="shared" si="4"/>
        <v/>
      </c>
      <c r="T1067" s="161"/>
      <c r="U1067" s="69"/>
      <c r="V1067" s="169" t="s">
        <v>10815</v>
      </c>
      <c r="W1067" s="161"/>
      <c r="X1067" s="194"/>
      <c r="Y1067" s="73"/>
      <c r="Z1067" s="73"/>
      <c r="AA1067" s="73"/>
      <c r="AB1067" s="73"/>
      <c r="AC1067" s="73"/>
      <c r="AD1067" s="73"/>
      <c r="AE1067" s="73"/>
      <c r="AF1067" s="73"/>
      <c r="AG1067" s="73"/>
      <c r="AH1067" s="73"/>
      <c r="AI1067" s="73"/>
      <c r="AJ1067" s="161"/>
      <c r="AK1067" s="76" t="s">
        <v>798</v>
      </c>
      <c r="AL1067" s="83" t="s">
        <v>10816</v>
      </c>
      <c r="AM1067" s="71" t="s">
        <v>10817</v>
      </c>
      <c r="AN1067" s="84" t="s">
        <v>10818</v>
      </c>
      <c r="AO1067" s="71" t="s">
        <v>10819</v>
      </c>
      <c r="AP1067" s="161" t="str">
        <f>IMAGE("https://bellingcat-archive.nyc3.cdn.digitaloceanspaces.com/Ukraine_Witness_Datasheet/Worksheet/youtube_dl_1498716479465918470/out2.jpg")</f>
        <v/>
      </c>
      <c r="AQ1067" s="84" t="s">
        <v>10820</v>
      </c>
      <c r="AR1067" s="71" t="s">
        <v>10821</v>
      </c>
      <c r="AS1067" s="71" t="s">
        <v>10822</v>
      </c>
      <c r="AT1067" s="71">
        <v>30.215</v>
      </c>
      <c r="AU1067" s="89"/>
      <c r="AV1067" s="162"/>
      <c r="AW1067" s="81"/>
    </row>
    <row r="1068" ht="15.75" customHeight="1">
      <c r="A1068" s="72" t="s">
        <v>5457</v>
      </c>
      <c r="B1068" s="73"/>
      <c r="C1068" s="57" t="s">
        <v>10823</v>
      </c>
      <c r="D1068" s="104">
        <v>50.640271</v>
      </c>
      <c r="E1068" s="104">
        <v>29.918177</v>
      </c>
      <c r="F1068" s="79">
        <v>3.0</v>
      </c>
      <c r="G1068" s="130" t="s">
        <v>10824</v>
      </c>
      <c r="H1068" s="61" t="s">
        <v>66</v>
      </c>
      <c r="I1068" s="75"/>
      <c r="J1068" s="64" t="s">
        <v>10825</v>
      </c>
      <c r="K1068" s="69"/>
      <c r="L1068" s="65" t="s">
        <v>3542</v>
      </c>
      <c r="M1068" s="61" t="s">
        <v>5827</v>
      </c>
      <c r="N1068" s="73"/>
      <c r="O1068" s="61" t="s">
        <v>7832</v>
      </c>
      <c r="P1068" s="67" t="str">
        <f t="shared" si="1"/>
        <v>50.640271, 29.918177</v>
      </c>
      <c r="Q1068" s="67" t="str">
        <f t="shared" si="2"/>
        <v>50.639843, 29.918912</v>
      </c>
      <c r="R1068" s="67">
        <f t="shared" si="3"/>
        <v>50.639843</v>
      </c>
      <c r="S1068" s="67">
        <f t="shared" si="4"/>
        <v>29.918912</v>
      </c>
      <c r="T1068" s="161"/>
      <c r="U1068" s="69"/>
      <c r="V1068" s="169" t="s">
        <v>10826</v>
      </c>
      <c r="W1068" s="71" t="s">
        <v>3601</v>
      </c>
      <c r="X1068" s="72" t="s">
        <v>75</v>
      </c>
      <c r="Y1068" s="73"/>
      <c r="Z1068" s="73"/>
      <c r="AA1068" s="73"/>
      <c r="AB1068" s="73"/>
      <c r="AC1068" s="73"/>
      <c r="AD1068" s="73"/>
      <c r="AE1068" s="73"/>
      <c r="AF1068" s="73"/>
      <c r="AG1068" s="73"/>
      <c r="AH1068" s="73"/>
      <c r="AI1068" s="73"/>
      <c r="AJ1068" s="161"/>
      <c r="AK1068" s="76" t="s">
        <v>798</v>
      </c>
      <c r="AL1068" s="83" t="s">
        <v>10827</v>
      </c>
      <c r="AM1068" s="71" t="s">
        <v>10828</v>
      </c>
      <c r="AN1068" s="84" t="s">
        <v>10829</v>
      </c>
      <c r="AO1068" s="71" t="s">
        <v>10830</v>
      </c>
      <c r="AP1068" s="161" t="str">
        <f>IMAGE("https://bellingcat-archive.nyc3.cdn.digitaloceanspaces.com/Ukraine_Witness_Datasheet/Worksheet/youtube_dl_1498709008311590922/out2.jpg")</f>
        <v/>
      </c>
      <c r="AQ1068" s="84" t="s">
        <v>10831</v>
      </c>
      <c r="AR1068" s="71" t="s">
        <v>10832</v>
      </c>
      <c r="AS1068" s="71" t="s">
        <v>10833</v>
      </c>
      <c r="AT1068" s="71">
        <v>18.664</v>
      </c>
      <c r="AU1068" s="89"/>
      <c r="AV1068" s="80" t="s">
        <v>3944</v>
      </c>
      <c r="AW1068" s="81"/>
    </row>
    <row r="1069" ht="15.75" customHeight="1">
      <c r="A1069" s="72" t="s">
        <v>63</v>
      </c>
      <c r="B1069" s="73"/>
      <c r="C1069" s="57" t="s">
        <v>10823</v>
      </c>
      <c r="D1069" s="104">
        <v>50.640361</v>
      </c>
      <c r="E1069" s="104">
        <v>29.918775</v>
      </c>
      <c r="F1069" s="79">
        <v>1.0</v>
      </c>
      <c r="G1069" s="84" t="s">
        <v>10834</v>
      </c>
      <c r="H1069" s="61" t="s">
        <v>5368</v>
      </c>
      <c r="I1069" s="75"/>
      <c r="J1069" s="64" t="s">
        <v>10835</v>
      </c>
      <c r="K1069" s="69"/>
      <c r="L1069" s="65" t="s">
        <v>3542</v>
      </c>
      <c r="M1069" s="61" t="s">
        <v>5827</v>
      </c>
      <c r="N1069" s="73"/>
      <c r="O1069" s="61" t="s">
        <v>7832</v>
      </c>
      <c r="P1069" s="67" t="str">
        <f t="shared" si="1"/>
        <v>50.640361, 29.918775</v>
      </c>
      <c r="Q1069" s="67" t="str">
        <f t="shared" si="2"/>
        <v>50.640014, 29.919805</v>
      </c>
      <c r="R1069" s="67">
        <f t="shared" si="3"/>
        <v>50.640014</v>
      </c>
      <c r="S1069" s="67">
        <f t="shared" si="4"/>
        <v>29.919805</v>
      </c>
      <c r="T1069" s="161"/>
      <c r="U1069" s="69"/>
      <c r="V1069" s="169" t="s">
        <v>10836</v>
      </c>
      <c r="W1069" s="71" t="s">
        <v>5739</v>
      </c>
      <c r="X1069" s="72" t="s">
        <v>75</v>
      </c>
      <c r="Y1069" s="73"/>
      <c r="Z1069" s="73"/>
      <c r="AA1069" s="73"/>
      <c r="AB1069" s="73"/>
      <c r="AC1069" s="73"/>
      <c r="AD1069" s="73"/>
      <c r="AE1069" s="73"/>
      <c r="AF1069" s="73"/>
      <c r="AG1069" s="73"/>
      <c r="AH1069" s="73"/>
      <c r="AI1069" s="73"/>
      <c r="AJ1069" s="161"/>
      <c r="AK1069" s="76" t="s">
        <v>2108</v>
      </c>
      <c r="AL1069" s="83" t="s">
        <v>10837</v>
      </c>
      <c r="AM1069" s="71" t="s">
        <v>10838</v>
      </c>
      <c r="AN1069" s="84" t="s">
        <v>10839</v>
      </c>
      <c r="AO1069" s="71" t="s">
        <v>10840</v>
      </c>
      <c r="AP1069" s="161" t="str">
        <f>IMAGE("https://bellingcat-archive.nyc3.cdn.digitaloceanspaces.com/Ukraine_Witness_Datasheet/Worksheet/twitter__media_FMyKxH-WUAQqGew.jpg")</f>
        <v/>
      </c>
      <c r="AQ1069" s="161"/>
      <c r="AR1069" s="161"/>
      <c r="AS1069" s="71" t="s">
        <v>10841</v>
      </c>
      <c r="AT1069" s="161"/>
      <c r="AU1069" s="89"/>
      <c r="AV1069" s="80" t="s">
        <v>3944</v>
      </c>
      <c r="AW1069" s="81"/>
    </row>
    <row r="1070" ht="15.75" customHeight="1">
      <c r="A1070" s="72" t="s">
        <v>5457</v>
      </c>
      <c r="B1070" s="73"/>
      <c r="C1070" s="57" t="s">
        <v>9028</v>
      </c>
      <c r="D1070" s="104">
        <v>50.544462</v>
      </c>
      <c r="E1070" s="104">
        <v>30.226208</v>
      </c>
      <c r="F1070" s="79">
        <v>2.0</v>
      </c>
      <c r="G1070" s="130" t="s">
        <v>10842</v>
      </c>
      <c r="H1070" s="61" t="s">
        <v>5368</v>
      </c>
      <c r="I1070" s="75"/>
      <c r="J1070" s="64" t="s">
        <v>10843</v>
      </c>
      <c r="K1070" s="69"/>
      <c r="L1070" s="65" t="s">
        <v>3542</v>
      </c>
      <c r="M1070" s="61" t="s">
        <v>5827</v>
      </c>
      <c r="N1070" s="73"/>
      <c r="O1070" s="61" t="s">
        <v>5868</v>
      </c>
      <c r="P1070" s="67" t="str">
        <f t="shared" si="1"/>
        <v>50.544462, 30.226208</v>
      </c>
      <c r="Q1070" s="67" t="str">
        <f t="shared" si="2"/>
        <v>50.543797, 30.226231</v>
      </c>
      <c r="R1070" s="67">
        <f t="shared" si="3"/>
        <v>50.543797</v>
      </c>
      <c r="S1070" s="67">
        <f t="shared" si="4"/>
        <v>30.226231</v>
      </c>
      <c r="T1070" s="161"/>
      <c r="U1070" s="69"/>
      <c r="V1070" s="169" t="s">
        <v>10844</v>
      </c>
      <c r="W1070" s="71" t="s">
        <v>3601</v>
      </c>
      <c r="X1070" s="72" t="s">
        <v>2982</v>
      </c>
      <c r="Y1070" s="73"/>
      <c r="Z1070" s="73"/>
      <c r="AA1070" s="73"/>
      <c r="AB1070" s="73"/>
      <c r="AC1070" s="73"/>
      <c r="AD1070" s="73"/>
      <c r="AE1070" s="73"/>
      <c r="AF1070" s="73"/>
      <c r="AG1070" s="73"/>
      <c r="AH1070" s="73"/>
      <c r="AI1070" s="73"/>
      <c r="AJ1070" s="161"/>
      <c r="AK1070" s="76" t="s">
        <v>798</v>
      </c>
      <c r="AL1070" s="83" t="s">
        <v>10845</v>
      </c>
      <c r="AM1070" s="71" t="s">
        <v>10846</v>
      </c>
      <c r="AN1070" s="84" t="s">
        <v>10847</v>
      </c>
      <c r="AO1070" s="71" t="s">
        <v>8763</v>
      </c>
      <c r="AP1070" s="161" t="str">
        <f>IMAGE("https://bellingcat-archive.nyc3.cdn.digitaloceanspaces.com/Ukraine_Witness_Datasheet/Worksheet/youtube_dl_1497917151314911234/out5.jpg")</f>
        <v/>
      </c>
      <c r="AQ1070" s="84" t="s">
        <v>10848</v>
      </c>
      <c r="AR1070" s="71" t="s">
        <v>10849</v>
      </c>
      <c r="AS1070" s="71" t="s">
        <v>10850</v>
      </c>
      <c r="AT1070" s="71">
        <v>132.833</v>
      </c>
      <c r="AU1070" s="89"/>
      <c r="AV1070" s="80" t="s">
        <v>3944</v>
      </c>
      <c r="AW1070" s="81"/>
    </row>
    <row r="1071" ht="15.75" customHeight="1">
      <c r="A1071" s="72" t="s">
        <v>5457</v>
      </c>
      <c r="B1071" s="73"/>
      <c r="C1071" s="57" t="s">
        <v>10823</v>
      </c>
      <c r="D1071" s="104">
        <v>47.164481</v>
      </c>
      <c r="E1071" s="104">
        <v>37.492182</v>
      </c>
      <c r="F1071" s="423">
        <v>3.0</v>
      </c>
      <c r="G1071" s="130" t="s">
        <v>10851</v>
      </c>
      <c r="H1071" s="61" t="s">
        <v>66</v>
      </c>
      <c r="I1071" s="75"/>
      <c r="J1071" s="64" t="s">
        <v>10852</v>
      </c>
      <c r="K1071" s="69"/>
      <c r="L1071" s="65" t="s">
        <v>3542</v>
      </c>
      <c r="M1071" s="61" t="s">
        <v>5750</v>
      </c>
      <c r="N1071" s="73"/>
      <c r="O1071" s="61" t="s">
        <v>10853</v>
      </c>
      <c r="P1071" s="67" t="str">
        <f t="shared" si="1"/>
        <v>47.164481, 37.492182</v>
      </c>
      <c r="Q1071" s="67" t="str">
        <f t="shared" si="2"/>
        <v>47.163939, 37.49144</v>
      </c>
      <c r="R1071" s="67">
        <f t="shared" si="3"/>
        <v>47.163939</v>
      </c>
      <c r="S1071" s="67">
        <f t="shared" si="4"/>
        <v>37.49144</v>
      </c>
      <c r="T1071" s="161"/>
      <c r="U1071" s="69"/>
      <c r="V1071" s="169" t="s">
        <v>10854</v>
      </c>
      <c r="W1071" s="71" t="s">
        <v>9711</v>
      </c>
      <c r="X1071" s="72" t="s">
        <v>2982</v>
      </c>
      <c r="Y1071" s="73"/>
      <c r="Z1071" s="73"/>
      <c r="AA1071" s="73"/>
      <c r="AB1071" s="73"/>
      <c r="AC1071" s="73"/>
      <c r="AD1071" s="73"/>
      <c r="AE1071" s="73"/>
      <c r="AF1071" s="73"/>
      <c r="AG1071" s="73"/>
      <c r="AH1071" s="73"/>
      <c r="AI1071" s="73"/>
      <c r="AJ1071" s="161"/>
      <c r="AK1071" s="76" t="s">
        <v>798</v>
      </c>
      <c r="AL1071" s="83" t="s">
        <v>10855</v>
      </c>
      <c r="AM1071" s="71" t="s">
        <v>10856</v>
      </c>
      <c r="AN1071" s="84" t="s">
        <v>10857</v>
      </c>
      <c r="AO1071" s="71" t="s">
        <v>10858</v>
      </c>
      <c r="AP1071" s="161" t="str">
        <f>IMAGE("https://bellingcat-archive.nyc3.cdn.digitaloceanspaces.com/Ukraine_Witness_Datasheet/Worksheet/youtube_dl_1498748931827814400/out2.jpg")</f>
        <v/>
      </c>
      <c r="AQ1071" s="84" t="s">
        <v>10859</v>
      </c>
      <c r="AR1071" s="71" t="s">
        <v>10860</v>
      </c>
      <c r="AS1071" s="71" t="s">
        <v>10861</v>
      </c>
      <c r="AT1071" s="71">
        <v>33.94</v>
      </c>
      <c r="AU1071" s="89"/>
      <c r="AV1071" s="80" t="s">
        <v>3944</v>
      </c>
      <c r="AW1071" s="81"/>
    </row>
    <row r="1072" ht="15.75" customHeight="1">
      <c r="A1072" s="204" t="s">
        <v>63</v>
      </c>
      <c r="B1072" s="73"/>
      <c r="C1072" s="57" t="s">
        <v>9028</v>
      </c>
      <c r="D1072" s="74">
        <v>50.001778</v>
      </c>
      <c r="E1072" s="74">
        <v>36.270539</v>
      </c>
      <c r="F1072" s="79">
        <v>2.0</v>
      </c>
      <c r="G1072" s="84" t="s">
        <v>10862</v>
      </c>
      <c r="H1072" s="61" t="s">
        <v>5522</v>
      </c>
      <c r="I1072" s="75"/>
      <c r="J1072" s="64" t="s">
        <v>10863</v>
      </c>
      <c r="K1072" s="69"/>
      <c r="L1072" s="65" t="s">
        <v>3542</v>
      </c>
      <c r="M1072" s="61" t="s">
        <v>5590</v>
      </c>
      <c r="N1072" s="73"/>
      <c r="O1072" s="61" t="s">
        <v>5591</v>
      </c>
      <c r="P1072" s="67" t="str">
        <f t="shared" si="1"/>
        <v>50.001778, 36.270539</v>
      </c>
      <c r="Q1072" s="67" t="str">
        <f t="shared" si="2"/>
        <v>50.001446, 36.270785</v>
      </c>
      <c r="R1072" s="67">
        <f t="shared" si="3"/>
        <v>50.001446</v>
      </c>
      <c r="S1072" s="67">
        <f t="shared" si="4"/>
        <v>36.270785</v>
      </c>
      <c r="T1072" s="71" t="s">
        <v>9669</v>
      </c>
      <c r="U1072" s="69"/>
      <c r="V1072" s="169" t="s">
        <v>9668</v>
      </c>
      <c r="W1072" s="71" t="s">
        <v>5739</v>
      </c>
      <c r="X1072" s="72" t="s">
        <v>2982</v>
      </c>
      <c r="Y1072" s="73"/>
      <c r="Z1072" s="73"/>
      <c r="AA1072" s="71" t="s">
        <v>5739</v>
      </c>
      <c r="AB1072" s="61" t="s">
        <v>10864</v>
      </c>
      <c r="AC1072" s="73"/>
      <c r="AD1072" s="73"/>
      <c r="AE1072" s="73"/>
      <c r="AF1072" s="73"/>
      <c r="AG1072" s="73"/>
      <c r="AH1072" s="73"/>
      <c r="AI1072" s="73"/>
      <c r="AJ1072" s="161"/>
      <c r="AK1072" s="76" t="s">
        <v>798</v>
      </c>
      <c r="AL1072" s="83" t="s">
        <v>10865</v>
      </c>
      <c r="AM1072" s="71" t="s">
        <v>10866</v>
      </c>
      <c r="AN1072" s="84" t="s">
        <v>10867</v>
      </c>
      <c r="AO1072" s="71" t="s">
        <v>10868</v>
      </c>
      <c r="AP1072" s="161" t="str">
        <f>IMAGE("https://bellingcat-archive.nyc3.cdn.digitaloceanspaces.com/Ukraine_Witness_Datasheet/Worksheet/youtube_dl_1498689358349623304/out2.jpg")</f>
        <v/>
      </c>
      <c r="AQ1072" s="84" t="s">
        <v>10869</v>
      </c>
      <c r="AR1072" s="71" t="s">
        <v>10870</v>
      </c>
      <c r="AS1072" s="71" t="s">
        <v>10871</v>
      </c>
      <c r="AT1072" s="71">
        <v>5.253</v>
      </c>
      <c r="AU1072" s="89"/>
      <c r="AV1072" s="80" t="s">
        <v>3944</v>
      </c>
      <c r="AW1072" s="81"/>
    </row>
    <row r="1073" ht="15.0" customHeight="1">
      <c r="A1073" s="357" t="s">
        <v>10872</v>
      </c>
      <c r="B1073" s="73"/>
      <c r="C1073" s="57" t="s">
        <v>9028</v>
      </c>
      <c r="D1073" s="104">
        <v>49.989376</v>
      </c>
      <c r="E1073" s="104">
        <v>36.152995</v>
      </c>
      <c r="F1073" s="79">
        <v>2.0</v>
      </c>
      <c r="G1073" s="84" t="s">
        <v>10873</v>
      </c>
      <c r="H1073" s="104" t="s">
        <v>66</v>
      </c>
      <c r="I1073" s="218"/>
      <c r="J1073" s="64" t="s">
        <v>6097</v>
      </c>
      <c r="K1073" s="88" t="s">
        <v>10874</v>
      </c>
      <c r="L1073" s="65" t="s">
        <v>3542</v>
      </c>
      <c r="M1073" s="61" t="s">
        <v>10875</v>
      </c>
      <c r="N1073" s="73"/>
      <c r="O1073" s="61" t="s">
        <v>8400</v>
      </c>
      <c r="P1073" s="67" t="str">
        <f t="shared" si="1"/>
        <v>49.989376, 36.152995</v>
      </c>
      <c r="Q1073" s="67" t="str">
        <f t="shared" si="2"/>
        <v>49.989132, 36.152395</v>
      </c>
      <c r="R1073" s="67">
        <f t="shared" si="3"/>
        <v>49.989132</v>
      </c>
      <c r="S1073" s="67">
        <f t="shared" si="4"/>
        <v>36.152395</v>
      </c>
      <c r="T1073" s="161"/>
      <c r="U1073" s="69"/>
      <c r="V1073" s="169" t="s">
        <v>10876</v>
      </c>
      <c r="W1073" s="71" t="s">
        <v>3601</v>
      </c>
      <c r="X1073" s="72" t="s">
        <v>5504</v>
      </c>
      <c r="Y1073" s="73"/>
      <c r="Z1073" s="73"/>
      <c r="AA1073" s="73"/>
      <c r="AB1073" s="73"/>
      <c r="AC1073" s="73"/>
      <c r="AD1073" s="73"/>
      <c r="AE1073" s="73"/>
      <c r="AF1073" s="73"/>
      <c r="AG1073" s="73"/>
      <c r="AH1073" s="73"/>
      <c r="AI1073" s="73"/>
      <c r="AJ1073" s="161"/>
      <c r="AK1073" s="76" t="s">
        <v>798</v>
      </c>
      <c r="AL1073" s="83" t="s">
        <v>10877</v>
      </c>
      <c r="AM1073" s="71" t="s">
        <v>10878</v>
      </c>
      <c r="AN1073" s="84" t="s">
        <v>10879</v>
      </c>
      <c r="AO1073" s="71" t="s">
        <v>10880</v>
      </c>
      <c r="AP1073" s="161" t="str">
        <f>IMAGE("https://bellingcat-archive.nyc3.cdn.digitaloceanspaces.com/Ukraine_Witness_Datasheet/Worksheet/youtube_dl_1498044130416594947/out2.jpg")</f>
        <v/>
      </c>
      <c r="AQ1073" s="84" t="s">
        <v>10881</v>
      </c>
      <c r="AR1073" s="71" t="s">
        <v>10882</v>
      </c>
      <c r="AS1073" s="71" t="s">
        <v>10883</v>
      </c>
      <c r="AT1073" s="71">
        <v>10.833</v>
      </c>
      <c r="AU1073" s="89"/>
      <c r="AV1073" s="80" t="s">
        <v>63</v>
      </c>
      <c r="AW1073" s="203"/>
    </row>
    <row r="1074" ht="15.75" customHeight="1">
      <c r="A1074" s="208"/>
      <c r="B1074" s="73"/>
      <c r="C1074" s="176"/>
      <c r="D1074" s="121"/>
      <c r="E1074" s="121"/>
      <c r="F1074" s="79">
        <v>1.0</v>
      </c>
      <c r="G1074" s="84" t="s">
        <v>10884</v>
      </c>
      <c r="H1074" s="73"/>
      <c r="I1074" s="75"/>
      <c r="J1074" s="64" t="s">
        <v>8374</v>
      </c>
      <c r="K1074" s="69"/>
      <c r="L1074" s="70"/>
      <c r="M1074" s="73"/>
      <c r="N1074" s="73"/>
      <c r="O1074" s="73"/>
      <c r="P1074" s="67" t="str">
        <f t="shared" si="1"/>
        <v/>
      </c>
      <c r="Q1074" s="67" t="str">
        <f t="shared" si="2"/>
        <v/>
      </c>
      <c r="R1074" s="67" t="str">
        <f t="shared" si="3"/>
        <v/>
      </c>
      <c r="S1074" s="67" t="str">
        <f t="shared" si="4"/>
        <v/>
      </c>
      <c r="T1074" s="161"/>
      <c r="U1074" s="69"/>
      <c r="V1074" s="169" t="s">
        <v>10885</v>
      </c>
      <c r="W1074" s="161"/>
      <c r="X1074" s="194"/>
      <c r="Y1074" s="73"/>
      <c r="Z1074" s="73"/>
      <c r="AA1074" s="73"/>
      <c r="AB1074" s="73"/>
      <c r="AC1074" s="73"/>
      <c r="AD1074" s="73"/>
      <c r="AE1074" s="73"/>
      <c r="AF1074" s="73"/>
      <c r="AG1074" s="73"/>
      <c r="AH1074" s="73"/>
      <c r="AI1074" s="73"/>
      <c r="AJ1074" s="161"/>
      <c r="AK1074" s="76" t="s">
        <v>798</v>
      </c>
      <c r="AL1074" s="83" t="s">
        <v>10886</v>
      </c>
      <c r="AM1074" s="71" t="s">
        <v>10887</v>
      </c>
      <c r="AN1074" s="84" t="s">
        <v>10888</v>
      </c>
      <c r="AO1074" s="71" t="s">
        <v>10889</v>
      </c>
      <c r="AP1074" s="161" t="str">
        <f>IMAGE("https://bellingcat-archive.nyc3.cdn.digitaloceanspaces.com/Ukraine_Witness_Datasheet/Worksheet/youtube_dl_1498721718386544647/out2.jpg")</f>
        <v/>
      </c>
      <c r="AQ1074" s="84" t="s">
        <v>10890</v>
      </c>
      <c r="AR1074" s="71" t="s">
        <v>10891</v>
      </c>
      <c r="AS1074" s="71" t="s">
        <v>10892</v>
      </c>
      <c r="AT1074" s="71">
        <v>15.104</v>
      </c>
      <c r="AU1074" s="89"/>
      <c r="AV1074" s="162"/>
      <c r="AW1074" s="81"/>
    </row>
    <row r="1075" ht="15.75" customHeight="1">
      <c r="A1075" s="208"/>
      <c r="B1075" s="73"/>
      <c r="C1075" s="57" t="s">
        <v>10893</v>
      </c>
      <c r="D1075" s="121"/>
      <c r="E1075" s="121"/>
      <c r="F1075" s="89"/>
      <c r="G1075" s="84" t="s">
        <v>10894</v>
      </c>
      <c r="H1075" s="73"/>
      <c r="I1075" s="75"/>
      <c r="J1075" s="69"/>
      <c r="K1075" s="88" t="s">
        <v>10895</v>
      </c>
      <c r="L1075" s="70"/>
      <c r="M1075" s="73"/>
      <c r="N1075" s="73"/>
      <c r="O1075" s="73"/>
      <c r="P1075" s="67" t="str">
        <f t="shared" si="1"/>
        <v/>
      </c>
      <c r="Q1075" s="67" t="str">
        <f t="shared" si="2"/>
        <v/>
      </c>
      <c r="R1075" s="67" t="str">
        <f t="shared" si="3"/>
        <v/>
      </c>
      <c r="S1075" s="67" t="str">
        <f t="shared" si="4"/>
        <v/>
      </c>
      <c r="T1075" s="161"/>
      <c r="U1075" s="69"/>
      <c r="V1075" s="169" t="s">
        <v>10896</v>
      </c>
      <c r="W1075" s="161"/>
      <c r="X1075" s="194"/>
      <c r="Y1075" s="73"/>
      <c r="Z1075" s="73"/>
      <c r="AA1075" s="73"/>
      <c r="AB1075" s="73"/>
      <c r="AC1075" s="73"/>
      <c r="AD1075" s="73"/>
      <c r="AE1075" s="73"/>
      <c r="AF1075" s="73"/>
      <c r="AG1075" s="73"/>
      <c r="AH1075" s="73"/>
      <c r="AI1075" s="73"/>
      <c r="AJ1075" s="161"/>
      <c r="AK1075" s="76" t="s">
        <v>798</v>
      </c>
      <c r="AL1075" s="83" t="s">
        <v>10897</v>
      </c>
      <c r="AM1075" s="71" t="s">
        <v>10898</v>
      </c>
      <c r="AN1075" s="84" t="s">
        <v>10899</v>
      </c>
      <c r="AO1075" s="71" t="s">
        <v>10900</v>
      </c>
      <c r="AP1075" s="161" t="str">
        <f>IMAGE("https://bellingcat-archive.nyc3.cdn.digitaloceanspaces.com/Ukraine_Witness_Datasheet/Worksheet/youtube_dl_1498445663440457728/out2.jpg")</f>
        <v/>
      </c>
      <c r="AQ1075" s="84" t="s">
        <v>10901</v>
      </c>
      <c r="AR1075" s="71" t="s">
        <v>10902</v>
      </c>
      <c r="AS1075" s="71" t="s">
        <v>10903</v>
      </c>
      <c r="AT1075" s="71">
        <v>12.266</v>
      </c>
      <c r="AU1075" s="89"/>
      <c r="AV1075" s="162"/>
      <c r="AW1075" s="81"/>
    </row>
    <row r="1076" ht="15.75" customHeight="1">
      <c r="A1076" s="424" t="s">
        <v>6463</v>
      </c>
      <c r="B1076" s="73"/>
      <c r="C1076" s="57" t="s">
        <v>9941</v>
      </c>
      <c r="D1076" s="121"/>
      <c r="E1076" s="121"/>
      <c r="F1076" s="79">
        <v>1.0</v>
      </c>
      <c r="G1076" s="130" t="s">
        <v>10904</v>
      </c>
      <c r="H1076" s="61" t="s">
        <v>5368</v>
      </c>
      <c r="I1076" s="75"/>
      <c r="J1076" s="64" t="s">
        <v>10905</v>
      </c>
      <c r="K1076" s="131" t="s">
        <v>10906</v>
      </c>
      <c r="L1076" s="70"/>
      <c r="M1076" s="73"/>
      <c r="N1076" s="73"/>
      <c r="O1076" s="73"/>
      <c r="P1076" s="67" t="str">
        <f t="shared" si="1"/>
        <v/>
      </c>
      <c r="Q1076" s="67" t="str">
        <f t="shared" si="2"/>
        <v/>
      </c>
      <c r="R1076" s="67" t="str">
        <f t="shared" si="3"/>
        <v/>
      </c>
      <c r="S1076" s="67" t="str">
        <f t="shared" si="4"/>
        <v/>
      </c>
      <c r="T1076" s="161"/>
      <c r="U1076" s="69"/>
      <c r="V1076" s="169" t="s">
        <v>10907</v>
      </c>
      <c r="W1076" s="161"/>
      <c r="X1076" s="194"/>
      <c r="Y1076" s="73"/>
      <c r="Z1076" s="73"/>
      <c r="AA1076" s="73"/>
      <c r="AB1076" s="73"/>
      <c r="AC1076" s="73"/>
      <c r="AD1076" s="73"/>
      <c r="AE1076" s="73"/>
      <c r="AF1076" s="73"/>
      <c r="AG1076" s="73"/>
      <c r="AH1076" s="73"/>
      <c r="AI1076" s="73"/>
      <c r="AJ1076" s="161"/>
      <c r="AK1076" s="76" t="s">
        <v>2108</v>
      </c>
      <c r="AL1076" s="83" t="s">
        <v>10908</v>
      </c>
      <c r="AM1076" s="71" t="s">
        <v>10909</v>
      </c>
      <c r="AN1076" s="84" t="s">
        <v>10910</v>
      </c>
      <c r="AO1076" s="71" t="s">
        <v>10911</v>
      </c>
      <c r="AP1076" s="161" t="str">
        <f>IMAGE("https://bellingcat-archive.nyc3.cdn.digitaloceanspaces.com/Ukraine_Witness_Datasheet/Worksheet/twitter__media_FMxxa0_XwAoAVFZ.jpg")</f>
        <v/>
      </c>
      <c r="AQ1076" s="161"/>
      <c r="AR1076" s="161"/>
      <c r="AS1076" s="71" t="s">
        <v>10912</v>
      </c>
      <c r="AT1076" s="161"/>
      <c r="AU1076" s="89"/>
      <c r="AV1076" s="162"/>
      <c r="AW1076" s="81"/>
    </row>
    <row r="1077" ht="15.75" customHeight="1">
      <c r="A1077" s="72" t="s">
        <v>10913</v>
      </c>
      <c r="B1077" s="73"/>
      <c r="C1077" s="57" t="s">
        <v>9941</v>
      </c>
      <c r="D1077" s="425">
        <v>49.9497476307238</v>
      </c>
      <c r="E1077" s="425">
        <v>36.1560060147913</v>
      </c>
      <c r="F1077" s="79">
        <v>2.0</v>
      </c>
      <c r="G1077" s="84" t="s">
        <v>10914</v>
      </c>
      <c r="H1077" s="61" t="s">
        <v>66</v>
      </c>
      <c r="I1077" s="75"/>
      <c r="J1077" s="64" t="s">
        <v>10915</v>
      </c>
      <c r="K1077" s="69"/>
      <c r="L1077" s="65" t="s">
        <v>3542</v>
      </c>
      <c r="M1077" s="61" t="s">
        <v>5590</v>
      </c>
      <c r="N1077" s="73"/>
      <c r="O1077" s="61" t="s">
        <v>5591</v>
      </c>
      <c r="P1077" s="67" t="str">
        <f t="shared" si="1"/>
        <v>49.9497476307238, 36.1560060147913</v>
      </c>
      <c r="Q1077" s="67" t="str">
        <f t="shared" si="2"/>
        <v>49.949498, 36.155445</v>
      </c>
      <c r="R1077" s="67">
        <f t="shared" si="3"/>
        <v>49.949498</v>
      </c>
      <c r="S1077" s="67">
        <f t="shared" si="4"/>
        <v>36.155445</v>
      </c>
      <c r="T1077" s="161"/>
      <c r="U1077" s="69"/>
      <c r="V1077" s="169" t="s">
        <v>10916</v>
      </c>
      <c r="W1077" s="71" t="s">
        <v>3601</v>
      </c>
      <c r="X1077" s="72" t="s">
        <v>2982</v>
      </c>
      <c r="Y1077" s="73"/>
      <c r="Z1077" s="73"/>
      <c r="AA1077" s="73"/>
      <c r="AB1077" s="73"/>
      <c r="AC1077" s="73"/>
      <c r="AD1077" s="73"/>
      <c r="AE1077" s="73"/>
      <c r="AF1077" s="73"/>
      <c r="AG1077" s="73"/>
      <c r="AH1077" s="73"/>
      <c r="AI1077" s="73"/>
      <c r="AJ1077" s="161"/>
      <c r="AK1077" s="76" t="s">
        <v>798</v>
      </c>
      <c r="AL1077" s="83" t="s">
        <v>10917</v>
      </c>
      <c r="AM1077" s="71" t="s">
        <v>10918</v>
      </c>
      <c r="AN1077" s="84" t="s">
        <v>10919</v>
      </c>
      <c r="AO1077" s="71" t="s">
        <v>10920</v>
      </c>
      <c r="AP1077" s="161" t="str">
        <f>IMAGE("https://bellingcat-archive.nyc3.cdn.digitaloceanspaces.com/Ukraine_Witness_Datasheet/Worksheet/youtube_dl_1498696083932954629/out2.jpg")</f>
        <v/>
      </c>
      <c r="AQ1077" s="84" t="s">
        <v>10921</v>
      </c>
      <c r="AR1077" s="71" t="s">
        <v>10922</v>
      </c>
      <c r="AS1077" s="71" t="s">
        <v>10923</v>
      </c>
      <c r="AT1077" s="71">
        <v>4.7</v>
      </c>
      <c r="AU1077" s="89"/>
      <c r="AV1077" s="80" t="s">
        <v>3944</v>
      </c>
      <c r="AW1077" s="81"/>
    </row>
    <row r="1078" ht="15.75" customHeight="1">
      <c r="A1078" s="72" t="s">
        <v>10913</v>
      </c>
      <c r="B1078" s="73"/>
      <c r="C1078" s="57" t="s">
        <v>9028</v>
      </c>
      <c r="D1078" s="104">
        <v>50.0507149523785</v>
      </c>
      <c r="E1078" s="104">
        <v>36.2705677207064</v>
      </c>
      <c r="F1078" s="79">
        <v>2.0</v>
      </c>
      <c r="G1078" s="84" t="s">
        <v>10924</v>
      </c>
      <c r="H1078" s="61" t="s">
        <v>66</v>
      </c>
      <c r="I1078" s="75"/>
      <c r="J1078" s="64" t="s">
        <v>10925</v>
      </c>
      <c r="K1078" s="69"/>
      <c r="L1078" s="65" t="s">
        <v>3542</v>
      </c>
      <c r="M1078" s="61" t="s">
        <v>5590</v>
      </c>
      <c r="N1078" s="73"/>
      <c r="O1078" s="61" t="s">
        <v>5591</v>
      </c>
      <c r="P1078" s="67" t="str">
        <f t="shared" si="1"/>
        <v>50.0507149523785, 36.2705677207064</v>
      </c>
      <c r="Q1078" s="67" t="str">
        <f t="shared" si="2"/>
        <v>50.050096, 36.269726</v>
      </c>
      <c r="R1078" s="67">
        <f t="shared" si="3"/>
        <v>50.050096</v>
      </c>
      <c r="S1078" s="67">
        <f t="shared" si="4"/>
        <v>36.269726</v>
      </c>
      <c r="T1078" s="161"/>
      <c r="U1078" s="69"/>
      <c r="V1078" s="169" t="s">
        <v>10926</v>
      </c>
      <c r="W1078" s="71" t="s">
        <v>3601</v>
      </c>
      <c r="X1078" s="72" t="s">
        <v>2982</v>
      </c>
      <c r="Y1078" s="73"/>
      <c r="Z1078" s="73"/>
      <c r="AA1078" s="73"/>
      <c r="AB1078" s="73"/>
      <c r="AC1078" s="73"/>
      <c r="AD1078" s="73"/>
      <c r="AE1078" s="73"/>
      <c r="AF1078" s="73"/>
      <c r="AG1078" s="73"/>
      <c r="AH1078" s="73"/>
      <c r="AI1078" s="73"/>
      <c r="AJ1078" s="161"/>
      <c r="AK1078" s="76" t="s">
        <v>6276</v>
      </c>
      <c r="AL1078" s="83" t="s">
        <v>10927</v>
      </c>
      <c r="AM1078" s="71" t="s">
        <v>10928</v>
      </c>
      <c r="AN1078" s="84" t="s">
        <v>10929</v>
      </c>
      <c r="AO1078" s="71" t="s">
        <v>10930</v>
      </c>
      <c r="AP1078" s="161" t="str">
        <f>IMAGE("https://bellingcat-archive.nyc3.cdn.digitaloceanspaces.com/Ukraine_Witness_Datasheet/Worksheet/telegram_f31e789a94/out2.jpg")</f>
        <v/>
      </c>
      <c r="AQ1078" s="84" t="s">
        <v>10931</v>
      </c>
      <c r="AR1078" s="84" t="s">
        <v>10924</v>
      </c>
      <c r="AS1078" s="71" t="s">
        <v>10932</v>
      </c>
      <c r="AT1078" s="71">
        <v>1.0</v>
      </c>
      <c r="AU1078" s="89"/>
      <c r="AV1078" s="80" t="s">
        <v>3944</v>
      </c>
      <c r="AW1078" s="81"/>
    </row>
    <row r="1079" ht="15.75" customHeight="1">
      <c r="A1079" s="426" t="s">
        <v>88</v>
      </c>
      <c r="B1079" s="73"/>
      <c r="C1079" s="101" t="s">
        <v>9028</v>
      </c>
      <c r="D1079" s="104">
        <v>49.6826751</v>
      </c>
      <c r="E1079" s="74">
        <v>37.1678954</v>
      </c>
      <c r="F1079" s="79">
        <v>1.0</v>
      </c>
      <c r="G1079" s="84" t="s">
        <v>10933</v>
      </c>
      <c r="H1079" s="61" t="s">
        <v>66</v>
      </c>
      <c r="I1079" s="75"/>
      <c r="J1079" s="64" t="s">
        <v>9819</v>
      </c>
      <c r="K1079" s="88" t="s">
        <v>10934</v>
      </c>
      <c r="L1079" s="65" t="s">
        <v>3542</v>
      </c>
      <c r="M1079" s="61" t="s">
        <v>5590</v>
      </c>
      <c r="N1079" s="73"/>
      <c r="O1079" s="92" t="s">
        <v>10935</v>
      </c>
      <c r="P1079" s="67" t="str">
        <f t="shared" si="1"/>
        <v>49.6826751, 37.1678954</v>
      </c>
      <c r="Q1079" s="67" t="str">
        <f t="shared" si="2"/>
        <v>49.682132, 37.168194</v>
      </c>
      <c r="R1079" s="67">
        <f t="shared" si="3"/>
        <v>49.682132</v>
      </c>
      <c r="S1079" s="67">
        <f t="shared" si="4"/>
        <v>37.168194</v>
      </c>
      <c r="T1079" s="161"/>
      <c r="U1079" s="69"/>
      <c r="V1079" s="169" t="s">
        <v>10936</v>
      </c>
      <c r="W1079" s="71" t="s">
        <v>5739</v>
      </c>
      <c r="X1079" s="72" t="s">
        <v>2982</v>
      </c>
      <c r="Y1079" s="73"/>
      <c r="Z1079" s="73"/>
      <c r="AA1079" s="73"/>
      <c r="AB1079" s="73"/>
      <c r="AC1079" s="73"/>
      <c r="AD1079" s="73"/>
      <c r="AE1079" s="73"/>
      <c r="AF1079" s="73"/>
      <c r="AG1079" s="73"/>
      <c r="AH1079" s="73"/>
      <c r="AI1079" s="73"/>
      <c r="AJ1079" s="161"/>
      <c r="AK1079" s="76" t="s">
        <v>798</v>
      </c>
      <c r="AL1079" s="83" t="s">
        <v>10937</v>
      </c>
      <c r="AM1079" s="71" t="s">
        <v>10938</v>
      </c>
      <c r="AN1079" s="84" t="s">
        <v>10939</v>
      </c>
      <c r="AO1079" s="71" t="s">
        <v>10940</v>
      </c>
      <c r="AP1079" s="161" t="str">
        <f>IMAGE("https://bellingcat-archive.nyc3.cdn.digitaloceanspaces.com/Ukraine_Witness_Datasheet/Worksheet/youtube_dl_1498311386069360640/out5.jpg")</f>
        <v/>
      </c>
      <c r="AQ1079" s="84" t="s">
        <v>10941</v>
      </c>
      <c r="AR1079" s="71" t="s">
        <v>10942</v>
      </c>
      <c r="AS1079" s="71" t="s">
        <v>10943</v>
      </c>
      <c r="AT1079" s="71">
        <v>138.206</v>
      </c>
      <c r="AU1079" s="89"/>
      <c r="AV1079" s="80" t="s">
        <v>3944</v>
      </c>
      <c r="AW1079" s="81"/>
    </row>
    <row r="1080" ht="15.75" customHeight="1">
      <c r="A1080" s="426" t="s">
        <v>88</v>
      </c>
      <c r="B1080" s="73"/>
      <c r="C1080" s="101" t="s">
        <v>9028</v>
      </c>
      <c r="D1080" s="104">
        <v>50.555161</v>
      </c>
      <c r="E1080" s="74">
        <v>30.2171185</v>
      </c>
      <c r="F1080" s="79">
        <v>1.0</v>
      </c>
      <c r="G1080" s="84" t="s">
        <v>10944</v>
      </c>
      <c r="H1080" s="61" t="s">
        <v>66</v>
      </c>
      <c r="I1080" s="75"/>
      <c r="J1080" s="64" t="s">
        <v>10945</v>
      </c>
      <c r="K1080" s="88" t="s">
        <v>10946</v>
      </c>
      <c r="L1080" s="65" t="s">
        <v>3542</v>
      </c>
      <c r="M1080" s="61" t="s">
        <v>5827</v>
      </c>
      <c r="N1080" s="73"/>
      <c r="O1080" s="61" t="s">
        <v>5868</v>
      </c>
      <c r="P1080" s="67" t="str">
        <f t="shared" si="1"/>
        <v>50.555161, 30.2171185</v>
      </c>
      <c r="Q1080" s="67" t="str">
        <f t="shared" si="2"/>
        <v>50.554742, 30.217723</v>
      </c>
      <c r="R1080" s="67">
        <f t="shared" si="3"/>
        <v>50.554742</v>
      </c>
      <c r="S1080" s="67">
        <f t="shared" si="4"/>
        <v>30.217723</v>
      </c>
      <c r="T1080" s="161"/>
      <c r="U1080" s="69"/>
      <c r="V1080" s="169" t="s">
        <v>10947</v>
      </c>
      <c r="W1080" s="71" t="s">
        <v>9711</v>
      </c>
      <c r="X1080" s="72" t="s">
        <v>2982</v>
      </c>
      <c r="Y1080" s="73"/>
      <c r="Z1080" s="73"/>
      <c r="AA1080" s="73"/>
      <c r="AB1080" s="73"/>
      <c r="AC1080" s="73"/>
      <c r="AD1080" s="73"/>
      <c r="AE1080" s="73"/>
      <c r="AF1080" s="73"/>
      <c r="AG1080" s="73"/>
      <c r="AH1080" s="73"/>
      <c r="AI1080" s="73"/>
      <c r="AJ1080" s="161"/>
      <c r="AK1080" s="76" t="s">
        <v>798</v>
      </c>
      <c r="AL1080" s="83" t="s">
        <v>10948</v>
      </c>
      <c r="AM1080" s="71" t="s">
        <v>10949</v>
      </c>
      <c r="AN1080" s="84" t="s">
        <v>10950</v>
      </c>
      <c r="AO1080" s="71" t="s">
        <v>10951</v>
      </c>
      <c r="AP1080" s="161" t="str">
        <f>IMAGE("https://bellingcat-archive.nyc3.cdn.digitaloceanspaces.com/Ukraine_Witness_Datasheet/Worksheet/youtube_dl_1498365347795247107/out2.jpg")</f>
        <v/>
      </c>
      <c r="AQ1080" s="84" t="s">
        <v>10952</v>
      </c>
      <c r="AR1080" s="71" t="s">
        <v>10953</v>
      </c>
      <c r="AS1080" s="71" t="s">
        <v>10954</v>
      </c>
      <c r="AT1080" s="71">
        <v>16.2</v>
      </c>
      <c r="AU1080" s="89"/>
      <c r="AV1080" s="80" t="s">
        <v>3944</v>
      </c>
      <c r="AW1080" s="81"/>
    </row>
    <row r="1081" ht="15.75" customHeight="1">
      <c r="A1081" s="72" t="s">
        <v>88</v>
      </c>
      <c r="B1081" s="73"/>
      <c r="C1081" s="101" t="s">
        <v>9028</v>
      </c>
      <c r="D1081" s="104">
        <v>50.661918</v>
      </c>
      <c r="E1081" s="74">
        <v>30.061134</v>
      </c>
      <c r="F1081" s="79">
        <v>1.0</v>
      </c>
      <c r="G1081" s="84" t="s">
        <v>10955</v>
      </c>
      <c r="H1081" s="61" t="s">
        <v>5368</v>
      </c>
      <c r="I1081" s="75"/>
      <c r="J1081" s="64" t="s">
        <v>10956</v>
      </c>
      <c r="K1081" s="88" t="s">
        <v>10957</v>
      </c>
      <c r="L1081" s="65" t="s">
        <v>3542</v>
      </c>
      <c r="M1081" s="61" t="s">
        <v>5827</v>
      </c>
      <c r="N1081" s="73"/>
      <c r="O1081" s="61" t="s">
        <v>10958</v>
      </c>
      <c r="P1081" s="67" t="str">
        <f t="shared" si="1"/>
        <v>50.661918, 30.061134</v>
      </c>
      <c r="Q1081" s="67" t="str">
        <f t="shared" si="2"/>
        <v>50.661523, 30.060186</v>
      </c>
      <c r="R1081" s="67">
        <f t="shared" si="3"/>
        <v>50.661523</v>
      </c>
      <c r="S1081" s="67">
        <f t="shared" si="4"/>
        <v>30.060186</v>
      </c>
      <c r="T1081" s="161"/>
      <c r="U1081" s="69"/>
      <c r="V1081" s="169" t="s">
        <v>10959</v>
      </c>
      <c r="W1081" s="71" t="s">
        <v>74</v>
      </c>
      <c r="X1081" s="72" t="s">
        <v>2982</v>
      </c>
      <c r="Y1081" s="73"/>
      <c r="Z1081" s="73"/>
      <c r="AA1081" s="73"/>
      <c r="AB1081" s="73"/>
      <c r="AC1081" s="73"/>
      <c r="AD1081" s="73"/>
      <c r="AE1081" s="73"/>
      <c r="AF1081" s="73"/>
      <c r="AG1081" s="73"/>
      <c r="AH1081" s="73"/>
      <c r="AI1081" s="73"/>
      <c r="AJ1081" s="161"/>
      <c r="AK1081" s="76" t="s">
        <v>2108</v>
      </c>
      <c r="AL1081" s="83" t="s">
        <v>10960</v>
      </c>
      <c r="AM1081" s="71" t="s">
        <v>10961</v>
      </c>
      <c r="AN1081" s="84" t="s">
        <v>10962</v>
      </c>
      <c r="AO1081" s="71" t="s">
        <v>10963</v>
      </c>
      <c r="AP1081" s="161" t="str">
        <f>IMAGE("https://bellingcat-archive.nyc3.cdn.digitaloceanspaces.com/Ukraine_Witness_Datasheet/Worksheet/twitter__media_FMtDg3XWQAUGce-.jpg")</f>
        <v/>
      </c>
      <c r="AQ1081" s="161"/>
      <c r="AR1081" s="161"/>
      <c r="AS1081" s="71" t="s">
        <v>10964</v>
      </c>
      <c r="AT1081" s="161"/>
      <c r="AU1081" s="89"/>
      <c r="AV1081" s="80" t="s">
        <v>3944</v>
      </c>
      <c r="AW1081" s="81"/>
    </row>
    <row r="1082" ht="15.75" customHeight="1">
      <c r="A1082" s="426" t="s">
        <v>88</v>
      </c>
      <c r="B1082" s="73"/>
      <c r="C1082" s="101" t="s">
        <v>9028</v>
      </c>
      <c r="D1082" s="74">
        <v>50.993863</v>
      </c>
      <c r="E1082" s="74">
        <v>29.767216</v>
      </c>
      <c r="F1082" s="79">
        <v>2.0</v>
      </c>
      <c r="G1082" s="84" t="s">
        <v>10965</v>
      </c>
      <c r="H1082" s="61" t="s">
        <v>5368</v>
      </c>
      <c r="I1082" s="75"/>
      <c r="J1082" s="64" t="s">
        <v>10966</v>
      </c>
      <c r="K1082" s="88" t="s">
        <v>10965</v>
      </c>
      <c r="L1082" s="65" t="s">
        <v>3542</v>
      </c>
      <c r="M1082" s="92" t="s">
        <v>5827</v>
      </c>
      <c r="N1082" s="111"/>
      <c r="O1082" s="92" t="s">
        <v>10002</v>
      </c>
      <c r="P1082" s="67" t="str">
        <f t="shared" si="1"/>
        <v>50.993863, 29.767216</v>
      </c>
      <c r="Q1082" s="67" t="str">
        <f t="shared" si="2"/>
        <v>50.993399, 29.767061</v>
      </c>
      <c r="R1082" s="67">
        <f t="shared" si="3"/>
        <v>50.993399</v>
      </c>
      <c r="S1082" s="67">
        <f t="shared" si="4"/>
        <v>29.767061</v>
      </c>
      <c r="T1082" s="161"/>
      <c r="U1082" s="69"/>
      <c r="V1082" s="169" t="s">
        <v>10967</v>
      </c>
      <c r="W1082" s="71" t="s">
        <v>74</v>
      </c>
      <c r="X1082" s="72" t="s">
        <v>2982</v>
      </c>
      <c r="Y1082" s="73"/>
      <c r="Z1082" s="73"/>
      <c r="AA1082" s="73"/>
      <c r="AB1082" s="73"/>
      <c r="AC1082" s="73"/>
      <c r="AD1082" s="73"/>
      <c r="AE1082" s="73"/>
      <c r="AF1082" s="73"/>
      <c r="AG1082" s="73"/>
      <c r="AH1082" s="73"/>
      <c r="AI1082" s="73"/>
      <c r="AJ1082" s="161"/>
      <c r="AK1082" s="76" t="s">
        <v>2108</v>
      </c>
      <c r="AL1082" s="83" t="s">
        <v>10968</v>
      </c>
      <c r="AM1082" s="71" t="s">
        <v>10969</v>
      </c>
      <c r="AN1082" s="84" t="s">
        <v>10970</v>
      </c>
      <c r="AO1082" s="71" t="s">
        <v>10971</v>
      </c>
      <c r="AP1082" s="161" t="str">
        <f>IMAGE("https://bellingcat-archive.nyc3.cdn.digitaloceanspaces.com/Ukraine_Witness_Datasheet/Worksheet/twitter__media_FMwxegOXMAQUo2E.jpg")</f>
        <v/>
      </c>
      <c r="AQ1082" s="161"/>
      <c r="AR1082" s="161"/>
      <c r="AS1082" s="71" t="s">
        <v>10972</v>
      </c>
      <c r="AT1082" s="161"/>
      <c r="AU1082" s="89"/>
      <c r="AV1082" s="80" t="s">
        <v>3944</v>
      </c>
      <c r="AW1082" s="81"/>
    </row>
    <row r="1083" ht="15.75" customHeight="1">
      <c r="A1083" s="72" t="s">
        <v>5457</v>
      </c>
      <c r="B1083" s="73"/>
      <c r="C1083" s="57" t="s">
        <v>10973</v>
      </c>
      <c r="D1083" s="104">
        <v>50.542211</v>
      </c>
      <c r="E1083" s="104">
        <v>30.264437</v>
      </c>
      <c r="F1083" s="79">
        <v>2.0</v>
      </c>
      <c r="G1083" s="130" t="s">
        <v>10974</v>
      </c>
      <c r="H1083" s="73"/>
      <c r="I1083" s="75"/>
      <c r="J1083" s="64" t="s">
        <v>10975</v>
      </c>
      <c r="K1083" s="131" t="s">
        <v>10976</v>
      </c>
      <c r="L1083" s="65" t="s">
        <v>10977</v>
      </c>
      <c r="M1083" s="92" t="s">
        <v>5827</v>
      </c>
      <c r="N1083" s="111"/>
      <c r="O1083" s="92" t="s">
        <v>7550</v>
      </c>
      <c r="P1083" s="67" t="str">
        <f t="shared" si="1"/>
        <v>50.542211, 30.264437</v>
      </c>
      <c r="Q1083" s="67" t="str">
        <f t="shared" si="2"/>
        <v>50.542175, 30.263425</v>
      </c>
      <c r="R1083" s="67">
        <f t="shared" si="3"/>
        <v>50.542175</v>
      </c>
      <c r="S1083" s="67">
        <f t="shared" si="4"/>
        <v>30.263425</v>
      </c>
      <c r="T1083" s="161"/>
      <c r="U1083" s="69"/>
      <c r="V1083" s="169" t="s">
        <v>10978</v>
      </c>
      <c r="W1083" s="71" t="s">
        <v>3601</v>
      </c>
      <c r="X1083" s="72" t="s">
        <v>2982</v>
      </c>
      <c r="Y1083" s="73"/>
      <c r="Z1083" s="73"/>
      <c r="AA1083" s="73"/>
      <c r="AB1083" s="73"/>
      <c r="AC1083" s="73"/>
      <c r="AD1083" s="73"/>
      <c r="AE1083" s="73"/>
      <c r="AF1083" s="73"/>
      <c r="AG1083" s="73"/>
      <c r="AH1083" s="73"/>
      <c r="AI1083" s="73"/>
      <c r="AJ1083" s="161"/>
      <c r="AK1083" s="76" t="s">
        <v>798</v>
      </c>
      <c r="AL1083" s="83" t="s">
        <v>10979</v>
      </c>
      <c r="AM1083" s="71" t="s">
        <v>10980</v>
      </c>
      <c r="AN1083" s="84" t="s">
        <v>10981</v>
      </c>
      <c r="AO1083" s="71" t="s">
        <v>10982</v>
      </c>
      <c r="AP1083" s="161" t="str">
        <f>IMAGE("https://bellingcat-archive.nyc3.cdn.digitaloceanspaces.com/Ukraine_Witness_Datasheet/Worksheet/youtube_dl_1498924222277632003/out2.jpg")</f>
        <v/>
      </c>
      <c r="AQ1083" s="84" t="s">
        <v>10983</v>
      </c>
      <c r="AR1083" s="71" t="s">
        <v>10984</v>
      </c>
      <c r="AS1083" s="71" t="s">
        <v>10985</v>
      </c>
      <c r="AT1083" s="71">
        <v>6.292</v>
      </c>
      <c r="AU1083" s="89"/>
      <c r="AV1083" s="80" t="s">
        <v>3944</v>
      </c>
      <c r="AW1083" s="81"/>
    </row>
    <row r="1084" ht="15.75" customHeight="1">
      <c r="A1084" s="72" t="s">
        <v>10579</v>
      </c>
      <c r="B1084" s="73"/>
      <c r="C1084" s="57" t="s">
        <v>9941</v>
      </c>
      <c r="D1084" s="104">
        <v>46.658472</v>
      </c>
      <c r="E1084" s="104">
        <v>32.572401</v>
      </c>
      <c r="F1084" s="427">
        <v>5.0</v>
      </c>
      <c r="G1084" s="84" t="s">
        <v>10986</v>
      </c>
      <c r="H1084" s="61" t="s">
        <v>5522</v>
      </c>
      <c r="I1084" s="62" t="s">
        <v>10987</v>
      </c>
      <c r="J1084" s="64" t="s">
        <v>10988</v>
      </c>
      <c r="K1084" s="69"/>
      <c r="L1084" s="65" t="s">
        <v>10977</v>
      </c>
      <c r="M1084" s="92" t="s">
        <v>5702</v>
      </c>
      <c r="N1084" s="111"/>
      <c r="O1084" s="92" t="s">
        <v>7098</v>
      </c>
      <c r="P1084" s="67" t="str">
        <f t="shared" si="1"/>
        <v>46.658472, 32.572401</v>
      </c>
      <c r="Q1084" s="67" t="str">
        <f t="shared" si="2"/>
        <v>46.65773, 32.572233</v>
      </c>
      <c r="R1084" s="67">
        <f t="shared" si="3"/>
        <v>46.65773</v>
      </c>
      <c r="S1084" s="67">
        <f t="shared" si="4"/>
        <v>32.572233</v>
      </c>
      <c r="T1084" s="161"/>
      <c r="U1084" s="69"/>
      <c r="V1084" s="169" t="s">
        <v>10989</v>
      </c>
      <c r="W1084" s="71" t="s">
        <v>8546</v>
      </c>
      <c r="X1084" s="72" t="s">
        <v>2982</v>
      </c>
      <c r="Y1084" s="216" t="s">
        <v>5820</v>
      </c>
      <c r="Z1084" s="73"/>
      <c r="AA1084" s="73"/>
      <c r="AB1084" s="73"/>
      <c r="AC1084" s="73"/>
      <c r="AD1084" s="73"/>
      <c r="AE1084" s="73"/>
      <c r="AF1084" s="73"/>
      <c r="AG1084" s="73"/>
      <c r="AH1084" s="73"/>
      <c r="AI1084" s="73"/>
      <c r="AJ1084" s="161"/>
      <c r="AK1084" s="76" t="s">
        <v>798</v>
      </c>
      <c r="AL1084" s="83" t="s">
        <v>10990</v>
      </c>
      <c r="AM1084" s="71" t="s">
        <v>10991</v>
      </c>
      <c r="AN1084" s="84" t="s">
        <v>10992</v>
      </c>
      <c r="AO1084" s="71" t="s">
        <v>10993</v>
      </c>
      <c r="AP1084" s="161" t="str">
        <f>IMAGE("https://bellingcat-archive.nyc3.cdn.digitaloceanspaces.com/Ukraine_Witness_Datasheet/Worksheet/youtube_dl_1498816059981238275/out5.jpg")</f>
        <v/>
      </c>
      <c r="AQ1084" s="84" t="s">
        <v>10994</v>
      </c>
      <c r="AR1084" s="71" t="s">
        <v>10995</v>
      </c>
      <c r="AS1084" s="71" t="s">
        <v>10996</v>
      </c>
      <c r="AT1084" s="71">
        <v>140.0</v>
      </c>
      <c r="AU1084" s="79" t="s">
        <v>10579</v>
      </c>
      <c r="AV1084" s="162"/>
      <c r="AW1084" s="81"/>
    </row>
    <row r="1085" ht="15.75" customHeight="1">
      <c r="A1085" s="204" t="s">
        <v>63</v>
      </c>
      <c r="B1085" s="73"/>
      <c r="C1085" s="57" t="s">
        <v>5586</v>
      </c>
      <c r="D1085" s="74">
        <v>46.679292</v>
      </c>
      <c r="E1085" s="74">
        <v>32.719366</v>
      </c>
      <c r="F1085" s="79">
        <v>2.0</v>
      </c>
      <c r="G1085" s="84" t="s">
        <v>10997</v>
      </c>
      <c r="H1085" s="73"/>
      <c r="I1085" s="75"/>
      <c r="J1085" s="64" t="s">
        <v>10998</v>
      </c>
      <c r="K1085" s="69"/>
      <c r="L1085" s="65" t="s">
        <v>10977</v>
      </c>
      <c r="M1085" s="92" t="s">
        <v>5702</v>
      </c>
      <c r="N1085" s="111"/>
      <c r="O1085" s="92" t="s">
        <v>5944</v>
      </c>
      <c r="P1085" s="67" t="str">
        <f t="shared" si="1"/>
        <v>46.679292, 32.719366</v>
      </c>
      <c r="Q1085" s="67" t="str">
        <f t="shared" si="2"/>
        <v>46.678862, 32.718723</v>
      </c>
      <c r="R1085" s="67">
        <f t="shared" si="3"/>
        <v>46.678862</v>
      </c>
      <c r="S1085" s="67">
        <f t="shared" si="4"/>
        <v>32.718723</v>
      </c>
      <c r="T1085" s="161"/>
      <c r="U1085" s="69"/>
      <c r="V1085" s="169" t="s">
        <v>10999</v>
      </c>
      <c r="W1085" s="61" t="s">
        <v>10760</v>
      </c>
      <c r="X1085" s="72" t="s">
        <v>2982</v>
      </c>
      <c r="Y1085" s="73"/>
      <c r="Z1085" s="73"/>
      <c r="AA1085" s="73"/>
      <c r="AB1085" s="73"/>
      <c r="AC1085" s="73"/>
      <c r="AD1085" s="73"/>
      <c r="AE1085" s="73"/>
      <c r="AF1085" s="73"/>
      <c r="AG1085" s="73"/>
      <c r="AH1085" s="73"/>
      <c r="AI1085" s="73"/>
      <c r="AJ1085" s="161"/>
      <c r="AK1085" s="76" t="s">
        <v>798</v>
      </c>
      <c r="AL1085" s="83" t="s">
        <v>11000</v>
      </c>
      <c r="AM1085" s="71" t="s">
        <v>11001</v>
      </c>
      <c r="AN1085" s="84" t="s">
        <v>11002</v>
      </c>
      <c r="AO1085" s="71" t="s">
        <v>11003</v>
      </c>
      <c r="AP1085" s="161" t="str">
        <f>IMAGE("https://bellingcat-archive.nyc3.cdn.digitaloceanspaces.com/Ukraine_Witness_Datasheet/Worksheet/youtube_dl_1498855012532989956/out5.jpg")</f>
        <v/>
      </c>
      <c r="AQ1085" s="84" t="s">
        <v>11004</v>
      </c>
      <c r="AR1085" s="71" t="s">
        <v>11005</v>
      </c>
      <c r="AS1085" s="71" t="s">
        <v>11006</v>
      </c>
      <c r="AT1085" s="71">
        <v>127.167</v>
      </c>
      <c r="AU1085" s="89"/>
      <c r="AV1085" s="80" t="s">
        <v>3944</v>
      </c>
      <c r="AW1085" s="81"/>
    </row>
    <row r="1086" ht="15.75" customHeight="1">
      <c r="A1086" s="428" t="s">
        <v>11007</v>
      </c>
      <c r="B1086" s="73"/>
      <c r="C1086" s="57" t="s">
        <v>10973</v>
      </c>
      <c r="D1086" s="121">
        <v>49.9991577498996</v>
      </c>
      <c r="E1086" s="121">
        <v>36.2358432888304</v>
      </c>
      <c r="F1086" s="423">
        <v>3.0</v>
      </c>
      <c r="G1086" s="326" t="s">
        <v>11008</v>
      </c>
      <c r="H1086" s="73"/>
      <c r="I1086" s="62" t="s">
        <v>11009</v>
      </c>
      <c r="J1086" s="64" t="s">
        <v>11010</v>
      </c>
      <c r="K1086" s="69"/>
      <c r="L1086" s="65" t="s">
        <v>3542</v>
      </c>
      <c r="M1086" s="92" t="s">
        <v>5590</v>
      </c>
      <c r="N1086" s="111"/>
      <c r="O1086" s="92" t="s">
        <v>5626</v>
      </c>
      <c r="P1086" s="67" t="str">
        <f t="shared" si="1"/>
        <v>49.9991577498996, 36.2358432888304</v>
      </c>
      <c r="Q1086" s="67" t="str">
        <f t="shared" si="2"/>
        <v>49.999005, 36.236793</v>
      </c>
      <c r="R1086" s="67">
        <f t="shared" si="3"/>
        <v>49.999005</v>
      </c>
      <c r="S1086" s="67">
        <f t="shared" si="4"/>
        <v>36.236793</v>
      </c>
      <c r="T1086" s="161"/>
      <c r="U1086" s="69"/>
      <c r="V1086" s="169" t="s">
        <v>11011</v>
      </c>
      <c r="W1086" s="71" t="s">
        <v>3601</v>
      </c>
      <c r="X1086" s="72" t="s">
        <v>2982</v>
      </c>
      <c r="Y1086" s="216" t="s">
        <v>5820</v>
      </c>
      <c r="Z1086" s="73"/>
      <c r="AA1086" s="73"/>
      <c r="AB1086" s="73"/>
      <c r="AC1086" s="73"/>
      <c r="AD1086" s="73"/>
      <c r="AE1086" s="73"/>
      <c r="AF1086" s="73"/>
      <c r="AG1086" s="73"/>
      <c r="AH1086" s="73"/>
      <c r="AI1086" s="73"/>
      <c r="AJ1086" s="161"/>
      <c r="AK1086" s="76" t="s">
        <v>798</v>
      </c>
      <c r="AL1086" s="83" t="s">
        <v>11012</v>
      </c>
      <c r="AM1086" s="71" t="s">
        <v>11013</v>
      </c>
      <c r="AN1086" s="84" t="s">
        <v>11014</v>
      </c>
      <c r="AO1086" s="71" t="s">
        <v>11015</v>
      </c>
      <c r="AP1086" s="161" t="str">
        <f>IMAGE("https://bellingcat-archive.nyc3.cdn.digitaloceanspaces.com/Ukraine_Witness_Datasheet/Worksheet/youtube_dl_1498911842286063616/out2.jpg")</f>
        <v/>
      </c>
      <c r="AQ1086" s="84" t="s">
        <v>11016</v>
      </c>
      <c r="AR1086" s="71" t="s">
        <v>11017</v>
      </c>
      <c r="AS1086" s="71" t="s">
        <v>11018</v>
      </c>
      <c r="AT1086" s="71">
        <v>32.5</v>
      </c>
      <c r="AU1086" s="89"/>
      <c r="AV1086" s="162"/>
      <c r="AW1086" s="81"/>
    </row>
    <row r="1087" ht="15.75" customHeight="1">
      <c r="A1087" s="428" t="s">
        <v>11019</v>
      </c>
      <c r="B1087" s="73"/>
      <c r="C1087" s="57" t="s">
        <v>10973</v>
      </c>
      <c r="D1087" s="121">
        <v>49.9991577498996</v>
      </c>
      <c r="E1087" s="121">
        <v>36.2358432888304</v>
      </c>
      <c r="F1087" s="423">
        <v>3.0</v>
      </c>
      <c r="G1087" s="326" t="s">
        <v>11020</v>
      </c>
      <c r="H1087" s="73"/>
      <c r="I1087" s="62" t="s">
        <v>11009</v>
      </c>
      <c r="J1087" s="64" t="s">
        <v>11021</v>
      </c>
      <c r="K1087" s="69"/>
      <c r="L1087" s="65" t="s">
        <v>3542</v>
      </c>
      <c r="M1087" s="92" t="s">
        <v>5590</v>
      </c>
      <c r="N1087" s="111"/>
      <c r="O1087" s="92" t="s">
        <v>5626</v>
      </c>
      <c r="P1087" s="67" t="str">
        <f t="shared" si="1"/>
        <v>49.9991577498996, 36.2358432888304</v>
      </c>
      <c r="Q1087" s="67" t="str">
        <f t="shared" si="2"/>
        <v>49.999126, 36.23703</v>
      </c>
      <c r="R1087" s="67">
        <f t="shared" si="3"/>
        <v>49.999126</v>
      </c>
      <c r="S1087" s="67">
        <f t="shared" si="4"/>
        <v>36.23703</v>
      </c>
      <c r="T1087" s="161"/>
      <c r="U1087" s="69"/>
      <c r="V1087" s="169" t="s">
        <v>11022</v>
      </c>
      <c r="W1087" s="71" t="s">
        <v>3601</v>
      </c>
      <c r="X1087" s="72" t="s">
        <v>2982</v>
      </c>
      <c r="Y1087" s="216" t="s">
        <v>5820</v>
      </c>
      <c r="Z1087" s="73"/>
      <c r="AA1087" s="73"/>
      <c r="AB1087" s="73"/>
      <c r="AC1087" s="73"/>
      <c r="AD1087" s="73"/>
      <c r="AE1087" s="73"/>
      <c r="AF1087" s="73"/>
      <c r="AG1087" s="73"/>
      <c r="AH1087" s="73"/>
      <c r="AI1087" s="73"/>
      <c r="AJ1087" s="161"/>
      <c r="AK1087" s="76" t="s">
        <v>798</v>
      </c>
      <c r="AL1087" s="83" t="s">
        <v>11023</v>
      </c>
      <c r="AM1087" s="71" t="s">
        <v>11024</v>
      </c>
      <c r="AN1087" s="84" t="s">
        <v>11025</v>
      </c>
      <c r="AO1087" s="71" t="s">
        <v>11026</v>
      </c>
      <c r="AP1087" s="161" t="str">
        <f>IMAGE("https://bellingcat-archive.nyc3.cdn.digitaloceanspaces.com/Ukraine_Witness_Datasheet/Worksheet/youtube_dl_1498914132225048576/out2.jpg")</f>
        <v/>
      </c>
      <c r="AQ1087" s="84" t="s">
        <v>11027</v>
      </c>
      <c r="AR1087" s="71" t="s">
        <v>11028</v>
      </c>
      <c r="AS1087" s="71" t="s">
        <v>11029</v>
      </c>
      <c r="AT1087" s="71">
        <v>37.633</v>
      </c>
      <c r="AU1087" s="89"/>
      <c r="AV1087" s="162"/>
      <c r="AW1087" s="81"/>
    </row>
    <row r="1088" ht="15.75" customHeight="1">
      <c r="A1088" s="204" t="s">
        <v>63</v>
      </c>
      <c r="B1088" s="73"/>
      <c r="C1088" s="57" t="s">
        <v>9941</v>
      </c>
      <c r="D1088" s="74">
        <v>50.033197</v>
      </c>
      <c r="E1088" s="74">
        <v>36.351142</v>
      </c>
      <c r="F1088" s="79">
        <v>2.0</v>
      </c>
      <c r="G1088" s="84" t="s">
        <v>11030</v>
      </c>
      <c r="H1088" s="73"/>
      <c r="I1088" s="75"/>
      <c r="J1088" s="64" t="s">
        <v>11031</v>
      </c>
      <c r="K1088" s="69"/>
      <c r="L1088" s="65" t="s">
        <v>3542</v>
      </c>
      <c r="M1088" s="92" t="s">
        <v>5590</v>
      </c>
      <c r="N1088" s="111"/>
      <c r="O1088" s="92" t="s">
        <v>5626</v>
      </c>
      <c r="P1088" s="67" t="str">
        <f t="shared" si="1"/>
        <v>50.033197, 36.351142</v>
      </c>
      <c r="Q1088" s="67" t="str">
        <f t="shared" si="2"/>
        <v>50.03313, 36.351789</v>
      </c>
      <c r="R1088" s="67">
        <f t="shared" si="3"/>
        <v>50.03313</v>
      </c>
      <c r="S1088" s="67">
        <f t="shared" si="4"/>
        <v>36.351789</v>
      </c>
      <c r="T1088" s="161"/>
      <c r="U1088" s="69"/>
      <c r="V1088" s="169" t="s">
        <v>11032</v>
      </c>
      <c r="W1088" s="71" t="s">
        <v>3601</v>
      </c>
      <c r="X1088" s="72" t="s">
        <v>2982</v>
      </c>
      <c r="Y1088" s="73"/>
      <c r="Z1088" s="73"/>
      <c r="AA1088" s="73"/>
      <c r="AB1088" s="73"/>
      <c r="AC1088" s="73"/>
      <c r="AD1088" s="73"/>
      <c r="AE1088" s="73"/>
      <c r="AF1088" s="73"/>
      <c r="AG1088" s="73"/>
      <c r="AH1088" s="73"/>
      <c r="AI1088" s="73"/>
      <c r="AJ1088" s="161"/>
      <c r="AK1088" s="76" t="s">
        <v>2108</v>
      </c>
      <c r="AL1088" s="83" t="s">
        <v>11033</v>
      </c>
      <c r="AM1088" s="71" t="s">
        <v>11034</v>
      </c>
      <c r="AN1088" s="84" t="s">
        <v>11035</v>
      </c>
      <c r="AO1088" s="71" t="s">
        <v>11036</v>
      </c>
      <c r="AP1088" s="161" t="str">
        <f>IMAGE("https://bellingcat-archive.nyc3.cdn.digitaloceanspaces.com/Ukraine_Witness_Datasheet/Worksheet/twitter__media_FMxca2qXMAgeFPu.jpg")</f>
        <v/>
      </c>
      <c r="AQ1088" s="161"/>
      <c r="AR1088" s="161"/>
      <c r="AS1088" s="71" t="s">
        <v>11037</v>
      </c>
      <c r="AT1088" s="161"/>
      <c r="AU1088" s="89"/>
      <c r="AV1088" s="80" t="s">
        <v>3944</v>
      </c>
      <c r="AW1088" s="81"/>
    </row>
    <row r="1089" ht="15.75" customHeight="1">
      <c r="A1089" s="204" t="s">
        <v>63</v>
      </c>
      <c r="B1089" s="73"/>
      <c r="C1089" s="57" t="s">
        <v>9941</v>
      </c>
      <c r="D1089" s="74">
        <v>50.639602</v>
      </c>
      <c r="E1089" s="74">
        <v>29.920196</v>
      </c>
      <c r="F1089" s="79">
        <v>2.0</v>
      </c>
      <c r="G1089" s="84" t="s">
        <v>11038</v>
      </c>
      <c r="H1089" s="73"/>
      <c r="I1089" s="215" t="s">
        <v>11039</v>
      </c>
      <c r="J1089" s="64" t="s">
        <v>11040</v>
      </c>
      <c r="K1089" s="69"/>
      <c r="L1089" s="65" t="s">
        <v>3542</v>
      </c>
      <c r="M1089" s="92" t="s">
        <v>5827</v>
      </c>
      <c r="N1089" s="111"/>
      <c r="O1089" s="92" t="s">
        <v>7832</v>
      </c>
      <c r="P1089" s="67" t="str">
        <f t="shared" si="1"/>
        <v>50.639602, 29.920196</v>
      </c>
      <c r="Q1089" s="67" t="str">
        <f t="shared" si="2"/>
        <v>50.63918, 29.91981</v>
      </c>
      <c r="R1089" s="67">
        <f t="shared" si="3"/>
        <v>50.63918</v>
      </c>
      <c r="S1089" s="67">
        <f t="shared" si="4"/>
        <v>29.91981</v>
      </c>
      <c r="T1089" s="161"/>
      <c r="U1089" s="69"/>
      <c r="V1089" s="169" t="s">
        <v>11041</v>
      </c>
      <c r="W1089" s="71" t="s">
        <v>3601</v>
      </c>
      <c r="X1089" s="72" t="s">
        <v>2982</v>
      </c>
      <c r="Y1089" s="252"/>
      <c r="Z1089" s="73"/>
      <c r="AA1089" s="73"/>
      <c r="AB1089" s="73"/>
      <c r="AC1089" s="73"/>
      <c r="AD1089" s="73"/>
      <c r="AE1089" s="73"/>
      <c r="AF1089" s="73"/>
      <c r="AG1089" s="73"/>
      <c r="AH1089" s="73"/>
      <c r="AI1089" s="73"/>
      <c r="AJ1089" s="161"/>
      <c r="AK1089" s="76" t="s">
        <v>798</v>
      </c>
      <c r="AL1089" s="83" t="s">
        <v>11042</v>
      </c>
      <c r="AM1089" s="71" t="s">
        <v>11043</v>
      </c>
      <c r="AN1089" s="84" t="s">
        <v>11044</v>
      </c>
      <c r="AO1089" s="71" t="s">
        <v>11045</v>
      </c>
      <c r="AP1089" s="161" t="str">
        <f>IMAGE("https://bellingcat-archive.nyc3.cdn.digitaloceanspaces.com/Ukraine_Witness_Datasheet/Worksheet/youtube_dl_1498669909261398020/out2.jpg")</f>
        <v/>
      </c>
      <c r="AQ1089" s="84" t="s">
        <v>11046</v>
      </c>
      <c r="AR1089" s="71" t="s">
        <v>11047</v>
      </c>
      <c r="AS1089" s="71" t="s">
        <v>11048</v>
      </c>
      <c r="AT1089" s="71">
        <v>17.566</v>
      </c>
      <c r="AU1089" s="89"/>
      <c r="AV1089" s="80" t="s">
        <v>3944</v>
      </c>
      <c r="AW1089" s="81"/>
    </row>
    <row r="1090" ht="15.75" customHeight="1">
      <c r="A1090" s="204" t="s">
        <v>63</v>
      </c>
      <c r="B1090" s="73"/>
      <c r="C1090" s="57" t="s">
        <v>10973</v>
      </c>
      <c r="D1090" s="74">
        <v>46.67365</v>
      </c>
      <c r="E1090" s="74">
        <v>32.642558</v>
      </c>
      <c r="F1090" s="79">
        <v>1.0</v>
      </c>
      <c r="G1090" s="84" t="s">
        <v>11049</v>
      </c>
      <c r="H1090" s="61"/>
      <c r="I1090" s="75"/>
      <c r="J1090" s="64" t="s">
        <v>11050</v>
      </c>
      <c r="K1090" s="69"/>
      <c r="L1090" s="65" t="s">
        <v>3542</v>
      </c>
      <c r="M1090" s="92" t="s">
        <v>5702</v>
      </c>
      <c r="N1090" s="111"/>
      <c r="O1090" s="92" t="s">
        <v>7098</v>
      </c>
      <c r="P1090" s="67" t="str">
        <f t="shared" si="1"/>
        <v>46.67365, 32.642558</v>
      </c>
      <c r="Q1090" s="67" t="str">
        <f t="shared" si="2"/>
        <v>46.673301, 32.642771</v>
      </c>
      <c r="R1090" s="67">
        <f t="shared" si="3"/>
        <v>46.673301</v>
      </c>
      <c r="S1090" s="67">
        <f t="shared" si="4"/>
        <v>32.642771</v>
      </c>
      <c r="T1090" s="161"/>
      <c r="U1090" s="69"/>
      <c r="V1090" s="169" t="s">
        <v>11051</v>
      </c>
      <c r="W1090" s="71" t="s">
        <v>3601</v>
      </c>
      <c r="X1090" s="72" t="s">
        <v>2982</v>
      </c>
      <c r="Y1090" s="73"/>
      <c r="Z1090" s="73"/>
      <c r="AA1090" s="73"/>
      <c r="AB1090" s="73"/>
      <c r="AC1090" s="73"/>
      <c r="AD1090" s="73"/>
      <c r="AE1090" s="73"/>
      <c r="AF1090" s="73"/>
      <c r="AG1090" s="73"/>
      <c r="AH1090" s="73"/>
      <c r="AI1090" s="73"/>
      <c r="AJ1090" s="161"/>
      <c r="AK1090" s="76" t="s">
        <v>1261</v>
      </c>
      <c r="AL1090" s="83" t="s">
        <v>11052</v>
      </c>
      <c r="AM1090" s="71" t="s">
        <v>11053</v>
      </c>
      <c r="AN1090" s="84" t="s">
        <v>11054</v>
      </c>
      <c r="AO1090" s="161"/>
      <c r="AP1090" s="161"/>
      <c r="AQ1090" s="161"/>
      <c r="AR1090" s="71" t="s">
        <v>11055</v>
      </c>
      <c r="AS1090" s="161"/>
      <c r="AT1090" s="161"/>
      <c r="AU1090" s="89"/>
      <c r="AV1090" s="80" t="s">
        <v>3944</v>
      </c>
      <c r="AW1090" s="81"/>
    </row>
    <row r="1091" ht="15.75" customHeight="1">
      <c r="A1091" s="204" t="s">
        <v>63</v>
      </c>
      <c r="B1091" s="73"/>
      <c r="C1091" s="57" t="s">
        <v>10973</v>
      </c>
      <c r="D1091" s="74">
        <v>46.673146</v>
      </c>
      <c r="E1091" s="74">
        <v>32.642247</v>
      </c>
      <c r="F1091" s="79">
        <v>2.0</v>
      </c>
      <c r="G1091" s="84" t="s">
        <v>11056</v>
      </c>
      <c r="H1091" s="73"/>
      <c r="I1091" s="75"/>
      <c r="J1091" s="64" t="s">
        <v>11050</v>
      </c>
      <c r="K1091" s="69"/>
      <c r="L1091" s="65" t="s">
        <v>3542</v>
      </c>
      <c r="M1091" s="92" t="s">
        <v>5702</v>
      </c>
      <c r="N1091" s="111"/>
      <c r="O1091" s="92" t="s">
        <v>7098</v>
      </c>
      <c r="P1091" s="67" t="str">
        <f t="shared" si="1"/>
        <v>46.673146, 32.642247</v>
      </c>
      <c r="Q1091" s="67" t="str">
        <f t="shared" si="2"/>
        <v>46.672705, 32.641916</v>
      </c>
      <c r="R1091" s="67">
        <f t="shared" si="3"/>
        <v>46.672705</v>
      </c>
      <c r="S1091" s="67">
        <f t="shared" si="4"/>
        <v>32.641916</v>
      </c>
      <c r="T1091" s="161"/>
      <c r="U1091" s="69"/>
      <c r="V1091" s="169" t="s">
        <v>11057</v>
      </c>
      <c r="W1091" s="71" t="s">
        <v>3601</v>
      </c>
      <c r="X1091" s="72" t="s">
        <v>2982</v>
      </c>
      <c r="Y1091" s="73"/>
      <c r="Z1091" s="73"/>
      <c r="AA1091" s="73"/>
      <c r="AB1091" s="73"/>
      <c r="AC1091" s="73"/>
      <c r="AD1091" s="73"/>
      <c r="AE1091" s="73"/>
      <c r="AF1091" s="73"/>
      <c r="AG1091" s="73"/>
      <c r="AH1091" s="73"/>
      <c r="AI1091" s="73"/>
      <c r="AJ1091" s="161"/>
      <c r="AK1091" s="76" t="s">
        <v>798</v>
      </c>
      <c r="AL1091" s="83" t="s">
        <v>11058</v>
      </c>
      <c r="AM1091" s="71" t="s">
        <v>11059</v>
      </c>
      <c r="AN1091" s="84" t="s">
        <v>11060</v>
      </c>
      <c r="AO1091" s="71" t="s">
        <v>11061</v>
      </c>
      <c r="AP1091" s="161" t="str">
        <f>IMAGE("https://bellingcat-archive.nyc3.cdn.digitaloceanspaces.com/Ukraine_Witness_Datasheet/Worksheet/youtube_dl_1498915212015153152/out2.jpg")</f>
        <v/>
      </c>
      <c r="AQ1091" s="84" t="s">
        <v>11062</v>
      </c>
      <c r="AR1091" s="71" t="s">
        <v>11063</v>
      </c>
      <c r="AS1091" s="71" t="s">
        <v>11064</v>
      </c>
      <c r="AT1091" s="71">
        <v>22.866</v>
      </c>
      <c r="AU1091" s="89"/>
      <c r="AV1091" s="80" t="s">
        <v>3944</v>
      </c>
      <c r="AW1091" s="81"/>
    </row>
    <row r="1092" ht="15.75" customHeight="1">
      <c r="A1092" s="357" t="s">
        <v>63</v>
      </c>
      <c r="B1092" s="73"/>
      <c r="C1092" s="57" t="s">
        <v>10973</v>
      </c>
      <c r="D1092" s="74">
        <v>50.785879</v>
      </c>
      <c r="E1092" s="74">
        <v>30.29011</v>
      </c>
      <c r="F1092" s="79">
        <v>2.0</v>
      </c>
      <c r="G1092" s="84" t="s">
        <v>11065</v>
      </c>
      <c r="H1092" s="73"/>
      <c r="I1092" s="75"/>
      <c r="J1092" s="64" t="s">
        <v>11066</v>
      </c>
      <c r="K1092" s="88" t="s">
        <v>11067</v>
      </c>
      <c r="L1092" s="65" t="s">
        <v>3542</v>
      </c>
      <c r="M1092" s="92" t="s">
        <v>5827</v>
      </c>
      <c r="N1092" s="111"/>
      <c r="O1092" s="92" t="s">
        <v>11068</v>
      </c>
      <c r="P1092" s="67" t="str">
        <f t="shared" si="1"/>
        <v>50.785879, 30.29011</v>
      </c>
      <c r="Q1092" s="67" t="str">
        <f t="shared" si="2"/>
        <v>50.785825, 30.288978</v>
      </c>
      <c r="R1092" s="67">
        <f t="shared" si="3"/>
        <v>50.785825</v>
      </c>
      <c r="S1092" s="67">
        <f t="shared" si="4"/>
        <v>30.288978</v>
      </c>
      <c r="T1092" s="161"/>
      <c r="U1092" s="69"/>
      <c r="V1092" s="169" t="s">
        <v>11069</v>
      </c>
      <c r="W1092" s="71" t="s">
        <v>5739</v>
      </c>
      <c r="X1092" s="72" t="s">
        <v>2982</v>
      </c>
      <c r="Y1092" s="73"/>
      <c r="Z1092" s="73"/>
      <c r="AA1092" s="73"/>
      <c r="AB1092" s="73"/>
      <c r="AC1092" s="73"/>
      <c r="AD1092" s="73"/>
      <c r="AE1092" s="73"/>
      <c r="AF1092" s="73"/>
      <c r="AG1092" s="73"/>
      <c r="AH1092" s="73"/>
      <c r="AI1092" s="73"/>
      <c r="AJ1092" s="161"/>
      <c r="AK1092" s="76" t="s">
        <v>2108</v>
      </c>
      <c r="AL1092" s="83" t="s">
        <v>11070</v>
      </c>
      <c r="AM1092" s="71" t="s">
        <v>11071</v>
      </c>
      <c r="AN1092" s="84" t="s">
        <v>11072</v>
      </c>
      <c r="AO1092" s="71" t="s">
        <v>11073</v>
      </c>
      <c r="AP1092" s="161" t="str">
        <f>IMAGE("https://bellingcat-archive.nyc3.cdn.digitaloceanspaces.com/Ukraine_Witness_Datasheet/Worksheet/twitter__media_FMzx3FsXIAIJdf8.jpg")</f>
        <v/>
      </c>
      <c r="AQ1092" s="161"/>
      <c r="AR1092" s="161"/>
      <c r="AS1092" s="71" t="s">
        <v>11074</v>
      </c>
      <c r="AT1092" s="161"/>
      <c r="AU1092" s="89"/>
      <c r="AV1092" s="80" t="s">
        <v>3944</v>
      </c>
      <c r="AW1092" s="81"/>
    </row>
    <row r="1093" ht="15.75" customHeight="1">
      <c r="A1093" s="429" t="s">
        <v>11075</v>
      </c>
      <c r="B1093" s="73"/>
      <c r="C1093" s="57" t="s">
        <v>9941</v>
      </c>
      <c r="D1093" s="104">
        <v>46.6703119</v>
      </c>
      <c r="E1093" s="104">
        <v>32.6176609</v>
      </c>
      <c r="F1093" s="79">
        <v>5.0</v>
      </c>
      <c r="G1093" s="430" t="s">
        <v>11076</v>
      </c>
      <c r="H1093" s="61" t="s">
        <v>5522</v>
      </c>
      <c r="I1093" s="75"/>
      <c r="J1093" s="64" t="s">
        <v>11077</v>
      </c>
      <c r="K1093" s="69"/>
      <c r="L1093" s="65" t="s">
        <v>3542</v>
      </c>
      <c r="M1093" s="92" t="s">
        <v>5702</v>
      </c>
      <c r="N1093" s="92" t="s">
        <v>11078</v>
      </c>
      <c r="O1093" s="92" t="s">
        <v>7098</v>
      </c>
      <c r="P1093" s="67" t="str">
        <f t="shared" si="1"/>
        <v>46.6703119, 32.6176609</v>
      </c>
      <c r="Q1093" s="67" t="str">
        <f t="shared" si="2"/>
        <v>46.670061, 32.616878</v>
      </c>
      <c r="R1093" s="67">
        <f t="shared" si="3"/>
        <v>46.670061</v>
      </c>
      <c r="S1093" s="67">
        <f t="shared" si="4"/>
        <v>32.616878</v>
      </c>
      <c r="T1093" s="431" t="s">
        <v>11079</v>
      </c>
      <c r="U1093" s="69"/>
      <c r="V1093" s="169" t="s">
        <v>11080</v>
      </c>
      <c r="W1093" s="161"/>
      <c r="X1093" s="194"/>
      <c r="Y1093" s="73"/>
      <c r="Z1093" s="73"/>
      <c r="AA1093" s="73"/>
      <c r="AB1093" s="73"/>
      <c r="AC1093" s="73"/>
      <c r="AD1093" s="73"/>
      <c r="AE1093" s="73"/>
      <c r="AF1093" s="73"/>
      <c r="AG1093" s="73"/>
      <c r="AH1093" s="73"/>
      <c r="AI1093" s="73"/>
      <c r="AJ1093" s="161"/>
      <c r="AK1093" s="76" t="s">
        <v>6276</v>
      </c>
      <c r="AL1093" s="83" t="s">
        <v>11081</v>
      </c>
      <c r="AM1093" s="71" t="s">
        <v>11082</v>
      </c>
      <c r="AN1093" s="84" t="s">
        <v>11083</v>
      </c>
      <c r="AO1093" s="71" t="s">
        <v>11084</v>
      </c>
      <c r="AP1093" s="161" t="str">
        <f>IMAGE("https://bellingcat-archive.nyc3.cdn.digitaloceanspaces.com/Ukraine_Witness_Datasheet/Worksheet/telegram_08bb90c2c3/out2.jpg")</f>
        <v/>
      </c>
      <c r="AQ1093" s="84" t="s">
        <v>11085</v>
      </c>
      <c r="AR1093" s="84" t="s">
        <v>11086</v>
      </c>
      <c r="AS1093" s="71" t="s">
        <v>11087</v>
      </c>
      <c r="AT1093" s="71">
        <v>43.0</v>
      </c>
      <c r="AU1093" s="89"/>
      <c r="AV1093" s="162"/>
      <c r="AW1093" s="81"/>
    </row>
    <row r="1094" ht="15.75" customHeight="1">
      <c r="A1094" s="208"/>
      <c r="B1094" s="73"/>
      <c r="C1094" s="57" t="s">
        <v>10973</v>
      </c>
      <c r="D1094" s="121"/>
      <c r="E1094" s="121"/>
      <c r="F1094" s="79">
        <v>2.0</v>
      </c>
      <c r="G1094" s="84" t="s">
        <v>11088</v>
      </c>
      <c r="H1094" s="73"/>
      <c r="I1094" s="75"/>
      <c r="J1094" s="64" t="s">
        <v>11089</v>
      </c>
      <c r="K1094" s="69"/>
      <c r="L1094" s="65" t="s">
        <v>3542</v>
      </c>
      <c r="M1094" s="111"/>
      <c r="N1094" s="111"/>
      <c r="O1094" s="92" t="s">
        <v>6109</v>
      </c>
      <c r="P1094" s="67" t="str">
        <f t="shared" si="1"/>
        <v/>
      </c>
      <c r="Q1094" s="67" t="str">
        <f t="shared" si="2"/>
        <v/>
      </c>
      <c r="R1094" s="67" t="str">
        <f t="shared" si="3"/>
        <v/>
      </c>
      <c r="S1094" s="67" t="str">
        <f t="shared" si="4"/>
        <v/>
      </c>
      <c r="T1094" s="161"/>
      <c r="U1094" s="69"/>
      <c r="V1094" s="169" t="s">
        <v>11090</v>
      </c>
      <c r="W1094" s="161"/>
      <c r="X1094" s="194"/>
      <c r="Y1094" s="73"/>
      <c r="Z1094" s="73"/>
      <c r="AA1094" s="73"/>
      <c r="AB1094" s="73"/>
      <c r="AC1094" s="73"/>
      <c r="AD1094" s="73"/>
      <c r="AE1094" s="73"/>
      <c r="AF1094" s="73"/>
      <c r="AG1094" s="73"/>
      <c r="AH1094" s="73"/>
      <c r="AI1094" s="73"/>
      <c r="AJ1094" s="161"/>
      <c r="AK1094" s="76" t="s">
        <v>798</v>
      </c>
      <c r="AL1094" s="83" t="s">
        <v>11091</v>
      </c>
      <c r="AM1094" s="71" t="s">
        <v>11092</v>
      </c>
      <c r="AN1094" s="84" t="s">
        <v>11093</v>
      </c>
      <c r="AO1094" s="71" t="s">
        <v>11094</v>
      </c>
      <c r="AP1094" s="161" t="str">
        <f>IMAGE("https://bellingcat-archive.nyc3.cdn.digitaloceanspaces.com/Ukraine_Witness_Datasheet/Worksheet/youtube_dl_1498942056743555074/out2.jpg")</f>
        <v/>
      </c>
      <c r="AQ1094" s="84" t="s">
        <v>11095</v>
      </c>
      <c r="AR1094" s="71" t="s">
        <v>11096</v>
      </c>
      <c r="AS1094" s="71" t="s">
        <v>11097</v>
      </c>
      <c r="AT1094" s="71">
        <v>9.734</v>
      </c>
      <c r="AU1094" s="89"/>
      <c r="AV1094" s="162"/>
      <c r="AW1094" s="81"/>
    </row>
    <row r="1095" ht="15.75" customHeight="1">
      <c r="A1095" s="204" t="s">
        <v>63</v>
      </c>
      <c r="B1095" s="73"/>
      <c r="C1095" s="57" t="s">
        <v>10973</v>
      </c>
      <c r="D1095" s="74">
        <v>46.650787</v>
      </c>
      <c r="E1095" s="74">
        <v>32.594884</v>
      </c>
      <c r="F1095" s="79">
        <v>1.0</v>
      </c>
      <c r="G1095" s="84" t="s">
        <v>11098</v>
      </c>
      <c r="H1095" s="73"/>
      <c r="I1095" s="75"/>
      <c r="J1095" s="64" t="s">
        <v>11099</v>
      </c>
      <c r="K1095" s="69"/>
      <c r="L1095" s="65" t="s">
        <v>3542</v>
      </c>
      <c r="M1095" s="92" t="s">
        <v>5702</v>
      </c>
      <c r="N1095" s="111"/>
      <c r="O1095" s="92" t="s">
        <v>7098</v>
      </c>
      <c r="P1095" s="67" t="str">
        <f t="shared" si="1"/>
        <v>46.650787, 32.594884</v>
      </c>
      <c r="Q1095" s="67" t="str">
        <f t="shared" si="2"/>
        <v>46.650408, 32.595493</v>
      </c>
      <c r="R1095" s="67">
        <f t="shared" si="3"/>
        <v>46.650408</v>
      </c>
      <c r="S1095" s="67">
        <f t="shared" si="4"/>
        <v>32.595493</v>
      </c>
      <c r="T1095" s="161"/>
      <c r="U1095" s="69"/>
      <c r="V1095" s="169" t="s">
        <v>11100</v>
      </c>
      <c r="W1095" s="71" t="s">
        <v>5858</v>
      </c>
      <c r="X1095" s="72" t="s">
        <v>2982</v>
      </c>
      <c r="Y1095" s="73"/>
      <c r="Z1095" s="73"/>
      <c r="AA1095" s="73"/>
      <c r="AB1095" s="73"/>
      <c r="AC1095" s="73"/>
      <c r="AD1095" s="73"/>
      <c r="AE1095" s="73"/>
      <c r="AF1095" s="73"/>
      <c r="AG1095" s="73"/>
      <c r="AH1095" s="73"/>
      <c r="AI1095" s="73"/>
      <c r="AJ1095" s="161"/>
      <c r="AK1095" s="76" t="s">
        <v>798</v>
      </c>
      <c r="AL1095" s="83" t="s">
        <v>11101</v>
      </c>
      <c r="AM1095" s="71" t="s">
        <v>11102</v>
      </c>
      <c r="AN1095" s="84" t="s">
        <v>11103</v>
      </c>
      <c r="AO1095" s="71" t="s">
        <v>11104</v>
      </c>
      <c r="AP1095" s="161" t="str">
        <f>IMAGE("https://bellingcat-archive.nyc3.cdn.digitaloceanspaces.com/Ukraine_Witness_Datasheet/Worksheet/youtube_dl_1498904155406184454/out3.jpg")</f>
        <v/>
      </c>
      <c r="AQ1095" s="84" t="s">
        <v>11105</v>
      </c>
      <c r="AR1095" s="71" t="s">
        <v>11106</v>
      </c>
      <c r="AS1095" s="71" t="s">
        <v>11107</v>
      </c>
      <c r="AT1095" s="71">
        <v>79.901</v>
      </c>
      <c r="AU1095" s="89"/>
      <c r="AV1095" s="80" t="s">
        <v>3944</v>
      </c>
      <c r="AW1095" s="81"/>
    </row>
    <row r="1096" ht="15.75" customHeight="1">
      <c r="A1096" s="208"/>
      <c r="B1096" s="73"/>
      <c r="C1096" s="57" t="s">
        <v>10973</v>
      </c>
      <c r="D1096" s="121"/>
      <c r="E1096" s="121"/>
      <c r="F1096" s="79">
        <v>3.0</v>
      </c>
      <c r="G1096" s="84" t="s">
        <v>11108</v>
      </c>
      <c r="H1096" s="73"/>
      <c r="I1096" s="75"/>
      <c r="J1096" s="64" t="s">
        <v>11109</v>
      </c>
      <c r="K1096" s="69"/>
      <c r="L1096" s="65" t="s">
        <v>3542</v>
      </c>
      <c r="M1096" s="92" t="s">
        <v>5590</v>
      </c>
      <c r="N1096" s="111"/>
      <c r="O1096" s="92" t="s">
        <v>5626</v>
      </c>
      <c r="P1096" s="67" t="str">
        <f t="shared" si="1"/>
        <v/>
      </c>
      <c r="Q1096" s="67" t="str">
        <f t="shared" si="2"/>
        <v/>
      </c>
      <c r="R1096" s="67" t="str">
        <f t="shared" si="3"/>
        <v/>
      </c>
      <c r="S1096" s="67" t="str">
        <f t="shared" si="4"/>
        <v/>
      </c>
      <c r="T1096" s="161"/>
      <c r="U1096" s="69"/>
      <c r="V1096" s="169" t="s">
        <v>11100</v>
      </c>
      <c r="W1096" s="161"/>
      <c r="X1096" s="194"/>
      <c r="Y1096" s="73"/>
      <c r="Z1096" s="73"/>
      <c r="AA1096" s="73"/>
      <c r="AB1096" s="73"/>
      <c r="AC1096" s="73"/>
      <c r="AD1096" s="73"/>
      <c r="AE1096" s="73"/>
      <c r="AF1096" s="73"/>
      <c r="AG1096" s="73"/>
      <c r="AH1096" s="73"/>
      <c r="AI1096" s="73"/>
      <c r="AJ1096" s="161"/>
      <c r="AK1096" s="76" t="s">
        <v>798</v>
      </c>
      <c r="AL1096" s="83" t="s">
        <v>11110</v>
      </c>
      <c r="AM1096" s="71" t="s">
        <v>11111</v>
      </c>
      <c r="AN1096" s="84" t="s">
        <v>11112</v>
      </c>
      <c r="AO1096" s="71" t="s">
        <v>11113</v>
      </c>
      <c r="AP1096" s="161" t="str">
        <f>IMAGE("https://bellingcat-archive.nyc3.cdn.digitaloceanspaces.com/Ukraine_Witness_Datasheet/Worksheet/youtube_dl_1498891738093658116/out2.jpg")</f>
        <v/>
      </c>
      <c r="AQ1096" s="84" t="s">
        <v>11114</v>
      </c>
      <c r="AR1096" s="71" t="s">
        <v>11115</v>
      </c>
      <c r="AS1096" s="71" t="s">
        <v>11116</v>
      </c>
      <c r="AT1096" s="71">
        <v>10.733</v>
      </c>
      <c r="AU1096" s="89"/>
      <c r="AV1096" s="162"/>
      <c r="AW1096" s="81"/>
    </row>
    <row r="1097" ht="15.75" customHeight="1">
      <c r="A1097" s="204" t="s">
        <v>63</v>
      </c>
      <c r="B1097" s="73"/>
      <c r="C1097" s="57" t="s">
        <v>10973</v>
      </c>
      <c r="D1097" s="74">
        <v>46.640137</v>
      </c>
      <c r="E1097" s="74">
        <v>32.614363</v>
      </c>
      <c r="F1097" s="79">
        <v>1.0</v>
      </c>
      <c r="G1097" s="84" t="s">
        <v>11117</v>
      </c>
      <c r="H1097" s="73"/>
      <c r="I1097" s="75"/>
      <c r="J1097" s="64" t="s">
        <v>11118</v>
      </c>
      <c r="K1097" s="69"/>
      <c r="L1097" s="65" t="s">
        <v>3542</v>
      </c>
      <c r="M1097" s="92" t="s">
        <v>5702</v>
      </c>
      <c r="N1097" s="111"/>
      <c r="O1097" s="92" t="s">
        <v>7098</v>
      </c>
      <c r="P1097" s="67" t="str">
        <f t="shared" si="1"/>
        <v>46.640137, 32.614363</v>
      </c>
      <c r="Q1097" s="67" t="str">
        <f t="shared" si="2"/>
        <v>46.639598, 32.613605</v>
      </c>
      <c r="R1097" s="67">
        <f t="shared" si="3"/>
        <v>46.639598</v>
      </c>
      <c r="S1097" s="67">
        <f t="shared" si="4"/>
        <v>32.613605</v>
      </c>
      <c r="T1097" s="161"/>
      <c r="U1097" s="69"/>
      <c r="V1097" s="169" t="s">
        <v>11119</v>
      </c>
      <c r="W1097" s="71" t="s">
        <v>5858</v>
      </c>
      <c r="X1097" s="72" t="s">
        <v>2982</v>
      </c>
      <c r="Y1097" s="73"/>
      <c r="Z1097" s="73"/>
      <c r="AA1097" s="73"/>
      <c r="AB1097" s="73"/>
      <c r="AC1097" s="73"/>
      <c r="AD1097" s="73"/>
      <c r="AE1097" s="73"/>
      <c r="AF1097" s="73"/>
      <c r="AG1097" s="73"/>
      <c r="AH1097" s="73"/>
      <c r="AI1097" s="73"/>
      <c r="AJ1097" s="161"/>
      <c r="AK1097" s="76" t="s">
        <v>2108</v>
      </c>
      <c r="AL1097" s="83" t="s">
        <v>11120</v>
      </c>
      <c r="AM1097" s="71" t="s">
        <v>11121</v>
      </c>
      <c r="AN1097" s="84" t="s">
        <v>11122</v>
      </c>
      <c r="AO1097" s="71" t="s">
        <v>11123</v>
      </c>
      <c r="AP1097" s="161" t="str">
        <f>IMAGE("https://bellingcat-archive.nyc3.cdn.digitaloceanspaces.com/Ukraine_Witness_Datasheet/Worksheet/twitter__media_FMzyDdCWQAUR9SS.jpg")</f>
        <v/>
      </c>
      <c r="AQ1097" s="161"/>
      <c r="AR1097" s="161"/>
      <c r="AS1097" s="71" t="s">
        <v>11124</v>
      </c>
      <c r="AT1097" s="161"/>
      <c r="AU1097" s="89"/>
      <c r="AV1097" s="80" t="s">
        <v>3944</v>
      </c>
      <c r="AW1097" s="81"/>
    </row>
    <row r="1098" ht="15.75" customHeight="1">
      <c r="A1098" s="204" t="s">
        <v>8023</v>
      </c>
      <c r="B1098" s="73"/>
      <c r="C1098" s="57" t="s">
        <v>10973</v>
      </c>
      <c r="D1098" s="104">
        <v>49.9975898</v>
      </c>
      <c r="E1098" s="104">
        <v>36.2394969</v>
      </c>
      <c r="F1098" s="79">
        <v>2.0</v>
      </c>
      <c r="G1098" s="84" t="s">
        <v>11125</v>
      </c>
      <c r="H1098" s="61" t="s">
        <v>66</v>
      </c>
      <c r="I1098" s="75"/>
      <c r="J1098" s="64" t="s">
        <v>11126</v>
      </c>
      <c r="K1098" s="69"/>
      <c r="L1098" s="65" t="s">
        <v>3542</v>
      </c>
      <c r="M1098" s="92" t="s">
        <v>5590</v>
      </c>
      <c r="N1098" s="111"/>
      <c r="O1098" s="92" t="s">
        <v>5626</v>
      </c>
      <c r="P1098" s="67" t="str">
        <f t="shared" si="1"/>
        <v>49.9975898, 36.2394969</v>
      </c>
      <c r="Q1098" s="67" t="str">
        <f t="shared" si="2"/>
        <v>49.997212, 36.23885</v>
      </c>
      <c r="R1098" s="67">
        <f t="shared" si="3"/>
        <v>49.997212</v>
      </c>
      <c r="S1098" s="67">
        <f t="shared" si="4"/>
        <v>36.23885</v>
      </c>
      <c r="T1098" s="71" t="s">
        <v>11127</v>
      </c>
      <c r="U1098" s="69"/>
      <c r="V1098" s="169" t="s">
        <v>11128</v>
      </c>
      <c r="W1098" s="71" t="s">
        <v>3601</v>
      </c>
      <c r="X1098" s="72" t="s">
        <v>2982</v>
      </c>
      <c r="Y1098" s="73"/>
      <c r="Z1098" s="73"/>
      <c r="AA1098" s="73"/>
      <c r="AB1098" s="73"/>
      <c r="AC1098" s="73"/>
      <c r="AD1098" s="73"/>
      <c r="AE1098" s="73"/>
      <c r="AF1098" s="73"/>
      <c r="AG1098" s="73"/>
      <c r="AH1098" s="73"/>
      <c r="AI1098" s="73"/>
      <c r="AJ1098" s="161"/>
      <c r="AK1098" s="76" t="s">
        <v>798</v>
      </c>
      <c r="AL1098" s="83" t="s">
        <v>11129</v>
      </c>
      <c r="AM1098" s="71" t="s">
        <v>11130</v>
      </c>
      <c r="AN1098" s="84" t="s">
        <v>11131</v>
      </c>
      <c r="AO1098" s="71" t="s">
        <v>11132</v>
      </c>
      <c r="AP1098" s="161" t="str">
        <f>IMAGE("https://bellingcat-archive.nyc3.cdn.digitaloceanspaces.com/Ukraine_Witness_Datasheet/Worksheet/youtube_dl_1498906571916591110/out2.jpg")</f>
        <v/>
      </c>
      <c r="AQ1098" s="84" t="s">
        <v>11133</v>
      </c>
      <c r="AR1098" s="71" t="s">
        <v>11134</v>
      </c>
      <c r="AS1098" s="71" t="s">
        <v>11135</v>
      </c>
      <c r="AT1098" s="71">
        <v>8.366</v>
      </c>
      <c r="AU1098" s="89"/>
      <c r="AV1098" s="80" t="s">
        <v>3944</v>
      </c>
      <c r="AW1098" s="81"/>
    </row>
    <row r="1099" ht="15.75" customHeight="1">
      <c r="A1099" s="208"/>
      <c r="B1099" s="73"/>
      <c r="C1099" s="57" t="s">
        <v>10973</v>
      </c>
      <c r="D1099" s="121"/>
      <c r="E1099" s="121"/>
      <c r="F1099" s="79">
        <v>2.0</v>
      </c>
      <c r="G1099" s="84" t="s">
        <v>11136</v>
      </c>
      <c r="H1099" s="73"/>
      <c r="I1099" s="75"/>
      <c r="J1099" s="64" t="s">
        <v>11137</v>
      </c>
      <c r="K1099" s="69"/>
      <c r="L1099" s="65" t="s">
        <v>3542</v>
      </c>
      <c r="M1099" s="92" t="s">
        <v>5590</v>
      </c>
      <c r="N1099" s="111"/>
      <c r="O1099" s="92" t="s">
        <v>5626</v>
      </c>
      <c r="P1099" s="67" t="str">
        <f t="shared" si="1"/>
        <v/>
      </c>
      <c r="Q1099" s="67" t="str">
        <f t="shared" si="2"/>
        <v/>
      </c>
      <c r="R1099" s="67" t="str">
        <f t="shared" si="3"/>
        <v/>
      </c>
      <c r="S1099" s="67" t="str">
        <f t="shared" si="4"/>
        <v/>
      </c>
      <c r="T1099" s="161"/>
      <c r="U1099" s="69"/>
      <c r="V1099" s="169" t="s">
        <v>11138</v>
      </c>
      <c r="W1099" s="161"/>
      <c r="X1099" s="194"/>
      <c r="Y1099" s="73"/>
      <c r="Z1099" s="73"/>
      <c r="AA1099" s="73"/>
      <c r="AB1099" s="73"/>
      <c r="AC1099" s="73"/>
      <c r="AD1099" s="73"/>
      <c r="AE1099" s="73"/>
      <c r="AF1099" s="73"/>
      <c r="AG1099" s="73"/>
      <c r="AH1099" s="73"/>
      <c r="AI1099" s="73"/>
      <c r="AJ1099" s="161"/>
      <c r="AK1099" s="76" t="s">
        <v>798</v>
      </c>
      <c r="AL1099" s="83" t="s">
        <v>11139</v>
      </c>
      <c r="AM1099" s="71" t="s">
        <v>11140</v>
      </c>
      <c r="AN1099" s="84" t="s">
        <v>11141</v>
      </c>
      <c r="AO1099" s="71" t="s">
        <v>11142</v>
      </c>
      <c r="AP1099" s="161" t="str">
        <f>IMAGE("https://bellingcat-archive.nyc3.cdn.digitaloceanspaces.com/Ukraine_Witness_Datasheet/Worksheet/youtube_dl_1498916706965721090/out2.jpg")</f>
        <v/>
      </c>
      <c r="AQ1099" s="84" t="s">
        <v>11143</v>
      </c>
      <c r="AR1099" s="71" t="s">
        <v>11144</v>
      </c>
      <c r="AS1099" s="71" t="s">
        <v>11145</v>
      </c>
      <c r="AT1099" s="71">
        <v>11.466</v>
      </c>
      <c r="AU1099" s="89"/>
      <c r="AV1099" s="162"/>
      <c r="AW1099" s="81"/>
    </row>
    <row r="1100" ht="15.75" customHeight="1">
      <c r="A1100" s="208"/>
      <c r="B1100" s="73"/>
      <c r="C1100" s="57" t="s">
        <v>10973</v>
      </c>
      <c r="D1100" s="121"/>
      <c r="E1100" s="121"/>
      <c r="F1100" s="79">
        <v>2.0</v>
      </c>
      <c r="G1100" s="84" t="s">
        <v>11146</v>
      </c>
      <c r="H1100" s="73"/>
      <c r="I1100" s="75"/>
      <c r="J1100" s="64" t="s">
        <v>11147</v>
      </c>
      <c r="K1100" s="69"/>
      <c r="L1100" s="65" t="s">
        <v>3542</v>
      </c>
      <c r="M1100" s="61" t="s">
        <v>5590</v>
      </c>
      <c r="N1100" s="73"/>
      <c r="O1100" s="61" t="s">
        <v>5626</v>
      </c>
      <c r="P1100" s="67" t="str">
        <f t="shared" si="1"/>
        <v/>
      </c>
      <c r="Q1100" s="67" t="str">
        <f t="shared" si="2"/>
        <v/>
      </c>
      <c r="R1100" s="67" t="str">
        <f t="shared" si="3"/>
        <v/>
      </c>
      <c r="S1100" s="67" t="str">
        <f t="shared" si="4"/>
        <v/>
      </c>
      <c r="T1100" s="161"/>
      <c r="U1100" s="69"/>
      <c r="V1100" s="169" t="s">
        <v>11148</v>
      </c>
      <c r="W1100" s="161"/>
      <c r="X1100" s="194"/>
      <c r="Y1100" s="73"/>
      <c r="Z1100" s="73"/>
      <c r="AA1100" s="73"/>
      <c r="AB1100" s="73"/>
      <c r="AC1100" s="73"/>
      <c r="AD1100" s="73"/>
      <c r="AE1100" s="73"/>
      <c r="AF1100" s="73"/>
      <c r="AG1100" s="73"/>
      <c r="AH1100" s="73"/>
      <c r="AI1100" s="73"/>
      <c r="AJ1100" s="161"/>
      <c r="AK1100" s="76" t="s">
        <v>798</v>
      </c>
      <c r="AL1100" s="83" t="s">
        <v>11149</v>
      </c>
      <c r="AM1100" s="71" t="s">
        <v>11150</v>
      </c>
      <c r="AN1100" s="84" t="s">
        <v>11151</v>
      </c>
      <c r="AO1100" s="71" t="s">
        <v>11152</v>
      </c>
      <c r="AP1100" s="161" t="str">
        <f>IMAGE("https://bellingcat-archive.nyc3.cdn.digitaloceanspaces.com/Ukraine_Witness_Datasheet/Worksheet/youtube_dl_1498919384101830661/out2.jpg")</f>
        <v/>
      </c>
      <c r="AQ1100" s="84" t="s">
        <v>11153</v>
      </c>
      <c r="AR1100" s="71" t="s">
        <v>11154</v>
      </c>
      <c r="AS1100" s="71" t="s">
        <v>11155</v>
      </c>
      <c r="AT1100" s="71">
        <v>35.5</v>
      </c>
      <c r="AU1100" s="89"/>
      <c r="AV1100" s="162"/>
      <c r="AW1100" s="81"/>
    </row>
    <row r="1101" ht="15.75" customHeight="1">
      <c r="A1101" s="208"/>
      <c r="B1101" s="73"/>
      <c r="C1101" s="57" t="s">
        <v>10973</v>
      </c>
      <c r="D1101" s="121"/>
      <c r="E1101" s="121"/>
      <c r="F1101" s="79">
        <v>1.0</v>
      </c>
      <c r="G1101" s="84" t="s">
        <v>11156</v>
      </c>
      <c r="H1101" s="73"/>
      <c r="I1101" s="75"/>
      <c r="J1101" s="64" t="s">
        <v>11157</v>
      </c>
      <c r="K1101" s="69"/>
      <c r="L1101" s="65" t="s">
        <v>3542</v>
      </c>
      <c r="M1101" s="61" t="s">
        <v>10273</v>
      </c>
      <c r="N1101" s="73"/>
      <c r="O1101" s="432" t="s">
        <v>9923</v>
      </c>
      <c r="P1101" s="67" t="str">
        <f t="shared" si="1"/>
        <v/>
      </c>
      <c r="Q1101" s="67" t="str">
        <f t="shared" si="2"/>
        <v/>
      </c>
      <c r="R1101" s="67" t="str">
        <f t="shared" si="3"/>
        <v/>
      </c>
      <c r="S1101" s="67" t="str">
        <f t="shared" si="4"/>
        <v/>
      </c>
      <c r="T1101" s="161"/>
      <c r="U1101" s="69"/>
      <c r="V1101" s="169" t="s">
        <v>11158</v>
      </c>
      <c r="W1101" s="161"/>
      <c r="X1101" s="194"/>
      <c r="Y1101" s="73"/>
      <c r="Z1101" s="73"/>
      <c r="AA1101" s="73"/>
      <c r="AB1101" s="73"/>
      <c r="AC1101" s="73"/>
      <c r="AD1101" s="73"/>
      <c r="AE1101" s="73"/>
      <c r="AF1101" s="73"/>
      <c r="AG1101" s="73"/>
      <c r="AH1101" s="73"/>
      <c r="AI1101" s="73"/>
      <c r="AJ1101" s="161"/>
      <c r="AK1101" s="76" t="s">
        <v>798</v>
      </c>
      <c r="AL1101" s="83" t="s">
        <v>11159</v>
      </c>
      <c r="AM1101" s="71" t="s">
        <v>11160</v>
      </c>
      <c r="AN1101" s="84" t="s">
        <v>11161</v>
      </c>
      <c r="AO1101" s="71" t="s">
        <v>11162</v>
      </c>
      <c r="AP1101" s="161" t="str">
        <f>IMAGE("https://bellingcat-archive.nyc3.cdn.digitaloceanspaces.com/Ukraine_Witness_Datasheet/Worksheet/youtube_dl_1498947163098865667/out2.jpg")</f>
        <v/>
      </c>
      <c r="AQ1101" s="84" t="s">
        <v>11163</v>
      </c>
      <c r="AR1101" s="71" t="s">
        <v>11164</v>
      </c>
      <c r="AS1101" s="71" t="s">
        <v>11165</v>
      </c>
      <c r="AT1101" s="71">
        <v>14.117</v>
      </c>
      <c r="AU1101" s="89"/>
      <c r="AV1101" s="162"/>
      <c r="AW1101" s="81"/>
    </row>
    <row r="1102" ht="15.75" customHeight="1">
      <c r="A1102" s="208"/>
      <c r="B1102" s="73"/>
      <c r="C1102" s="57" t="s">
        <v>10973</v>
      </c>
      <c r="D1102" s="121"/>
      <c r="E1102" s="121"/>
      <c r="F1102" s="79">
        <v>1.0</v>
      </c>
      <c r="G1102" s="84" t="s">
        <v>11166</v>
      </c>
      <c r="H1102" s="73"/>
      <c r="I1102" s="75"/>
      <c r="J1102" s="64" t="s">
        <v>11167</v>
      </c>
      <c r="K1102" s="69"/>
      <c r="L1102" s="65" t="s">
        <v>3542</v>
      </c>
      <c r="M1102" s="61" t="s">
        <v>5590</v>
      </c>
      <c r="N1102" s="73"/>
      <c r="O1102" s="61" t="s">
        <v>11168</v>
      </c>
      <c r="P1102" s="67" t="str">
        <f t="shared" si="1"/>
        <v/>
      </c>
      <c r="Q1102" s="67" t="str">
        <f t="shared" si="2"/>
        <v/>
      </c>
      <c r="R1102" s="67" t="str">
        <f t="shared" si="3"/>
        <v/>
      </c>
      <c r="S1102" s="67" t="str">
        <f t="shared" si="4"/>
        <v/>
      </c>
      <c r="T1102" s="161"/>
      <c r="U1102" s="69"/>
      <c r="V1102" s="169" t="s">
        <v>11169</v>
      </c>
      <c r="W1102" s="161"/>
      <c r="X1102" s="194"/>
      <c r="Y1102" s="73"/>
      <c r="Z1102" s="73"/>
      <c r="AA1102" s="73"/>
      <c r="AB1102" s="73"/>
      <c r="AC1102" s="73"/>
      <c r="AD1102" s="73"/>
      <c r="AE1102" s="73"/>
      <c r="AF1102" s="73"/>
      <c r="AG1102" s="73"/>
      <c r="AH1102" s="73"/>
      <c r="AI1102" s="73"/>
      <c r="AJ1102" s="161"/>
      <c r="AK1102" s="76" t="s">
        <v>798</v>
      </c>
      <c r="AL1102" s="83" t="s">
        <v>11170</v>
      </c>
      <c r="AM1102" s="71" t="s">
        <v>11171</v>
      </c>
      <c r="AN1102" s="84" t="s">
        <v>11172</v>
      </c>
      <c r="AO1102" s="71" t="s">
        <v>11173</v>
      </c>
      <c r="AP1102" s="161" t="str">
        <f>IMAGE("https://bellingcat-archive.nyc3.cdn.digitaloceanspaces.com/Ukraine_Witness_Datasheet/Worksheet/youtube_dl_1498925666758234114/out3.jpg")</f>
        <v/>
      </c>
      <c r="AQ1102" s="84" t="s">
        <v>11174</v>
      </c>
      <c r="AR1102" s="71" t="s">
        <v>11175</v>
      </c>
      <c r="AS1102" s="71" t="s">
        <v>11176</v>
      </c>
      <c r="AT1102" s="71">
        <v>77.2</v>
      </c>
      <c r="AU1102" s="89"/>
      <c r="AV1102" s="162"/>
      <c r="AW1102" s="81"/>
    </row>
    <row r="1103" ht="15.75" customHeight="1">
      <c r="A1103" s="208"/>
      <c r="B1103" s="73"/>
      <c r="C1103" s="57" t="s">
        <v>10973</v>
      </c>
      <c r="D1103" s="121"/>
      <c r="E1103" s="121"/>
      <c r="F1103" s="79">
        <v>2.0</v>
      </c>
      <c r="G1103" s="84" t="s">
        <v>11177</v>
      </c>
      <c r="H1103" s="73"/>
      <c r="I1103" s="75"/>
      <c r="J1103" s="64" t="s">
        <v>11178</v>
      </c>
      <c r="K1103" s="69"/>
      <c r="L1103" s="65" t="s">
        <v>3542</v>
      </c>
      <c r="M1103" s="61" t="s">
        <v>5590</v>
      </c>
      <c r="N1103" s="73"/>
      <c r="O1103" s="61" t="s">
        <v>5626</v>
      </c>
      <c r="P1103" s="67" t="str">
        <f t="shared" si="1"/>
        <v/>
      </c>
      <c r="Q1103" s="67" t="str">
        <f t="shared" si="2"/>
        <v/>
      </c>
      <c r="R1103" s="67" t="str">
        <f t="shared" si="3"/>
        <v/>
      </c>
      <c r="S1103" s="67" t="str">
        <f t="shared" si="4"/>
        <v/>
      </c>
      <c r="T1103" s="161"/>
      <c r="U1103" s="69"/>
      <c r="V1103" s="169" t="s">
        <v>11179</v>
      </c>
      <c r="W1103" s="161"/>
      <c r="X1103" s="194"/>
      <c r="Y1103" s="73"/>
      <c r="Z1103" s="73"/>
      <c r="AA1103" s="73"/>
      <c r="AB1103" s="73"/>
      <c r="AC1103" s="73"/>
      <c r="AD1103" s="73"/>
      <c r="AE1103" s="73"/>
      <c r="AF1103" s="73"/>
      <c r="AG1103" s="73"/>
      <c r="AH1103" s="73"/>
      <c r="AI1103" s="73"/>
      <c r="AJ1103" s="161"/>
      <c r="AK1103" s="76" t="s">
        <v>798</v>
      </c>
      <c r="AL1103" s="83" t="s">
        <v>11180</v>
      </c>
      <c r="AM1103" s="71" t="s">
        <v>11181</v>
      </c>
      <c r="AN1103" s="84" t="s">
        <v>11182</v>
      </c>
      <c r="AO1103" s="71" t="s">
        <v>11183</v>
      </c>
      <c r="AP1103" s="161" t="str">
        <f>IMAGE("https://bellingcat-archive.nyc3.cdn.digitaloceanspaces.com/Ukraine_Witness_Datasheet/Worksheet/youtube_dl_1498907159400271873/out2.jpg")</f>
        <v/>
      </c>
      <c r="AQ1103" s="84" t="s">
        <v>11184</v>
      </c>
      <c r="AR1103" s="71" t="s">
        <v>11185</v>
      </c>
      <c r="AS1103" s="71" t="s">
        <v>11186</v>
      </c>
      <c r="AT1103" s="71">
        <v>37.533</v>
      </c>
      <c r="AU1103" s="89"/>
      <c r="AV1103" s="162"/>
      <c r="AW1103" s="81"/>
    </row>
    <row r="1104" ht="15.75" customHeight="1">
      <c r="A1104" s="72" t="s">
        <v>2580</v>
      </c>
      <c r="B1104" s="73"/>
      <c r="C1104" s="57" t="s">
        <v>10973</v>
      </c>
      <c r="D1104" s="74">
        <v>50.01405</v>
      </c>
      <c r="E1104" s="74">
        <v>36.223008</v>
      </c>
      <c r="F1104" s="79">
        <v>2.0</v>
      </c>
      <c r="G1104" s="84" t="s">
        <v>11187</v>
      </c>
      <c r="H1104" s="73"/>
      <c r="I1104" s="75"/>
      <c r="J1104" s="64" t="s">
        <v>11188</v>
      </c>
      <c r="K1104" s="69"/>
      <c r="L1104" s="65" t="s">
        <v>3542</v>
      </c>
      <c r="M1104" s="92" t="s">
        <v>5590</v>
      </c>
      <c r="N1104" s="111"/>
      <c r="O1104" s="92" t="s">
        <v>5626</v>
      </c>
      <c r="P1104" s="67" t="str">
        <f t="shared" si="1"/>
        <v>50.01405, 36.223008</v>
      </c>
      <c r="Q1104" s="67" t="str">
        <f t="shared" si="2"/>
        <v>50.013631, 36.224073</v>
      </c>
      <c r="R1104" s="67">
        <f t="shared" si="3"/>
        <v>50.013631</v>
      </c>
      <c r="S1104" s="67">
        <f t="shared" si="4"/>
        <v>36.224073</v>
      </c>
      <c r="T1104" s="433"/>
      <c r="U1104" s="69"/>
      <c r="V1104" s="169" t="s">
        <v>11189</v>
      </c>
      <c r="W1104" s="71" t="s">
        <v>3601</v>
      </c>
      <c r="X1104" s="72" t="s">
        <v>2982</v>
      </c>
      <c r="Y1104" s="73"/>
      <c r="Z1104" s="73"/>
      <c r="AA1104" s="73"/>
      <c r="AB1104" s="73"/>
      <c r="AC1104" s="73"/>
      <c r="AD1104" s="73"/>
      <c r="AE1104" s="73"/>
      <c r="AF1104" s="73"/>
      <c r="AG1104" s="73"/>
      <c r="AH1104" s="73"/>
      <c r="AI1104" s="73"/>
      <c r="AJ1104" s="161"/>
      <c r="AK1104" s="76" t="s">
        <v>798</v>
      </c>
      <c r="AL1104" s="83" t="s">
        <v>11190</v>
      </c>
      <c r="AM1104" s="71" t="s">
        <v>11191</v>
      </c>
      <c r="AN1104" s="84" t="s">
        <v>11192</v>
      </c>
      <c r="AO1104" s="71" t="s">
        <v>11193</v>
      </c>
      <c r="AP1104" s="161" t="str">
        <f>IMAGE("https://bellingcat-archive.nyc3.cdn.digitaloceanspaces.com/Ukraine_Witness_Datasheet/Worksheet/youtube_dl_1498921371015000066/out2.jpg")</f>
        <v/>
      </c>
      <c r="AQ1104" s="84" t="s">
        <v>11194</v>
      </c>
      <c r="AR1104" s="71" t="s">
        <v>11195</v>
      </c>
      <c r="AS1104" s="71" t="s">
        <v>11196</v>
      </c>
      <c r="AT1104" s="71">
        <v>37.8</v>
      </c>
      <c r="AU1104" s="89"/>
      <c r="AV1104" s="80" t="s">
        <v>3944</v>
      </c>
      <c r="AW1104" s="81"/>
    </row>
    <row r="1105" ht="15.75" customHeight="1">
      <c r="A1105" s="204" t="s">
        <v>63</v>
      </c>
      <c r="B1105" s="73"/>
      <c r="C1105" s="57" t="s">
        <v>8024</v>
      </c>
      <c r="D1105" s="74">
        <v>50.925932</v>
      </c>
      <c r="E1105" s="74">
        <v>29.877105</v>
      </c>
      <c r="F1105" s="79">
        <v>5.0</v>
      </c>
      <c r="G1105" s="84" t="s">
        <v>11197</v>
      </c>
      <c r="H1105" s="73"/>
      <c r="I1105" s="75"/>
      <c r="J1105" s="64" t="s">
        <v>11198</v>
      </c>
      <c r="K1105" s="69"/>
      <c r="L1105" s="65" t="s">
        <v>3542</v>
      </c>
      <c r="M1105" s="92" t="s">
        <v>5827</v>
      </c>
      <c r="N1105" s="111"/>
      <c r="O1105" s="92" t="s">
        <v>8817</v>
      </c>
      <c r="P1105" s="67" t="str">
        <f t="shared" si="1"/>
        <v>50.925932, 29.877105</v>
      </c>
      <c r="Q1105" s="67" t="str">
        <f t="shared" si="2"/>
        <v>50.925339, 29.877971</v>
      </c>
      <c r="R1105" s="67">
        <f t="shared" si="3"/>
        <v>50.925339</v>
      </c>
      <c r="S1105" s="67">
        <f t="shared" si="4"/>
        <v>29.877971</v>
      </c>
      <c r="T1105" s="161"/>
      <c r="U1105" s="69"/>
      <c r="V1105" s="169" t="s">
        <v>11199</v>
      </c>
      <c r="W1105" s="71" t="s">
        <v>8546</v>
      </c>
      <c r="X1105" s="72" t="s">
        <v>2982</v>
      </c>
      <c r="Y1105" s="73"/>
      <c r="Z1105" s="73"/>
      <c r="AA1105" s="73"/>
      <c r="AB1105" s="73"/>
      <c r="AC1105" s="73"/>
      <c r="AD1105" s="73"/>
      <c r="AE1105" s="73"/>
      <c r="AF1105" s="73"/>
      <c r="AG1105" s="73"/>
      <c r="AH1105" s="73"/>
      <c r="AI1105" s="73"/>
      <c r="AJ1105" s="161"/>
      <c r="AK1105" s="76" t="s">
        <v>798</v>
      </c>
      <c r="AL1105" s="83" t="s">
        <v>11200</v>
      </c>
      <c r="AM1105" s="71" t="s">
        <v>11201</v>
      </c>
      <c r="AN1105" s="84" t="s">
        <v>11202</v>
      </c>
      <c r="AO1105" s="71" t="s">
        <v>11203</v>
      </c>
      <c r="AP1105" s="161" t="str">
        <f>IMAGE("https://bellingcat-archive.nyc3.cdn.digitaloceanspaces.com/Ukraine_Witness_Datasheet/Worksheet/youtube_dl_1017002309169675/out5.jpg")</f>
        <v/>
      </c>
      <c r="AQ1105" s="84" t="s">
        <v>11204</v>
      </c>
      <c r="AR1105" s="71" t="s">
        <v>11205</v>
      </c>
      <c r="AS1105" s="71" t="s">
        <v>11206</v>
      </c>
      <c r="AT1105" s="71">
        <v>299.998</v>
      </c>
      <c r="AU1105" s="89"/>
      <c r="AV1105" s="80" t="s">
        <v>3944</v>
      </c>
      <c r="AW1105" s="81"/>
    </row>
    <row r="1106" ht="15.75" customHeight="1">
      <c r="A1106" s="208"/>
      <c r="B1106" s="73"/>
      <c r="C1106" s="57" t="s">
        <v>10973</v>
      </c>
      <c r="D1106" s="121"/>
      <c r="E1106" s="121"/>
      <c r="F1106" s="79">
        <v>2.0</v>
      </c>
      <c r="G1106" s="84" t="s">
        <v>11207</v>
      </c>
      <c r="H1106" s="73"/>
      <c r="I1106" s="75"/>
      <c r="J1106" s="64" t="s">
        <v>6085</v>
      </c>
      <c r="K1106" s="69"/>
      <c r="L1106" s="70"/>
      <c r="M1106" s="92" t="s">
        <v>407</v>
      </c>
      <c r="N1106" s="111"/>
      <c r="O1106" s="92" t="s">
        <v>10853</v>
      </c>
      <c r="P1106" s="67" t="str">
        <f t="shared" si="1"/>
        <v/>
      </c>
      <c r="Q1106" s="67" t="str">
        <f t="shared" si="2"/>
        <v/>
      </c>
      <c r="R1106" s="67" t="str">
        <f t="shared" si="3"/>
        <v/>
      </c>
      <c r="S1106" s="67" t="str">
        <f t="shared" si="4"/>
        <v/>
      </c>
      <c r="T1106" s="161"/>
      <c r="U1106" s="69"/>
      <c r="V1106" s="169" t="s">
        <v>11208</v>
      </c>
      <c r="W1106" s="161"/>
      <c r="X1106" s="194"/>
      <c r="Y1106" s="73"/>
      <c r="Z1106" s="73"/>
      <c r="AA1106" s="73"/>
      <c r="AB1106" s="73"/>
      <c r="AC1106" s="73"/>
      <c r="AD1106" s="73"/>
      <c r="AE1106" s="73"/>
      <c r="AF1106" s="73"/>
      <c r="AG1106" s="73"/>
      <c r="AH1106" s="73"/>
      <c r="AI1106" s="73"/>
      <c r="AJ1106" s="161"/>
      <c r="AK1106" s="76" t="s">
        <v>2108</v>
      </c>
      <c r="AL1106" s="83" t="s">
        <v>11209</v>
      </c>
      <c r="AM1106" s="71" t="s">
        <v>11210</v>
      </c>
      <c r="AN1106" s="84" t="s">
        <v>11211</v>
      </c>
      <c r="AO1106" s="71" t="s">
        <v>11212</v>
      </c>
      <c r="AP1106" s="161" t="str">
        <f>IMAGE("https://bellingcat-archive.nyc3.cdn.digitaloceanspaces.com/Ukraine_Witness_Datasheet/Worksheet/twitter__media_FM1Y5PsWYAMekVZ.jpg")</f>
        <v/>
      </c>
      <c r="AQ1106" s="161"/>
      <c r="AR1106" s="161"/>
      <c r="AS1106" s="71" t="s">
        <v>11213</v>
      </c>
      <c r="AT1106" s="161"/>
      <c r="AU1106" s="89"/>
      <c r="AV1106" s="162"/>
      <c r="AW1106" s="81"/>
    </row>
    <row r="1107" ht="15.75" customHeight="1">
      <c r="A1107" s="72" t="s">
        <v>8023</v>
      </c>
      <c r="B1107" s="73"/>
      <c r="C1107" s="57" t="s">
        <v>10973</v>
      </c>
      <c r="D1107" s="300">
        <v>48.921314</v>
      </c>
      <c r="E1107" s="300">
        <v>38.403618</v>
      </c>
      <c r="F1107" s="79">
        <v>2.0</v>
      </c>
      <c r="G1107" s="84" t="s">
        <v>11214</v>
      </c>
      <c r="H1107" s="61" t="s">
        <v>66</v>
      </c>
      <c r="I1107" s="75"/>
      <c r="J1107" s="64" t="s">
        <v>11215</v>
      </c>
      <c r="K1107" s="69"/>
      <c r="L1107" s="65" t="s">
        <v>3542</v>
      </c>
      <c r="M1107" s="92" t="s">
        <v>10273</v>
      </c>
      <c r="N1107" s="111"/>
      <c r="O1107" s="92" t="s">
        <v>11216</v>
      </c>
      <c r="P1107" s="67" t="str">
        <f t="shared" si="1"/>
        <v>48.921314, 38.403618</v>
      </c>
      <c r="Q1107" s="67" t="str">
        <f t="shared" si="2"/>
        <v>48.92117, 38.402522</v>
      </c>
      <c r="R1107" s="67">
        <f t="shared" si="3"/>
        <v>48.92117</v>
      </c>
      <c r="S1107" s="67">
        <f t="shared" si="4"/>
        <v>38.402522</v>
      </c>
      <c r="T1107" s="71" t="s">
        <v>11217</v>
      </c>
      <c r="U1107" s="69"/>
      <c r="V1107" s="169" t="s">
        <v>11218</v>
      </c>
      <c r="W1107" s="71" t="s">
        <v>3601</v>
      </c>
      <c r="X1107" s="72" t="s">
        <v>2982</v>
      </c>
      <c r="Y1107" s="73"/>
      <c r="Z1107" s="73"/>
      <c r="AA1107" s="73"/>
      <c r="AB1107" s="73"/>
      <c r="AC1107" s="73"/>
      <c r="AD1107" s="73"/>
      <c r="AE1107" s="73"/>
      <c r="AF1107" s="73"/>
      <c r="AG1107" s="73"/>
      <c r="AH1107" s="73"/>
      <c r="AI1107" s="73"/>
      <c r="AJ1107" s="161"/>
      <c r="AK1107" s="76" t="s">
        <v>798</v>
      </c>
      <c r="AL1107" s="83" t="s">
        <v>11219</v>
      </c>
      <c r="AM1107" s="71" t="s">
        <v>11220</v>
      </c>
      <c r="AN1107" s="84" t="s">
        <v>11221</v>
      </c>
      <c r="AO1107" s="71" t="s">
        <v>11222</v>
      </c>
      <c r="AP1107" s="161" t="str">
        <f>IMAGE("https://bellingcat-archive.nyc3.cdn.digitaloceanspaces.com/Ukraine_Witness_Datasheet/Worksheet/youtube_dl_1498964238941007874/out2.jpg")</f>
        <v/>
      </c>
      <c r="AQ1107" s="84" t="s">
        <v>11223</v>
      </c>
      <c r="AR1107" s="71" t="s">
        <v>11224</v>
      </c>
      <c r="AS1107" s="71" t="s">
        <v>11225</v>
      </c>
      <c r="AT1107" s="71">
        <v>23.679</v>
      </c>
      <c r="AU1107" s="89"/>
      <c r="AV1107" s="162"/>
      <c r="AW1107" s="81"/>
    </row>
    <row r="1108" ht="15.75" customHeight="1">
      <c r="A1108" s="72" t="s">
        <v>3944</v>
      </c>
      <c r="B1108" s="73"/>
      <c r="C1108" s="57" t="s">
        <v>8024</v>
      </c>
      <c r="D1108" s="74">
        <v>50.925932</v>
      </c>
      <c r="E1108" s="74">
        <v>29.877105</v>
      </c>
      <c r="F1108" s="79">
        <v>5.0</v>
      </c>
      <c r="G1108" s="84" t="s">
        <v>11226</v>
      </c>
      <c r="H1108" s="73"/>
      <c r="I1108" s="75"/>
      <c r="J1108" s="64" t="s">
        <v>11227</v>
      </c>
      <c r="K1108" s="69"/>
      <c r="L1108" s="65" t="s">
        <v>3542</v>
      </c>
      <c r="M1108" s="92" t="s">
        <v>5827</v>
      </c>
      <c r="N1108" s="111"/>
      <c r="O1108" s="92" t="s">
        <v>8817</v>
      </c>
      <c r="P1108" s="67" t="str">
        <f t="shared" si="1"/>
        <v>50.925932, 29.877105</v>
      </c>
      <c r="Q1108" s="67" t="str">
        <f t="shared" si="2"/>
        <v>50.92543, 29.877009</v>
      </c>
      <c r="R1108" s="67">
        <f t="shared" si="3"/>
        <v>50.92543</v>
      </c>
      <c r="S1108" s="67">
        <f t="shared" si="4"/>
        <v>29.877009</v>
      </c>
      <c r="T1108" s="161"/>
      <c r="U1108" s="69"/>
      <c r="V1108" s="169" t="s">
        <v>11228</v>
      </c>
      <c r="W1108" s="71" t="s">
        <v>8546</v>
      </c>
      <c r="X1108" s="72" t="s">
        <v>2982</v>
      </c>
      <c r="Y1108" s="73"/>
      <c r="Z1108" s="73"/>
      <c r="AA1108" s="73"/>
      <c r="AB1108" s="73"/>
      <c r="AC1108" s="73"/>
      <c r="AD1108" s="73"/>
      <c r="AE1108" s="73"/>
      <c r="AF1108" s="73"/>
      <c r="AG1108" s="73"/>
      <c r="AH1108" s="73"/>
      <c r="AI1108" s="73"/>
      <c r="AJ1108" s="161"/>
      <c r="AK1108" s="76" t="s">
        <v>798</v>
      </c>
      <c r="AL1108" s="83" t="s">
        <v>11229</v>
      </c>
      <c r="AM1108" s="71" t="s">
        <v>11230</v>
      </c>
      <c r="AN1108" s="84" t="s">
        <v>11231</v>
      </c>
      <c r="AO1108" s="71" t="s">
        <v>11232</v>
      </c>
      <c r="AP1108" s="161" t="str">
        <f>IMAGE("https://bellingcat-archive.nyc3.cdn.digitaloceanspaces.com/Ukraine_Witness_Datasheet/Worksheet/youtube_dl_bnLHQ3VFzc4/out3.jpg")</f>
        <v/>
      </c>
      <c r="AQ1108" s="84" t="s">
        <v>11233</v>
      </c>
      <c r="AR1108" s="71" t="s">
        <v>11234</v>
      </c>
      <c r="AS1108" s="71" t="s">
        <v>11235</v>
      </c>
      <c r="AT1108" s="71">
        <v>66.0</v>
      </c>
      <c r="AU1108" s="89"/>
      <c r="AV1108" s="162"/>
      <c r="AW1108" s="81"/>
    </row>
    <row r="1109" ht="15.75" customHeight="1">
      <c r="A1109" s="204" t="s">
        <v>63</v>
      </c>
      <c r="B1109" s="73"/>
      <c r="C1109" s="57" t="s">
        <v>10973</v>
      </c>
      <c r="D1109" s="74">
        <v>51.238349</v>
      </c>
      <c r="E1109" s="74">
        <v>33.207274</v>
      </c>
      <c r="F1109" s="79">
        <v>2.0</v>
      </c>
      <c r="G1109" s="84" t="s">
        <v>11236</v>
      </c>
      <c r="H1109" s="73"/>
      <c r="I1109" s="75"/>
      <c r="J1109" s="64" t="s">
        <v>11237</v>
      </c>
      <c r="K1109" s="69"/>
      <c r="L1109" s="65" t="s">
        <v>3542</v>
      </c>
      <c r="M1109" s="92" t="s">
        <v>5978</v>
      </c>
      <c r="N1109" s="92" t="s">
        <v>11238</v>
      </c>
      <c r="O1109" s="92" t="s">
        <v>11239</v>
      </c>
      <c r="P1109" s="67" t="str">
        <f t="shared" si="1"/>
        <v>51.238349, 33.207274</v>
      </c>
      <c r="Q1109" s="67" t="str">
        <f t="shared" si="2"/>
        <v>51.237873, 33.206902</v>
      </c>
      <c r="R1109" s="67">
        <f t="shared" si="3"/>
        <v>51.237873</v>
      </c>
      <c r="S1109" s="67">
        <f t="shared" si="4"/>
        <v>33.206902</v>
      </c>
      <c r="T1109" s="161"/>
      <c r="U1109" s="69"/>
      <c r="V1109" s="169" t="s">
        <v>11240</v>
      </c>
      <c r="W1109" s="71" t="s">
        <v>5858</v>
      </c>
      <c r="X1109" s="72" t="s">
        <v>2982</v>
      </c>
      <c r="Y1109" s="73"/>
      <c r="Z1109" s="73"/>
      <c r="AA1109" s="73"/>
      <c r="AB1109" s="73"/>
      <c r="AC1109" s="73"/>
      <c r="AD1109" s="73"/>
      <c r="AE1109" s="73"/>
      <c r="AF1109" s="73"/>
      <c r="AG1109" s="73"/>
      <c r="AH1109" s="73"/>
      <c r="AI1109" s="73"/>
      <c r="AJ1109" s="161"/>
      <c r="AK1109" s="76" t="s">
        <v>798</v>
      </c>
      <c r="AL1109" s="83" t="s">
        <v>11241</v>
      </c>
      <c r="AM1109" s="71" t="s">
        <v>11242</v>
      </c>
      <c r="AN1109" s="84" t="s">
        <v>11243</v>
      </c>
      <c r="AO1109" s="71" t="s">
        <v>11244</v>
      </c>
      <c r="AP1109" s="161" t="str">
        <f>IMAGE("https://bellingcat-archive.nyc3.cdn.digitaloceanspaces.com/Ukraine_Witness_Datasheet/Worksheet/youtube_dl_1498955188811583492/out3.jpg")</f>
        <v/>
      </c>
      <c r="AQ1109" s="84" t="s">
        <v>11245</v>
      </c>
      <c r="AR1109" s="71" t="s">
        <v>11246</v>
      </c>
      <c r="AS1109" s="71" t="s">
        <v>11247</v>
      </c>
      <c r="AT1109" s="71">
        <v>113.133</v>
      </c>
      <c r="AU1109" s="89"/>
      <c r="AV1109" s="80" t="s">
        <v>3944</v>
      </c>
      <c r="AW1109" s="81"/>
    </row>
    <row r="1110" ht="15.75" customHeight="1">
      <c r="A1110" s="204" t="s">
        <v>63</v>
      </c>
      <c r="B1110" s="73"/>
      <c r="C1110" s="57" t="s">
        <v>10973</v>
      </c>
      <c r="D1110" s="74">
        <v>46.413633</v>
      </c>
      <c r="E1110" s="74">
        <v>30.692319</v>
      </c>
      <c r="F1110" s="79">
        <v>1.0</v>
      </c>
      <c r="G1110" s="84" t="s">
        <v>11248</v>
      </c>
      <c r="H1110" s="73"/>
      <c r="I1110" s="75"/>
      <c r="J1110" s="64" t="s">
        <v>11249</v>
      </c>
      <c r="K1110" s="69"/>
      <c r="L1110" s="65" t="s">
        <v>3542</v>
      </c>
      <c r="M1110" s="92" t="s">
        <v>5559</v>
      </c>
      <c r="N1110" s="111"/>
      <c r="O1110" s="92" t="s">
        <v>5682</v>
      </c>
      <c r="P1110" s="67" t="str">
        <f t="shared" si="1"/>
        <v>46.413633, 30.692319</v>
      </c>
      <c r="Q1110" s="67" t="str">
        <f t="shared" si="2"/>
        <v>46.413146, 30.691442</v>
      </c>
      <c r="R1110" s="67">
        <f t="shared" si="3"/>
        <v>46.413146</v>
      </c>
      <c r="S1110" s="67">
        <f t="shared" si="4"/>
        <v>30.691442</v>
      </c>
      <c r="T1110" s="161"/>
      <c r="U1110" s="69"/>
      <c r="V1110" s="169" t="s">
        <v>11250</v>
      </c>
      <c r="W1110" s="71" t="s">
        <v>3546</v>
      </c>
      <c r="X1110" s="72" t="s">
        <v>2982</v>
      </c>
      <c r="Y1110" s="73"/>
      <c r="Z1110" s="73"/>
      <c r="AA1110" s="73"/>
      <c r="AB1110" s="73"/>
      <c r="AC1110" s="73"/>
      <c r="AD1110" s="73"/>
      <c r="AE1110" s="73"/>
      <c r="AF1110" s="73"/>
      <c r="AG1110" s="73"/>
      <c r="AH1110" s="73"/>
      <c r="AI1110" s="73"/>
      <c r="AJ1110" s="161"/>
      <c r="AK1110" s="76" t="s">
        <v>798</v>
      </c>
      <c r="AL1110" s="83" t="s">
        <v>11251</v>
      </c>
      <c r="AM1110" s="71" t="s">
        <v>11252</v>
      </c>
      <c r="AN1110" s="84" t="s">
        <v>11253</v>
      </c>
      <c r="AO1110" s="71" t="s">
        <v>11254</v>
      </c>
      <c r="AP1110" s="161" t="str">
        <f>IMAGE("https://bellingcat-archive.nyc3.cdn.digitaloceanspaces.com/Ukraine_Witness_Datasheet/Worksheet/youtube_dl_1498945034669993987/out2.jpg")</f>
        <v/>
      </c>
      <c r="AQ1110" s="84" t="s">
        <v>11255</v>
      </c>
      <c r="AR1110" s="71" t="s">
        <v>11256</v>
      </c>
      <c r="AS1110" s="71" t="s">
        <v>11257</v>
      </c>
      <c r="AT1110" s="71">
        <v>11.052</v>
      </c>
      <c r="AU1110" s="89"/>
      <c r="AV1110" s="80" t="s">
        <v>3944</v>
      </c>
      <c r="AW1110" s="81"/>
    </row>
    <row r="1111" ht="15.75" customHeight="1">
      <c r="A1111" s="434" t="s">
        <v>6880</v>
      </c>
      <c r="B1111" s="73"/>
      <c r="C1111" s="176"/>
      <c r="D1111" s="121"/>
      <c r="E1111" s="121"/>
      <c r="F1111" s="89"/>
      <c r="G1111" s="161"/>
      <c r="H1111" s="73"/>
      <c r="I1111" s="75"/>
      <c r="J1111" s="69"/>
      <c r="K1111" s="69"/>
      <c r="L1111" s="70"/>
      <c r="M1111" s="111"/>
      <c r="N1111" s="111"/>
      <c r="O1111" s="111"/>
      <c r="P1111" s="67" t="str">
        <f t="shared" si="1"/>
        <v/>
      </c>
      <c r="Q1111" s="67" t="str">
        <f t="shared" si="2"/>
        <v/>
      </c>
      <c r="R1111" s="67" t="str">
        <f t="shared" si="3"/>
        <v/>
      </c>
      <c r="S1111" s="67" t="str">
        <f t="shared" si="4"/>
        <v/>
      </c>
      <c r="T1111" s="161"/>
      <c r="U1111" s="69"/>
      <c r="V1111" s="169" t="s">
        <v>11258</v>
      </c>
      <c r="W1111" s="161"/>
      <c r="X1111" s="194"/>
      <c r="Y1111" s="73"/>
      <c r="Z1111" s="73"/>
      <c r="AA1111" s="73"/>
      <c r="AB1111" s="73"/>
      <c r="AC1111" s="73"/>
      <c r="AD1111" s="73"/>
      <c r="AE1111" s="73"/>
      <c r="AF1111" s="73"/>
      <c r="AG1111" s="73"/>
      <c r="AH1111" s="73"/>
      <c r="AI1111" s="73"/>
      <c r="AJ1111" s="161"/>
      <c r="AK1111" s="236"/>
      <c r="AL1111" s="269"/>
      <c r="AM1111" s="161"/>
      <c r="AN1111" s="161"/>
      <c r="AO1111" s="161"/>
      <c r="AP1111" s="161"/>
      <c r="AQ1111" s="161"/>
      <c r="AR1111" s="161"/>
      <c r="AS1111" s="161"/>
      <c r="AT1111" s="161"/>
      <c r="AU1111" s="89"/>
      <c r="AV1111" s="162"/>
      <c r="AW1111" s="81"/>
    </row>
    <row r="1112" ht="15.75" customHeight="1">
      <c r="A1112" s="435" t="s">
        <v>11075</v>
      </c>
      <c r="B1112" s="73"/>
      <c r="C1112" s="57" t="s">
        <v>5586</v>
      </c>
      <c r="D1112" s="104">
        <v>46.6568761</v>
      </c>
      <c r="E1112" s="91">
        <v>32.6502916</v>
      </c>
      <c r="F1112" s="79">
        <v>3.0</v>
      </c>
      <c r="G1112" s="84" t="s">
        <v>11259</v>
      </c>
      <c r="H1112" s="61" t="s">
        <v>5368</v>
      </c>
      <c r="I1112" s="75"/>
      <c r="J1112" s="64" t="s">
        <v>11260</v>
      </c>
      <c r="K1112" s="69"/>
      <c r="L1112" s="65" t="s">
        <v>3542</v>
      </c>
      <c r="M1112" s="61" t="s">
        <v>5702</v>
      </c>
      <c r="N1112" s="73"/>
      <c r="O1112" s="61" t="s">
        <v>7098</v>
      </c>
      <c r="P1112" s="67" t="str">
        <f t="shared" si="1"/>
        <v>46.6568761, 32.6502916</v>
      </c>
      <c r="Q1112" s="67" t="str">
        <f t="shared" si="2"/>
        <v>46.65674, 32.651017</v>
      </c>
      <c r="R1112" s="67">
        <f t="shared" si="3"/>
        <v>46.65674</v>
      </c>
      <c r="S1112" s="67">
        <f t="shared" si="4"/>
        <v>32.651017</v>
      </c>
      <c r="T1112" s="71" t="s">
        <v>11261</v>
      </c>
      <c r="U1112" s="69"/>
      <c r="V1112" s="169" t="s">
        <v>11262</v>
      </c>
      <c r="W1112" s="71" t="s">
        <v>3546</v>
      </c>
      <c r="X1112" s="72" t="s">
        <v>2982</v>
      </c>
      <c r="Y1112" s="73"/>
      <c r="Z1112" s="73"/>
      <c r="AA1112" s="73"/>
      <c r="AB1112" s="73"/>
      <c r="AC1112" s="73"/>
      <c r="AD1112" s="73"/>
      <c r="AE1112" s="73"/>
      <c r="AF1112" s="73"/>
      <c r="AG1112" s="73"/>
      <c r="AH1112" s="73"/>
      <c r="AI1112" s="73"/>
      <c r="AJ1112" s="161"/>
      <c r="AK1112" s="76" t="s">
        <v>1261</v>
      </c>
      <c r="AL1112" s="83" t="s">
        <v>11263</v>
      </c>
      <c r="AM1112" s="71" t="s">
        <v>11264</v>
      </c>
      <c r="AN1112" s="84" t="s">
        <v>11265</v>
      </c>
      <c r="AO1112" s="161"/>
      <c r="AP1112" s="161"/>
      <c r="AQ1112" s="161"/>
      <c r="AR1112" s="71" t="s">
        <v>2228</v>
      </c>
      <c r="AS1112" s="161"/>
      <c r="AT1112" s="161"/>
      <c r="AU1112" s="89"/>
      <c r="AV1112" s="162"/>
      <c r="AW1112" s="81"/>
    </row>
    <row r="1113" ht="15.75" customHeight="1">
      <c r="A1113" s="436" t="s">
        <v>11075</v>
      </c>
      <c r="B1113" s="73"/>
      <c r="C1113" s="57" t="s">
        <v>9941</v>
      </c>
      <c r="D1113" s="104">
        <v>46.6734726397823</v>
      </c>
      <c r="E1113" s="104">
        <v>32.6429329829158</v>
      </c>
      <c r="F1113" s="79">
        <v>3.0</v>
      </c>
      <c r="G1113" s="84" t="s">
        <v>11266</v>
      </c>
      <c r="H1113" s="61" t="s">
        <v>66</v>
      </c>
      <c r="I1113" s="75"/>
      <c r="J1113" s="64" t="s">
        <v>11267</v>
      </c>
      <c r="K1113" s="69"/>
      <c r="L1113" s="65" t="s">
        <v>3542</v>
      </c>
      <c r="M1113" s="61" t="s">
        <v>5702</v>
      </c>
      <c r="N1113" s="73"/>
      <c r="O1113" s="61" t="s">
        <v>7098</v>
      </c>
      <c r="P1113" s="67" t="str">
        <f t="shared" si="1"/>
        <v>46.6734726397823, 32.6429329829158</v>
      </c>
      <c r="Q1113" s="67" t="str">
        <f t="shared" si="2"/>
        <v>46.673183, 32.643292</v>
      </c>
      <c r="R1113" s="67">
        <f t="shared" si="3"/>
        <v>46.673183</v>
      </c>
      <c r="S1113" s="67">
        <f t="shared" si="4"/>
        <v>32.643292</v>
      </c>
      <c r="T1113" s="71" t="s">
        <v>11268</v>
      </c>
      <c r="U1113" s="64" t="s">
        <v>11269</v>
      </c>
      <c r="V1113" s="169" t="s">
        <v>11270</v>
      </c>
      <c r="W1113" s="71" t="s">
        <v>3601</v>
      </c>
      <c r="X1113" s="72" t="s">
        <v>2982</v>
      </c>
      <c r="Y1113" s="73"/>
      <c r="Z1113" s="73"/>
      <c r="AA1113" s="73"/>
      <c r="AB1113" s="73"/>
      <c r="AC1113" s="73"/>
      <c r="AD1113" s="73"/>
      <c r="AE1113" s="73"/>
      <c r="AF1113" s="73"/>
      <c r="AG1113" s="73"/>
      <c r="AH1113" s="73"/>
      <c r="AI1113" s="73"/>
      <c r="AJ1113" s="161"/>
      <c r="AK1113" s="76" t="s">
        <v>11271</v>
      </c>
      <c r="AL1113" s="269"/>
      <c r="AM1113" s="71" t="s">
        <v>11272</v>
      </c>
      <c r="AN1113" s="161"/>
      <c r="AO1113" s="161"/>
      <c r="AP1113" s="161"/>
      <c r="AQ1113" s="161"/>
      <c r="AR1113" s="161"/>
      <c r="AS1113" s="161"/>
      <c r="AT1113" s="161"/>
      <c r="AU1113" s="89"/>
      <c r="AV1113" s="80" t="s">
        <v>3944</v>
      </c>
      <c r="AW1113" s="81"/>
    </row>
    <row r="1114" ht="15.75" customHeight="1">
      <c r="A1114" s="72" t="s">
        <v>8023</v>
      </c>
      <c r="B1114" s="73"/>
      <c r="C1114" s="57" t="s">
        <v>10973</v>
      </c>
      <c r="D1114" s="300">
        <v>47.437652</v>
      </c>
      <c r="E1114" s="300">
        <v>35.29488</v>
      </c>
      <c r="F1114" s="79">
        <v>1.0</v>
      </c>
      <c r="G1114" s="437" t="s">
        <v>11273</v>
      </c>
      <c r="H1114" s="61" t="s">
        <v>66</v>
      </c>
      <c r="I1114" s="75"/>
      <c r="J1114" s="64" t="s">
        <v>11274</v>
      </c>
      <c r="K1114" s="69"/>
      <c r="L1114" s="65" t="s">
        <v>3542</v>
      </c>
      <c r="M1114" s="412" t="s">
        <v>6167</v>
      </c>
      <c r="N1114" s="73"/>
      <c r="O1114" s="412" t="s">
        <v>11275</v>
      </c>
      <c r="P1114" s="67" t="str">
        <f t="shared" si="1"/>
        <v>47.437652, 35.29488</v>
      </c>
      <c r="Q1114" s="67" t="str">
        <f t="shared" si="2"/>
        <v>47.436997, 35.294862</v>
      </c>
      <c r="R1114" s="67">
        <f t="shared" si="3"/>
        <v>47.436997</v>
      </c>
      <c r="S1114" s="67">
        <f t="shared" si="4"/>
        <v>35.294862</v>
      </c>
      <c r="T1114" s="71" t="s">
        <v>11276</v>
      </c>
      <c r="U1114" s="69"/>
      <c r="V1114" s="169" t="s">
        <v>11277</v>
      </c>
      <c r="W1114" s="71" t="s">
        <v>5858</v>
      </c>
      <c r="X1114" s="72" t="s">
        <v>2982</v>
      </c>
      <c r="Y1114" s="73"/>
      <c r="Z1114" s="73"/>
      <c r="AA1114" s="73"/>
      <c r="AB1114" s="73"/>
      <c r="AC1114" s="73"/>
      <c r="AD1114" s="73"/>
      <c r="AE1114" s="73"/>
      <c r="AF1114" s="73"/>
      <c r="AG1114" s="73"/>
      <c r="AH1114" s="73"/>
      <c r="AI1114" s="73"/>
      <c r="AJ1114" s="161"/>
      <c r="AK1114" s="76" t="s">
        <v>798</v>
      </c>
      <c r="AL1114" s="83" t="s">
        <v>11278</v>
      </c>
      <c r="AM1114" s="71" t="s">
        <v>11279</v>
      </c>
      <c r="AN1114" s="84" t="s">
        <v>11280</v>
      </c>
      <c r="AO1114" s="71" t="s">
        <v>11281</v>
      </c>
      <c r="AP1114" s="161" t="str">
        <f>IMAGE("https://bellingcat-archive.nyc3.cdn.digitaloceanspaces.com/Ukraine_Witness_Datasheet/Worksheet/youtube_dl_1498977614232440838/out2.jpg")</f>
        <v/>
      </c>
      <c r="AQ1114" s="84" t="s">
        <v>11282</v>
      </c>
      <c r="AR1114" s="71" t="s">
        <v>11283</v>
      </c>
      <c r="AS1114" s="71" t="s">
        <v>11284</v>
      </c>
      <c r="AT1114" s="71">
        <v>8.266</v>
      </c>
      <c r="AU1114" s="89"/>
      <c r="AV1114" s="162"/>
      <c r="AW1114" s="81"/>
    </row>
    <row r="1115" ht="15.75" customHeight="1">
      <c r="A1115" s="204" t="s">
        <v>63</v>
      </c>
      <c r="B1115" s="73"/>
      <c r="C1115" s="57" t="s">
        <v>10973</v>
      </c>
      <c r="D1115" s="74">
        <v>49.986471</v>
      </c>
      <c r="E1115" s="74">
        <v>36.227401</v>
      </c>
      <c r="F1115" s="79">
        <v>1.0</v>
      </c>
      <c r="G1115" s="84" t="s">
        <v>11285</v>
      </c>
      <c r="H1115" s="61" t="s">
        <v>66</v>
      </c>
      <c r="I1115" s="75"/>
      <c r="J1115" s="64" t="s">
        <v>11286</v>
      </c>
      <c r="K1115" s="69"/>
      <c r="L1115" s="65" t="s">
        <v>3542</v>
      </c>
      <c r="M1115" s="92" t="s">
        <v>5590</v>
      </c>
      <c r="N1115" s="73"/>
      <c r="O1115" s="92" t="s">
        <v>5591</v>
      </c>
      <c r="P1115" s="67" t="str">
        <f t="shared" si="1"/>
        <v>49.986471, 36.227401</v>
      </c>
      <c r="Q1115" s="67" t="str">
        <f t="shared" si="2"/>
        <v>49.98589, 36.228161</v>
      </c>
      <c r="R1115" s="67">
        <f t="shared" si="3"/>
        <v>49.98589</v>
      </c>
      <c r="S1115" s="67">
        <f t="shared" si="4"/>
        <v>36.228161</v>
      </c>
      <c r="T1115" s="161"/>
      <c r="U1115" s="69"/>
      <c r="V1115" s="169" t="s">
        <v>11287</v>
      </c>
      <c r="W1115" s="71" t="s">
        <v>3546</v>
      </c>
      <c r="X1115" s="72" t="s">
        <v>2982</v>
      </c>
      <c r="Y1115" s="73"/>
      <c r="Z1115" s="73"/>
      <c r="AA1115" s="73"/>
      <c r="AB1115" s="73"/>
      <c r="AC1115" s="73"/>
      <c r="AD1115" s="73"/>
      <c r="AE1115" s="73"/>
      <c r="AF1115" s="73"/>
      <c r="AG1115" s="73"/>
      <c r="AH1115" s="73"/>
      <c r="AI1115" s="73"/>
      <c r="AJ1115" s="161"/>
      <c r="AK1115" s="76" t="s">
        <v>798</v>
      </c>
      <c r="AL1115" s="83" t="s">
        <v>11288</v>
      </c>
      <c r="AM1115" s="71" t="s">
        <v>11289</v>
      </c>
      <c r="AN1115" s="84" t="s">
        <v>11290</v>
      </c>
      <c r="AO1115" s="71" t="s">
        <v>11291</v>
      </c>
      <c r="AP1115" s="161" t="str">
        <f>IMAGE("https://bellingcat-archive.nyc3.cdn.digitaloceanspaces.com/Ukraine_Witness_Datasheet/Worksheet/youtube_dl_1498983452464590861/out2.jpg")</f>
        <v/>
      </c>
      <c r="AQ1115" s="84" t="s">
        <v>11292</v>
      </c>
      <c r="AR1115" s="71" t="s">
        <v>11293</v>
      </c>
      <c r="AS1115" s="71" t="s">
        <v>11294</v>
      </c>
      <c r="AT1115" s="71">
        <v>17.477</v>
      </c>
      <c r="AU1115" s="89"/>
      <c r="AV1115" s="80" t="s">
        <v>88</v>
      </c>
      <c r="AW1115" s="81"/>
    </row>
    <row r="1116" ht="15.75" customHeight="1">
      <c r="A1116" s="204" t="s">
        <v>63</v>
      </c>
      <c r="B1116" s="73"/>
      <c r="C1116" s="57" t="s">
        <v>9941</v>
      </c>
      <c r="D1116" s="74">
        <v>49.981529</v>
      </c>
      <c r="E1116" s="74">
        <v>36.176632</v>
      </c>
      <c r="F1116" s="79">
        <v>1.0</v>
      </c>
      <c r="G1116" s="84" t="s">
        <v>11295</v>
      </c>
      <c r="H1116" s="73"/>
      <c r="I1116" s="75"/>
      <c r="J1116" s="64" t="s">
        <v>7831</v>
      </c>
      <c r="K1116" s="69"/>
      <c r="L1116" s="65" t="s">
        <v>3542</v>
      </c>
      <c r="M1116" s="92" t="s">
        <v>5590</v>
      </c>
      <c r="N1116" s="73"/>
      <c r="O1116" s="92" t="s">
        <v>5591</v>
      </c>
      <c r="P1116" s="67" t="str">
        <f t="shared" si="1"/>
        <v>49.981529, 36.176632</v>
      </c>
      <c r="Q1116" s="67" t="str">
        <f t="shared" si="2"/>
        <v>49.981358, 36.177578</v>
      </c>
      <c r="R1116" s="67">
        <f t="shared" si="3"/>
        <v>49.981358</v>
      </c>
      <c r="S1116" s="67">
        <f t="shared" si="4"/>
        <v>36.177578</v>
      </c>
      <c r="T1116" s="161"/>
      <c r="U1116" s="69"/>
      <c r="V1116" s="169" t="s">
        <v>11296</v>
      </c>
      <c r="W1116" s="71" t="s">
        <v>3601</v>
      </c>
      <c r="X1116" s="72" t="s">
        <v>2982</v>
      </c>
      <c r="Y1116" s="73"/>
      <c r="Z1116" s="73"/>
      <c r="AA1116" s="73"/>
      <c r="AB1116" s="73"/>
      <c r="AC1116" s="73"/>
      <c r="AD1116" s="73"/>
      <c r="AE1116" s="73"/>
      <c r="AF1116" s="73"/>
      <c r="AG1116" s="73"/>
      <c r="AH1116" s="73"/>
      <c r="AI1116" s="73"/>
      <c r="AJ1116" s="161"/>
      <c r="AK1116" s="76" t="s">
        <v>798</v>
      </c>
      <c r="AL1116" s="83" t="s">
        <v>11297</v>
      </c>
      <c r="AM1116" s="71" t="s">
        <v>11298</v>
      </c>
      <c r="AN1116" s="84" t="s">
        <v>11299</v>
      </c>
      <c r="AO1116" s="71" t="s">
        <v>11300</v>
      </c>
      <c r="AP1116" s="161" t="str">
        <f>IMAGE("https://bellingcat-archive.nyc3.cdn.digitaloceanspaces.com/Ukraine_Witness_Datasheet/Worksheet/youtube_dl_1498896303107026945/out2.jpg")</f>
        <v/>
      </c>
      <c r="AQ1116" s="84" t="s">
        <v>11301</v>
      </c>
      <c r="AR1116" s="71" t="s">
        <v>11302</v>
      </c>
      <c r="AS1116" s="71" t="s">
        <v>11303</v>
      </c>
      <c r="AT1116" s="71">
        <v>13.768</v>
      </c>
      <c r="AU1116" s="89"/>
      <c r="AV1116" s="80" t="s">
        <v>88</v>
      </c>
      <c r="AW1116" s="81"/>
    </row>
    <row r="1117" ht="15.75" customHeight="1">
      <c r="A1117" s="204" t="s">
        <v>63</v>
      </c>
      <c r="B1117" s="73"/>
      <c r="C1117" s="57" t="s">
        <v>10973</v>
      </c>
      <c r="D1117" s="74">
        <v>50.282076</v>
      </c>
      <c r="E1117" s="74">
        <v>28.611556</v>
      </c>
      <c r="F1117" s="79">
        <v>2.0</v>
      </c>
      <c r="G1117" s="84" t="s">
        <v>11304</v>
      </c>
      <c r="H1117" s="73"/>
      <c r="I1117" s="75"/>
      <c r="J1117" s="64" t="s">
        <v>11305</v>
      </c>
      <c r="K1117" s="69"/>
      <c r="L1117" s="65" t="s">
        <v>3542</v>
      </c>
      <c r="M1117" s="363" t="s">
        <v>9200</v>
      </c>
      <c r="N1117" s="73"/>
      <c r="O1117" s="310" t="s">
        <v>8903</v>
      </c>
      <c r="P1117" s="67" t="str">
        <f t="shared" si="1"/>
        <v>50.282076, 28.611556</v>
      </c>
      <c r="Q1117" s="67" t="str">
        <f t="shared" si="2"/>
        <v>50.281349, 28.611722</v>
      </c>
      <c r="R1117" s="67">
        <f t="shared" si="3"/>
        <v>50.281349</v>
      </c>
      <c r="S1117" s="67">
        <f t="shared" si="4"/>
        <v>28.611722</v>
      </c>
      <c r="T1117" s="161"/>
      <c r="U1117" s="69"/>
      <c r="V1117" s="169" t="s">
        <v>11306</v>
      </c>
      <c r="W1117" s="71" t="s">
        <v>3601</v>
      </c>
      <c r="X1117" s="72" t="s">
        <v>2982</v>
      </c>
      <c r="Y1117" s="73"/>
      <c r="Z1117" s="73"/>
      <c r="AA1117" s="73"/>
      <c r="AB1117" s="73"/>
      <c r="AC1117" s="73"/>
      <c r="AD1117" s="73"/>
      <c r="AE1117" s="73"/>
      <c r="AF1117" s="73"/>
      <c r="AG1117" s="73"/>
      <c r="AH1117" s="73"/>
      <c r="AI1117" s="73"/>
      <c r="AJ1117" s="161"/>
      <c r="AK1117" s="76" t="s">
        <v>6276</v>
      </c>
      <c r="AL1117" s="83" t="s">
        <v>11307</v>
      </c>
      <c r="AM1117" s="71" t="s">
        <v>11308</v>
      </c>
      <c r="AN1117" s="84" t="s">
        <v>11309</v>
      </c>
      <c r="AO1117" s="71" t="s">
        <v>11310</v>
      </c>
      <c r="AP1117" s="161" t="str">
        <f>IMAGE("https://bellingcat-archive.nyc3.cdn.digitaloceanspaces.com/Ukraine_Witness_Datasheet/Worksheet/telegram_e3d2976835/out2.jpg")</f>
        <v/>
      </c>
      <c r="AQ1117" s="84" t="s">
        <v>11311</v>
      </c>
      <c r="AR1117" s="84" t="s">
        <v>11304</v>
      </c>
      <c r="AS1117" s="71" t="s">
        <v>11312</v>
      </c>
      <c r="AT1117" s="71">
        <v>27.0</v>
      </c>
      <c r="AU1117" s="89"/>
      <c r="AV1117" s="80" t="s">
        <v>88</v>
      </c>
      <c r="AW1117" s="81"/>
    </row>
    <row r="1118" ht="15.75" customHeight="1">
      <c r="A1118" s="204" t="s">
        <v>63</v>
      </c>
      <c r="B1118" s="73"/>
      <c r="C1118" s="57" t="s">
        <v>10973</v>
      </c>
      <c r="D1118" s="74">
        <v>50.282118</v>
      </c>
      <c r="E1118" s="74">
        <v>28.611348</v>
      </c>
      <c r="F1118" s="79">
        <v>2.0</v>
      </c>
      <c r="G1118" s="84" t="s">
        <v>11313</v>
      </c>
      <c r="H1118" s="73"/>
      <c r="I1118" s="75"/>
      <c r="J1118" s="64" t="s">
        <v>11305</v>
      </c>
      <c r="K1118" s="69"/>
      <c r="L1118" s="65" t="s">
        <v>3542</v>
      </c>
      <c r="M1118" s="363" t="s">
        <v>9200</v>
      </c>
      <c r="N1118" s="73"/>
      <c r="O1118" s="310" t="s">
        <v>8903</v>
      </c>
      <c r="P1118" s="67" t="str">
        <f t="shared" si="1"/>
        <v>50.282118, 28.611348</v>
      </c>
      <c r="Q1118" s="67" t="str">
        <f t="shared" si="2"/>
        <v>50.281957, 28.610721</v>
      </c>
      <c r="R1118" s="67">
        <f t="shared" si="3"/>
        <v>50.281957</v>
      </c>
      <c r="S1118" s="67">
        <f t="shared" si="4"/>
        <v>28.610721</v>
      </c>
      <c r="T1118" s="161"/>
      <c r="U1118" s="69"/>
      <c r="V1118" s="169" t="s">
        <v>11314</v>
      </c>
      <c r="W1118" s="71" t="s">
        <v>3601</v>
      </c>
      <c r="X1118" s="72" t="s">
        <v>2982</v>
      </c>
      <c r="Y1118" s="73"/>
      <c r="Z1118" s="73"/>
      <c r="AA1118" s="73"/>
      <c r="AB1118" s="73"/>
      <c r="AC1118" s="73"/>
      <c r="AD1118" s="73"/>
      <c r="AE1118" s="73"/>
      <c r="AF1118" s="73"/>
      <c r="AG1118" s="73"/>
      <c r="AH1118" s="73"/>
      <c r="AI1118" s="73"/>
      <c r="AJ1118" s="161"/>
      <c r="AK1118" s="76" t="s">
        <v>2108</v>
      </c>
      <c r="AL1118" s="83" t="s">
        <v>11315</v>
      </c>
      <c r="AM1118" s="71" t="s">
        <v>11316</v>
      </c>
      <c r="AN1118" s="84" t="s">
        <v>11317</v>
      </c>
      <c r="AO1118" s="71" t="s">
        <v>11318</v>
      </c>
      <c r="AP1118" s="161" t="str">
        <f>IMAGE("https://bellingcat-archive.nyc3.cdn.digitaloceanspaces.com/Ukraine_Witness_Datasheet/Worksheet/twitter__media_FM1c_zBXsAIBeb0.jpg")</f>
        <v/>
      </c>
      <c r="AQ1118" s="161"/>
      <c r="AR1118" s="161"/>
      <c r="AS1118" s="71" t="s">
        <v>11319</v>
      </c>
      <c r="AT1118" s="161"/>
      <c r="AU1118" s="89"/>
      <c r="AV1118" s="80" t="s">
        <v>88</v>
      </c>
      <c r="AW1118" s="81"/>
    </row>
    <row r="1119" ht="15.75" customHeight="1">
      <c r="A1119" s="204" t="s">
        <v>63</v>
      </c>
      <c r="B1119" s="73"/>
      <c r="C1119" s="57" t="s">
        <v>9941</v>
      </c>
      <c r="D1119" s="74">
        <v>47.601818</v>
      </c>
      <c r="E1119" s="74">
        <v>37.492556</v>
      </c>
      <c r="F1119" s="79">
        <v>2.0</v>
      </c>
      <c r="G1119" s="60" t="s">
        <v>11320</v>
      </c>
      <c r="H1119" s="73"/>
      <c r="I1119" s="75"/>
      <c r="J1119" s="64" t="s">
        <v>11321</v>
      </c>
      <c r="K1119" s="69"/>
      <c r="L1119" s="65" t="s">
        <v>3542</v>
      </c>
      <c r="M1119" s="61" t="s">
        <v>5750</v>
      </c>
      <c r="N1119" s="73"/>
      <c r="O1119" s="364" t="s">
        <v>7142</v>
      </c>
      <c r="P1119" s="67" t="str">
        <f t="shared" si="1"/>
        <v>47.601818, 37.492556</v>
      </c>
      <c r="Q1119" s="67" t="str">
        <f t="shared" si="2"/>
        <v>47.601567, 37.491538</v>
      </c>
      <c r="R1119" s="67">
        <f t="shared" si="3"/>
        <v>47.601567</v>
      </c>
      <c r="S1119" s="67">
        <f t="shared" si="4"/>
        <v>37.491538</v>
      </c>
      <c r="T1119" s="161"/>
      <c r="U1119" s="69"/>
      <c r="V1119" s="169" t="s">
        <v>11322</v>
      </c>
      <c r="W1119" s="71" t="s">
        <v>3601</v>
      </c>
      <c r="X1119" s="72" t="s">
        <v>2982</v>
      </c>
      <c r="Y1119" s="73"/>
      <c r="Z1119" s="73"/>
      <c r="AA1119" s="73"/>
      <c r="AB1119" s="73"/>
      <c r="AC1119" s="73"/>
      <c r="AD1119" s="73"/>
      <c r="AE1119" s="73"/>
      <c r="AF1119" s="73"/>
      <c r="AG1119" s="73"/>
      <c r="AH1119" s="73"/>
      <c r="AI1119" s="73"/>
      <c r="AJ1119" s="161"/>
      <c r="AK1119" s="76" t="s">
        <v>798</v>
      </c>
      <c r="AL1119" s="83" t="s">
        <v>11323</v>
      </c>
      <c r="AM1119" s="71" t="s">
        <v>11324</v>
      </c>
      <c r="AN1119" s="84" t="s">
        <v>11325</v>
      </c>
      <c r="AO1119" s="71" t="s">
        <v>11326</v>
      </c>
      <c r="AP1119" s="161" t="str">
        <f>IMAGE("https://bellingcat-archive.nyc3.cdn.digitaloceanspaces.com/Ukraine_Witness_Datasheet/Worksheet/youtube_dl_1498771259512995841/out3.jpg")</f>
        <v/>
      </c>
      <c r="AQ1119" s="84" t="s">
        <v>11327</v>
      </c>
      <c r="AR1119" s="71" t="s">
        <v>11328</v>
      </c>
      <c r="AS1119" s="71" t="s">
        <v>11329</v>
      </c>
      <c r="AT1119" s="71">
        <v>65.966</v>
      </c>
      <c r="AU1119" s="89"/>
      <c r="AV1119" s="80" t="s">
        <v>88</v>
      </c>
      <c r="AW1119" s="81"/>
    </row>
    <row r="1120" ht="15.75" customHeight="1">
      <c r="A1120" s="72" t="s">
        <v>8023</v>
      </c>
      <c r="B1120" s="73"/>
      <c r="C1120" s="57" t="s">
        <v>10973</v>
      </c>
      <c r="D1120" s="74">
        <v>46.808484</v>
      </c>
      <c r="E1120" s="438" t="s">
        <v>11330</v>
      </c>
      <c r="F1120" s="79">
        <v>1.0</v>
      </c>
      <c r="G1120" s="60" t="s">
        <v>11331</v>
      </c>
      <c r="H1120" s="61" t="s">
        <v>66</v>
      </c>
      <c r="I1120" s="75"/>
      <c r="J1120" s="64" t="s">
        <v>11332</v>
      </c>
      <c r="K1120" s="69"/>
      <c r="L1120" s="65" t="s">
        <v>79</v>
      </c>
      <c r="M1120" s="61" t="s">
        <v>11333</v>
      </c>
      <c r="N1120" s="73"/>
      <c r="O1120" s="61" t="s">
        <v>11334</v>
      </c>
      <c r="P1120" s="67" t="str">
        <f t="shared" si="1"/>
        <v>46.808484, 134.254594</v>
      </c>
      <c r="Q1120" s="67" t="str">
        <f t="shared" si="2"/>
        <v>46.808444, 134.25385</v>
      </c>
      <c r="R1120" s="67">
        <f t="shared" si="3"/>
        <v>46.808444</v>
      </c>
      <c r="S1120" s="67">
        <f t="shared" si="4"/>
        <v>134.25385</v>
      </c>
      <c r="T1120" s="84" t="s">
        <v>11335</v>
      </c>
      <c r="U1120" s="64"/>
      <c r="V1120" s="169" t="s">
        <v>11336</v>
      </c>
      <c r="W1120" s="71" t="s">
        <v>5858</v>
      </c>
      <c r="X1120" s="72" t="s">
        <v>2982</v>
      </c>
      <c r="Y1120" s="73"/>
      <c r="Z1120" s="73"/>
      <c r="AA1120" s="73"/>
      <c r="AB1120" s="73"/>
      <c r="AC1120" s="73"/>
      <c r="AD1120" s="73"/>
      <c r="AE1120" s="73"/>
      <c r="AF1120" s="73"/>
      <c r="AG1120" s="73"/>
      <c r="AH1120" s="73"/>
      <c r="AI1120" s="73"/>
      <c r="AJ1120" s="161"/>
      <c r="AK1120" s="76" t="s">
        <v>798</v>
      </c>
      <c r="AL1120" s="83" t="s">
        <v>11337</v>
      </c>
      <c r="AM1120" s="71" t="s">
        <v>11338</v>
      </c>
      <c r="AN1120" s="84" t="s">
        <v>11339</v>
      </c>
      <c r="AO1120" s="71" t="s">
        <v>11340</v>
      </c>
      <c r="AP1120" s="161" t="str">
        <f>IMAGE("https://bellingcat-archive.nyc3.cdn.digitaloceanspaces.com/Ukraine_Witness_Datasheet/Worksheet/youtube_dl_1498983588724883458/out2.jpg")</f>
        <v/>
      </c>
      <c r="AQ1120" s="84" t="s">
        <v>11341</v>
      </c>
      <c r="AR1120" s="71" t="s">
        <v>11342</v>
      </c>
      <c r="AS1120" s="71" t="s">
        <v>11343</v>
      </c>
      <c r="AT1120" s="71">
        <v>28.467</v>
      </c>
      <c r="AU1120" s="89"/>
      <c r="AV1120" s="80" t="s">
        <v>88</v>
      </c>
      <c r="AW1120" s="81"/>
    </row>
    <row r="1121" ht="15.75" customHeight="1">
      <c r="A1121" s="204" t="s">
        <v>11075</v>
      </c>
      <c r="B1121" s="73"/>
      <c r="C1121" s="57" t="s">
        <v>9941</v>
      </c>
      <c r="D1121" s="104">
        <v>46.658472</v>
      </c>
      <c r="E1121" s="104">
        <v>32.572401</v>
      </c>
      <c r="F1121" s="79">
        <v>5.0</v>
      </c>
      <c r="G1121" s="84" t="s">
        <v>11344</v>
      </c>
      <c r="H1121" s="104" t="s">
        <v>5522</v>
      </c>
      <c r="I1121" s="218"/>
      <c r="J1121" s="64" t="s">
        <v>11345</v>
      </c>
      <c r="K1121" s="69"/>
      <c r="L1121" s="65" t="s">
        <v>3542</v>
      </c>
      <c r="M1121" s="61" t="s">
        <v>5702</v>
      </c>
      <c r="N1121" s="73"/>
      <c r="O1121" s="61" t="s">
        <v>7098</v>
      </c>
      <c r="P1121" s="67" t="str">
        <f t="shared" si="1"/>
        <v>46.658472, 32.572401</v>
      </c>
      <c r="Q1121" s="67" t="str">
        <f t="shared" si="2"/>
        <v>46.657851, 32.571909</v>
      </c>
      <c r="R1121" s="67">
        <f t="shared" si="3"/>
        <v>46.657851</v>
      </c>
      <c r="S1121" s="67">
        <f t="shared" si="4"/>
        <v>32.571909</v>
      </c>
      <c r="T1121" s="71" t="s">
        <v>11268</v>
      </c>
      <c r="U1121" s="69"/>
      <c r="V1121" s="169" t="s">
        <v>11346</v>
      </c>
      <c r="W1121" s="71" t="s">
        <v>8546</v>
      </c>
      <c r="X1121" s="72" t="s">
        <v>5504</v>
      </c>
      <c r="Y1121" s="61" t="s">
        <v>11347</v>
      </c>
      <c r="Z1121" s="73"/>
      <c r="AA1121" s="73"/>
      <c r="AB1121" s="73"/>
      <c r="AC1121" s="73"/>
      <c r="AD1121" s="73"/>
      <c r="AE1121" s="73"/>
      <c r="AF1121" s="73"/>
      <c r="AG1121" s="73"/>
      <c r="AH1121" s="73"/>
      <c r="AI1121" s="73"/>
      <c r="AJ1121" s="161"/>
      <c r="AK1121" s="76" t="s">
        <v>6276</v>
      </c>
      <c r="AL1121" s="83" t="s">
        <v>11348</v>
      </c>
      <c r="AM1121" s="71" t="s">
        <v>11349</v>
      </c>
      <c r="AN1121" s="84" t="s">
        <v>11350</v>
      </c>
      <c r="AO1121" s="71" t="s">
        <v>11351</v>
      </c>
      <c r="AP1121" s="161"/>
      <c r="AQ1121" s="161"/>
      <c r="AR1121" s="161"/>
      <c r="AS1121" s="161"/>
      <c r="AT1121" s="161"/>
      <c r="AU1121" s="89"/>
      <c r="AV1121" s="80" t="s">
        <v>3944</v>
      </c>
      <c r="AW1121" s="203"/>
    </row>
    <row r="1122" ht="15.75" customHeight="1">
      <c r="A1122" s="208" t="s">
        <v>11352</v>
      </c>
      <c r="B1122" s="73"/>
      <c r="C1122" s="57" t="s">
        <v>9941</v>
      </c>
      <c r="D1122" s="121">
        <v>50.471756339303</v>
      </c>
      <c r="E1122" s="121">
        <v>30.4538558171433</v>
      </c>
      <c r="F1122" s="79">
        <v>5.0</v>
      </c>
      <c r="G1122" s="326" t="s">
        <v>11353</v>
      </c>
      <c r="H1122" s="73"/>
      <c r="I1122" s="62" t="s">
        <v>11354</v>
      </c>
      <c r="J1122" s="64" t="s">
        <v>11355</v>
      </c>
      <c r="K1122" s="69"/>
      <c r="L1122" s="65" t="s">
        <v>3542</v>
      </c>
      <c r="M1122" s="61" t="s">
        <v>5827</v>
      </c>
      <c r="N1122" s="73"/>
      <c r="O1122" s="61" t="s">
        <v>6121</v>
      </c>
      <c r="P1122" s="67" t="str">
        <f t="shared" si="1"/>
        <v>50.471756339303, 30.4538558171433</v>
      </c>
      <c r="Q1122" s="67" t="str">
        <f t="shared" si="2"/>
        <v>50.470995, 30.454075</v>
      </c>
      <c r="R1122" s="67">
        <f t="shared" si="3"/>
        <v>50.470995</v>
      </c>
      <c r="S1122" s="67">
        <f t="shared" si="4"/>
        <v>30.454075</v>
      </c>
      <c r="T1122" s="161"/>
      <c r="U1122" s="69"/>
      <c r="V1122" s="169" t="s">
        <v>11356</v>
      </c>
      <c r="W1122" s="161"/>
      <c r="X1122" s="208"/>
      <c r="Y1122" s="216" t="s">
        <v>5820</v>
      </c>
      <c r="Z1122" s="73"/>
      <c r="AA1122" s="73"/>
      <c r="AB1122" s="73"/>
      <c r="AC1122" s="73"/>
      <c r="AD1122" s="73"/>
      <c r="AE1122" s="73"/>
      <c r="AF1122" s="73"/>
      <c r="AG1122" s="73"/>
      <c r="AH1122" s="73"/>
      <c r="AI1122" s="73"/>
      <c r="AJ1122" s="161"/>
      <c r="AK1122" s="76" t="s">
        <v>6276</v>
      </c>
      <c r="AL1122" s="83" t="s">
        <v>11357</v>
      </c>
      <c r="AM1122" s="71" t="s">
        <v>11358</v>
      </c>
      <c r="AN1122" s="84" t="s">
        <v>11359</v>
      </c>
      <c r="AO1122" s="71" t="s">
        <v>11360</v>
      </c>
      <c r="AP1122" s="161" t="str">
        <f>IMAGE("https://bellingcat-archive.nyc3.cdn.digitaloceanspaces.com/Ukraine_Witness_Datasheet/Worksheet/telegram_ae3b0a7dbe/out3.jpg")</f>
        <v/>
      </c>
      <c r="AQ1122" s="84" t="s">
        <v>11361</v>
      </c>
      <c r="AR1122" s="84" t="s">
        <v>11353</v>
      </c>
      <c r="AS1122" s="71" t="s">
        <v>11362</v>
      </c>
      <c r="AT1122" s="71">
        <v>65.0</v>
      </c>
      <c r="AU1122" s="89"/>
      <c r="AV1122" s="162"/>
      <c r="AW1122" s="81"/>
    </row>
    <row r="1123" ht="15.75" customHeight="1">
      <c r="A1123" s="208" t="s">
        <v>11352</v>
      </c>
      <c r="B1123" s="73"/>
      <c r="C1123" s="57" t="s">
        <v>9941</v>
      </c>
      <c r="D1123" s="121">
        <v>50.471756339303</v>
      </c>
      <c r="E1123" s="121">
        <v>30.4538558171433</v>
      </c>
      <c r="F1123" s="79">
        <v>5.0</v>
      </c>
      <c r="G1123" s="326" t="s">
        <v>11363</v>
      </c>
      <c r="H1123" s="73"/>
      <c r="I1123" s="62" t="s">
        <v>11354</v>
      </c>
      <c r="J1123" s="64" t="s">
        <v>11355</v>
      </c>
      <c r="K1123" s="69"/>
      <c r="L1123" s="65" t="s">
        <v>3542</v>
      </c>
      <c r="M1123" s="61" t="s">
        <v>5827</v>
      </c>
      <c r="N1123" s="73"/>
      <c r="O1123" s="61" t="s">
        <v>6121</v>
      </c>
      <c r="P1123" s="67" t="str">
        <f t="shared" si="1"/>
        <v>50.471756339303, 30.4538558171433</v>
      </c>
      <c r="Q1123" s="67" t="str">
        <f t="shared" si="2"/>
        <v>50.471444, 30.452999</v>
      </c>
      <c r="R1123" s="67">
        <f t="shared" si="3"/>
        <v>50.471444</v>
      </c>
      <c r="S1123" s="67">
        <f t="shared" si="4"/>
        <v>30.452999</v>
      </c>
      <c r="T1123" s="161"/>
      <c r="U1123" s="69"/>
      <c r="V1123" s="169" t="s">
        <v>11364</v>
      </c>
      <c r="W1123" s="161"/>
      <c r="X1123" s="194"/>
      <c r="Y1123" s="216" t="s">
        <v>5820</v>
      </c>
      <c r="Z1123" s="73"/>
      <c r="AA1123" s="73"/>
      <c r="AB1123" s="73"/>
      <c r="AC1123" s="73"/>
      <c r="AD1123" s="73"/>
      <c r="AE1123" s="73"/>
      <c r="AF1123" s="73"/>
      <c r="AG1123" s="73"/>
      <c r="AH1123" s="73"/>
      <c r="AI1123" s="73"/>
      <c r="AJ1123" s="161"/>
      <c r="AK1123" s="76" t="s">
        <v>6276</v>
      </c>
      <c r="AL1123" s="83" t="s">
        <v>11365</v>
      </c>
      <c r="AM1123" s="71" t="s">
        <v>11366</v>
      </c>
      <c r="AN1123" s="84" t="s">
        <v>11367</v>
      </c>
      <c r="AO1123" s="71" t="s">
        <v>11368</v>
      </c>
      <c r="AP1123" s="161" t="str">
        <f>IMAGE("https://bellingcat-archive.nyc3.cdn.digitaloceanspaces.com/Ukraine_Witness_Datasheet/Worksheet/telegram_KsfGdadtlgsgcPqLsIMgc5SIXVG2Ecitm8h_A-6zy3uEOv18FWaP7JuwUHKEh2LtmseeqL_vWtVKc8OTl_96mQt7MghhO_SZQP_IEJFSy1O0ZV9-8SqwuWjJBOc8F9fA.jpg")</f>
        <v/>
      </c>
      <c r="AQ1123" s="161"/>
      <c r="AR1123" s="161"/>
      <c r="AS1123" s="71" t="s">
        <v>11369</v>
      </c>
      <c r="AT1123" s="161"/>
      <c r="AU1123" s="89"/>
      <c r="AV1123" s="162"/>
      <c r="AW1123" s="81"/>
    </row>
    <row r="1124" ht="15.75" customHeight="1">
      <c r="A1124" s="204" t="s">
        <v>63</v>
      </c>
      <c r="B1124" s="73"/>
      <c r="C1124" s="57" t="s">
        <v>10973</v>
      </c>
      <c r="D1124" s="74">
        <v>50.013871</v>
      </c>
      <c r="E1124" s="74">
        <v>36.324678</v>
      </c>
      <c r="F1124" s="79">
        <v>2.0</v>
      </c>
      <c r="G1124" s="84" t="s">
        <v>11370</v>
      </c>
      <c r="H1124" s="73"/>
      <c r="I1124" s="75"/>
      <c r="J1124" s="64" t="s">
        <v>11305</v>
      </c>
      <c r="K1124" s="69"/>
      <c r="L1124" s="65" t="s">
        <v>3542</v>
      </c>
      <c r="M1124" s="92" t="s">
        <v>5590</v>
      </c>
      <c r="N1124" s="73"/>
      <c r="O1124" s="92" t="s">
        <v>5591</v>
      </c>
      <c r="P1124" s="67" t="str">
        <f t="shared" si="1"/>
        <v>50.013871, 36.324678</v>
      </c>
      <c r="Q1124" s="67" t="str">
        <f t="shared" si="2"/>
        <v>50.013166, 36.325131</v>
      </c>
      <c r="R1124" s="67">
        <f t="shared" si="3"/>
        <v>50.013166</v>
      </c>
      <c r="S1124" s="67">
        <f t="shared" si="4"/>
        <v>36.325131</v>
      </c>
      <c r="T1124" s="161"/>
      <c r="U1124" s="69"/>
      <c r="V1124" s="169" t="s">
        <v>11371</v>
      </c>
      <c r="W1124" s="71" t="s">
        <v>3601</v>
      </c>
      <c r="X1124" s="72" t="s">
        <v>2982</v>
      </c>
      <c r="Y1124" s="73"/>
      <c r="Z1124" s="73"/>
      <c r="AA1124" s="73"/>
      <c r="AB1124" s="73"/>
      <c r="AC1124" s="73"/>
      <c r="AD1124" s="73"/>
      <c r="AE1124" s="73"/>
      <c r="AF1124" s="73"/>
      <c r="AG1124" s="73"/>
      <c r="AH1124" s="73"/>
      <c r="AI1124" s="73"/>
      <c r="AJ1124" s="161"/>
      <c r="AK1124" s="76" t="s">
        <v>798</v>
      </c>
      <c r="AL1124" s="83" t="s">
        <v>11372</v>
      </c>
      <c r="AM1124" s="71" t="s">
        <v>11373</v>
      </c>
      <c r="AN1124" s="84" t="s">
        <v>11374</v>
      </c>
      <c r="AO1124" s="71" t="s">
        <v>11375</v>
      </c>
      <c r="AP1124" s="161" t="str">
        <f>IMAGE("https://bellingcat-archive.nyc3.cdn.digitaloceanspaces.com/Ukraine_Witness_Datasheet/Worksheet/youtube_dl_1498993104954834949/out2.jpg")</f>
        <v/>
      </c>
      <c r="AQ1124" s="84" t="s">
        <v>11376</v>
      </c>
      <c r="AR1124" s="71" t="s">
        <v>11377</v>
      </c>
      <c r="AS1124" s="71" t="s">
        <v>11378</v>
      </c>
      <c r="AT1124" s="71">
        <v>20.4</v>
      </c>
      <c r="AU1124" s="89"/>
      <c r="AV1124" s="80" t="s">
        <v>88</v>
      </c>
      <c r="AW1124" s="81"/>
    </row>
    <row r="1125" ht="15.75" customHeight="1">
      <c r="A1125" s="434" t="s">
        <v>6880</v>
      </c>
      <c r="B1125" s="73"/>
      <c r="C1125" s="176"/>
      <c r="D1125" s="121"/>
      <c r="E1125" s="121"/>
      <c r="F1125" s="89"/>
      <c r="G1125" s="161"/>
      <c r="H1125" s="73"/>
      <c r="I1125" s="75"/>
      <c r="J1125" s="69"/>
      <c r="K1125" s="69"/>
      <c r="L1125" s="70"/>
      <c r="M1125" s="73"/>
      <c r="N1125" s="73"/>
      <c r="O1125" s="73"/>
      <c r="P1125" s="67" t="str">
        <f t="shared" si="1"/>
        <v/>
      </c>
      <c r="Q1125" s="67" t="str">
        <f t="shared" si="2"/>
        <v/>
      </c>
      <c r="R1125" s="67" t="str">
        <f t="shared" si="3"/>
        <v/>
      </c>
      <c r="S1125" s="67" t="str">
        <f t="shared" si="4"/>
        <v/>
      </c>
      <c r="T1125" s="161"/>
      <c r="U1125" s="69"/>
      <c r="V1125" s="169" t="s">
        <v>11379</v>
      </c>
      <c r="W1125" s="161"/>
      <c r="X1125" s="194"/>
      <c r="Y1125" s="73"/>
      <c r="Z1125" s="73"/>
      <c r="AA1125" s="73"/>
      <c r="AB1125" s="73"/>
      <c r="AC1125" s="73"/>
      <c r="AD1125" s="73"/>
      <c r="AE1125" s="73"/>
      <c r="AF1125" s="73"/>
      <c r="AG1125" s="73"/>
      <c r="AH1125" s="73"/>
      <c r="AI1125" s="73"/>
      <c r="AJ1125" s="161"/>
      <c r="AK1125" s="236"/>
      <c r="AL1125" s="269"/>
      <c r="AM1125" s="161"/>
      <c r="AN1125" s="161"/>
      <c r="AO1125" s="161"/>
      <c r="AP1125" s="161"/>
      <c r="AQ1125" s="161"/>
      <c r="AR1125" s="161"/>
      <c r="AS1125" s="161"/>
      <c r="AT1125" s="161"/>
      <c r="AU1125" s="89"/>
      <c r="AV1125" s="162"/>
      <c r="AW1125" s="81"/>
    </row>
    <row r="1126" ht="15.75" customHeight="1">
      <c r="A1126" s="439" t="s">
        <v>6463</v>
      </c>
      <c r="B1126" s="73"/>
      <c r="C1126" s="57" t="s">
        <v>10973</v>
      </c>
      <c r="D1126" s="104">
        <v>46.9750571433785</v>
      </c>
      <c r="E1126" s="104">
        <v>31.9956846749933</v>
      </c>
      <c r="F1126" s="79">
        <v>2.0</v>
      </c>
      <c r="G1126" s="84" t="s">
        <v>11380</v>
      </c>
      <c r="H1126" s="61" t="s">
        <v>5368</v>
      </c>
      <c r="I1126" s="75"/>
      <c r="J1126" s="64" t="s">
        <v>11381</v>
      </c>
      <c r="K1126" s="69"/>
      <c r="L1126" s="65" t="s">
        <v>3542</v>
      </c>
      <c r="M1126" s="61" t="s">
        <v>6563</v>
      </c>
      <c r="N1126" s="73"/>
      <c r="O1126" s="61" t="s">
        <v>6658</v>
      </c>
      <c r="P1126" s="67" t="str">
        <f t="shared" si="1"/>
        <v>46.9750571433785, 31.9956846749933</v>
      </c>
      <c r="Q1126" s="67" t="str">
        <f t="shared" si="2"/>
        <v>46.974874, 31.995039</v>
      </c>
      <c r="R1126" s="67">
        <f t="shared" si="3"/>
        <v>46.974874</v>
      </c>
      <c r="S1126" s="67">
        <f t="shared" si="4"/>
        <v>31.995039</v>
      </c>
      <c r="T1126" s="71" t="s">
        <v>11382</v>
      </c>
      <c r="U1126" s="64"/>
      <c r="V1126" s="169" t="s">
        <v>11383</v>
      </c>
      <c r="W1126" s="71" t="s">
        <v>74</v>
      </c>
      <c r="X1126" s="208"/>
      <c r="Y1126" s="73"/>
      <c r="Z1126" s="73"/>
      <c r="AA1126" s="73"/>
      <c r="AB1126" s="73"/>
      <c r="AC1126" s="73"/>
      <c r="AD1126" s="73"/>
      <c r="AE1126" s="73"/>
      <c r="AF1126" s="73"/>
      <c r="AG1126" s="73"/>
      <c r="AH1126" s="73"/>
      <c r="AI1126" s="73"/>
      <c r="AJ1126" s="161"/>
      <c r="AK1126" s="76" t="s">
        <v>6276</v>
      </c>
      <c r="AL1126" s="83" t="s">
        <v>11384</v>
      </c>
      <c r="AM1126" s="71" t="s">
        <v>11385</v>
      </c>
      <c r="AN1126" s="84" t="s">
        <v>11386</v>
      </c>
      <c r="AO1126" s="71" t="s">
        <v>11387</v>
      </c>
      <c r="AP1126" s="161" t="str">
        <f>IMAGE("https://bellingcat-archive.nyc3.cdn.digitaloceanspaces.com/Ukraine_Witness_Datasheet/Worksheet/telegram_UJKKpxgxpI32ofZDjjqwc1EgJPC69EporG0xkpCNSgvxjDfii3jbOt9apJ2frFuoh8xAaRBp-LGadL8CfVVVcjg7iXsB0GrDKl-F-3-YSsdR60FWTAcAyGtjhjxEU1lA.jpg")</f>
        <v/>
      </c>
      <c r="AQ1126" s="161"/>
      <c r="AR1126" s="161"/>
      <c r="AS1126" s="71" t="s">
        <v>11388</v>
      </c>
      <c r="AT1126" s="161"/>
      <c r="AU1126" s="89"/>
      <c r="AV1126" s="162"/>
      <c r="AW1126" s="81"/>
    </row>
    <row r="1127" ht="15.75" customHeight="1">
      <c r="A1127" s="208" t="s">
        <v>7849</v>
      </c>
      <c r="B1127" s="73"/>
      <c r="C1127" s="57" t="s">
        <v>10973</v>
      </c>
      <c r="D1127" s="104">
        <v>50.013149</v>
      </c>
      <c r="E1127" s="104">
        <v>36.325882</v>
      </c>
      <c r="F1127" s="79">
        <v>2.0</v>
      </c>
      <c r="G1127" s="84" t="s">
        <v>11370</v>
      </c>
      <c r="H1127" s="61" t="s">
        <v>66</v>
      </c>
      <c r="I1127" s="75"/>
      <c r="J1127" s="64" t="s">
        <v>11389</v>
      </c>
      <c r="K1127" s="88" t="s">
        <v>11390</v>
      </c>
      <c r="L1127" s="65" t="s">
        <v>3542</v>
      </c>
      <c r="M1127" s="440" t="s">
        <v>6314</v>
      </c>
      <c r="N1127" s="73"/>
      <c r="O1127" s="61" t="s">
        <v>5626</v>
      </c>
      <c r="P1127" s="67" t="str">
        <f t="shared" si="1"/>
        <v>50.013149, 36.325882</v>
      </c>
      <c r="Q1127" s="67" t="str">
        <f t="shared" si="2"/>
        <v>50.012979, 36.325288</v>
      </c>
      <c r="R1127" s="67">
        <f t="shared" si="3"/>
        <v>50.012979</v>
      </c>
      <c r="S1127" s="67">
        <f t="shared" si="4"/>
        <v>36.325288</v>
      </c>
      <c r="T1127" s="161"/>
      <c r="U1127" s="69"/>
      <c r="V1127" s="169" t="s">
        <v>11391</v>
      </c>
      <c r="W1127" s="71" t="s">
        <v>3601</v>
      </c>
      <c r="X1127" s="208"/>
      <c r="Y1127" s="73"/>
      <c r="Z1127" s="73"/>
      <c r="AA1127" s="73"/>
      <c r="AB1127" s="73"/>
      <c r="AC1127" s="73"/>
      <c r="AD1127" s="73"/>
      <c r="AE1127" s="73"/>
      <c r="AF1127" s="73"/>
      <c r="AG1127" s="73"/>
      <c r="AH1127" s="73"/>
      <c r="AI1127" s="73"/>
      <c r="AJ1127" s="161"/>
      <c r="AK1127" s="76" t="s">
        <v>798</v>
      </c>
      <c r="AL1127" s="83" t="s">
        <v>11392</v>
      </c>
      <c r="AM1127" s="71" t="s">
        <v>11393</v>
      </c>
      <c r="AN1127" s="84" t="s">
        <v>11394</v>
      </c>
      <c r="AO1127" s="71" t="s">
        <v>11375</v>
      </c>
      <c r="AP1127" s="161" t="str">
        <f>IMAGE("https://bellingcat-archive.nyc3.cdn.digitaloceanspaces.com/Ukraine_Witness_Datasheet/Worksheet/youtube_dl_1498991877579841540/out2.jpg")</f>
        <v/>
      </c>
      <c r="AQ1127" s="84" t="s">
        <v>11395</v>
      </c>
      <c r="AR1127" s="71" t="s">
        <v>11396</v>
      </c>
      <c r="AS1127" s="71" t="s">
        <v>11397</v>
      </c>
      <c r="AT1127" s="71">
        <v>20.4</v>
      </c>
      <c r="AU1127" s="89"/>
      <c r="AV1127" s="162"/>
      <c r="AW1127" s="81"/>
    </row>
    <row r="1128" ht="15.75" customHeight="1">
      <c r="A1128" s="72" t="s">
        <v>11398</v>
      </c>
      <c r="B1128" s="73"/>
      <c r="C1128" s="57" t="s">
        <v>10973</v>
      </c>
      <c r="D1128" s="104">
        <v>48.9214483113387</v>
      </c>
      <c r="E1128" s="104">
        <v>38.4036188579539</v>
      </c>
      <c r="F1128" s="79">
        <v>1.0</v>
      </c>
      <c r="G1128" s="84" t="s">
        <v>11399</v>
      </c>
      <c r="H1128" s="61" t="s">
        <v>66</v>
      </c>
      <c r="I1128" s="441" t="s">
        <v>11400</v>
      </c>
      <c r="J1128" s="64" t="s">
        <v>11401</v>
      </c>
      <c r="K1128" s="69"/>
      <c r="L1128" s="65" t="s">
        <v>3542</v>
      </c>
      <c r="M1128" s="61" t="s">
        <v>5524</v>
      </c>
      <c r="N1128" s="73"/>
      <c r="O1128" s="61" t="s">
        <v>9101</v>
      </c>
      <c r="P1128" s="67" t="str">
        <f t="shared" si="1"/>
        <v>48.9214483113387, 38.4036188579539</v>
      </c>
      <c r="Q1128" s="67" t="str">
        <f t="shared" si="2"/>
        <v>48.921381, 38.404193</v>
      </c>
      <c r="R1128" s="67">
        <f t="shared" si="3"/>
        <v>48.921381</v>
      </c>
      <c r="S1128" s="67">
        <f t="shared" si="4"/>
        <v>38.404193</v>
      </c>
      <c r="T1128" s="161"/>
      <c r="U1128" s="69"/>
      <c r="V1128" s="169" t="s">
        <v>11402</v>
      </c>
      <c r="W1128" s="71" t="s">
        <v>3601</v>
      </c>
      <c r="X1128" s="72" t="s">
        <v>2982</v>
      </c>
      <c r="Y1128" s="216" t="s">
        <v>5820</v>
      </c>
      <c r="Z1128" s="73"/>
      <c r="AA1128" s="73"/>
      <c r="AB1128" s="73"/>
      <c r="AC1128" s="73"/>
      <c r="AD1128" s="73"/>
      <c r="AE1128" s="73"/>
      <c r="AF1128" s="73"/>
      <c r="AG1128" s="73"/>
      <c r="AH1128" s="73"/>
      <c r="AI1128" s="73"/>
      <c r="AJ1128" s="161"/>
      <c r="AK1128" s="76" t="s">
        <v>6276</v>
      </c>
      <c r="AL1128" s="83" t="s">
        <v>11403</v>
      </c>
      <c r="AM1128" s="71" t="s">
        <v>11404</v>
      </c>
      <c r="AN1128" s="84" t="s">
        <v>11405</v>
      </c>
      <c r="AO1128" s="71" t="s">
        <v>11406</v>
      </c>
      <c r="AP1128" s="161"/>
      <c r="AQ1128" s="161"/>
      <c r="AR1128" s="161"/>
      <c r="AS1128" s="71" t="s">
        <v>11407</v>
      </c>
      <c r="AT1128" s="161"/>
      <c r="AU1128" s="89"/>
      <c r="AV1128" s="162"/>
      <c r="AW1128" s="81"/>
    </row>
    <row r="1129" ht="15.75" customHeight="1">
      <c r="A1129" s="72" t="s">
        <v>11398</v>
      </c>
      <c r="B1129" s="73"/>
      <c r="C1129" s="57" t="s">
        <v>10973</v>
      </c>
      <c r="D1129" s="104">
        <v>48.9214483113387</v>
      </c>
      <c r="E1129" s="104">
        <v>38.4036188579539</v>
      </c>
      <c r="F1129" s="79">
        <v>2.0</v>
      </c>
      <c r="G1129" s="84" t="s">
        <v>11408</v>
      </c>
      <c r="H1129" s="61" t="s">
        <v>66</v>
      </c>
      <c r="I1129" s="441" t="s">
        <v>11400</v>
      </c>
      <c r="J1129" s="64" t="s">
        <v>11401</v>
      </c>
      <c r="K1129" s="69"/>
      <c r="L1129" s="65" t="s">
        <v>3542</v>
      </c>
      <c r="M1129" s="61" t="s">
        <v>5524</v>
      </c>
      <c r="N1129" s="73"/>
      <c r="O1129" s="61" t="s">
        <v>9101</v>
      </c>
      <c r="P1129" s="67" t="str">
        <f t="shared" si="1"/>
        <v>48.9214483113387, 38.4036188579539</v>
      </c>
      <c r="Q1129" s="67" t="str">
        <f t="shared" si="2"/>
        <v>48.921305, 38.402468</v>
      </c>
      <c r="R1129" s="67">
        <f t="shared" si="3"/>
        <v>48.921305</v>
      </c>
      <c r="S1129" s="67">
        <f t="shared" si="4"/>
        <v>38.402468</v>
      </c>
      <c r="T1129" s="161"/>
      <c r="U1129" s="69"/>
      <c r="V1129" s="169" t="s">
        <v>11409</v>
      </c>
      <c r="W1129" s="71" t="s">
        <v>3601</v>
      </c>
      <c r="X1129" s="72" t="s">
        <v>2982</v>
      </c>
      <c r="Y1129" s="216" t="s">
        <v>5820</v>
      </c>
      <c r="Z1129" s="73"/>
      <c r="AA1129" s="73"/>
      <c r="AB1129" s="73"/>
      <c r="AC1129" s="73"/>
      <c r="AD1129" s="73"/>
      <c r="AE1129" s="73"/>
      <c r="AF1129" s="73"/>
      <c r="AG1129" s="73"/>
      <c r="AH1129" s="73"/>
      <c r="AI1129" s="73"/>
      <c r="AJ1129" s="161"/>
      <c r="AK1129" s="76" t="s">
        <v>798</v>
      </c>
      <c r="AL1129" s="83" t="s">
        <v>11410</v>
      </c>
      <c r="AM1129" s="71" t="s">
        <v>11411</v>
      </c>
      <c r="AN1129" s="84" t="s">
        <v>11412</v>
      </c>
      <c r="AO1129" s="71" t="s">
        <v>11413</v>
      </c>
      <c r="AP1129" s="161" t="str">
        <f>IMAGE("https://bellingcat-archive.nyc3.cdn.digitaloceanspaces.com/Ukraine_Witness_Datasheet/Worksheet/youtube_dl_1498977317690957827/out2.jpg")</f>
        <v/>
      </c>
      <c r="AQ1129" s="84" t="s">
        <v>11414</v>
      </c>
      <c r="AR1129" s="71" t="s">
        <v>11415</v>
      </c>
      <c r="AS1129" s="71" t="s">
        <v>11416</v>
      </c>
      <c r="AT1129" s="71">
        <v>10.147</v>
      </c>
      <c r="AU1129" s="89"/>
      <c r="AV1129" s="162"/>
      <c r="AW1129" s="81"/>
    </row>
    <row r="1130" ht="15.75" customHeight="1">
      <c r="A1130" s="72" t="s">
        <v>8023</v>
      </c>
      <c r="B1130" s="61" t="s">
        <v>8023</v>
      </c>
      <c r="C1130" s="57" t="s">
        <v>10973</v>
      </c>
      <c r="D1130" s="104">
        <v>48.9521301665</v>
      </c>
      <c r="E1130" s="104">
        <v>38.35806</v>
      </c>
      <c r="F1130" s="79">
        <v>3.0</v>
      </c>
      <c r="G1130" s="84" t="s">
        <v>11417</v>
      </c>
      <c r="H1130" s="61" t="s">
        <v>66</v>
      </c>
      <c r="I1130" s="75"/>
      <c r="J1130" s="64" t="s">
        <v>11418</v>
      </c>
      <c r="K1130" s="69"/>
      <c r="L1130" s="65" t="s">
        <v>3542</v>
      </c>
      <c r="M1130" s="61" t="s">
        <v>5524</v>
      </c>
      <c r="N1130" s="73"/>
      <c r="O1130" s="61" t="s">
        <v>9101</v>
      </c>
      <c r="P1130" s="67" t="str">
        <f t="shared" si="1"/>
        <v>48.9521301665, 38.35806</v>
      </c>
      <c r="Q1130" s="67" t="str">
        <f t="shared" si="2"/>
        <v>48.952054, 38.358875</v>
      </c>
      <c r="R1130" s="67">
        <f t="shared" si="3"/>
        <v>48.952054</v>
      </c>
      <c r="S1130" s="67">
        <f t="shared" si="4"/>
        <v>38.358875</v>
      </c>
      <c r="T1130" s="71" t="s">
        <v>11419</v>
      </c>
      <c r="U1130" s="69"/>
      <c r="V1130" s="169" t="s">
        <v>11420</v>
      </c>
      <c r="W1130" s="71" t="s">
        <v>3601</v>
      </c>
      <c r="X1130" s="72" t="s">
        <v>2982</v>
      </c>
      <c r="Y1130" s="73"/>
      <c r="Z1130" s="73"/>
      <c r="AA1130" s="73"/>
      <c r="AB1130" s="73"/>
      <c r="AC1130" s="73"/>
      <c r="AD1130" s="73"/>
      <c r="AE1130" s="73"/>
      <c r="AF1130" s="73"/>
      <c r="AG1130" s="73"/>
      <c r="AH1130" s="73"/>
      <c r="AI1130" s="73"/>
      <c r="AJ1130" s="161"/>
      <c r="AK1130" s="76" t="s">
        <v>6276</v>
      </c>
      <c r="AL1130" s="83" t="s">
        <v>11421</v>
      </c>
      <c r="AM1130" s="71" t="s">
        <v>11422</v>
      </c>
      <c r="AN1130" s="84" t="s">
        <v>11423</v>
      </c>
      <c r="AO1130" s="71" t="s">
        <v>11424</v>
      </c>
      <c r="AP1130" s="161" t="str">
        <f>IMAGE("https://bellingcat-archive.nyc3.cdn.digitaloceanspaces.com/Ukraine_Witness_Datasheet/Worksheet/telegram_1b20e77885/out2.jpg")</f>
        <v/>
      </c>
      <c r="AQ1130" s="84" t="s">
        <v>11425</v>
      </c>
      <c r="AR1130" s="84" t="s">
        <v>11417</v>
      </c>
      <c r="AS1130" s="71" t="s">
        <v>11426</v>
      </c>
      <c r="AT1130" s="71">
        <v>34.0</v>
      </c>
      <c r="AU1130" s="89"/>
      <c r="AV1130" s="162"/>
      <c r="AW1130" s="81"/>
    </row>
    <row r="1131" ht="15.75" customHeight="1">
      <c r="A1131" s="204" t="s">
        <v>63</v>
      </c>
      <c r="B1131" s="73"/>
      <c r="C1131" s="57" t="s">
        <v>10973</v>
      </c>
      <c r="D1131" s="74">
        <v>46.632903</v>
      </c>
      <c r="E1131" s="74">
        <v>32.617809</v>
      </c>
      <c r="F1131" s="79">
        <v>1.0</v>
      </c>
      <c r="G1131" s="377" t="s">
        <v>11427</v>
      </c>
      <c r="H1131" s="73"/>
      <c r="I1131" s="75"/>
      <c r="J1131" s="64" t="s">
        <v>11428</v>
      </c>
      <c r="K1131" s="69"/>
      <c r="L1131" s="65" t="s">
        <v>3542</v>
      </c>
      <c r="M1131" s="61" t="s">
        <v>5702</v>
      </c>
      <c r="N1131" s="73"/>
      <c r="O1131" s="61" t="s">
        <v>7098</v>
      </c>
      <c r="P1131" s="67" t="str">
        <f t="shared" si="1"/>
        <v>46.632903, 32.617809</v>
      </c>
      <c r="Q1131" s="67" t="str">
        <f t="shared" si="2"/>
        <v>46.632675, 32.61692</v>
      </c>
      <c r="R1131" s="67">
        <f t="shared" si="3"/>
        <v>46.632675</v>
      </c>
      <c r="S1131" s="67">
        <f t="shared" si="4"/>
        <v>32.61692</v>
      </c>
      <c r="T1131" s="161"/>
      <c r="U1131" s="69"/>
      <c r="V1131" s="169" t="s">
        <v>11429</v>
      </c>
      <c r="W1131" s="71" t="s">
        <v>74</v>
      </c>
      <c r="X1131" s="72" t="s">
        <v>2982</v>
      </c>
      <c r="Y1131" s="73"/>
      <c r="Z1131" s="73"/>
      <c r="AA1131" s="73"/>
      <c r="AB1131" s="73"/>
      <c r="AC1131" s="73"/>
      <c r="AD1131" s="73"/>
      <c r="AE1131" s="73"/>
      <c r="AF1131" s="73"/>
      <c r="AG1131" s="73"/>
      <c r="AH1131" s="73"/>
      <c r="AI1131" s="73"/>
      <c r="AJ1131" s="161"/>
      <c r="AK1131" s="76" t="s">
        <v>798</v>
      </c>
      <c r="AL1131" s="83" t="s">
        <v>11430</v>
      </c>
      <c r="AM1131" s="71" t="s">
        <v>11431</v>
      </c>
      <c r="AN1131" s="84" t="s">
        <v>11432</v>
      </c>
      <c r="AO1131" s="71" t="s">
        <v>11433</v>
      </c>
      <c r="AP1131" s="161" t="str">
        <f>IMAGE("https://bellingcat-archive.nyc3.cdn.digitaloceanspaces.com/Ukraine_Witness_Datasheet/Worksheet/youtube_dl_1498996906151886862/out2.jpg")</f>
        <v/>
      </c>
      <c r="AQ1131" s="84" t="s">
        <v>11434</v>
      </c>
      <c r="AR1131" s="71" t="s">
        <v>11435</v>
      </c>
      <c r="AS1131" s="71" t="s">
        <v>11436</v>
      </c>
      <c r="AT1131" s="71">
        <v>40.3</v>
      </c>
      <c r="AU1131" s="89"/>
      <c r="AV1131" s="162"/>
      <c r="AW1131" s="81"/>
    </row>
    <row r="1132" ht="15.75" customHeight="1">
      <c r="A1132" s="204" t="s">
        <v>63</v>
      </c>
      <c r="B1132" s="73"/>
      <c r="C1132" s="57" t="s">
        <v>10973</v>
      </c>
      <c r="D1132" s="74">
        <v>50.542076</v>
      </c>
      <c r="E1132" s="74">
        <v>30.264558</v>
      </c>
      <c r="F1132" s="79">
        <v>2.0</v>
      </c>
      <c r="G1132" s="84" t="s">
        <v>11437</v>
      </c>
      <c r="H1132" s="73"/>
      <c r="I1132" s="75"/>
      <c r="J1132" s="64" t="s">
        <v>11438</v>
      </c>
      <c r="K1132" s="69"/>
      <c r="L1132" s="65" t="s">
        <v>3542</v>
      </c>
      <c r="M1132" s="61" t="s">
        <v>5827</v>
      </c>
      <c r="N1132" s="73"/>
      <c r="O1132" s="61" t="s">
        <v>7550</v>
      </c>
      <c r="P1132" s="67" t="str">
        <f t="shared" si="1"/>
        <v>50.542076, 30.264558</v>
      </c>
      <c r="Q1132" s="67" t="str">
        <f t="shared" si="2"/>
        <v>50.542036, 30.263837</v>
      </c>
      <c r="R1132" s="67">
        <f t="shared" si="3"/>
        <v>50.542036</v>
      </c>
      <c r="S1132" s="67">
        <f t="shared" si="4"/>
        <v>30.263837</v>
      </c>
      <c r="T1132" s="161"/>
      <c r="U1132" s="69"/>
      <c r="V1132" s="169" t="s">
        <v>11439</v>
      </c>
      <c r="W1132" s="71" t="s">
        <v>3601</v>
      </c>
      <c r="X1132" s="72" t="s">
        <v>2982</v>
      </c>
      <c r="Y1132" s="73"/>
      <c r="Z1132" s="73"/>
      <c r="AA1132" s="73"/>
      <c r="AB1132" s="73"/>
      <c r="AC1132" s="73"/>
      <c r="AD1132" s="73"/>
      <c r="AE1132" s="73"/>
      <c r="AF1132" s="73"/>
      <c r="AG1132" s="73"/>
      <c r="AH1132" s="73"/>
      <c r="AI1132" s="73"/>
      <c r="AJ1132" s="161"/>
      <c r="AK1132" s="76" t="s">
        <v>798</v>
      </c>
      <c r="AL1132" s="83" t="s">
        <v>11440</v>
      </c>
      <c r="AM1132" s="71" t="s">
        <v>11441</v>
      </c>
      <c r="AN1132" s="84" t="s">
        <v>11442</v>
      </c>
      <c r="AO1132" s="71" t="s">
        <v>11443</v>
      </c>
      <c r="AP1132" s="161" t="str">
        <f>IMAGE("https://bellingcat-archive.nyc3.cdn.digitaloceanspaces.com/Ukraine_Witness_Datasheet/Worksheet/youtube_dl_1498993475265699841/out3.jpg")</f>
        <v/>
      </c>
      <c r="AQ1132" s="84" t="s">
        <v>11444</v>
      </c>
      <c r="AR1132" s="71" t="s">
        <v>11445</v>
      </c>
      <c r="AS1132" s="71" t="s">
        <v>11446</v>
      </c>
      <c r="AT1132" s="71">
        <v>101.385</v>
      </c>
      <c r="AU1132" s="89"/>
      <c r="AV1132" s="162"/>
      <c r="AW1132" s="81"/>
    </row>
    <row r="1133" ht="15.75" customHeight="1">
      <c r="A1133" s="72" t="s">
        <v>7849</v>
      </c>
      <c r="B1133" s="73"/>
      <c r="C1133" s="57" t="s">
        <v>10973</v>
      </c>
      <c r="D1133" s="104">
        <v>50.016046</v>
      </c>
      <c r="E1133" s="104">
        <v>36.332757</v>
      </c>
      <c r="F1133" s="79">
        <v>2.0</v>
      </c>
      <c r="G1133" s="84" t="s">
        <v>11447</v>
      </c>
      <c r="H1133" s="61" t="s">
        <v>66</v>
      </c>
      <c r="I1133" s="75"/>
      <c r="J1133" s="64" t="s">
        <v>11448</v>
      </c>
      <c r="K1133" s="88" t="s">
        <v>11449</v>
      </c>
      <c r="L1133" s="65" t="s">
        <v>3542</v>
      </c>
      <c r="M1133" s="61" t="s">
        <v>6314</v>
      </c>
      <c r="N1133" s="73"/>
      <c r="O1133" s="61" t="s">
        <v>5626</v>
      </c>
      <c r="P1133" s="67" t="str">
        <f t="shared" si="1"/>
        <v>50.016046, 36.332757</v>
      </c>
      <c r="Q1133" s="67" t="str">
        <f t="shared" si="2"/>
        <v>50.015783, 36.332062</v>
      </c>
      <c r="R1133" s="67">
        <f t="shared" si="3"/>
        <v>50.015783</v>
      </c>
      <c r="S1133" s="67">
        <f t="shared" si="4"/>
        <v>36.332062</v>
      </c>
      <c r="T1133" s="161"/>
      <c r="U1133" s="69"/>
      <c r="V1133" s="169" t="s">
        <v>11450</v>
      </c>
      <c r="W1133" s="71" t="s">
        <v>3601</v>
      </c>
      <c r="X1133" s="72" t="s">
        <v>2982</v>
      </c>
      <c r="Y1133" s="73"/>
      <c r="Z1133" s="73"/>
      <c r="AA1133" s="73"/>
      <c r="AB1133" s="73"/>
      <c r="AC1133" s="73"/>
      <c r="AD1133" s="73"/>
      <c r="AE1133" s="73"/>
      <c r="AF1133" s="73"/>
      <c r="AG1133" s="73"/>
      <c r="AH1133" s="73"/>
      <c r="AI1133" s="73"/>
      <c r="AJ1133" s="161"/>
      <c r="AK1133" s="76" t="s">
        <v>798</v>
      </c>
      <c r="AL1133" s="83" t="s">
        <v>11451</v>
      </c>
      <c r="AM1133" s="71" t="s">
        <v>11452</v>
      </c>
      <c r="AN1133" s="84" t="s">
        <v>11453</v>
      </c>
      <c r="AO1133" s="71" t="s">
        <v>11454</v>
      </c>
      <c r="AP1133" s="161" t="str">
        <f>IMAGE("https://bellingcat-archive.nyc3.cdn.digitaloceanspaces.com/Ukraine_Witness_Datasheet/Worksheet/youtube_dl_1498999379411312649/out2.jpg")</f>
        <v/>
      </c>
      <c r="AQ1133" s="84" t="s">
        <v>11455</v>
      </c>
      <c r="AR1133" s="71" t="s">
        <v>11456</v>
      </c>
      <c r="AS1133" s="71" t="s">
        <v>11457</v>
      </c>
      <c r="AT1133" s="71">
        <v>17.033</v>
      </c>
      <c r="AU1133" s="89"/>
      <c r="AV1133" s="162"/>
      <c r="AW1133" s="81"/>
    </row>
    <row r="1134" ht="15.75" customHeight="1">
      <c r="A1134" s="354" t="s">
        <v>7092</v>
      </c>
      <c r="B1134" s="73"/>
      <c r="C1134" s="57" t="s">
        <v>9028</v>
      </c>
      <c r="D1134" s="241" t="s">
        <v>11458</v>
      </c>
      <c r="E1134" s="241" t="s">
        <v>11459</v>
      </c>
      <c r="F1134" s="89"/>
      <c r="G1134" s="130" t="s">
        <v>11460</v>
      </c>
      <c r="H1134" s="73"/>
      <c r="I1134" s="62" t="s">
        <v>11461</v>
      </c>
      <c r="J1134" s="183" t="s">
        <v>11462</v>
      </c>
      <c r="K1134" s="69"/>
      <c r="L1134" s="65" t="s">
        <v>3542</v>
      </c>
      <c r="M1134" s="61" t="s">
        <v>5590</v>
      </c>
      <c r="N1134" s="73"/>
      <c r="O1134" s="328" t="s">
        <v>5626</v>
      </c>
      <c r="P1134" s="67" t="str">
        <f t="shared" si="1"/>
        <v>50.00373698, 36.33066234</v>
      </c>
      <c r="Q1134" s="67" t="str">
        <f t="shared" si="2"/>
        <v>50.003707, 36.329564</v>
      </c>
      <c r="R1134" s="67">
        <f t="shared" si="3"/>
        <v>50.003707</v>
      </c>
      <c r="S1134" s="67">
        <f t="shared" si="4"/>
        <v>36.329564</v>
      </c>
      <c r="T1134" s="161"/>
      <c r="U1134" s="69"/>
      <c r="V1134" s="169" t="s">
        <v>11463</v>
      </c>
      <c r="W1134" s="161"/>
      <c r="X1134" s="17" t="s">
        <v>9</v>
      </c>
      <c r="Y1134" s="216" t="s">
        <v>5820</v>
      </c>
      <c r="Z1134" s="73"/>
      <c r="AA1134" s="73"/>
      <c r="AB1134" s="73"/>
      <c r="AC1134" s="73"/>
      <c r="AD1134" s="73"/>
      <c r="AE1134" s="73"/>
      <c r="AF1134" s="73"/>
      <c r="AG1134" s="73"/>
      <c r="AH1134" s="73"/>
      <c r="AI1134" s="73"/>
      <c r="AJ1134" s="161"/>
      <c r="AK1134" s="76" t="s">
        <v>6276</v>
      </c>
      <c r="AL1134" s="83" t="s">
        <v>11464</v>
      </c>
      <c r="AM1134" s="71" t="s">
        <v>11465</v>
      </c>
      <c r="AN1134" s="84" t="s">
        <v>11466</v>
      </c>
      <c r="AO1134" s="71" t="s">
        <v>11467</v>
      </c>
      <c r="AP1134" s="161"/>
      <c r="AQ1134" s="161"/>
      <c r="AR1134" s="161"/>
      <c r="AS1134" s="71" t="s">
        <v>11468</v>
      </c>
      <c r="AT1134" s="161"/>
      <c r="AU1134" s="89"/>
      <c r="AV1134" s="162"/>
      <c r="AW1134" s="81"/>
    </row>
    <row r="1135" ht="15.75" customHeight="1">
      <c r="A1135" s="72" t="s">
        <v>6463</v>
      </c>
      <c r="B1135" s="73"/>
      <c r="C1135" s="57" t="s">
        <v>10973</v>
      </c>
      <c r="D1135" s="104">
        <v>46.632634030608</v>
      </c>
      <c r="E1135" s="104">
        <v>32.6183270683905</v>
      </c>
      <c r="F1135" s="79">
        <v>1.0</v>
      </c>
      <c r="G1135" s="130" t="s">
        <v>11469</v>
      </c>
      <c r="H1135" s="61" t="s">
        <v>66</v>
      </c>
      <c r="I1135" s="75"/>
      <c r="J1135" s="64" t="s">
        <v>11470</v>
      </c>
      <c r="K1135" s="69"/>
      <c r="L1135" s="65" t="s">
        <v>3542</v>
      </c>
      <c r="M1135" s="61" t="s">
        <v>5702</v>
      </c>
      <c r="N1135" s="73"/>
      <c r="O1135" s="61" t="s">
        <v>7098</v>
      </c>
      <c r="P1135" s="67" t="str">
        <f t="shared" si="1"/>
        <v>46.632634030608, 32.6183270683905</v>
      </c>
      <c r="Q1135" s="67" t="str">
        <f t="shared" si="2"/>
        <v>46.632548, 32.61755</v>
      </c>
      <c r="R1135" s="67">
        <f t="shared" si="3"/>
        <v>46.632548</v>
      </c>
      <c r="S1135" s="67">
        <f t="shared" si="4"/>
        <v>32.61755</v>
      </c>
      <c r="T1135" s="71" t="s">
        <v>11471</v>
      </c>
      <c r="U1135" s="69"/>
      <c r="V1135" s="169" t="s">
        <v>11472</v>
      </c>
      <c r="W1135" s="71" t="s">
        <v>74</v>
      </c>
      <c r="X1135" s="72" t="s">
        <v>2982</v>
      </c>
      <c r="Y1135" s="73"/>
      <c r="Z1135" s="73"/>
      <c r="AA1135" s="73"/>
      <c r="AB1135" s="73"/>
      <c r="AC1135" s="73"/>
      <c r="AD1135" s="73"/>
      <c r="AE1135" s="73"/>
      <c r="AF1135" s="73"/>
      <c r="AG1135" s="73"/>
      <c r="AH1135" s="73"/>
      <c r="AI1135" s="73"/>
      <c r="AJ1135" s="161"/>
      <c r="AK1135" s="76" t="s">
        <v>6276</v>
      </c>
      <c r="AL1135" s="83" t="s">
        <v>11473</v>
      </c>
      <c r="AM1135" s="71" t="s">
        <v>11474</v>
      </c>
      <c r="AN1135" s="84" t="s">
        <v>11475</v>
      </c>
      <c r="AO1135" s="71" t="s">
        <v>11476</v>
      </c>
      <c r="AP1135" s="161" t="str">
        <f>IMAGE("https://bellingcat-archive.nyc3.cdn.digitaloceanspaces.com/Ukraine_Witness_Datasheet/Worksheet/telegram_dedd79e7cd/out2.jpg")</f>
        <v/>
      </c>
      <c r="AQ1135" s="84" t="s">
        <v>11477</v>
      </c>
      <c r="AR1135" s="84" t="s">
        <v>11469</v>
      </c>
      <c r="AS1135" s="71" t="s">
        <v>11478</v>
      </c>
      <c r="AT1135" s="71">
        <v>40.0</v>
      </c>
      <c r="AU1135" s="89"/>
      <c r="AV1135" s="162"/>
      <c r="AW1135" s="81"/>
    </row>
    <row r="1136" ht="15.75" customHeight="1">
      <c r="A1136" s="204" t="s">
        <v>11479</v>
      </c>
      <c r="B1136" s="73"/>
      <c r="C1136" s="57" t="s">
        <v>10973</v>
      </c>
      <c r="D1136" s="104">
        <v>50.281841</v>
      </c>
      <c r="E1136" s="104">
        <v>28.612006</v>
      </c>
      <c r="F1136" s="79">
        <v>2.0</v>
      </c>
      <c r="G1136" s="130" t="s">
        <v>11304</v>
      </c>
      <c r="H1136" s="61" t="s">
        <v>66</v>
      </c>
      <c r="I1136" s="75"/>
      <c r="J1136" s="64" t="s">
        <v>11438</v>
      </c>
      <c r="K1136" s="442" t="s">
        <v>11480</v>
      </c>
      <c r="L1136" s="65" t="s">
        <v>3542</v>
      </c>
      <c r="M1136" s="61" t="s">
        <v>11481</v>
      </c>
      <c r="N1136" s="73"/>
      <c r="O1136" s="61" t="s">
        <v>11482</v>
      </c>
      <c r="P1136" s="67" t="str">
        <f t="shared" si="1"/>
        <v>50.281841, 28.612006</v>
      </c>
      <c r="Q1136" s="67" t="str">
        <f t="shared" si="2"/>
        <v>50.281598, 28.612398</v>
      </c>
      <c r="R1136" s="67">
        <f t="shared" si="3"/>
        <v>50.281598</v>
      </c>
      <c r="S1136" s="67">
        <f t="shared" si="4"/>
        <v>28.612398</v>
      </c>
      <c r="T1136" s="220" t="s">
        <v>11483</v>
      </c>
      <c r="U1136" s="195"/>
      <c r="V1136" s="169" t="s">
        <v>11484</v>
      </c>
      <c r="W1136" s="71" t="s">
        <v>3601</v>
      </c>
      <c r="X1136" s="72" t="s">
        <v>2982</v>
      </c>
      <c r="Y1136" s="61" t="s">
        <v>11347</v>
      </c>
      <c r="Z1136" s="73"/>
      <c r="AA1136" s="73"/>
      <c r="AB1136" s="73"/>
      <c r="AC1136" s="73"/>
      <c r="AD1136" s="73"/>
      <c r="AE1136" s="73"/>
      <c r="AF1136" s="73"/>
      <c r="AG1136" s="73"/>
      <c r="AH1136" s="73"/>
      <c r="AI1136" s="73"/>
      <c r="AJ1136" s="161"/>
      <c r="AK1136" s="76" t="s">
        <v>4410</v>
      </c>
      <c r="AL1136" s="83" t="s">
        <v>11307</v>
      </c>
      <c r="AM1136" s="71" t="s">
        <v>11485</v>
      </c>
      <c r="AN1136" s="84" t="s">
        <v>11486</v>
      </c>
      <c r="AO1136" s="71" t="s">
        <v>11310</v>
      </c>
      <c r="AP1136" s="161" t="str">
        <f>IMAGE("https://bellingcat-archive.nyc3.cdn.digitaloceanspaces.com/Ukraine_Witness_Datasheet/Worksheet/telegram_e3d2976835/out2.jpg")</f>
        <v/>
      </c>
      <c r="AQ1136" s="84" t="s">
        <v>11311</v>
      </c>
      <c r="AR1136" s="84" t="s">
        <v>11304</v>
      </c>
      <c r="AS1136" s="71" t="s">
        <v>11312</v>
      </c>
      <c r="AT1136" s="71">
        <v>27.0</v>
      </c>
      <c r="AU1136" s="89"/>
      <c r="AV1136" s="80" t="s">
        <v>88</v>
      </c>
      <c r="AW1136" s="81"/>
    </row>
    <row r="1137" ht="15.75" customHeight="1">
      <c r="A1137" s="434" t="s">
        <v>6880</v>
      </c>
      <c r="B1137" s="73"/>
      <c r="C1137" s="176"/>
      <c r="D1137" s="121"/>
      <c r="E1137" s="121"/>
      <c r="F1137" s="89"/>
      <c r="G1137" s="161"/>
      <c r="H1137" s="73"/>
      <c r="I1137" s="75"/>
      <c r="J1137" s="69"/>
      <c r="K1137" s="69"/>
      <c r="L1137" s="70"/>
      <c r="M1137" s="73"/>
      <c r="N1137" s="73"/>
      <c r="O1137" s="73"/>
      <c r="P1137" s="67" t="str">
        <f t="shared" si="1"/>
        <v/>
      </c>
      <c r="Q1137" s="67" t="str">
        <f t="shared" si="2"/>
        <v/>
      </c>
      <c r="R1137" s="67" t="str">
        <f t="shared" si="3"/>
        <v/>
      </c>
      <c r="S1137" s="67" t="str">
        <f t="shared" si="4"/>
        <v/>
      </c>
      <c r="T1137" s="161"/>
      <c r="U1137" s="69"/>
      <c r="V1137" s="169" t="s">
        <v>11487</v>
      </c>
      <c r="W1137" s="161"/>
      <c r="X1137" s="194"/>
      <c r="Y1137" s="73"/>
      <c r="Z1137" s="73"/>
      <c r="AA1137" s="73"/>
      <c r="AB1137" s="73"/>
      <c r="AC1137" s="73"/>
      <c r="AD1137" s="73"/>
      <c r="AE1137" s="73"/>
      <c r="AF1137" s="73"/>
      <c r="AG1137" s="73"/>
      <c r="AH1137" s="73"/>
      <c r="AI1137" s="73"/>
      <c r="AJ1137" s="161"/>
      <c r="AK1137" s="236"/>
      <c r="AL1137" s="269"/>
      <c r="AM1137" s="161"/>
      <c r="AN1137" s="161"/>
      <c r="AO1137" s="161"/>
      <c r="AP1137" s="161"/>
      <c r="AQ1137" s="161"/>
      <c r="AR1137" s="161"/>
      <c r="AS1137" s="161"/>
      <c r="AT1137" s="161"/>
      <c r="AU1137" s="89"/>
      <c r="AV1137" s="162"/>
      <c r="AW1137" s="81"/>
    </row>
    <row r="1138" ht="15.75" customHeight="1">
      <c r="A1138" s="72" t="s">
        <v>11479</v>
      </c>
      <c r="B1138" s="73"/>
      <c r="C1138" s="57" t="s">
        <v>10973</v>
      </c>
      <c r="D1138" s="104">
        <v>49.986471</v>
      </c>
      <c r="E1138" s="104">
        <v>36.227401</v>
      </c>
      <c r="F1138" s="79">
        <v>1.0</v>
      </c>
      <c r="G1138" s="84" t="s">
        <v>11488</v>
      </c>
      <c r="H1138" s="61" t="s">
        <v>66</v>
      </c>
      <c r="I1138" s="75"/>
      <c r="J1138" s="64" t="s">
        <v>11489</v>
      </c>
      <c r="K1138" s="442" t="s">
        <v>11490</v>
      </c>
      <c r="L1138" s="65" t="s">
        <v>3542</v>
      </c>
      <c r="M1138" s="92" t="s">
        <v>5590</v>
      </c>
      <c r="N1138" s="73"/>
      <c r="O1138" s="61" t="s">
        <v>5626</v>
      </c>
      <c r="P1138" s="67" t="str">
        <f t="shared" si="1"/>
        <v>49.986471, 36.227401</v>
      </c>
      <c r="Q1138" s="67" t="str">
        <f t="shared" si="2"/>
        <v>49.986331, 36.226802</v>
      </c>
      <c r="R1138" s="67">
        <f t="shared" si="3"/>
        <v>49.986331</v>
      </c>
      <c r="S1138" s="67">
        <f t="shared" si="4"/>
        <v>36.226802</v>
      </c>
      <c r="T1138" s="161"/>
      <c r="U1138" s="69"/>
      <c r="V1138" s="169" t="s">
        <v>11491</v>
      </c>
      <c r="W1138" s="71" t="s">
        <v>3601</v>
      </c>
      <c r="X1138" s="72" t="s">
        <v>2982</v>
      </c>
      <c r="Y1138" s="73"/>
      <c r="Z1138" s="73"/>
      <c r="AA1138" s="73"/>
      <c r="AB1138" s="73"/>
      <c r="AC1138" s="73"/>
      <c r="AD1138" s="73"/>
      <c r="AE1138" s="73"/>
      <c r="AF1138" s="73"/>
      <c r="AG1138" s="73"/>
      <c r="AH1138" s="73"/>
      <c r="AI1138" s="73"/>
      <c r="AJ1138" s="161"/>
      <c r="AK1138" s="76" t="s">
        <v>930</v>
      </c>
      <c r="AL1138" s="83" t="s">
        <v>11288</v>
      </c>
      <c r="AM1138" s="71" t="s">
        <v>11492</v>
      </c>
      <c r="AN1138" s="84" t="s">
        <v>11493</v>
      </c>
      <c r="AO1138" s="71" t="s">
        <v>11291</v>
      </c>
      <c r="AP1138" s="161" t="str">
        <f>IMAGE("https://bellingcat-archive.nyc3.cdn.digitaloceanspaces.com/Ukraine_Witness_Datasheet/Worksheet/youtube_dl_1498983452464590861/out2.jpg")</f>
        <v/>
      </c>
      <c r="AQ1138" s="84" t="s">
        <v>11292</v>
      </c>
      <c r="AR1138" s="71" t="s">
        <v>11293</v>
      </c>
      <c r="AS1138" s="71" t="s">
        <v>11294</v>
      </c>
      <c r="AT1138" s="71">
        <v>17.477</v>
      </c>
      <c r="AU1138" s="89"/>
      <c r="AV1138" s="162"/>
      <c r="AW1138" s="81"/>
    </row>
    <row r="1139" ht="15.75" customHeight="1">
      <c r="A1139" s="208" t="s">
        <v>7849</v>
      </c>
      <c r="B1139" s="73"/>
      <c r="C1139" s="57" t="s">
        <v>10973</v>
      </c>
      <c r="D1139" s="104">
        <v>48.95632</v>
      </c>
      <c r="E1139" s="104">
        <v>38.358601</v>
      </c>
      <c r="F1139" s="79">
        <v>2.0</v>
      </c>
      <c r="G1139" s="84" t="s">
        <v>11494</v>
      </c>
      <c r="H1139" s="73"/>
      <c r="I1139" s="75"/>
      <c r="J1139" s="64" t="s">
        <v>11495</v>
      </c>
      <c r="K1139" s="88" t="s">
        <v>11496</v>
      </c>
      <c r="L1139" s="65" t="s">
        <v>3542</v>
      </c>
      <c r="M1139" s="61" t="s">
        <v>11497</v>
      </c>
      <c r="N1139" s="73"/>
      <c r="O1139" s="61" t="s">
        <v>11498</v>
      </c>
      <c r="P1139" s="67" t="str">
        <f t="shared" si="1"/>
        <v>48.95632, 38.358601</v>
      </c>
      <c r="Q1139" s="67" t="str">
        <f t="shared" si="2"/>
        <v>48.955873, 38.359088</v>
      </c>
      <c r="R1139" s="67">
        <f t="shared" si="3"/>
        <v>48.955873</v>
      </c>
      <c r="S1139" s="67">
        <f t="shared" si="4"/>
        <v>38.359088</v>
      </c>
      <c r="T1139" s="161"/>
      <c r="U1139" s="69"/>
      <c r="V1139" s="169" t="s">
        <v>11499</v>
      </c>
      <c r="W1139" s="161"/>
      <c r="X1139" s="194"/>
      <c r="Y1139" s="73"/>
      <c r="Z1139" s="73"/>
      <c r="AA1139" s="73"/>
      <c r="AB1139" s="73"/>
      <c r="AC1139" s="73"/>
      <c r="AD1139" s="73"/>
      <c r="AE1139" s="73"/>
      <c r="AF1139" s="73"/>
      <c r="AG1139" s="73"/>
      <c r="AH1139" s="73"/>
      <c r="AI1139" s="73"/>
      <c r="AJ1139" s="161"/>
      <c r="AK1139" s="76" t="s">
        <v>798</v>
      </c>
      <c r="AL1139" s="83" t="s">
        <v>11500</v>
      </c>
      <c r="AM1139" s="71" t="s">
        <v>11501</v>
      </c>
      <c r="AN1139" s="84" t="s">
        <v>11502</v>
      </c>
      <c r="AO1139" s="71" t="s">
        <v>11503</v>
      </c>
      <c r="AP1139" s="161" t="str">
        <f>IMAGE("https://bellingcat-archive.nyc3.cdn.digitaloceanspaces.com/Ukraine_Witness_Datasheet/Worksheet/youtube_dl_1499004124960014338/out2.jpg")</f>
        <v/>
      </c>
      <c r="AQ1139" s="84" t="s">
        <v>11504</v>
      </c>
      <c r="AR1139" s="71" t="s">
        <v>11505</v>
      </c>
      <c r="AS1139" s="71" t="s">
        <v>11506</v>
      </c>
      <c r="AT1139" s="71">
        <v>15.191</v>
      </c>
      <c r="AU1139" s="89"/>
      <c r="AV1139" s="162"/>
      <c r="AW1139" s="81"/>
    </row>
    <row r="1140" ht="15.75" customHeight="1">
      <c r="A1140" s="204" t="s">
        <v>63</v>
      </c>
      <c r="B1140" s="73"/>
      <c r="C1140" s="57" t="s">
        <v>10973</v>
      </c>
      <c r="D1140" s="74">
        <v>50.643162</v>
      </c>
      <c r="E1140" s="74">
        <v>29.932785</v>
      </c>
      <c r="F1140" s="79">
        <v>2.0</v>
      </c>
      <c r="G1140" s="84" t="s">
        <v>11507</v>
      </c>
      <c r="H1140" s="61" t="s">
        <v>5368</v>
      </c>
      <c r="I1140" s="75"/>
      <c r="J1140" s="64" t="s">
        <v>11508</v>
      </c>
      <c r="K1140" s="69"/>
      <c r="L1140" s="65" t="s">
        <v>10977</v>
      </c>
      <c r="M1140" s="92" t="s">
        <v>5590</v>
      </c>
      <c r="N1140" s="73"/>
      <c r="O1140" s="443" t="s">
        <v>7832</v>
      </c>
      <c r="P1140" s="67" t="str">
        <f t="shared" si="1"/>
        <v>50.643162, 29.932785</v>
      </c>
      <c r="Q1140" s="67" t="str">
        <f t="shared" si="2"/>
        <v>50.642968, 29.933493</v>
      </c>
      <c r="R1140" s="67">
        <f t="shared" si="3"/>
        <v>50.642968</v>
      </c>
      <c r="S1140" s="67">
        <f t="shared" si="4"/>
        <v>29.933493</v>
      </c>
      <c r="T1140" s="161"/>
      <c r="U1140" s="69"/>
      <c r="V1140" s="169" t="s">
        <v>11509</v>
      </c>
      <c r="W1140" s="71" t="s">
        <v>3601</v>
      </c>
      <c r="X1140" s="72" t="s">
        <v>2982</v>
      </c>
      <c r="Y1140" s="73"/>
      <c r="Z1140" s="73"/>
      <c r="AA1140" s="73"/>
      <c r="AB1140" s="73"/>
      <c r="AC1140" s="73"/>
      <c r="AD1140" s="73"/>
      <c r="AE1140" s="73"/>
      <c r="AF1140" s="73"/>
      <c r="AG1140" s="73"/>
      <c r="AH1140" s="73"/>
      <c r="AI1140" s="73"/>
      <c r="AJ1140" s="161"/>
      <c r="AK1140" s="76" t="s">
        <v>930</v>
      </c>
      <c r="AL1140" s="83" t="s">
        <v>11510</v>
      </c>
      <c r="AM1140" s="71" t="s">
        <v>11511</v>
      </c>
      <c r="AN1140" s="84" t="s">
        <v>11512</v>
      </c>
      <c r="AO1140" s="71" t="s">
        <v>11513</v>
      </c>
      <c r="AP1140" s="161" t="str">
        <f>IMAGE("https://bellingcat-archive.nyc3.cdn.digitaloceanspaces.com/Ukraine_Witness_Datasheet/Worksheet/youtube_dl_mD3gIx6H_bA/out20.jpg")</f>
        <v/>
      </c>
      <c r="AQ1140" s="84" t="s">
        <v>11514</v>
      </c>
      <c r="AR1140" s="71" t="s">
        <v>11515</v>
      </c>
      <c r="AS1140" s="71" t="s">
        <v>11516</v>
      </c>
      <c r="AT1140" s="71">
        <v>253.0</v>
      </c>
      <c r="AU1140" s="89"/>
      <c r="AV1140" s="162"/>
      <c r="AW1140" s="81"/>
    </row>
    <row r="1141" ht="15.75" customHeight="1">
      <c r="A1141" s="204" t="s">
        <v>63</v>
      </c>
      <c r="B1141" s="73"/>
      <c r="C1141" s="57" t="s">
        <v>9941</v>
      </c>
      <c r="D1141" s="300">
        <v>46.658952</v>
      </c>
      <c r="E1141" s="300">
        <v>32.573143</v>
      </c>
      <c r="F1141" s="427">
        <v>5.0</v>
      </c>
      <c r="G1141" s="130" t="s">
        <v>11517</v>
      </c>
      <c r="H1141" s="61" t="s">
        <v>5522</v>
      </c>
      <c r="I1141" s="62" t="s">
        <v>10987</v>
      </c>
      <c r="J1141" s="64" t="s">
        <v>11518</v>
      </c>
      <c r="K1141" s="69"/>
      <c r="L1141" s="65" t="s">
        <v>10977</v>
      </c>
      <c r="M1141" s="92" t="s">
        <v>5702</v>
      </c>
      <c r="N1141" s="111"/>
      <c r="O1141" s="92" t="s">
        <v>7098</v>
      </c>
      <c r="P1141" s="67" t="str">
        <f t="shared" si="1"/>
        <v>46.658952, 32.573143</v>
      </c>
      <c r="Q1141" s="67" t="str">
        <f t="shared" si="2"/>
        <v>46.658697, 32.57209</v>
      </c>
      <c r="R1141" s="67">
        <f t="shared" si="3"/>
        <v>46.658697</v>
      </c>
      <c r="S1141" s="67">
        <f t="shared" si="4"/>
        <v>32.57209</v>
      </c>
      <c r="T1141" s="71" t="s">
        <v>11519</v>
      </c>
      <c r="U1141" s="69"/>
      <c r="V1141" s="169" t="s">
        <v>11520</v>
      </c>
      <c r="W1141" s="71" t="s">
        <v>8546</v>
      </c>
      <c r="X1141" s="72" t="s">
        <v>2982</v>
      </c>
      <c r="Y1141" s="216" t="s">
        <v>5820</v>
      </c>
      <c r="Z1141" s="73"/>
      <c r="AA1141" s="73"/>
      <c r="AB1141" s="73"/>
      <c r="AC1141" s="73"/>
      <c r="AD1141" s="73"/>
      <c r="AE1141" s="73"/>
      <c r="AF1141" s="73"/>
      <c r="AG1141" s="73"/>
      <c r="AH1141" s="73"/>
      <c r="AI1141" s="73"/>
      <c r="AJ1141" s="161"/>
      <c r="AK1141" s="76" t="s">
        <v>11521</v>
      </c>
      <c r="AL1141" s="83" t="s">
        <v>11522</v>
      </c>
      <c r="AM1141" s="71" t="s">
        <v>11523</v>
      </c>
      <c r="AN1141" s="84" t="s">
        <v>11524</v>
      </c>
      <c r="AO1141" s="71" t="s">
        <v>11525</v>
      </c>
      <c r="AP1141" s="161" t="str">
        <f>IMAGE("https://bellingcat-archive.nyc3.cdn.digitaloceanspaces.com/Ukraine_Witness_Datasheet/Worksheet/youtube_dl_mD3gIx6H_bA/out5.jpg")</f>
        <v/>
      </c>
      <c r="AQ1141" s="84" t="s">
        <v>11514</v>
      </c>
      <c r="AR1141" s="71" t="s">
        <v>11515</v>
      </c>
      <c r="AS1141" s="71" t="s">
        <v>11526</v>
      </c>
      <c r="AT1141" s="71">
        <v>253.0</v>
      </c>
      <c r="AU1141" s="89"/>
      <c r="AV1141" s="162"/>
      <c r="AW1141" s="81"/>
    </row>
    <row r="1142" ht="15.75" customHeight="1">
      <c r="A1142" s="204" t="s">
        <v>63</v>
      </c>
      <c r="B1142" s="73"/>
      <c r="C1142" s="57" t="s">
        <v>9941</v>
      </c>
      <c r="D1142" s="300">
        <v>46.658952</v>
      </c>
      <c r="E1142" s="300">
        <v>32.573143</v>
      </c>
      <c r="F1142" s="427">
        <v>5.0</v>
      </c>
      <c r="G1142" s="130" t="s">
        <v>11527</v>
      </c>
      <c r="H1142" s="61" t="s">
        <v>5522</v>
      </c>
      <c r="I1142" s="62" t="s">
        <v>10987</v>
      </c>
      <c r="J1142" s="64" t="s">
        <v>11518</v>
      </c>
      <c r="K1142" s="69"/>
      <c r="L1142" s="65" t="s">
        <v>10977</v>
      </c>
      <c r="M1142" s="92" t="s">
        <v>5702</v>
      </c>
      <c r="N1142" s="111"/>
      <c r="O1142" s="92" t="s">
        <v>7098</v>
      </c>
      <c r="P1142" s="67" t="str">
        <f t="shared" si="1"/>
        <v>46.658952, 32.573143</v>
      </c>
      <c r="Q1142" s="67" t="str">
        <f t="shared" si="2"/>
        <v>46.658694, 32.574137</v>
      </c>
      <c r="R1142" s="67">
        <f t="shared" si="3"/>
        <v>46.658694</v>
      </c>
      <c r="S1142" s="67">
        <f t="shared" si="4"/>
        <v>32.574137</v>
      </c>
      <c r="T1142" s="161"/>
      <c r="U1142" s="69"/>
      <c r="V1142" s="169" t="s">
        <v>11528</v>
      </c>
      <c r="W1142" s="71" t="s">
        <v>8546</v>
      </c>
      <c r="X1142" s="72" t="s">
        <v>2982</v>
      </c>
      <c r="Y1142" s="216" t="s">
        <v>5820</v>
      </c>
      <c r="Z1142" s="73"/>
      <c r="AA1142" s="73"/>
      <c r="AB1142" s="73"/>
      <c r="AC1142" s="73"/>
      <c r="AD1142" s="73"/>
      <c r="AE1142" s="73"/>
      <c r="AF1142" s="73"/>
      <c r="AG1142" s="73"/>
      <c r="AH1142" s="73"/>
      <c r="AI1142" s="73"/>
      <c r="AJ1142" s="161"/>
      <c r="AK1142" s="76" t="s">
        <v>798</v>
      </c>
      <c r="AL1142" s="83" t="s">
        <v>11529</v>
      </c>
      <c r="AM1142" s="71" t="s">
        <v>11530</v>
      </c>
      <c r="AN1142" s="84" t="s">
        <v>11531</v>
      </c>
      <c r="AO1142" s="71" t="s">
        <v>11532</v>
      </c>
      <c r="AP1142" s="161" t="str">
        <f>IMAGE("https://bellingcat-archive.nyc3.cdn.digitaloceanspaces.com/Ukraine_Witness_Datasheet/Worksheet/youtube_dl_XUdZ3tLHF3k/out7.jpg")</f>
        <v/>
      </c>
      <c r="AQ1142" s="84" t="s">
        <v>11533</v>
      </c>
      <c r="AR1142" s="71" t="s">
        <v>11534</v>
      </c>
      <c r="AS1142" s="71" t="s">
        <v>11526</v>
      </c>
      <c r="AT1142" s="71">
        <v>42.0</v>
      </c>
      <c r="AU1142" s="89"/>
      <c r="AV1142" s="162"/>
      <c r="AW1142" s="81"/>
    </row>
    <row r="1143" ht="15.75" customHeight="1">
      <c r="A1143" s="208"/>
      <c r="B1143" s="73"/>
      <c r="C1143" s="57" t="s">
        <v>10973</v>
      </c>
      <c r="D1143" s="121"/>
      <c r="E1143" s="121"/>
      <c r="F1143" s="79">
        <v>3.0</v>
      </c>
      <c r="G1143" s="84" t="s">
        <v>11535</v>
      </c>
      <c r="H1143" s="61" t="s">
        <v>5522</v>
      </c>
      <c r="I1143" s="75"/>
      <c r="J1143" s="64" t="s">
        <v>11536</v>
      </c>
      <c r="K1143" s="69"/>
      <c r="L1143" s="65" t="s">
        <v>10977</v>
      </c>
      <c r="M1143" s="61" t="s">
        <v>5590</v>
      </c>
      <c r="N1143" s="73"/>
      <c r="O1143" s="61" t="s">
        <v>5626</v>
      </c>
      <c r="P1143" s="67" t="str">
        <f t="shared" si="1"/>
        <v/>
      </c>
      <c r="Q1143" s="67" t="str">
        <f t="shared" si="2"/>
        <v/>
      </c>
      <c r="R1143" s="67" t="str">
        <f t="shared" si="3"/>
        <v/>
      </c>
      <c r="S1143" s="67" t="str">
        <f t="shared" si="4"/>
        <v/>
      </c>
      <c r="T1143" s="161"/>
      <c r="U1143" s="69"/>
      <c r="V1143" s="169" t="s">
        <v>11537</v>
      </c>
      <c r="W1143" s="161"/>
      <c r="X1143" s="194"/>
      <c r="Y1143" s="73"/>
      <c r="Z1143" s="73"/>
      <c r="AA1143" s="73"/>
      <c r="AB1143" s="73"/>
      <c r="AC1143" s="73"/>
      <c r="AD1143" s="73"/>
      <c r="AE1143" s="73"/>
      <c r="AF1143" s="73"/>
      <c r="AG1143" s="73"/>
      <c r="AH1143" s="73"/>
      <c r="AI1143" s="73"/>
      <c r="AJ1143" s="161"/>
      <c r="AK1143" s="76" t="s">
        <v>798</v>
      </c>
      <c r="AL1143" s="83" t="s">
        <v>11538</v>
      </c>
      <c r="AM1143" s="71" t="s">
        <v>11539</v>
      </c>
      <c r="AN1143" s="84" t="s">
        <v>11540</v>
      </c>
      <c r="AO1143" s="71" t="s">
        <v>11541</v>
      </c>
      <c r="AP1143" s="161" t="str">
        <f>IMAGE("https://bellingcat-archive.nyc3.cdn.digitaloceanspaces.com/Ukraine_Witness_Datasheet/Worksheet/youtube_dl_1499008888506654736/out7.jpg")</f>
        <v/>
      </c>
      <c r="AQ1143" s="84" t="s">
        <v>11542</v>
      </c>
      <c r="AR1143" s="71" t="s">
        <v>11543</v>
      </c>
      <c r="AS1143" s="71" t="s">
        <v>11544</v>
      </c>
      <c r="AT1143" s="71">
        <v>10.447</v>
      </c>
      <c r="AU1143" s="89"/>
      <c r="AV1143" s="162"/>
      <c r="AW1143" s="81"/>
    </row>
    <row r="1144" ht="15.75" customHeight="1">
      <c r="A1144" s="357" t="s">
        <v>2580</v>
      </c>
      <c r="B1144" s="73"/>
      <c r="C1144" s="57" t="s">
        <v>10973</v>
      </c>
      <c r="D1144" s="74">
        <v>46.640389</v>
      </c>
      <c r="E1144" s="74">
        <v>32.615333</v>
      </c>
      <c r="F1144" s="79">
        <v>2.0</v>
      </c>
      <c r="G1144" s="84" t="s">
        <v>11545</v>
      </c>
      <c r="H1144" s="61" t="s">
        <v>5522</v>
      </c>
      <c r="I1144" s="75"/>
      <c r="J1144" s="64" t="s">
        <v>11546</v>
      </c>
      <c r="K1144" s="69"/>
      <c r="L1144" s="65" t="s">
        <v>3542</v>
      </c>
      <c r="M1144" s="61" t="s">
        <v>5702</v>
      </c>
      <c r="N1144" s="73"/>
      <c r="O1144" s="61" t="s">
        <v>7098</v>
      </c>
      <c r="P1144" s="67" t="str">
        <f t="shared" si="1"/>
        <v>46.640389, 32.615333</v>
      </c>
      <c r="Q1144" s="67" t="str">
        <f t="shared" si="2"/>
        <v>46.640255, 32.616254</v>
      </c>
      <c r="R1144" s="67">
        <f t="shared" si="3"/>
        <v>46.640255</v>
      </c>
      <c r="S1144" s="67">
        <f t="shared" si="4"/>
        <v>32.616254</v>
      </c>
      <c r="T1144" s="161"/>
      <c r="U1144" s="69"/>
      <c r="V1144" s="169" t="s">
        <v>11547</v>
      </c>
      <c r="W1144" s="71" t="s">
        <v>6262</v>
      </c>
      <c r="X1144" s="72" t="s">
        <v>2982</v>
      </c>
      <c r="Y1144" s="73"/>
      <c r="Z1144" s="73"/>
      <c r="AA1144" s="73"/>
      <c r="AB1144" s="73"/>
      <c r="AC1144" s="73"/>
      <c r="AD1144" s="73"/>
      <c r="AE1144" s="73"/>
      <c r="AF1144" s="73"/>
      <c r="AG1144" s="73"/>
      <c r="AH1144" s="73"/>
      <c r="AI1144" s="73"/>
      <c r="AJ1144" s="161"/>
      <c r="AK1144" s="76" t="s">
        <v>798</v>
      </c>
      <c r="AL1144" s="83" t="s">
        <v>11548</v>
      </c>
      <c r="AM1144" s="71" t="s">
        <v>11549</v>
      </c>
      <c r="AN1144" s="84" t="s">
        <v>11550</v>
      </c>
      <c r="AO1144" s="71" t="s">
        <v>11551</v>
      </c>
      <c r="AP1144" s="161" t="str">
        <f>IMAGE("https://bellingcat-archive.nyc3.cdn.digitaloceanspaces.com/Ukraine_Witness_Datasheet/Worksheet/youtube_dl_1499009127808487427/out7.jpg")</f>
        <v/>
      </c>
      <c r="AQ1144" s="84" t="s">
        <v>11552</v>
      </c>
      <c r="AR1144" s="71" t="s">
        <v>11553</v>
      </c>
      <c r="AS1144" s="71" t="s">
        <v>11554</v>
      </c>
      <c r="AT1144" s="71">
        <v>7.233</v>
      </c>
      <c r="AU1144" s="89"/>
      <c r="AV1144" s="162"/>
      <c r="AW1144" s="81"/>
    </row>
    <row r="1145" ht="15.75" customHeight="1">
      <c r="A1145" s="208"/>
      <c r="B1145" s="73"/>
      <c r="C1145" s="57" t="s">
        <v>10973</v>
      </c>
      <c r="D1145" s="121"/>
      <c r="E1145" s="121"/>
      <c r="F1145" s="79">
        <v>2.0</v>
      </c>
      <c r="G1145" s="84" t="s">
        <v>11555</v>
      </c>
      <c r="H1145" s="61" t="s">
        <v>91</v>
      </c>
      <c r="I1145" s="75"/>
      <c r="J1145" s="64" t="s">
        <v>11556</v>
      </c>
      <c r="K1145" s="69"/>
      <c r="L1145" s="65" t="s">
        <v>10977</v>
      </c>
      <c r="M1145" s="61" t="s">
        <v>5880</v>
      </c>
      <c r="N1145" s="73"/>
      <c r="O1145" s="61" t="s">
        <v>8524</v>
      </c>
      <c r="P1145" s="67" t="str">
        <f t="shared" si="1"/>
        <v/>
      </c>
      <c r="Q1145" s="67" t="str">
        <f t="shared" si="2"/>
        <v/>
      </c>
      <c r="R1145" s="67" t="str">
        <f t="shared" si="3"/>
        <v/>
      </c>
      <c r="S1145" s="67" t="str">
        <f t="shared" si="4"/>
        <v/>
      </c>
      <c r="T1145" s="161"/>
      <c r="U1145" s="69"/>
      <c r="V1145" s="65" t="s">
        <v>11557</v>
      </c>
      <c r="W1145" s="71" t="s">
        <v>3601</v>
      </c>
      <c r="X1145" s="208"/>
      <c r="Y1145" s="73"/>
      <c r="Z1145" s="73"/>
      <c r="AA1145" s="73"/>
      <c r="AB1145" s="73"/>
      <c r="AC1145" s="73"/>
      <c r="AD1145" s="73"/>
      <c r="AE1145" s="73"/>
      <c r="AF1145" s="73"/>
      <c r="AG1145" s="73"/>
      <c r="AH1145" s="73"/>
      <c r="AI1145" s="73"/>
      <c r="AJ1145" s="161"/>
      <c r="AK1145" s="76" t="s">
        <v>2108</v>
      </c>
      <c r="AL1145" s="83" t="s">
        <v>11558</v>
      </c>
      <c r="AM1145" s="71" t="s">
        <v>11559</v>
      </c>
      <c r="AN1145" s="84" t="s">
        <v>11560</v>
      </c>
      <c r="AO1145" s="71" t="s">
        <v>11561</v>
      </c>
      <c r="AP1145" s="161" t="str">
        <f>IMAGE("https://bellingcat-archive.nyc3.cdn.digitaloceanspaces.com/Ukraine_Witness_Datasheet/Worksheet/twitter__media_FM2TJubXoAcsE7j.jpg")</f>
        <v/>
      </c>
      <c r="AQ1145" s="161"/>
      <c r="AR1145" s="161"/>
      <c r="AS1145" s="71" t="s">
        <v>11562</v>
      </c>
      <c r="AT1145" s="161"/>
      <c r="AU1145" s="89"/>
      <c r="AV1145" s="162"/>
      <c r="AW1145" s="81"/>
    </row>
    <row r="1146" ht="15.75" customHeight="1">
      <c r="A1146" s="204" t="s">
        <v>10872</v>
      </c>
      <c r="B1146" s="73"/>
      <c r="C1146" s="57" t="s">
        <v>10973</v>
      </c>
      <c r="D1146" s="104">
        <v>50.013196</v>
      </c>
      <c r="E1146" s="104">
        <v>36.325044</v>
      </c>
      <c r="F1146" s="79">
        <v>3.0</v>
      </c>
      <c r="G1146" s="84" t="s">
        <v>11563</v>
      </c>
      <c r="H1146" s="61" t="s">
        <v>5522</v>
      </c>
      <c r="I1146" s="75"/>
      <c r="J1146" s="64" t="s">
        <v>11564</v>
      </c>
      <c r="K1146" s="69"/>
      <c r="L1146" s="65" t="s">
        <v>10977</v>
      </c>
      <c r="M1146" s="61" t="s">
        <v>5590</v>
      </c>
      <c r="N1146" s="73"/>
      <c r="O1146" s="61" t="s">
        <v>5626</v>
      </c>
      <c r="P1146" s="67" t="str">
        <f t="shared" si="1"/>
        <v>50.013196, 36.325044</v>
      </c>
      <c r="Q1146" s="67" t="str">
        <f t="shared" si="2"/>
        <v>50.012994, 36.32552</v>
      </c>
      <c r="R1146" s="67">
        <f t="shared" si="3"/>
        <v>50.012994</v>
      </c>
      <c r="S1146" s="67">
        <f t="shared" si="4"/>
        <v>36.32552</v>
      </c>
      <c r="T1146" s="71" t="s">
        <v>11565</v>
      </c>
      <c r="U1146" s="69"/>
      <c r="V1146" s="65" t="s">
        <v>11566</v>
      </c>
      <c r="W1146" s="71" t="s">
        <v>3601</v>
      </c>
      <c r="X1146" s="72" t="s">
        <v>2982</v>
      </c>
      <c r="Y1146" s="73"/>
      <c r="Z1146" s="73"/>
      <c r="AA1146" s="73"/>
      <c r="AB1146" s="73"/>
      <c r="AC1146" s="73"/>
      <c r="AD1146" s="73"/>
      <c r="AE1146" s="73"/>
      <c r="AF1146" s="73"/>
      <c r="AG1146" s="73"/>
      <c r="AH1146" s="73"/>
      <c r="AI1146" s="73"/>
      <c r="AJ1146" s="161"/>
      <c r="AK1146" s="76" t="s">
        <v>798</v>
      </c>
      <c r="AL1146" s="83" t="s">
        <v>11567</v>
      </c>
      <c r="AM1146" s="71" t="s">
        <v>11568</v>
      </c>
      <c r="AN1146" s="84" t="s">
        <v>11569</v>
      </c>
      <c r="AO1146" s="71" t="s">
        <v>11570</v>
      </c>
      <c r="AP1146" s="161" t="str">
        <f>IMAGE("https://bellingcat-archive.nyc3.cdn.digitaloceanspaces.com/Ukraine_Witness_Datasheet/Worksheet/youtube_dl_1499016465386725380/out7.jpg")</f>
        <v/>
      </c>
      <c r="AQ1146" s="84" t="s">
        <v>11571</v>
      </c>
      <c r="AR1146" s="71" t="s">
        <v>11572</v>
      </c>
      <c r="AS1146" s="71" t="s">
        <v>11573</v>
      </c>
      <c r="AT1146" s="71">
        <v>20.4</v>
      </c>
      <c r="AU1146" s="89"/>
      <c r="AV1146" s="80" t="s">
        <v>88</v>
      </c>
      <c r="AW1146" s="81"/>
    </row>
    <row r="1147" ht="15.75" customHeight="1">
      <c r="A1147" s="208"/>
      <c r="B1147" s="73"/>
      <c r="C1147" s="176"/>
      <c r="D1147" s="121"/>
      <c r="E1147" s="121"/>
      <c r="F1147" s="79">
        <v>2.0</v>
      </c>
      <c r="G1147" s="84" t="s">
        <v>11574</v>
      </c>
      <c r="H1147" s="61" t="s">
        <v>91</v>
      </c>
      <c r="I1147" s="75"/>
      <c r="J1147" s="64" t="s">
        <v>11575</v>
      </c>
      <c r="K1147" s="69"/>
      <c r="L1147" s="65" t="s">
        <v>3542</v>
      </c>
      <c r="M1147" s="61" t="s">
        <v>5559</v>
      </c>
      <c r="N1147" s="73"/>
      <c r="O1147" s="61" t="s">
        <v>5560</v>
      </c>
      <c r="P1147" s="67" t="str">
        <f t="shared" si="1"/>
        <v/>
      </c>
      <c r="Q1147" s="67" t="str">
        <f t="shared" si="2"/>
        <v/>
      </c>
      <c r="R1147" s="67" t="str">
        <f t="shared" si="3"/>
        <v/>
      </c>
      <c r="S1147" s="67" t="str">
        <f t="shared" si="4"/>
        <v/>
      </c>
      <c r="T1147" s="161"/>
      <c r="U1147" s="69"/>
      <c r="V1147" s="65" t="s">
        <v>11576</v>
      </c>
      <c r="W1147" s="161"/>
      <c r="X1147" s="194"/>
      <c r="Y1147" s="73"/>
      <c r="Z1147" s="73"/>
      <c r="AA1147" s="73"/>
      <c r="AB1147" s="73"/>
      <c r="AC1147" s="73"/>
      <c r="AD1147" s="73"/>
      <c r="AE1147" s="73"/>
      <c r="AF1147" s="73"/>
      <c r="AG1147" s="73"/>
      <c r="AH1147" s="73"/>
      <c r="AI1147" s="73"/>
      <c r="AJ1147" s="161"/>
      <c r="AK1147" s="76" t="s">
        <v>1261</v>
      </c>
      <c r="AL1147" s="83" t="s">
        <v>11577</v>
      </c>
      <c r="AM1147" s="71" t="s">
        <v>11578</v>
      </c>
      <c r="AN1147" s="84" t="s">
        <v>11579</v>
      </c>
      <c r="AO1147" s="161"/>
      <c r="AP1147" s="161"/>
      <c r="AQ1147" s="161"/>
      <c r="AR1147" s="71" t="s">
        <v>7184</v>
      </c>
      <c r="AS1147" s="161"/>
      <c r="AT1147" s="161"/>
      <c r="AU1147" s="89"/>
      <c r="AV1147" s="162"/>
      <c r="AW1147" s="81"/>
    </row>
    <row r="1148" ht="15.75" customHeight="1">
      <c r="A1148" s="208"/>
      <c r="B1148" s="73"/>
      <c r="C1148" s="57" t="s">
        <v>10973</v>
      </c>
      <c r="D1148" s="121"/>
      <c r="E1148" s="121"/>
      <c r="F1148" s="79">
        <v>5.0</v>
      </c>
      <c r="G1148" s="84" t="s">
        <v>11580</v>
      </c>
      <c r="H1148" s="61" t="s">
        <v>5522</v>
      </c>
      <c r="I1148" s="75"/>
      <c r="J1148" s="64" t="s">
        <v>11581</v>
      </c>
      <c r="K1148" s="69"/>
      <c r="L1148" s="65" t="s">
        <v>3542</v>
      </c>
      <c r="M1148" s="61" t="s">
        <v>5590</v>
      </c>
      <c r="N1148" s="73"/>
      <c r="O1148" s="61" t="s">
        <v>5626</v>
      </c>
      <c r="P1148" s="67" t="str">
        <f t="shared" si="1"/>
        <v/>
      </c>
      <c r="Q1148" s="67" t="str">
        <f t="shared" si="2"/>
        <v/>
      </c>
      <c r="R1148" s="67" t="str">
        <f t="shared" si="3"/>
        <v/>
      </c>
      <c r="S1148" s="67" t="str">
        <f t="shared" si="4"/>
        <v/>
      </c>
      <c r="T1148" s="161"/>
      <c r="U1148" s="69"/>
      <c r="V1148" s="65" t="s">
        <v>11582</v>
      </c>
      <c r="W1148" s="71" t="s">
        <v>8546</v>
      </c>
      <c r="X1148" s="208"/>
      <c r="Y1148" s="73"/>
      <c r="Z1148" s="73"/>
      <c r="AA1148" s="73"/>
      <c r="AB1148" s="73"/>
      <c r="AC1148" s="73"/>
      <c r="AD1148" s="73"/>
      <c r="AE1148" s="73"/>
      <c r="AF1148" s="73"/>
      <c r="AG1148" s="73"/>
      <c r="AH1148" s="73"/>
      <c r="AI1148" s="73"/>
      <c r="AJ1148" s="161"/>
      <c r="AK1148" s="76" t="s">
        <v>798</v>
      </c>
      <c r="AL1148" s="83" t="s">
        <v>11583</v>
      </c>
      <c r="AM1148" s="71" t="s">
        <v>11584</v>
      </c>
      <c r="AN1148" s="84" t="s">
        <v>11585</v>
      </c>
      <c r="AO1148" s="71" t="s">
        <v>11586</v>
      </c>
      <c r="AP1148" s="161" t="str">
        <f>IMAGE("https://bellingcat-archive.nyc3.cdn.digitaloceanspaces.com/Ukraine_Witness_Datasheet/Worksheet/youtube_dl_1499022073733201921/out7.jpg")</f>
        <v/>
      </c>
      <c r="AQ1148" s="84" t="s">
        <v>11587</v>
      </c>
      <c r="AR1148" s="71" t="s">
        <v>11588</v>
      </c>
      <c r="AS1148" s="71" t="s">
        <v>11589</v>
      </c>
      <c r="AT1148" s="71">
        <v>45.0</v>
      </c>
      <c r="AU1148" s="89"/>
      <c r="AV1148" s="162"/>
      <c r="AW1148" s="81"/>
    </row>
    <row r="1149" ht="15.75" customHeight="1">
      <c r="A1149" s="444" t="s">
        <v>6682</v>
      </c>
      <c r="B1149" s="73"/>
      <c r="C1149" s="191" t="s">
        <v>9028</v>
      </c>
      <c r="D1149" s="396">
        <v>50.930109</v>
      </c>
      <c r="E1149" s="396">
        <v>29.90638</v>
      </c>
      <c r="F1149" s="79">
        <v>2.0</v>
      </c>
      <c r="G1149" s="398" t="s">
        <v>11590</v>
      </c>
      <c r="H1149" s="73"/>
      <c r="I1149" s="381" t="s">
        <v>10542</v>
      </c>
      <c r="J1149" s="276" t="s">
        <v>10543</v>
      </c>
      <c r="K1149" s="69"/>
      <c r="L1149" s="65" t="s">
        <v>3542</v>
      </c>
      <c r="M1149" s="61" t="s">
        <v>5827</v>
      </c>
      <c r="N1149" s="73"/>
      <c r="O1149" s="61" t="s">
        <v>8817</v>
      </c>
      <c r="P1149" s="67" t="str">
        <f t="shared" si="1"/>
        <v>50.930109, 29.90638</v>
      </c>
      <c r="Q1149" s="67" t="str">
        <f t="shared" si="2"/>
        <v>50.929796, 29.905271</v>
      </c>
      <c r="R1149" s="67">
        <f t="shared" si="3"/>
        <v>50.929796</v>
      </c>
      <c r="S1149" s="67">
        <f t="shared" si="4"/>
        <v>29.905271</v>
      </c>
      <c r="T1149" s="161"/>
      <c r="U1149" s="69"/>
      <c r="V1149" s="65" t="s">
        <v>11591</v>
      </c>
      <c r="W1149" s="71" t="s">
        <v>3601</v>
      </c>
      <c r="X1149" s="401" t="s">
        <v>10444</v>
      </c>
      <c r="Y1149" s="216" t="s">
        <v>5820</v>
      </c>
      <c r="Z1149" s="73"/>
      <c r="AA1149" s="73"/>
      <c r="AB1149" s="73"/>
      <c r="AC1149" s="73"/>
      <c r="AD1149" s="73"/>
      <c r="AE1149" s="73"/>
      <c r="AF1149" s="73"/>
      <c r="AG1149" s="73"/>
      <c r="AH1149" s="73"/>
      <c r="AI1149" s="73"/>
      <c r="AJ1149" s="161"/>
      <c r="AK1149" s="76" t="s">
        <v>1261</v>
      </c>
      <c r="AL1149" s="83" t="s">
        <v>11592</v>
      </c>
      <c r="AM1149" s="71" t="s">
        <v>11593</v>
      </c>
      <c r="AN1149" s="84" t="s">
        <v>11594</v>
      </c>
      <c r="AO1149" s="161"/>
      <c r="AP1149" s="161"/>
      <c r="AQ1149" s="161"/>
      <c r="AR1149" s="71" t="s">
        <v>2228</v>
      </c>
      <c r="AS1149" s="161"/>
      <c r="AT1149" s="161"/>
      <c r="AU1149" s="89"/>
      <c r="AV1149" s="162"/>
      <c r="AW1149" s="81"/>
    </row>
    <row r="1150" ht="15.75" customHeight="1">
      <c r="A1150" s="445" t="s">
        <v>6682</v>
      </c>
      <c r="B1150" s="73"/>
      <c r="C1150" s="191" t="s">
        <v>9028</v>
      </c>
      <c r="D1150" s="396">
        <v>49.987271</v>
      </c>
      <c r="E1150" s="446">
        <v>36.26139</v>
      </c>
      <c r="F1150" s="79">
        <v>1.0</v>
      </c>
      <c r="G1150" s="398" t="s">
        <v>11595</v>
      </c>
      <c r="H1150" s="73"/>
      <c r="I1150" s="381" t="s">
        <v>10552</v>
      </c>
      <c r="J1150" s="276" t="s">
        <v>10553</v>
      </c>
      <c r="K1150" s="64" t="s">
        <v>10554</v>
      </c>
      <c r="L1150" s="65" t="s">
        <v>3542</v>
      </c>
      <c r="M1150" s="61" t="s">
        <v>5590</v>
      </c>
      <c r="N1150" s="73"/>
      <c r="O1150" s="61" t="s">
        <v>5591</v>
      </c>
      <c r="P1150" s="67" t="str">
        <f t="shared" si="1"/>
        <v>49.987271, 36.26139</v>
      </c>
      <c r="Q1150" s="67" t="str">
        <f t="shared" si="2"/>
        <v>49.987008, 36.26098</v>
      </c>
      <c r="R1150" s="67">
        <f t="shared" si="3"/>
        <v>49.987008</v>
      </c>
      <c r="S1150" s="67">
        <f t="shared" si="4"/>
        <v>36.26098</v>
      </c>
      <c r="T1150" s="161"/>
      <c r="U1150" s="69"/>
      <c r="V1150" s="65" t="s">
        <v>11596</v>
      </c>
      <c r="W1150" s="161"/>
      <c r="X1150" s="447"/>
      <c r="Y1150" s="216" t="s">
        <v>5820</v>
      </c>
      <c r="Z1150" s="73"/>
      <c r="AA1150" s="73"/>
      <c r="AB1150" s="73"/>
      <c r="AC1150" s="73"/>
      <c r="AD1150" s="73"/>
      <c r="AE1150" s="73"/>
      <c r="AF1150" s="73"/>
      <c r="AG1150" s="73"/>
      <c r="AH1150" s="73"/>
      <c r="AI1150" s="73"/>
      <c r="AJ1150" s="161"/>
      <c r="AK1150" s="76" t="s">
        <v>1261</v>
      </c>
      <c r="AL1150" s="83" t="s">
        <v>11597</v>
      </c>
      <c r="AM1150" s="71" t="s">
        <v>11598</v>
      </c>
      <c r="AN1150" s="84" t="s">
        <v>11599</v>
      </c>
      <c r="AO1150" s="161"/>
      <c r="AP1150" s="161"/>
      <c r="AQ1150" s="161"/>
      <c r="AR1150" s="71" t="s">
        <v>11600</v>
      </c>
      <c r="AS1150" s="161"/>
      <c r="AT1150" s="161"/>
      <c r="AU1150" s="89"/>
      <c r="AV1150" s="162"/>
      <c r="AW1150" s="81"/>
    </row>
    <row r="1151" ht="15.75" customHeight="1">
      <c r="A1151" s="444" t="s">
        <v>7092</v>
      </c>
      <c r="B1151" s="73"/>
      <c r="C1151" s="191" t="s">
        <v>9028</v>
      </c>
      <c r="D1151" s="396">
        <v>50.03509</v>
      </c>
      <c r="E1151" s="446">
        <v>36.244267</v>
      </c>
      <c r="F1151" s="79">
        <v>2.0</v>
      </c>
      <c r="G1151" s="398" t="s">
        <v>11601</v>
      </c>
      <c r="H1151" s="73"/>
      <c r="I1151" s="381" t="s">
        <v>10562</v>
      </c>
      <c r="J1151" s="276" t="s">
        <v>10563</v>
      </c>
      <c r="K1151" s="69"/>
      <c r="L1151" s="65" t="s">
        <v>3542</v>
      </c>
      <c r="M1151" s="61" t="s">
        <v>5590</v>
      </c>
      <c r="N1151" s="73"/>
      <c r="O1151" s="61" t="s">
        <v>5591</v>
      </c>
      <c r="P1151" s="67" t="str">
        <f t="shared" si="1"/>
        <v>50.03509, 36.244267</v>
      </c>
      <c r="Q1151" s="67" t="str">
        <f t="shared" si="2"/>
        <v>50.034738, 36.243245</v>
      </c>
      <c r="R1151" s="67">
        <f t="shared" si="3"/>
        <v>50.034738</v>
      </c>
      <c r="S1151" s="67">
        <f t="shared" si="4"/>
        <v>36.243245</v>
      </c>
      <c r="T1151" s="161"/>
      <c r="U1151" s="69"/>
      <c r="V1151" s="65" t="s">
        <v>11602</v>
      </c>
      <c r="W1151" s="71" t="s">
        <v>9711</v>
      </c>
      <c r="X1151" s="401" t="s">
        <v>10444</v>
      </c>
      <c r="Y1151" s="216" t="s">
        <v>75</v>
      </c>
      <c r="Z1151" s="73"/>
      <c r="AA1151" s="73"/>
      <c r="AB1151" s="73"/>
      <c r="AC1151" s="73"/>
      <c r="AD1151" s="73"/>
      <c r="AE1151" s="73"/>
      <c r="AF1151" s="73"/>
      <c r="AG1151" s="73"/>
      <c r="AH1151" s="73"/>
      <c r="AI1151" s="73"/>
      <c r="AJ1151" s="161"/>
      <c r="AK1151" s="76" t="s">
        <v>1261</v>
      </c>
      <c r="AL1151" s="83" t="s">
        <v>11603</v>
      </c>
      <c r="AM1151" s="71" t="s">
        <v>11604</v>
      </c>
      <c r="AN1151" s="84" t="s">
        <v>11605</v>
      </c>
      <c r="AO1151" s="161"/>
      <c r="AP1151" s="161"/>
      <c r="AQ1151" s="161"/>
      <c r="AR1151" s="71" t="s">
        <v>11606</v>
      </c>
      <c r="AS1151" s="161"/>
      <c r="AT1151" s="161"/>
      <c r="AU1151" s="89"/>
      <c r="AV1151" s="162"/>
      <c r="AW1151" s="81"/>
    </row>
    <row r="1152" ht="15.75" customHeight="1">
      <c r="A1152" s="444" t="s">
        <v>7092</v>
      </c>
      <c r="B1152" s="73"/>
      <c r="C1152" s="191" t="s">
        <v>8024</v>
      </c>
      <c r="D1152" s="396">
        <v>50.02633</v>
      </c>
      <c r="E1152" s="446">
        <v>36.36466</v>
      </c>
      <c r="F1152" s="79">
        <v>1.0</v>
      </c>
      <c r="G1152" s="398" t="s">
        <v>11607</v>
      </c>
      <c r="H1152" s="73"/>
      <c r="I1152" s="381" t="s">
        <v>10571</v>
      </c>
      <c r="J1152" s="276" t="s">
        <v>10572</v>
      </c>
      <c r="K1152" s="69"/>
      <c r="L1152" s="65" t="s">
        <v>3542</v>
      </c>
      <c r="M1152" s="61" t="s">
        <v>5590</v>
      </c>
      <c r="N1152" s="73"/>
      <c r="O1152" s="61" t="s">
        <v>5591</v>
      </c>
      <c r="P1152" s="67" t="str">
        <f t="shared" si="1"/>
        <v>50.02633, 36.36466</v>
      </c>
      <c r="Q1152" s="67" t="str">
        <f t="shared" si="2"/>
        <v>50.025973, 36.364322</v>
      </c>
      <c r="R1152" s="67">
        <f t="shared" si="3"/>
        <v>50.025973</v>
      </c>
      <c r="S1152" s="67">
        <f t="shared" si="4"/>
        <v>36.364322</v>
      </c>
      <c r="T1152" s="161"/>
      <c r="U1152" s="69"/>
      <c r="V1152" s="65" t="s">
        <v>11608</v>
      </c>
      <c r="W1152" s="71" t="s">
        <v>3601</v>
      </c>
      <c r="X1152" s="401" t="s">
        <v>10444</v>
      </c>
      <c r="Y1152" s="216" t="s">
        <v>5820</v>
      </c>
      <c r="Z1152" s="73"/>
      <c r="AA1152" s="73"/>
      <c r="AB1152" s="73"/>
      <c r="AC1152" s="73"/>
      <c r="AD1152" s="73"/>
      <c r="AE1152" s="73"/>
      <c r="AF1152" s="73"/>
      <c r="AG1152" s="73"/>
      <c r="AH1152" s="73"/>
      <c r="AI1152" s="73"/>
      <c r="AJ1152" s="161"/>
      <c r="AK1152" s="76" t="s">
        <v>1261</v>
      </c>
      <c r="AL1152" s="83" t="s">
        <v>11609</v>
      </c>
      <c r="AM1152" s="71" t="s">
        <v>11610</v>
      </c>
      <c r="AN1152" s="84" t="s">
        <v>11611</v>
      </c>
      <c r="AO1152" s="161"/>
      <c r="AP1152" s="161"/>
      <c r="AQ1152" s="161"/>
      <c r="AR1152" s="71" t="s">
        <v>2228</v>
      </c>
      <c r="AS1152" s="161"/>
      <c r="AT1152" s="161"/>
      <c r="AU1152" s="89"/>
      <c r="AV1152" s="162"/>
      <c r="AW1152" s="81"/>
    </row>
    <row r="1153" ht="15.75" customHeight="1">
      <c r="A1153" s="444" t="s">
        <v>7092</v>
      </c>
      <c r="B1153" s="173"/>
      <c r="C1153" s="191" t="s">
        <v>8024</v>
      </c>
      <c r="D1153" s="192">
        <v>50.02633</v>
      </c>
      <c r="E1153" s="298">
        <v>36.36466</v>
      </c>
      <c r="F1153" s="448">
        <v>1.0</v>
      </c>
      <c r="G1153" s="295" t="s">
        <v>11612</v>
      </c>
      <c r="H1153" s="173"/>
      <c r="I1153" s="381" t="s">
        <v>10571</v>
      </c>
      <c r="J1153" s="276" t="s">
        <v>10572</v>
      </c>
      <c r="K1153" s="449"/>
      <c r="L1153" s="450" t="s">
        <v>3542</v>
      </c>
      <c r="M1153" s="173" t="s">
        <v>5590</v>
      </c>
      <c r="N1153" s="451"/>
      <c r="O1153" s="173" t="s">
        <v>5591</v>
      </c>
      <c r="P1153" s="67" t="str">
        <f t="shared" si="1"/>
        <v>50.02633, 36.36466</v>
      </c>
      <c r="Q1153" s="67" t="str">
        <f t="shared" si="2"/>
        <v>50.025818, 36.363733</v>
      </c>
      <c r="R1153" s="67">
        <f t="shared" si="3"/>
        <v>50.025818</v>
      </c>
      <c r="S1153" s="67">
        <f t="shared" si="4"/>
        <v>36.363733</v>
      </c>
      <c r="T1153" s="161"/>
      <c r="U1153" s="69"/>
      <c r="V1153" s="65" t="s">
        <v>11613</v>
      </c>
      <c r="W1153" s="71" t="s">
        <v>3601</v>
      </c>
      <c r="X1153" s="401" t="s">
        <v>10444</v>
      </c>
      <c r="Y1153" s="216" t="s">
        <v>5820</v>
      </c>
      <c r="Z1153" s="73"/>
      <c r="AA1153" s="73"/>
      <c r="AB1153" s="73"/>
      <c r="AC1153" s="73"/>
      <c r="AD1153" s="73"/>
      <c r="AE1153" s="73"/>
      <c r="AF1153" s="73"/>
      <c r="AG1153" s="73"/>
      <c r="AH1153" s="73"/>
      <c r="AI1153" s="73"/>
      <c r="AJ1153" s="161"/>
      <c r="AK1153" s="76" t="s">
        <v>1261</v>
      </c>
      <c r="AL1153" s="83" t="s">
        <v>11614</v>
      </c>
      <c r="AM1153" s="71" t="s">
        <v>11615</v>
      </c>
      <c r="AN1153" s="84" t="s">
        <v>11616</v>
      </c>
      <c r="AO1153" s="161"/>
      <c r="AP1153" s="161"/>
      <c r="AQ1153" s="161"/>
      <c r="AR1153" s="71" t="s">
        <v>2228</v>
      </c>
      <c r="AS1153" s="161"/>
      <c r="AT1153" s="161"/>
      <c r="AU1153" s="89"/>
      <c r="AV1153" s="162"/>
      <c r="AW1153" s="81"/>
    </row>
    <row r="1154" ht="15.75" customHeight="1">
      <c r="A1154" s="72" t="s">
        <v>10579</v>
      </c>
      <c r="B1154" s="73"/>
      <c r="C1154" s="387">
        <v>44564.0</v>
      </c>
      <c r="D1154" s="104">
        <v>46.584742</v>
      </c>
      <c r="E1154" s="266">
        <v>30.554071</v>
      </c>
      <c r="F1154" s="79">
        <v>2.0</v>
      </c>
      <c r="G1154" s="398" t="s">
        <v>11617</v>
      </c>
      <c r="H1154" s="61" t="s">
        <v>5522</v>
      </c>
      <c r="I1154" s="381" t="s">
        <v>10581</v>
      </c>
      <c r="J1154" s="276" t="s">
        <v>10582</v>
      </c>
      <c r="K1154" s="69"/>
      <c r="L1154" s="65" t="s">
        <v>3542</v>
      </c>
      <c r="M1154" s="61" t="s">
        <v>5559</v>
      </c>
      <c r="N1154" s="73"/>
      <c r="O1154" s="92" t="s">
        <v>10583</v>
      </c>
      <c r="P1154" s="67" t="str">
        <f t="shared" si="1"/>
        <v>46.584742, 30.554071</v>
      </c>
      <c r="Q1154" s="67" t="str">
        <f t="shared" si="2"/>
        <v>46.584432, 30.553774</v>
      </c>
      <c r="R1154" s="67">
        <f t="shared" si="3"/>
        <v>46.584432</v>
      </c>
      <c r="S1154" s="67">
        <f t="shared" si="4"/>
        <v>30.553774</v>
      </c>
      <c r="T1154" s="161"/>
      <c r="U1154" s="69"/>
      <c r="V1154" s="65" t="s">
        <v>11618</v>
      </c>
      <c r="W1154" s="71" t="s">
        <v>3601</v>
      </c>
      <c r="X1154" s="72" t="s">
        <v>2982</v>
      </c>
      <c r="Y1154" s="216" t="s">
        <v>5820</v>
      </c>
      <c r="Z1154" s="73"/>
      <c r="AA1154" s="73"/>
      <c r="AB1154" s="73"/>
      <c r="AC1154" s="73"/>
      <c r="AD1154" s="73"/>
      <c r="AE1154" s="73"/>
      <c r="AF1154" s="73"/>
      <c r="AG1154" s="73"/>
      <c r="AH1154" s="73"/>
      <c r="AI1154" s="73"/>
      <c r="AJ1154" s="161"/>
      <c r="AK1154" s="76" t="s">
        <v>798</v>
      </c>
      <c r="AL1154" s="83" t="s">
        <v>11619</v>
      </c>
      <c r="AM1154" s="71" t="s">
        <v>11620</v>
      </c>
      <c r="AN1154" s="84" t="s">
        <v>11621</v>
      </c>
      <c r="AO1154" s="71" t="s">
        <v>11622</v>
      </c>
      <c r="AP1154" s="161" t="str">
        <f>IMAGE("https://bellingcat-archive.nyc3.cdn.digitaloceanspaces.com/Ukraine_Witness_Datasheet/Worksheet/youtube_dl_1498629509653880834/out7.jpg")</f>
        <v/>
      </c>
      <c r="AQ1154" s="84" t="s">
        <v>11623</v>
      </c>
      <c r="AR1154" s="71" t="s">
        <v>11624</v>
      </c>
      <c r="AS1154" s="71" t="s">
        <v>11625</v>
      </c>
      <c r="AT1154" s="71">
        <v>44.966</v>
      </c>
      <c r="AU1154" s="89"/>
      <c r="AV1154" s="162"/>
      <c r="AW1154" s="81"/>
    </row>
    <row r="1155" ht="15.75" customHeight="1">
      <c r="A1155" s="444" t="s">
        <v>10579</v>
      </c>
      <c r="B1155" s="173"/>
      <c r="C1155" s="387">
        <v>44564.0</v>
      </c>
      <c r="D1155" s="335">
        <v>46.584742</v>
      </c>
      <c r="E1155" s="336">
        <v>30.554071</v>
      </c>
      <c r="F1155" s="452">
        <v>2.0</v>
      </c>
      <c r="G1155" s="398" t="s">
        <v>11626</v>
      </c>
      <c r="H1155" s="173" t="s">
        <v>5522</v>
      </c>
      <c r="I1155" s="381" t="s">
        <v>10581</v>
      </c>
      <c r="J1155" s="276" t="s">
        <v>10582</v>
      </c>
      <c r="K1155" s="449"/>
      <c r="L1155" s="450" t="s">
        <v>3542</v>
      </c>
      <c r="M1155" s="173" t="s">
        <v>5559</v>
      </c>
      <c r="N1155" s="451"/>
      <c r="O1155" s="453" t="s">
        <v>10583</v>
      </c>
      <c r="P1155" s="67" t="str">
        <f t="shared" si="1"/>
        <v>46.584742, 30.554071</v>
      </c>
      <c r="Q1155" s="67" t="str">
        <f t="shared" si="2"/>
        <v>46.584591, 30.553237</v>
      </c>
      <c r="R1155" s="67">
        <f t="shared" si="3"/>
        <v>46.584591</v>
      </c>
      <c r="S1155" s="67">
        <f t="shared" si="4"/>
        <v>30.553237</v>
      </c>
      <c r="T1155" s="161"/>
      <c r="U1155" s="69"/>
      <c r="V1155" s="65" t="s">
        <v>11627</v>
      </c>
      <c r="W1155" s="71" t="s">
        <v>3601</v>
      </c>
      <c r="X1155" s="72" t="s">
        <v>2982</v>
      </c>
      <c r="Y1155" s="216" t="s">
        <v>5820</v>
      </c>
      <c r="Z1155" s="73"/>
      <c r="AA1155" s="73"/>
      <c r="AB1155" s="73"/>
      <c r="AC1155" s="73"/>
      <c r="AD1155" s="73"/>
      <c r="AE1155" s="73"/>
      <c r="AF1155" s="73"/>
      <c r="AG1155" s="73"/>
      <c r="AH1155" s="73"/>
      <c r="AI1155" s="73"/>
      <c r="AJ1155" s="161"/>
      <c r="AK1155" s="76" t="s">
        <v>798</v>
      </c>
      <c r="AL1155" s="83" t="s">
        <v>11628</v>
      </c>
      <c r="AM1155" s="71" t="s">
        <v>11629</v>
      </c>
      <c r="AN1155" s="84" t="s">
        <v>11630</v>
      </c>
      <c r="AO1155" s="71" t="s">
        <v>11631</v>
      </c>
      <c r="AP1155" s="161" t="str">
        <f>IMAGE("https://bellingcat-archive.nyc3.cdn.digitaloceanspaces.com/Ukraine_Witness_Datasheet/Worksheet/youtube_dl_1498630021119885314/out7.jpg")</f>
        <v/>
      </c>
      <c r="AQ1155" s="84" t="s">
        <v>11632</v>
      </c>
      <c r="AR1155" s="71" t="s">
        <v>11633</v>
      </c>
      <c r="AS1155" s="71" t="s">
        <v>11634</v>
      </c>
      <c r="AT1155" s="71">
        <v>24.029</v>
      </c>
      <c r="AU1155" s="89"/>
      <c r="AV1155" s="162"/>
      <c r="AW1155" s="81"/>
    </row>
    <row r="1156" ht="15.75" customHeight="1">
      <c r="A1156" s="454" t="s">
        <v>8554</v>
      </c>
      <c r="B1156" s="73"/>
      <c r="C1156" s="455">
        <v>44564.0</v>
      </c>
      <c r="D1156" s="241" t="s">
        <v>11635</v>
      </c>
      <c r="E1156" s="265" t="s">
        <v>11636</v>
      </c>
      <c r="F1156" s="89"/>
      <c r="G1156" s="84" t="s">
        <v>11637</v>
      </c>
      <c r="H1156" s="73"/>
      <c r="I1156" s="62" t="s">
        <v>11638</v>
      </c>
      <c r="J1156" s="64" t="s">
        <v>11639</v>
      </c>
      <c r="K1156" s="69"/>
      <c r="L1156" s="450" t="s">
        <v>3542</v>
      </c>
      <c r="M1156" s="73"/>
      <c r="N1156" s="73"/>
      <c r="O1156" s="61" t="s">
        <v>7098</v>
      </c>
      <c r="P1156" s="67" t="str">
        <f t="shared" si="1"/>
        <v>46.67151919, 32.60978684</v>
      </c>
      <c r="Q1156" s="67" t="str">
        <f t="shared" si="2"/>
        <v>46.671499, 32.610369</v>
      </c>
      <c r="R1156" s="67">
        <f t="shared" si="3"/>
        <v>46.671499</v>
      </c>
      <c r="S1156" s="67">
        <f t="shared" si="4"/>
        <v>32.610369</v>
      </c>
      <c r="T1156" s="161"/>
      <c r="U1156" s="69"/>
      <c r="V1156" s="65" t="s">
        <v>11640</v>
      </c>
      <c r="W1156" s="161"/>
      <c r="X1156" s="208"/>
      <c r="Y1156" s="216" t="s">
        <v>5820</v>
      </c>
      <c r="Z1156" s="73"/>
      <c r="AA1156" s="73"/>
      <c r="AB1156" s="73"/>
      <c r="AC1156" s="73"/>
      <c r="AD1156" s="73"/>
      <c r="AE1156" s="73"/>
      <c r="AF1156" s="73"/>
      <c r="AG1156" s="73"/>
      <c r="AH1156" s="73"/>
      <c r="AI1156" s="73"/>
      <c r="AJ1156" s="161"/>
      <c r="AK1156" s="76" t="s">
        <v>798</v>
      </c>
      <c r="AL1156" s="83" t="s">
        <v>11641</v>
      </c>
      <c r="AM1156" s="71" t="s">
        <v>11642</v>
      </c>
      <c r="AN1156" s="84" t="s">
        <v>11643</v>
      </c>
      <c r="AO1156" s="71" t="s">
        <v>11644</v>
      </c>
      <c r="AP1156" s="161" t="str">
        <f>IMAGE("https://bellingcat-archive.nyc3.cdn.digitaloceanspaces.com/Ukraine_Witness_Datasheet/Worksheet/youtube_dl_1498641493522800645/out7.jpg")</f>
        <v/>
      </c>
      <c r="AQ1156" s="84" t="s">
        <v>11645</v>
      </c>
      <c r="AR1156" s="71" t="s">
        <v>11646</v>
      </c>
      <c r="AS1156" s="71" t="s">
        <v>11647</v>
      </c>
      <c r="AT1156" s="71">
        <v>21.571</v>
      </c>
      <c r="AU1156" s="89"/>
      <c r="AV1156" s="162"/>
      <c r="AW1156" s="81"/>
    </row>
    <row r="1157" ht="15.75" customHeight="1">
      <c r="A1157" s="204" t="s">
        <v>63</v>
      </c>
      <c r="B1157" s="73"/>
      <c r="C1157" s="57" t="s">
        <v>10973</v>
      </c>
      <c r="D1157" s="74">
        <v>49.451549</v>
      </c>
      <c r="E1157" s="294">
        <v>36.842442</v>
      </c>
      <c r="F1157" s="79">
        <v>1.0</v>
      </c>
      <c r="G1157" s="84" t="s">
        <v>11648</v>
      </c>
      <c r="H1157" s="61" t="s">
        <v>5522</v>
      </c>
      <c r="I1157" s="75"/>
      <c r="J1157" s="64" t="s">
        <v>11649</v>
      </c>
      <c r="K1157" s="69"/>
      <c r="L1157" s="450" t="s">
        <v>3542</v>
      </c>
      <c r="M1157" s="61" t="s">
        <v>5590</v>
      </c>
      <c r="N1157" s="73"/>
      <c r="O1157" s="61" t="s">
        <v>11168</v>
      </c>
      <c r="P1157" s="67" t="str">
        <f t="shared" si="1"/>
        <v>49.451549, 36.842442</v>
      </c>
      <c r="Q1157" s="67" t="str">
        <f t="shared" si="2"/>
        <v>49.450785, 36.842386</v>
      </c>
      <c r="R1157" s="67">
        <f t="shared" si="3"/>
        <v>49.450785</v>
      </c>
      <c r="S1157" s="67">
        <f t="shared" si="4"/>
        <v>36.842386</v>
      </c>
      <c r="T1157" s="161"/>
      <c r="U1157" s="69"/>
      <c r="V1157" s="65" t="s">
        <v>11650</v>
      </c>
      <c r="W1157" s="71" t="s">
        <v>5858</v>
      </c>
      <c r="X1157" s="72" t="s">
        <v>2982</v>
      </c>
      <c r="Y1157" s="73"/>
      <c r="Z1157" s="73"/>
      <c r="AA1157" s="73"/>
      <c r="AB1157" s="73"/>
      <c r="AC1157" s="73"/>
      <c r="AD1157" s="73"/>
      <c r="AE1157" s="73"/>
      <c r="AF1157" s="73"/>
      <c r="AG1157" s="73"/>
      <c r="AH1157" s="73"/>
      <c r="AI1157" s="73"/>
      <c r="AJ1157" s="161"/>
      <c r="AK1157" s="76" t="s">
        <v>798</v>
      </c>
      <c r="AL1157" s="83" t="s">
        <v>11651</v>
      </c>
      <c r="AM1157" s="71" t="s">
        <v>11652</v>
      </c>
      <c r="AN1157" s="84" t="s">
        <v>11653</v>
      </c>
      <c r="AO1157" s="71" t="s">
        <v>11654</v>
      </c>
      <c r="AP1157" s="161" t="str">
        <f>IMAGE("https://bellingcat-archive.nyc3.cdn.digitaloceanspaces.com/Ukraine_Witness_Datasheet/Worksheet/youtube_dl_1499014791536549890/out7.jpg")</f>
        <v/>
      </c>
      <c r="AQ1157" s="84" t="s">
        <v>11655</v>
      </c>
      <c r="AR1157" s="71" t="s">
        <v>11656</v>
      </c>
      <c r="AS1157" s="71" t="s">
        <v>11657</v>
      </c>
      <c r="AT1157" s="71">
        <v>12.166</v>
      </c>
      <c r="AU1157" s="89"/>
      <c r="AV1157" s="162"/>
      <c r="AW1157" s="81"/>
    </row>
    <row r="1158" ht="15.75" customHeight="1">
      <c r="A1158" s="204" t="s">
        <v>11658</v>
      </c>
      <c r="B1158" s="73"/>
      <c r="C1158" s="57" t="s">
        <v>9941</v>
      </c>
      <c r="D1158" s="335">
        <v>49.9498393612729</v>
      </c>
      <c r="E1158" s="298">
        <v>36.1553072785498</v>
      </c>
      <c r="F1158" s="79">
        <v>2.0</v>
      </c>
      <c r="G1158" s="220" t="s">
        <v>11659</v>
      </c>
      <c r="H1158" s="73"/>
      <c r="I1158" s="62" t="s">
        <v>11660</v>
      </c>
      <c r="J1158" s="183" t="s">
        <v>11661</v>
      </c>
      <c r="K1158" s="69"/>
      <c r="L1158" s="450" t="s">
        <v>3542</v>
      </c>
      <c r="M1158" s="61" t="s">
        <v>5590</v>
      </c>
      <c r="N1158" s="73"/>
      <c r="O1158" s="173" t="s">
        <v>5591</v>
      </c>
      <c r="P1158" s="67" t="str">
        <f t="shared" si="1"/>
        <v>49.9498393612729, 36.1553072785498</v>
      </c>
      <c r="Q1158" s="67" t="str">
        <f t="shared" si="2"/>
        <v>49.94973, 36.15432</v>
      </c>
      <c r="R1158" s="67">
        <f t="shared" si="3"/>
        <v>49.94973</v>
      </c>
      <c r="S1158" s="67">
        <f t="shared" si="4"/>
        <v>36.15432</v>
      </c>
      <c r="T1158" s="161"/>
      <c r="U1158" s="69"/>
      <c r="V1158" s="65" t="s">
        <v>11662</v>
      </c>
      <c r="W1158" s="71" t="s">
        <v>3601</v>
      </c>
      <c r="X1158" s="72" t="s">
        <v>2982</v>
      </c>
      <c r="Y1158" s="216" t="s">
        <v>5820</v>
      </c>
      <c r="Z1158" s="73"/>
      <c r="AA1158" s="73"/>
      <c r="AB1158" s="73"/>
      <c r="AC1158" s="73"/>
      <c r="AD1158" s="73"/>
      <c r="AE1158" s="73"/>
      <c r="AF1158" s="73"/>
      <c r="AG1158" s="73"/>
      <c r="AH1158" s="73"/>
      <c r="AI1158" s="73"/>
      <c r="AJ1158" s="161"/>
      <c r="AK1158" s="76" t="s">
        <v>1261</v>
      </c>
      <c r="AL1158" s="83" t="s">
        <v>11663</v>
      </c>
      <c r="AM1158" s="71" t="s">
        <v>11664</v>
      </c>
      <c r="AN1158" s="71" t="s">
        <v>11665</v>
      </c>
      <c r="AO1158" s="161"/>
      <c r="AP1158" s="161"/>
      <c r="AQ1158" s="161"/>
      <c r="AR1158" s="71" t="s">
        <v>2228</v>
      </c>
      <c r="AS1158" s="161"/>
      <c r="AT1158" s="161"/>
      <c r="AU1158" s="89"/>
      <c r="AV1158" s="80" t="s">
        <v>88</v>
      </c>
      <c r="AW1158" s="81"/>
    </row>
    <row r="1159" ht="15.75" customHeight="1">
      <c r="A1159" s="208"/>
      <c r="B1159" s="73"/>
      <c r="C1159" s="57" t="s">
        <v>10973</v>
      </c>
      <c r="D1159" s="121"/>
      <c r="E1159" s="268"/>
      <c r="F1159" s="79">
        <v>2.0</v>
      </c>
      <c r="G1159" s="317" t="s">
        <v>11666</v>
      </c>
      <c r="H1159" s="61" t="s">
        <v>91</v>
      </c>
      <c r="I1159" s="75"/>
      <c r="J1159" s="64" t="s">
        <v>11667</v>
      </c>
      <c r="K1159" s="69"/>
      <c r="L1159" s="65" t="s">
        <v>3542</v>
      </c>
      <c r="M1159" s="61" t="s">
        <v>5590</v>
      </c>
      <c r="N1159" s="73"/>
      <c r="O1159" s="61" t="s">
        <v>11668</v>
      </c>
      <c r="P1159" s="67" t="str">
        <f t="shared" si="1"/>
        <v/>
      </c>
      <c r="Q1159" s="67" t="str">
        <f t="shared" si="2"/>
        <v/>
      </c>
      <c r="R1159" s="67" t="str">
        <f t="shared" si="3"/>
        <v/>
      </c>
      <c r="S1159" s="67" t="str">
        <f t="shared" si="4"/>
        <v/>
      </c>
      <c r="T1159" s="161"/>
      <c r="U1159" s="69"/>
      <c r="V1159" s="65" t="s">
        <v>11669</v>
      </c>
      <c r="W1159" s="71" t="s">
        <v>3601</v>
      </c>
      <c r="X1159" s="194"/>
      <c r="Y1159" s="73"/>
      <c r="Z1159" s="73"/>
      <c r="AA1159" s="73"/>
      <c r="AB1159" s="73"/>
      <c r="AC1159" s="73"/>
      <c r="AD1159" s="73"/>
      <c r="AE1159" s="73"/>
      <c r="AF1159" s="73"/>
      <c r="AG1159" s="73"/>
      <c r="AH1159" s="73"/>
      <c r="AI1159" s="73"/>
      <c r="AJ1159" s="161"/>
      <c r="AK1159" s="76" t="s">
        <v>2108</v>
      </c>
      <c r="AL1159" s="83" t="s">
        <v>11670</v>
      </c>
      <c r="AM1159" s="71" t="s">
        <v>11671</v>
      </c>
      <c r="AN1159" s="84" t="s">
        <v>11672</v>
      </c>
      <c r="AO1159" s="71" t="s">
        <v>11673</v>
      </c>
      <c r="AP1159" s="161" t="str">
        <f>IMAGE("https://bellingcat-archive.nyc3.cdn.digitaloceanspaces.com/Ukraine_Witness_Datasheet/Worksheet/twitter__media_FM2bS85XwAYjbPj.jpg")</f>
        <v/>
      </c>
      <c r="AQ1159" s="161"/>
      <c r="AR1159" s="161"/>
      <c r="AS1159" s="71" t="s">
        <v>11674</v>
      </c>
      <c r="AT1159" s="161"/>
      <c r="AU1159" s="89"/>
      <c r="AV1159" s="162"/>
      <c r="AW1159" s="81"/>
    </row>
    <row r="1160" ht="15.75" customHeight="1">
      <c r="A1160" s="204" t="s">
        <v>63</v>
      </c>
      <c r="B1160" s="73"/>
      <c r="C1160" s="57" t="s">
        <v>10973</v>
      </c>
      <c r="D1160" s="74">
        <v>49.455589</v>
      </c>
      <c r="E1160" s="294">
        <v>36.851361</v>
      </c>
      <c r="F1160" s="79">
        <v>1.0</v>
      </c>
      <c r="G1160" s="317" t="s">
        <v>11675</v>
      </c>
      <c r="H1160" s="61" t="s">
        <v>5522</v>
      </c>
      <c r="I1160" s="75"/>
      <c r="J1160" s="388" t="s">
        <v>11649</v>
      </c>
      <c r="K1160" s="69"/>
      <c r="L1160" s="65" t="s">
        <v>3542</v>
      </c>
      <c r="M1160" s="61" t="s">
        <v>5590</v>
      </c>
      <c r="N1160" s="73"/>
      <c r="O1160" s="61" t="s">
        <v>11168</v>
      </c>
      <c r="P1160" s="67" t="str">
        <f t="shared" si="1"/>
        <v>49.455589, 36.851361</v>
      </c>
      <c r="Q1160" s="67" t="str">
        <f t="shared" si="2"/>
        <v>49.455308, 36.850941</v>
      </c>
      <c r="R1160" s="67">
        <f t="shared" si="3"/>
        <v>49.455308</v>
      </c>
      <c r="S1160" s="67">
        <f t="shared" si="4"/>
        <v>36.850941</v>
      </c>
      <c r="T1160" s="161"/>
      <c r="U1160" s="69"/>
      <c r="V1160" s="65" t="s">
        <v>11676</v>
      </c>
      <c r="W1160" s="71" t="s">
        <v>5858</v>
      </c>
      <c r="X1160" s="72" t="s">
        <v>2982</v>
      </c>
      <c r="Y1160" s="73"/>
      <c r="Z1160" s="73"/>
      <c r="AA1160" s="73"/>
      <c r="AB1160" s="73"/>
      <c r="AC1160" s="73"/>
      <c r="AD1160" s="73"/>
      <c r="AE1160" s="73"/>
      <c r="AF1160" s="73"/>
      <c r="AG1160" s="73"/>
      <c r="AH1160" s="73"/>
      <c r="AI1160" s="73"/>
      <c r="AJ1160" s="161"/>
      <c r="AK1160" s="76" t="s">
        <v>798</v>
      </c>
      <c r="AL1160" s="83" t="s">
        <v>11677</v>
      </c>
      <c r="AM1160" s="71" t="s">
        <v>11678</v>
      </c>
      <c r="AN1160" s="84" t="s">
        <v>11679</v>
      </c>
      <c r="AO1160" s="71" t="s">
        <v>11680</v>
      </c>
      <c r="AP1160" s="161" t="str">
        <f>IMAGE("https://bellingcat-archive.nyc3.cdn.digitaloceanspaces.com/Ukraine_Witness_Datasheet/Worksheet/youtube_dl_1499026794900602884/out7.jpg")</f>
        <v/>
      </c>
      <c r="AQ1160" s="84" t="s">
        <v>11681</v>
      </c>
      <c r="AR1160" s="71" t="s">
        <v>11682</v>
      </c>
      <c r="AS1160" s="71" t="s">
        <v>11683</v>
      </c>
      <c r="AT1160" s="71">
        <v>22.166</v>
      </c>
      <c r="AU1160" s="89"/>
      <c r="AV1160" s="162"/>
      <c r="AW1160" s="81"/>
    </row>
    <row r="1161" ht="15.75" customHeight="1">
      <c r="A1161" s="204" t="s">
        <v>5457</v>
      </c>
      <c r="B1161" s="73"/>
      <c r="C1161" s="57" t="s">
        <v>10973</v>
      </c>
      <c r="D1161" s="74">
        <v>50.643022</v>
      </c>
      <c r="E1161" s="266">
        <v>29.932733</v>
      </c>
      <c r="F1161" s="79">
        <v>2.0</v>
      </c>
      <c r="G1161" s="317" t="s">
        <v>11684</v>
      </c>
      <c r="H1161" s="61" t="s">
        <v>91</v>
      </c>
      <c r="I1161" s="75"/>
      <c r="J1161" s="64" t="s">
        <v>11685</v>
      </c>
      <c r="K1161" s="69"/>
      <c r="L1161" s="65" t="s">
        <v>3542</v>
      </c>
      <c r="M1161" s="61" t="s">
        <v>5827</v>
      </c>
      <c r="N1161" s="73"/>
      <c r="O1161" s="61" t="s">
        <v>11686</v>
      </c>
      <c r="P1161" s="67" t="str">
        <f t="shared" si="1"/>
        <v>50.643022, 29.932733</v>
      </c>
      <c r="Q1161" s="67" t="str">
        <f t="shared" si="2"/>
        <v>50.642657, 29.933542</v>
      </c>
      <c r="R1161" s="67">
        <f t="shared" si="3"/>
        <v>50.642657</v>
      </c>
      <c r="S1161" s="67">
        <f t="shared" si="4"/>
        <v>29.933542</v>
      </c>
      <c r="T1161" s="84" t="s">
        <v>11687</v>
      </c>
      <c r="U1161" s="69"/>
      <c r="V1161" s="65" t="s">
        <v>11688</v>
      </c>
      <c r="W1161" s="71" t="s">
        <v>3601</v>
      </c>
      <c r="X1161" s="72" t="s">
        <v>2982</v>
      </c>
      <c r="Y1161" s="73"/>
      <c r="Z1161" s="73"/>
      <c r="AA1161" s="73"/>
      <c r="AB1161" s="73"/>
      <c r="AC1161" s="73"/>
      <c r="AD1161" s="73"/>
      <c r="AE1161" s="73"/>
      <c r="AF1161" s="73"/>
      <c r="AG1161" s="73"/>
      <c r="AH1161" s="73"/>
      <c r="AI1161" s="73"/>
      <c r="AJ1161" s="161"/>
      <c r="AK1161" s="76" t="s">
        <v>2108</v>
      </c>
      <c r="AL1161" s="83" t="s">
        <v>11689</v>
      </c>
      <c r="AM1161" s="71" t="s">
        <v>11690</v>
      </c>
      <c r="AN1161" s="84" t="s">
        <v>11691</v>
      </c>
      <c r="AO1161" s="71" t="s">
        <v>11692</v>
      </c>
      <c r="AP1161" s="161" t="str">
        <f>IMAGE("https://bellingcat-archive.nyc3.cdn.digitaloceanspaces.com/Ukraine_Witness_Datasheet/Worksheet/twitter__media_FM2cTqhWUAU5cuM.jpg")</f>
        <v/>
      </c>
      <c r="AQ1161" s="161"/>
      <c r="AR1161" s="161"/>
      <c r="AS1161" s="71" t="s">
        <v>11693</v>
      </c>
      <c r="AT1161" s="161"/>
      <c r="AU1161" s="89"/>
      <c r="AV1161" s="162"/>
      <c r="AW1161" s="81"/>
    </row>
    <row r="1162" ht="15.75" customHeight="1">
      <c r="A1162" s="208" t="s">
        <v>11658</v>
      </c>
      <c r="B1162" s="73"/>
      <c r="C1162" s="176"/>
      <c r="D1162" s="335">
        <v>49.9498393612729</v>
      </c>
      <c r="E1162" s="298">
        <v>36.1553072785498</v>
      </c>
      <c r="F1162" s="89"/>
      <c r="G1162" s="322" t="s">
        <v>11694</v>
      </c>
      <c r="H1162" s="73"/>
      <c r="I1162" s="62" t="s">
        <v>11660</v>
      </c>
      <c r="J1162" s="183" t="s">
        <v>11661</v>
      </c>
      <c r="K1162" s="69"/>
      <c r="L1162" s="450" t="s">
        <v>3542</v>
      </c>
      <c r="M1162" s="73"/>
      <c r="N1162" s="73"/>
      <c r="O1162" s="173" t="s">
        <v>5591</v>
      </c>
      <c r="P1162" s="67" t="str">
        <f t="shared" si="1"/>
        <v>49.9498393612729, 36.1553072785498</v>
      </c>
      <c r="Q1162" s="67" t="str">
        <f t="shared" si="2"/>
        <v>49.949211, 36.154604</v>
      </c>
      <c r="R1162" s="67">
        <f t="shared" si="3"/>
        <v>49.949211</v>
      </c>
      <c r="S1162" s="67">
        <f t="shared" si="4"/>
        <v>36.154604</v>
      </c>
      <c r="T1162" s="161"/>
      <c r="U1162" s="69"/>
      <c r="V1162" s="65" t="s">
        <v>11695</v>
      </c>
      <c r="W1162" s="161"/>
      <c r="X1162" s="194"/>
      <c r="Y1162" s="73"/>
      <c r="Z1162" s="73"/>
      <c r="AA1162" s="73"/>
      <c r="AB1162" s="73"/>
      <c r="AC1162" s="73"/>
      <c r="AD1162" s="73"/>
      <c r="AE1162" s="73"/>
      <c r="AF1162" s="73"/>
      <c r="AG1162" s="73"/>
      <c r="AH1162" s="73"/>
      <c r="AI1162" s="73"/>
      <c r="AJ1162" s="161"/>
      <c r="AK1162" s="76" t="s">
        <v>798</v>
      </c>
      <c r="AL1162" s="83" t="s">
        <v>11696</v>
      </c>
      <c r="AM1162" s="71" t="s">
        <v>11697</v>
      </c>
      <c r="AN1162" s="84" t="s">
        <v>11698</v>
      </c>
      <c r="AO1162" s="71" t="s">
        <v>11699</v>
      </c>
      <c r="AP1162" s="161" t="str">
        <f>IMAGE("https://bellingcat-archive.nyc3.cdn.digitaloceanspaces.com/Ukraine_Witness_Datasheet/Worksheet/youtube_dl_1498641421183721477/out7.jpg")</f>
        <v/>
      </c>
      <c r="AQ1162" s="84" t="s">
        <v>11700</v>
      </c>
      <c r="AR1162" s="71" t="s">
        <v>11701</v>
      </c>
      <c r="AS1162" s="71" t="s">
        <v>11702</v>
      </c>
      <c r="AT1162" s="71">
        <v>4.8</v>
      </c>
      <c r="AU1162" s="89"/>
      <c r="AV1162" s="162"/>
      <c r="AW1162" s="81"/>
    </row>
    <row r="1163" ht="15.75" customHeight="1">
      <c r="A1163" s="72" t="s">
        <v>10579</v>
      </c>
      <c r="B1163" s="73"/>
      <c r="C1163" s="57" t="s">
        <v>9941</v>
      </c>
      <c r="D1163" s="104">
        <v>50.6403458</v>
      </c>
      <c r="E1163" s="266">
        <v>29.9180095</v>
      </c>
      <c r="F1163" s="79">
        <v>1.0</v>
      </c>
      <c r="G1163" s="60" t="s">
        <v>11703</v>
      </c>
      <c r="H1163" s="61" t="s">
        <v>5522</v>
      </c>
      <c r="I1163" s="441" t="s">
        <v>11704</v>
      </c>
      <c r="J1163" s="69" t="s">
        <v>11705</v>
      </c>
      <c r="K1163" s="69"/>
      <c r="L1163" s="450" t="s">
        <v>3542</v>
      </c>
      <c r="M1163" s="61" t="s">
        <v>5827</v>
      </c>
      <c r="N1163" s="73"/>
      <c r="O1163" s="456" t="s">
        <v>7832</v>
      </c>
      <c r="P1163" s="67" t="str">
        <f t="shared" si="1"/>
        <v>50.6403458, 29.9180095</v>
      </c>
      <c r="Q1163" s="67" t="str">
        <f t="shared" si="2"/>
        <v>50.639958, 29.91703</v>
      </c>
      <c r="R1163" s="67">
        <f t="shared" si="3"/>
        <v>50.639958</v>
      </c>
      <c r="S1163" s="67">
        <f t="shared" si="4"/>
        <v>29.91703</v>
      </c>
      <c r="T1163" s="220" t="s">
        <v>11706</v>
      </c>
      <c r="U1163" s="69"/>
      <c r="V1163" s="65" t="s">
        <v>11707</v>
      </c>
      <c r="W1163" s="71" t="s">
        <v>10760</v>
      </c>
      <c r="X1163" s="72" t="s">
        <v>2982</v>
      </c>
      <c r="Y1163" s="216" t="s">
        <v>5820</v>
      </c>
      <c r="Z1163" s="73"/>
      <c r="AA1163" s="73"/>
      <c r="AB1163" s="73"/>
      <c r="AC1163" s="73"/>
      <c r="AD1163" s="73"/>
      <c r="AE1163" s="73"/>
      <c r="AF1163" s="73"/>
      <c r="AG1163" s="73"/>
      <c r="AH1163" s="73"/>
      <c r="AI1163" s="73"/>
      <c r="AJ1163" s="161"/>
      <c r="AK1163" s="76" t="s">
        <v>798</v>
      </c>
      <c r="AL1163" s="83" t="s">
        <v>11708</v>
      </c>
      <c r="AM1163" s="71" t="s">
        <v>11709</v>
      </c>
      <c r="AN1163" s="84" t="s">
        <v>11710</v>
      </c>
      <c r="AO1163" s="71" t="s">
        <v>10764</v>
      </c>
      <c r="AP1163" s="161" t="str">
        <f>IMAGE("https://bellingcat-archive.nyc3.cdn.digitaloceanspaces.com/Ukraine_Witness_Datasheet/Worksheet/youtube_dl_1498632893568065541/out7.jpg")</f>
        <v/>
      </c>
      <c r="AQ1163" s="84" t="s">
        <v>11711</v>
      </c>
      <c r="AR1163" s="71" t="s">
        <v>11712</v>
      </c>
      <c r="AS1163" s="71" t="s">
        <v>11713</v>
      </c>
      <c r="AT1163" s="71">
        <v>15.033</v>
      </c>
      <c r="AU1163" s="89"/>
      <c r="AV1163" s="80" t="s">
        <v>3944</v>
      </c>
      <c r="AW1163" s="81"/>
    </row>
    <row r="1164" ht="15.75" customHeight="1">
      <c r="A1164" s="208" t="s">
        <v>10913</v>
      </c>
      <c r="B1164" s="73"/>
      <c r="C1164" s="57" t="s">
        <v>10973</v>
      </c>
      <c r="D1164" s="104">
        <v>46.6401611438877</v>
      </c>
      <c r="E1164" s="266">
        <v>32.615106783837</v>
      </c>
      <c r="F1164" s="79">
        <v>1.0</v>
      </c>
      <c r="G1164" s="317" t="s">
        <v>11714</v>
      </c>
      <c r="H1164" s="61" t="s">
        <v>5522</v>
      </c>
      <c r="I1164" s="75"/>
      <c r="J1164" s="64" t="s">
        <v>11715</v>
      </c>
      <c r="K1164" s="69"/>
      <c r="L1164" s="65" t="s">
        <v>3542</v>
      </c>
      <c r="M1164" s="61" t="s">
        <v>5702</v>
      </c>
      <c r="N1164" s="73"/>
      <c r="O1164" s="61" t="s">
        <v>7098</v>
      </c>
      <c r="P1164" s="67" t="str">
        <f t="shared" si="1"/>
        <v>46.6401611438877, 32.615106783837</v>
      </c>
      <c r="Q1164" s="67" t="str">
        <f t="shared" si="2"/>
        <v>46.639987, 32.615879</v>
      </c>
      <c r="R1164" s="67">
        <f t="shared" si="3"/>
        <v>46.639987</v>
      </c>
      <c r="S1164" s="67">
        <f t="shared" si="4"/>
        <v>32.615879</v>
      </c>
      <c r="T1164" s="161"/>
      <c r="U1164" s="69"/>
      <c r="V1164" s="65" t="s">
        <v>11716</v>
      </c>
      <c r="W1164" s="161"/>
      <c r="X1164" s="194"/>
      <c r="Y1164" s="73"/>
      <c r="Z1164" s="73"/>
      <c r="AA1164" s="73"/>
      <c r="AB1164" s="73"/>
      <c r="AC1164" s="73"/>
      <c r="AD1164" s="73"/>
      <c r="AE1164" s="73"/>
      <c r="AF1164" s="73"/>
      <c r="AG1164" s="73"/>
      <c r="AH1164" s="73"/>
      <c r="AI1164" s="73"/>
      <c r="AJ1164" s="161"/>
      <c r="AK1164" s="76" t="s">
        <v>6276</v>
      </c>
      <c r="AL1164" s="83" t="s">
        <v>11717</v>
      </c>
      <c r="AM1164" s="71" t="s">
        <v>11718</v>
      </c>
      <c r="AN1164" s="84" t="s">
        <v>11719</v>
      </c>
      <c r="AO1164" s="71" t="s">
        <v>11720</v>
      </c>
      <c r="AP1164" s="161" t="str">
        <f>IMAGE("https://bellingcat-archive.nyc3.cdn.digitaloceanspaces.com/Ukraine_Witness_Datasheet/Worksheet/telegram_976c0cdea1/out20.jpg")</f>
        <v/>
      </c>
      <c r="AQ1164" s="84" t="s">
        <v>11721</v>
      </c>
      <c r="AR1164" s="84" t="s">
        <v>11714</v>
      </c>
      <c r="AS1164" s="71" t="s">
        <v>11722</v>
      </c>
      <c r="AT1164" s="71">
        <v>77.0</v>
      </c>
      <c r="AU1164" s="89"/>
      <c r="AV1164" s="162"/>
      <c r="AW1164" s="81"/>
    </row>
    <row r="1165" ht="15.75" customHeight="1">
      <c r="A1165" s="72" t="s">
        <v>11479</v>
      </c>
      <c r="B1165" s="73"/>
      <c r="C1165" s="57" t="s">
        <v>10973</v>
      </c>
      <c r="D1165" s="104">
        <v>49.989547</v>
      </c>
      <c r="E1165" s="266">
        <v>36.232212</v>
      </c>
      <c r="F1165" s="79">
        <v>1.0</v>
      </c>
      <c r="G1165" s="358" t="s">
        <v>11723</v>
      </c>
      <c r="H1165" s="61" t="s">
        <v>5522</v>
      </c>
      <c r="I1165" s="75"/>
      <c r="J1165" s="64" t="s">
        <v>11724</v>
      </c>
      <c r="K1165" s="69"/>
      <c r="L1165" s="65" t="s">
        <v>3542</v>
      </c>
      <c r="M1165" s="61" t="s">
        <v>5590</v>
      </c>
      <c r="N1165" s="73"/>
      <c r="O1165" s="173" t="s">
        <v>5591</v>
      </c>
      <c r="P1165" s="67" t="str">
        <f t="shared" si="1"/>
        <v>49.989547, 36.232212</v>
      </c>
      <c r="Q1165" s="67" t="str">
        <f t="shared" si="2"/>
        <v>49.989424, 36.233097</v>
      </c>
      <c r="R1165" s="67">
        <f t="shared" si="3"/>
        <v>49.989424</v>
      </c>
      <c r="S1165" s="67">
        <f t="shared" si="4"/>
        <v>36.233097</v>
      </c>
      <c r="T1165" s="161"/>
      <c r="U1165" s="69"/>
      <c r="V1165" s="65" t="s">
        <v>11725</v>
      </c>
      <c r="W1165" s="71" t="s">
        <v>3601</v>
      </c>
      <c r="X1165" s="72" t="s">
        <v>2982</v>
      </c>
      <c r="Y1165" s="73"/>
      <c r="Z1165" s="73"/>
      <c r="AA1165" s="73"/>
      <c r="AB1165" s="73"/>
      <c r="AC1165" s="73"/>
      <c r="AD1165" s="73"/>
      <c r="AE1165" s="73"/>
      <c r="AF1165" s="73"/>
      <c r="AG1165" s="73"/>
      <c r="AH1165" s="73"/>
      <c r="AI1165" s="73"/>
      <c r="AJ1165" s="161"/>
      <c r="AK1165" s="76" t="s">
        <v>798</v>
      </c>
      <c r="AL1165" s="83" t="s">
        <v>11726</v>
      </c>
      <c r="AM1165" s="71" t="s">
        <v>11727</v>
      </c>
      <c r="AN1165" s="84" t="s">
        <v>11728</v>
      </c>
      <c r="AO1165" s="71" t="s">
        <v>11729</v>
      </c>
      <c r="AP1165" s="161" t="str">
        <f>IMAGE("https://bellingcat-archive.nyc3.cdn.digitaloceanspaces.com/Ukraine_Witness_Datasheet/Worksheet/youtube_dl_1498988278061674512/out7.jpg")</f>
        <v/>
      </c>
      <c r="AQ1165" s="84" t="s">
        <v>11730</v>
      </c>
      <c r="AR1165" s="71" t="s">
        <v>11731</v>
      </c>
      <c r="AS1165" s="71" t="s">
        <v>11732</v>
      </c>
      <c r="AT1165" s="71">
        <v>11.8</v>
      </c>
      <c r="AU1165" s="89"/>
      <c r="AV1165" s="162"/>
      <c r="AW1165" s="81"/>
    </row>
    <row r="1166" ht="15.75" customHeight="1">
      <c r="A1166" s="204" t="s">
        <v>8023</v>
      </c>
      <c r="B1166" s="73"/>
      <c r="C1166" s="57" t="s">
        <v>10973</v>
      </c>
      <c r="D1166" s="104">
        <v>49.45147066</v>
      </c>
      <c r="E1166" s="266">
        <v>36.8425694</v>
      </c>
      <c r="F1166" s="79">
        <v>1.0</v>
      </c>
      <c r="G1166" s="317" t="s">
        <v>11733</v>
      </c>
      <c r="H1166" s="61" t="s">
        <v>5522</v>
      </c>
      <c r="I1166" s="75"/>
      <c r="J1166" s="64" t="s">
        <v>11734</v>
      </c>
      <c r="K1166" s="69"/>
      <c r="L1166" s="65" t="s">
        <v>3542</v>
      </c>
      <c r="M1166" s="61" t="s">
        <v>5590</v>
      </c>
      <c r="N1166" s="73"/>
      <c r="O1166" s="61" t="s">
        <v>11168</v>
      </c>
      <c r="P1166" s="67" t="str">
        <f t="shared" si="1"/>
        <v>49.45147066, 36.8425694</v>
      </c>
      <c r="Q1166" s="67" t="str">
        <f t="shared" si="2"/>
        <v>49.451184, 36.842995</v>
      </c>
      <c r="R1166" s="67">
        <f t="shared" si="3"/>
        <v>49.451184</v>
      </c>
      <c r="S1166" s="67">
        <f t="shared" si="4"/>
        <v>36.842995</v>
      </c>
      <c r="T1166" s="107" t="s">
        <v>11735</v>
      </c>
      <c r="U1166" s="69"/>
      <c r="V1166" s="65" t="s">
        <v>11736</v>
      </c>
      <c r="W1166" s="71" t="s">
        <v>5858</v>
      </c>
      <c r="X1166" s="72" t="s">
        <v>2982</v>
      </c>
      <c r="Y1166" s="61" t="s">
        <v>551</v>
      </c>
      <c r="Z1166" s="61" t="s">
        <v>10035</v>
      </c>
      <c r="AA1166" s="73"/>
      <c r="AB1166" s="73"/>
      <c r="AC1166" s="73"/>
      <c r="AD1166" s="73"/>
      <c r="AE1166" s="73"/>
      <c r="AF1166" s="73"/>
      <c r="AG1166" s="73"/>
      <c r="AH1166" s="73"/>
      <c r="AI1166" s="73"/>
      <c r="AJ1166" s="161"/>
      <c r="AK1166" s="76" t="s">
        <v>798</v>
      </c>
      <c r="AL1166" s="83" t="s">
        <v>11737</v>
      </c>
      <c r="AM1166" s="71" t="s">
        <v>11738</v>
      </c>
      <c r="AN1166" s="84" t="s">
        <v>11739</v>
      </c>
      <c r="AO1166" s="71" t="s">
        <v>11740</v>
      </c>
      <c r="AP1166" s="161" t="str">
        <f>IMAGE("https://bellingcat-archive.nyc3.cdn.digitaloceanspaces.com/Ukraine_Witness_Datasheet/Worksheet/youtube_dl_1499027108127027200/out7.jpg")</f>
        <v/>
      </c>
      <c r="AQ1166" s="84" t="s">
        <v>11741</v>
      </c>
      <c r="AR1166" s="71" t="s">
        <v>11742</v>
      </c>
      <c r="AS1166" s="71" t="s">
        <v>11743</v>
      </c>
      <c r="AT1166" s="71">
        <v>16.455</v>
      </c>
      <c r="AU1166" s="89"/>
      <c r="AV1166" s="162"/>
      <c r="AW1166" s="81"/>
    </row>
    <row r="1167" ht="15.75" customHeight="1">
      <c r="A1167" s="204" t="s">
        <v>63</v>
      </c>
      <c r="B1167" s="73"/>
      <c r="C1167" s="57" t="s">
        <v>10973</v>
      </c>
      <c r="D1167" s="74">
        <v>49.937471</v>
      </c>
      <c r="E1167" s="74">
        <v>36.403681</v>
      </c>
      <c r="F1167" s="79">
        <v>1.0</v>
      </c>
      <c r="G1167" s="84" t="s">
        <v>11744</v>
      </c>
      <c r="H1167" s="61" t="s">
        <v>91</v>
      </c>
      <c r="I1167" s="62"/>
      <c r="J1167" s="64" t="s">
        <v>11745</v>
      </c>
      <c r="K1167" s="69"/>
      <c r="L1167" s="65" t="s">
        <v>3542</v>
      </c>
      <c r="M1167" s="61" t="s">
        <v>5590</v>
      </c>
      <c r="N1167" s="73"/>
      <c r="O1167" s="173" t="s">
        <v>5591</v>
      </c>
      <c r="P1167" s="67" t="str">
        <f t="shared" si="1"/>
        <v>49.937471, 36.403681</v>
      </c>
      <c r="Q1167" s="67" t="str">
        <f t="shared" si="2"/>
        <v>49.937224, 36.40418</v>
      </c>
      <c r="R1167" s="67">
        <f t="shared" si="3"/>
        <v>49.937224</v>
      </c>
      <c r="S1167" s="67">
        <f t="shared" si="4"/>
        <v>36.40418</v>
      </c>
      <c r="T1167" s="457"/>
      <c r="U1167" s="69"/>
      <c r="V1167" s="65" t="s">
        <v>11746</v>
      </c>
      <c r="W1167" s="71" t="s">
        <v>3601</v>
      </c>
      <c r="X1167" s="72" t="s">
        <v>2982</v>
      </c>
      <c r="Y1167" s="73"/>
      <c r="Z1167" s="73"/>
      <c r="AA1167" s="73"/>
      <c r="AB1167" s="73"/>
      <c r="AC1167" s="73"/>
      <c r="AD1167" s="73"/>
      <c r="AE1167" s="73"/>
      <c r="AF1167" s="73"/>
      <c r="AG1167" s="73"/>
      <c r="AH1167" s="73"/>
      <c r="AI1167" s="73"/>
      <c r="AJ1167" s="161"/>
      <c r="AK1167" s="76" t="s">
        <v>6276</v>
      </c>
      <c r="AL1167" s="83" t="s">
        <v>11747</v>
      </c>
      <c r="AM1167" s="71" t="s">
        <v>11748</v>
      </c>
      <c r="AN1167" s="84" t="s">
        <v>11749</v>
      </c>
      <c r="AO1167" s="71" t="s">
        <v>11750</v>
      </c>
      <c r="AP1167" s="161" t="str">
        <f>IMAGE("https://bellingcat-archive.nyc3.cdn.digitaloceanspaces.com/Ukraine_Witness_Datasheet/Worksheet/telegram_FJZDKAWp-sweO0y1D4u3s4doAW9csD766JWpIbDWNbyOSOEq9NraPAWPsZ6gfJEBe6GScBU9JW8EyTxhtDYa5B8EM-xl1-AmbBB0_Sl-jJOifBXcs37Kuu0DTdTn5hUA.jpg")</f>
        <v/>
      </c>
      <c r="AQ1167" s="161"/>
      <c r="AR1167" s="161"/>
      <c r="AS1167" s="71" t="s">
        <v>11751</v>
      </c>
      <c r="AT1167" s="161"/>
      <c r="AU1167" s="89"/>
      <c r="AV1167" s="162"/>
      <c r="AW1167" s="81"/>
    </row>
    <row r="1168" ht="15.75" customHeight="1">
      <c r="A1168" s="204" t="s">
        <v>63</v>
      </c>
      <c r="B1168" s="73"/>
      <c r="C1168" s="57" t="s">
        <v>10973</v>
      </c>
      <c r="D1168" s="74">
        <v>49.937471</v>
      </c>
      <c r="E1168" s="74">
        <v>36.403681</v>
      </c>
      <c r="F1168" s="79">
        <v>1.0</v>
      </c>
      <c r="G1168" s="84" t="s">
        <v>11752</v>
      </c>
      <c r="H1168" s="61" t="s">
        <v>91</v>
      </c>
      <c r="I1168" s="75"/>
      <c r="J1168" s="64" t="s">
        <v>11745</v>
      </c>
      <c r="K1168" s="69"/>
      <c r="L1168" s="65" t="s">
        <v>3542</v>
      </c>
      <c r="M1168" s="61" t="s">
        <v>5590</v>
      </c>
      <c r="N1168" s="73"/>
      <c r="O1168" s="173" t="s">
        <v>5591</v>
      </c>
      <c r="P1168" s="67" t="str">
        <f t="shared" si="1"/>
        <v>49.937471, 36.403681</v>
      </c>
      <c r="Q1168" s="67" t="str">
        <f t="shared" si="2"/>
        <v>49.936874, 36.403797</v>
      </c>
      <c r="R1168" s="67">
        <f t="shared" si="3"/>
        <v>49.936874</v>
      </c>
      <c r="S1168" s="67">
        <f t="shared" si="4"/>
        <v>36.403797</v>
      </c>
      <c r="T1168" s="161"/>
      <c r="U1168" s="69"/>
      <c r="V1168" s="65" t="s">
        <v>11753</v>
      </c>
      <c r="W1168" s="71" t="s">
        <v>3601</v>
      </c>
      <c r="X1168" s="72" t="s">
        <v>2982</v>
      </c>
      <c r="Y1168" s="73"/>
      <c r="Z1168" s="73"/>
      <c r="AA1168" s="73"/>
      <c r="AB1168" s="73"/>
      <c r="AC1168" s="73"/>
      <c r="AD1168" s="73"/>
      <c r="AE1168" s="73"/>
      <c r="AF1168" s="73"/>
      <c r="AG1168" s="73"/>
      <c r="AH1168" s="73"/>
      <c r="AI1168" s="73"/>
      <c r="AJ1168" s="161"/>
      <c r="AK1168" s="76" t="s">
        <v>6276</v>
      </c>
      <c r="AL1168" s="83" t="s">
        <v>11754</v>
      </c>
      <c r="AM1168" s="71" t="s">
        <v>11755</v>
      </c>
      <c r="AN1168" s="84" t="s">
        <v>11756</v>
      </c>
      <c r="AO1168" s="71" t="s">
        <v>11757</v>
      </c>
      <c r="AP1168" s="161"/>
      <c r="AQ1168" s="161"/>
      <c r="AR1168" s="161"/>
      <c r="AS1168" s="71" t="s">
        <v>11758</v>
      </c>
      <c r="AT1168" s="161"/>
      <c r="AU1168" s="89"/>
      <c r="AV1168" s="162"/>
      <c r="AW1168" s="81"/>
    </row>
    <row r="1169" ht="15.75" customHeight="1">
      <c r="A1169" s="204" t="s">
        <v>63</v>
      </c>
      <c r="B1169" s="73"/>
      <c r="C1169" s="57" t="s">
        <v>10973</v>
      </c>
      <c r="D1169" s="74">
        <v>49.931509</v>
      </c>
      <c r="E1169" s="74">
        <v>36.416823</v>
      </c>
      <c r="F1169" s="79">
        <v>1.0</v>
      </c>
      <c r="G1169" s="84" t="s">
        <v>11759</v>
      </c>
      <c r="H1169" s="61" t="s">
        <v>5522</v>
      </c>
      <c r="I1169" s="75"/>
      <c r="J1169" s="64" t="s">
        <v>11745</v>
      </c>
      <c r="K1169" s="69"/>
      <c r="L1169" s="65" t="s">
        <v>3542</v>
      </c>
      <c r="M1169" s="61" t="s">
        <v>5590</v>
      </c>
      <c r="N1169" s="73"/>
      <c r="O1169" s="173" t="s">
        <v>5591</v>
      </c>
      <c r="P1169" s="67" t="str">
        <f t="shared" si="1"/>
        <v>49.931509, 36.416823</v>
      </c>
      <c r="Q1169" s="67" t="str">
        <f t="shared" si="2"/>
        <v>49.93108, 36.416701</v>
      </c>
      <c r="R1169" s="67">
        <f t="shared" si="3"/>
        <v>49.93108</v>
      </c>
      <c r="S1169" s="67">
        <f t="shared" si="4"/>
        <v>36.416701</v>
      </c>
      <c r="T1169" s="161"/>
      <c r="U1169" s="69"/>
      <c r="V1169" s="65" t="s">
        <v>11760</v>
      </c>
      <c r="W1169" s="71" t="s">
        <v>3601</v>
      </c>
      <c r="X1169" s="72" t="s">
        <v>2982</v>
      </c>
      <c r="Y1169" s="73"/>
      <c r="Z1169" s="73"/>
      <c r="AA1169" s="73"/>
      <c r="AB1169" s="73"/>
      <c r="AC1169" s="73"/>
      <c r="AD1169" s="73"/>
      <c r="AE1169" s="73"/>
      <c r="AF1169" s="73"/>
      <c r="AG1169" s="73"/>
      <c r="AH1169" s="73"/>
      <c r="AI1169" s="73"/>
      <c r="AJ1169" s="161"/>
      <c r="AK1169" s="76" t="s">
        <v>6276</v>
      </c>
      <c r="AL1169" s="83" t="s">
        <v>11761</v>
      </c>
      <c r="AM1169" s="71" t="s">
        <v>11762</v>
      </c>
      <c r="AN1169" s="84" t="s">
        <v>11763</v>
      </c>
      <c r="AO1169" s="71" t="s">
        <v>11764</v>
      </c>
      <c r="AP1169" s="161" t="str">
        <f>IMAGE("https://bellingcat-archive.nyc3.cdn.digitaloceanspaces.com/Ukraine_Witness_Datasheet/Worksheet/telegram_0f870acdf8/out7.jpg")</f>
        <v/>
      </c>
      <c r="AQ1169" s="84" t="s">
        <v>11765</v>
      </c>
      <c r="AR1169" s="84" t="s">
        <v>11759</v>
      </c>
      <c r="AS1169" s="71" t="s">
        <v>11766</v>
      </c>
      <c r="AT1169" s="71">
        <v>31.0</v>
      </c>
      <c r="AU1169" s="89"/>
      <c r="AV1169" s="162"/>
      <c r="AW1169" s="81"/>
    </row>
    <row r="1170" ht="15.75" customHeight="1">
      <c r="A1170" s="204" t="s">
        <v>63</v>
      </c>
      <c r="B1170" s="73"/>
      <c r="C1170" s="57" t="s">
        <v>10973</v>
      </c>
      <c r="D1170" s="74">
        <v>50.020915</v>
      </c>
      <c r="E1170" s="74">
        <v>36.328089</v>
      </c>
      <c r="F1170" s="79">
        <v>1.0</v>
      </c>
      <c r="G1170" s="84" t="s">
        <v>11767</v>
      </c>
      <c r="H1170" s="61" t="s">
        <v>91</v>
      </c>
      <c r="I1170" s="75"/>
      <c r="J1170" s="64" t="s">
        <v>11745</v>
      </c>
      <c r="K1170" s="69"/>
      <c r="L1170" s="65" t="s">
        <v>3542</v>
      </c>
      <c r="M1170" s="61" t="s">
        <v>5590</v>
      </c>
      <c r="N1170" s="73"/>
      <c r="O1170" s="173" t="s">
        <v>5591</v>
      </c>
      <c r="P1170" s="67" t="str">
        <f t="shared" si="1"/>
        <v>50.020915, 36.328089</v>
      </c>
      <c r="Q1170" s="67" t="str">
        <f t="shared" si="2"/>
        <v>50.020858, 36.328665</v>
      </c>
      <c r="R1170" s="67">
        <f t="shared" si="3"/>
        <v>50.020858</v>
      </c>
      <c r="S1170" s="67">
        <f t="shared" si="4"/>
        <v>36.328665</v>
      </c>
      <c r="T1170" s="161"/>
      <c r="U1170" s="69"/>
      <c r="V1170" s="65" t="s">
        <v>11768</v>
      </c>
      <c r="W1170" s="71" t="s">
        <v>3601</v>
      </c>
      <c r="X1170" s="72" t="s">
        <v>2982</v>
      </c>
      <c r="Y1170" s="73"/>
      <c r="Z1170" s="73"/>
      <c r="AA1170" s="73"/>
      <c r="AB1170" s="73"/>
      <c r="AC1170" s="73"/>
      <c r="AD1170" s="73"/>
      <c r="AE1170" s="73"/>
      <c r="AF1170" s="73"/>
      <c r="AG1170" s="73"/>
      <c r="AH1170" s="73"/>
      <c r="AI1170" s="73"/>
      <c r="AJ1170" s="161"/>
      <c r="AK1170" s="76" t="s">
        <v>6276</v>
      </c>
      <c r="AL1170" s="83" t="s">
        <v>11769</v>
      </c>
      <c r="AM1170" s="71" t="s">
        <v>11770</v>
      </c>
      <c r="AN1170" s="84" t="s">
        <v>11771</v>
      </c>
      <c r="AO1170" s="71" t="s">
        <v>11772</v>
      </c>
      <c r="AP1170" s="161"/>
      <c r="AQ1170" s="161"/>
      <c r="AR1170" s="161"/>
      <c r="AS1170" s="71" t="s">
        <v>11773</v>
      </c>
      <c r="AT1170" s="161"/>
      <c r="AU1170" s="89"/>
      <c r="AV1170" s="162"/>
      <c r="AW1170" s="81"/>
    </row>
    <row r="1171" ht="15.75" customHeight="1">
      <c r="A1171" s="204" t="s">
        <v>63</v>
      </c>
      <c r="B1171" s="73"/>
      <c r="C1171" s="57" t="s">
        <v>10973</v>
      </c>
      <c r="D1171" s="74">
        <v>50.020915</v>
      </c>
      <c r="E1171" s="74">
        <v>36.328089</v>
      </c>
      <c r="F1171" s="79">
        <v>1.0</v>
      </c>
      <c r="G1171" s="84" t="s">
        <v>11774</v>
      </c>
      <c r="H1171" s="61" t="s">
        <v>91</v>
      </c>
      <c r="I1171" s="75"/>
      <c r="J1171" s="64" t="s">
        <v>11745</v>
      </c>
      <c r="K1171" s="69"/>
      <c r="L1171" s="65" t="s">
        <v>3542</v>
      </c>
      <c r="M1171" s="93" t="s">
        <v>5590</v>
      </c>
      <c r="N1171" s="314"/>
      <c r="O1171" s="458" t="s">
        <v>5591</v>
      </c>
      <c r="P1171" s="67" t="str">
        <f t="shared" si="1"/>
        <v>50.020915, 36.328089</v>
      </c>
      <c r="Q1171" s="67" t="str">
        <f t="shared" si="2"/>
        <v>50.020492, 36.328167</v>
      </c>
      <c r="R1171" s="67">
        <f t="shared" si="3"/>
        <v>50.020492</v>
      </c>
      <c r="S1171" s="67">
        <f t="shared" si="4"/>
        <v>36.328167</v>
      </c>
      <c r="T1171" s="161"/>
      <c r="U1171" s="69"/>
      <c r="V1171" s="65" t="s">
        <v>11775</v>
      </c>
      <c r="W1171" s="71" t="s">
        <v>3601</v>
      </c>
      <c r="X1171" s="72" t="s">
        <v>2982</v>
      </c>
      <c r="Y1171" s="73"/>
      <c r="Z1171" s="73"/>
      <c r="AA1171" s="73"/>
      <c r="AB1171" s="73"/>
      <c r="AC1171" s="73"/>
      <c r="AD1171" s="73"/>
      <c r="AE1171" s="73"/>
      <c r="AF1171" s="73"/>
      <c r="AG1171" s="73"/>
      <c r="AH1171" s="73"/>
      <c r="AI1171" s="73"/>
      <c r="AJ1171" s="161"/>
      <c r="AK1171" s="76" t="s">
        <v>6276</v>
      </c>
      <c r="AL1171" s="83" t="s">
        <v>11776</v>
      </c>
      <c r="AM1171" s="71" t="s">
        <v>11777</v>
      </c>
      <c r="AN1171" s="84" t="s">
        <v>11778</v>
      </c>
      <c r="AO1171" s="71" t="s">
        <v>11779</v>
      </c>
      <c r="AP1171" s="161"/>
      <c r="AQ1171" s="161"/>
      <c r="AR1171" s="161"/>
      <c r="AS1171" s="71" t="s">
        <v>11780</v>
      </c>
      <c r="AT1171" s="161"/>
      <c r="AU1171" s="89"/>
      <c r="AV1171" s="162"/>
      <c r="AW1171" s="81"/>
    </row>
    <row r="1172" ht="15.75" customHeight="1">
      <c r="A1172" s="204" t="s">
        <v>63</v>
      </c>
      <c r="B1172" s="73"/>
      <c r="C1172" s="57" t="s">
        <v>10973</v>
      </c>
      <c r="D1172" s="74">
        <v>50.016112</v>
      </c>
      <c r="E1172" s="74">
        <v>36.327781</v>
      </c>
      <c r="F1172" s="79">
        <v>1.0</v>
      </c>
      <c r="G1172" s="60" t="s">
        <v>11781</v>
      </c>
      <c r="H1172" s="61" t="s">
        <v>5522</v>
      </c>
      <c r="I1172" s="75"/>
      <c r="J1172" s="64" t="s">
        <v>11782</v>
      </c>
      <c r="K1172" s="69"/>
      <c r="L1172" s="65" t="s">
        <v>3542</v>
      </c>
      <c r="M1172" s="93" t="s">
        <v>5590</v>
      </c>
      <c r="N1172" s="314"/>
      <c r="O1172" s="458" t="s">
        <v>5591</v>
      </c>
      <c r="P1172" s="67" t="str">
        <f t="shared" si="1"/>
        <v>50.016112, 36.327781</v>
      </c>
      <c r="Q1172" s="67" t="str">
        <f t="shared" si="2"/>
        <v>50.015651, 36.328146</v>
      </c>
      <c r="R1172" s="67">
        <f t="shared" si="3"/>
        <v>50.015651</v>
      </c>
      <c r="S1172" s="67">
        <f t="shared" si="4"/>
        <v>36.328146</v>
      </c>
      <c r="T1172" s="161"/>
      <c r="U1172" s="69"/>
      <c r="V1172" s="65" t="s">
        <v>11783</v>
      </c>
      <c r="W1172" s="71" t="s">
        <v>3601</v>
      </c>
      <c r="X1172" s="72" t="s">
        <v>2982</v>
      </c>
      <c r="Y1172" s="73"/>
      <c r="Z1172" s="73"/>
      <c r="AA1172" s="73"/>
      <c r="AB1172" s="73"/>
      <c r="AC1172" s="73"/>
      <c r="AD1172" s="73"/>
      <c r="AE1172" s="73"/>
      <c r="AF1172" s="73"/>
      <c r="AG1172" s="73"/>
      <c r="AH1172" s="73"/>
      <c r="AI1172" s="73"/>
      <c r="AJ1172" s="161"/>
      <c r="AK1172" s="76" t="s">
        <v>6276</v>
      </c>
      <c r="AL1172" s="83" t="s">
        <v>11784</v>
      </c>
      <c r="AM1172" s="71" t="s">
        <v>11785</v>
      </c>
      <c r="AN1172" s="84" t="s">
        <v>11786</v>
      </c>
      <c r="AO1172" s="71" t="s">
        <v>11787</v>
      </c>
      <c r="AP1172" s="161"/>
      <c r="AQ1172" s="161"/>
      <c r="AR1172" s="161"/>
      <c r="AS1172" s="161"/>
      <c r="AT1172" s="161"/>
      <c r="AU1172" s="89"/>
      <c r="AV1172" s="162"/>
      <c r="AW1172" s="81"/>
    </row>
    <row r="1173" ht="15.75" customHeight="1">
      <c r="A1173" s="204" t="s">
        <v>63</v>
      </c>
      <c r="B1173" s="73"/>
      <c r="C1173" s="191" t="s">
        <v>9028</v>
      </c>
      <c r="D1173" s="74">
        <v>50.020418</v>
      </c>
      <c r="E1173" s="74">
        <v>36.217084</v>
      </c>
      <c r="F1173" s="79">
        <v>1.0</v>
      </c>
      <c r="G1173" s="84" t="s">
        <v>11788</v>
      </c>
      <c r="H1173" s="61" t="s">
        <v>91</v>
      </c>
      <c r="I1173" s="75"/>
      <c r="J1173" s="64" t="s">
        <v>11789</v>
      </c>
      <c r="K1173" s="69"/>
      <c r="L1173" s="65" t="s">
        <v>3542</v>
      </c>
      <c r="M1173" s="93" t="s">
        <v>5590</v>
      </c>
      <c r="N1173" s="314"/>
      <c r="O1173" s="458" t="s">
        <v>5591</v>
      </c>
      <c r="P1173" s="67" t="str">
        <f t="shared" si="1"/>
        <v>50.020418, 36.217084</v>
      </c>
      <c r="Q1173" s="67" t="str">
        <f t="shared" si="2"/>
        <v>50.019972, 36.217787</v>
      </c>
      <c r="R1173" s="67">
        <f t="shared" si="3"/>
        <v>50.019972</v>
      </c>
      <c r="S1173" s="67">
        <f t="shared" si="4"/>
        <v>36.217787</v>
      </c>
      <c r="T1173" s="161"/>
      <c r="U1173" s="69"/>
      <c r="V1173" s="65" t="s">
        <v>11790</v>
      </c>
      <c r="W1173" s="71" t="s">
        <v>5904</v>
      </c>
      <c r="X1173" s="72" t="s">
        <v>2982</v>
      </c>
      <c r="Y1173" s="73"/>
      <c r="Z1173" s="73"/>
      <c r="AA1173" s="73"/>
      <c r="AB1173" s="73"/>
      <c r="AC1173" s="73"/>
      <c r="AD1173" s="73"/>
      <c r="AE1173" s="73"/>
      <c r="AF1173" s="73"/>
      <c r="AG1173" s="73"/>
      <c r="AH1173" s="73"/>
      <c r="AI1173" s="73"/>
      <c r="AJ1173" s="161"/>
      <c r="AK1173" s="76" t="s">
        <v>6276</v>
      </c>
      <c r="AL1173" s="83" t="s">
        <v>11791</v>
      </c>
      <c r="AM1173" s="71" t="s">
        <v>11792</v>
      </c>
      <c r="AN1173" s="84" t="s">
        <v>11793</v>
      </c>
      <c r="AO1173" s="71" t="s">
        <v>11794</v>
      </c>
      <c r="AP1173" s="161"/>
      <c r="AQ1173" s="161"/>
      <c r="AR1173" s="161"/>
      <c r="AS1173" s="71" t="s">
        <v>11795</v>
      </c>
      <c r="AT1173" s="161"/>
      <c r="AU1173" s="89"/>
      <c r="AV1173" s="162"/>
      <c r="AW1173" s="81"/>
    </row>
    <row r="1174" ht="15.75" customHeight="1">
      <c r="A1174" s="204" t="s">
        <v>63</v>
      </c>
      <c r="B1174" s="73"/>
      <c r="C1174" s="57" t="s">
        <v>10973</v>
      </c>
      <c r="D1174" s="74">
        <v>50.021119</v>
      </c>
      <c r="E1174" s="74">
        <v>36.328102</v>
      </c>
      <c r="F1174" s="79">
        <v>1.0</v>
      </c>
      <c r="G1174" s="84" t="s">
        <v>11796</v>
      </c>
      <c r="H1174" s="61" t="s">
        <v>91</v>
      </c>
      <c r="I1174" s="215" t="s">
        <v>11797</v>
      </c>
      <c r="J1174" s="64" t="s">
        <v>11745</v>
      </c>
      <c r="K1174" s="69"/>
      <c r="L1174" s="65" t="s">
        <v>3542</v>
      </c>
      <c r="M1174" s="93" t="s">
        <v>5590</v>
      </c>
      <c r="N1174" s="314"/>
      <c r="O1174" s="458" t="s">
        <v>5591</v>
      </c>
      <c r="P1174" s="67" t="str">
        <f t="shared" si="1"/>
        <v>50.021119, 36.328102</v>
      </c>
      <c r="Q1174" s="67" t="str">
        <f t="shared" si="2"/>
        <v>50.020486, 36.327435</v>
      </c>
      <c r="R1174" s="67">
        <f t="shared" si="3"/>
        <v>50.020486</v>
      </c>
      <c r="S1174" s="67">
        <f t="shared" si="4"/>
        <v>36.327435</v>
      </c>
      <c r="T1174" s="161"/>
      <c r="U1174" s="69"/>
      <c r="V1174" s="65" t="s">
        <v>11798</v>
      </c>
      <c r="W1174" s="71" t="s">
        <v>3601</v>
      </c>
      <c r="X1174" s="72" t="s">
        <v>2982</v>
      </c>
      <c r="Y1174" s="216" t="s">
        <v>5820</v>
      </c>
      <c r="Z1174" s="73"/>
      <c r="AA1174" s="73"/>
      <c r="AB1174" s="73"/>
      <c r="AC1174" s="73"/>
      <c r="AD1174" s="73"/>
      <c r="AE1174" s="73"/>
      <c r="AF1174" s="73"/>
      <c r="AG1174" s="73"/>
      <c r="AH1174" s="73"/>
      <c r="AI1174" s="73"/>
      <c r="AJ1174" s="161"/>
      <c r="AK1174" s="76" t="s">
        <v>2108</v>
      </c>
      <c r="AL1174" s="83" t="s">
        <v>11799</v>
      </c>
      <c r="AM1174" s="71" t="s">
        <v>11800</v>
      </c>
      <c r="AN1174" s="84" t="s">
        <v>11801</v>
      </c>
      <c r="AO1174" s="71" t="s">
        <v>11802</v>
      </c>
      <c r="AP1174" s="161" t="str">
        <f>IMAGE("https://bellingcat-archive.nyc3.cdn.digitaloceanspaces.com/Ukraine_Witness_Datasheet/Worksheet/twitter__media_FM1_bPLWUAAdj2x.jpg")</f>
        <v/>
      </c>
      <c r="AQ1174" s="161"/>
      <c r="AR1174" s="161"/>
      <c r="AS1174" s="71" t="s">
        <v>11803</v>
      </c>
      <c r="AT1174" s="161"/>
      <c r="AU1174" s="89"/>
      <c r="AV1174" s="162"/>
      <c r="AW1174" s="81"/>
    </row>
    <row r="1175" ht="15.75" customHeight="1">
      <c r="A1175" s="204" t="s">
        <v>63</v>
      </c>
      <c r="B1175" s="73"/>
      <c r="C1175" s="57" t="s">
        <v>10973</v>
      </c>
      <c r="D1175" s="74">
        <v>50.017851</v>
      </c>
      <c r="E1175" s="74">
        <v>36.329364</v>
      </c>
      <c r="F1175" s="79">
        <v>1.0</v>
      </c>
      <c r="G1175" s="84" t="s">
        <v>11804</v>
      </c>
      <c r="H1175" s="61" t="s">
        <v>91</v>
      </c>
      <c r="I1175" s="75"/>
      <c r="J1175" s="64" t="s">
        <v>11805</v>
      </c>
      <c r="K1175" s="69"/>
      <c r="L1175" s="65" t="s">
        <v>3542</v>
      </c>
      <c r="M1175" s="93" t="s">
        <v>5590</v>
      </c>
      <c r="N1175" s="314"/>
      <c r="O1175" s="458" t="s">
        <v>5591</v>
      </c>
      <c r="P1175" s="67" t="str">
        <f t="shared" si="1"/>
        <v>50.017851, 36.329364</v>
      </c>
      <c r="Q1175" s="67" t="str">
        <f t="shared" si="2"/>
        <v>50.017587, 36.329765</v>
      </c>
      <c r="R1175" s="67">
        <f t="shared" si="3"/>
        <v>50.017587</v>
      </c>
      <c r="S1175" s="67">
        <f t="shared" si="4"/>
        <v>36.329765</v>
      </c>
      <c r="T1175" s="161"/>
      <c r="U1175" s="69"/>
      <c r="V1175" s="65" t="s">
        <v>11806</v>
      </c>
      <c r="W1175" s="71" t="s">
        <v>3601</v>
      </c>
      <c r="X1175" s="72" t="s">
        <v>2982</v>
      </c>
      <c r="Y1175" s="73"/>
      <c r="Z1175" s="73"/>
      <c r="AA1175" s="73"/>
      <c r="AB1175" s="73"/>
      <c r="AC1175" s="73"/>
      <c r="AD1175" s="73"/>
      <c r="AE1175" s="73"/>
      <c r="AF1175" s="73"/>
      <c r="AG1175" s="73"/>
      <c r="AH1175" s="73"/>
      <c r="AI1175" s="73"/>
      <c r="AJ1175" s="161"/>
      <c r="AK1175" s="76" t="s">
        <v>2108</v>
      </c>
      <c r="AL1175" s="83" t="s">
        <v>11807</v>
      </c>
      <c r="AM1175" s="71" t="s">
        <v>11808</v>
      </c>
      <c r="AN1175" s="84" t="s">
        <v>11809</v>
      </c>
      <c r="AO1175" s="71" t="s">
        <v>11810</v>
      </c>
      <c r="AP1175" s="161" t="str">
        <f>IMAGE("https://bellingcat-archive.nyc3.cdn.digitaloceanspaces.com/Ukraine_Witness_Datasheet/Worksheet/twitter__media_FM1-UXPXwAQwYqE.jpg")</f>
        <v/>
      </c>
      <c r="AQ1175" s="161"/>
      <c r="AR1175" s="161"/>
      <c r="AS1175" s="71" t="s">
        <v>11811</v>
      </c>
      <c r="AT1175" s="161"/>
      <c r="AU1175" s="89"/>
      <c r="AV1175" s="162"/>
      <c r="AW1175" s="81"/>
    </row>
    <row r="1176" ht="15.75" customHeight="1">
      <c r="A1176" s="204" t="s">
        <v>63</v>
      </c>
      <c r="B1176" s="73"/>
      <c r="C1176" s="57" t="s">
        <v>10973</v>
      </c>
      <c r="D1176" s="74">
        <v>46.64019</v>
      </c>
      <c r="E1176" s="74">
        <v>32.615125</v>
      </c>
      <c r="F1176" s="79">
        <v>1.0</v>
      </c>
      <c r="G1176" s="84" t="s">
        <v>11812</v>
      </c>
      <c r="H1176" s="61" t="s">
        <v>5522</v>
      </c>
      <c r="I1176" s="75"/>
      <c r="J1176" s="64" t="s">
        <v>11813</v>
      </c>
      <c r="K1176" s="69"/>
      <c r="L1176" s="65" t="s">
        <v>3542</v>
      </c>
      <c r="M1176" s="93" t="s">
        <v>5702</v>
      </c>
      <c r="N1176" s="314"/>
      <c r="O1176" s="93" t="s">
        <v>7098</v>
      </c>
      <c r="P1176" s="67" t="str">
        <f t="shared" si="1"/>
        <v>46.64019, 32.615125</v>
      </c>
      <c r="Q1176" s="67" t="str">
        <f t="shared" si="2"/>
        <v>46.63977, 32.615234</v>
      </c>
      <c r="R1176" s="67">
        <f t="shared" si="3"/>
        <v>46.63977</v>
      </c>
      <c r="S1176" s="67">
        <f t="shared" si="4"/>
        <v>32.615234</v>
      </c>
      <c r="T1176" s="161"/>
      <c r="U1176" s="69"/>
      <c r="V1176" s="65" t="s">
        <v>11814</v>
      </c>
      <c r="W1176" s="71" t="s">
        <v>811</v>
      </c>
      <c r="X1176" s="72" t="s">
        <v>2982</v>
      </c>
      <c r="Y1176" s="73"/>
      <c r="Z1176" s="73"/>
      <c r="AA1176" s="73"/>
      <c r="AB1176" s="73"/>
      <c r="AC1176" s="73"/>
      <c r="AD1176" s="73"/>
      <c r="AE1176" s="73"/>
      <c r="AF1176" s="73"/>
      <c r="AG1176" s="73"/>
      <c r="AH1176" s="73"/>
      <c r="AI1176" s="73"/>
      <c r="AJ1176" s="161"/>
      <c r="AK1176" s="76" t="s">
        <v>798</v>
      </c>
      <c r="AL1176" s="83" t="s">
        <v>11815</v>
      </c>
      <c r="AM1176" s="71" t="s">
        <v>11816</v>
      </c>
      <c r="AN1176" s="84" t="s">
        <v>11817</v>
      </c>
      <c r="AO1176" s="71" t="s">
        <v>11818</v>
      </c>
      <c r="AP1176" s="161" t="str">
        <f>IMAGE("https://bellingcat-archive.nyc3.cdn.digitaloceanspaces.com/Ukraine_Witness_Datasheet/Worksheet/youtube_dl_1498971207051497475/out20.jpg")</f>
        <v/>
      </c>
      <c r="AQ1176" s="84" t="s">
        <v>11819</v>
      </c>
      <c r="AR1176" s="71" t="s">
        <v>11820</v>
      </c>
      <c r="AS1176" s="71" t="s">
        <v>11821</v>
      </c>
      <c r="AT1176" s="71">
        <v>77.066</v>
      </c>
      <c r="AU1176" s="89"/>
      <c r="AV1176" s="162"/>
      <c r="AW1176" s="81"/>
    </row>
    <row r="1177" ht="15.75" customHeight="1">
      <c r="A1177" s="424" t="s">
        <v>10872</v>
      </c>
      <c r="B1177" s="73"/>
      <c r="C1177" s="57" t="s">
        <v>10973</v>
      </c>
      <c r="D1177" s="121"/>
      <c r="E1177" s="121"/>
      <c r="F1177" s="79">
        <v>3.0</v>
      </c>
      <c r="G1177" s="84" t="s">
        <v>11822</v>
      </c>
      <c r="H1177" s="61" t="s">
        <v>5522</v>
      </c>
      <c r="I1177" s="75"/>
      <c r="J1177" s="64" t="s">
        <v>11823</v>
      </c>
      <c r="K1177" s="69"/>
      <c r="L1177" s="65" t="s">
        <v>3542</v>
      </c>
      <c r="M1177" s="93" t="s">
        <v>6167</v>
      </c>
      <c r="N1177" s="314"/>
      <c r="O1177" s="93" t="s">
        <v>11824</v>
      </c>
      <c r="P1177" s="67" t="str">
        <f t="shared" si="1"/>
        <v/>
      </c>
      <c r="Q1177" s="67" t="str">
        <f t="shared" si="2"/>
        <v/>
      </c>
      <c r="R1177" s="67" t="str">
        <f t="shared" si="3"/>
        <v/>
      </c>
      <c r="S1177" s="67" t="str">
        <f t="shared" si="4"/>
        <v/>
      </c>
      <c r="T1177" s="161"/>
      <c r="U1177" s="69"/>
      <c r="V1177" s="65" t="s">
        <v>11825</v>
      </c>
      <c r="W1177" s="71" t="s">
        <v>10760</v>
      </c>
      <c r="X1177" s="208"/>
      <c r="Y1177" s="73"/>
      <c r="Z1177" s="73"/>
      <c r="AA1177" s="73"/>
      <c r="AB1177" s="73"/>
      <c r="AC1177" s="73"/>
      <c r="AD1177" s="73"/>
      <c r="AE1177" s="73"/>
      <c r="AF1177" s="73"/>
      <c r="AG1177" s="73"/>
      <c r="AH1177" s="73"/>
      <c r="AI1177" s="73"/>
      <c r="AJ1177" s="161"/>
      <c r="AK1177" s="76" t="s">
        <v>798</v>
      </c>
      <c r="AL1177" s="83" t="s">
        <v>11826</v>
      </c>
      <c r="AM1177" s="71" t="s">
        <v>11827</v>
      </c>
      <c r="AN1177" s="84" t="s">
        <v>11828</v>
      </c>
      <c r="AO1177" s="71" t="s">
        <v>11829</v>
      </c>
      <c r="AP1177" s="161" t="str">
        <f>IMAGE("https://bellingcat-archive.nyc3.cdn.digitaloceanspaces.com/Ukraine_Witness_Datasheet/Worksheet/youtube_dl_1499047434567180289/out7.jpg")</f>
        <v/>
      </c>
      <c r="AQ1177" s="84" t="s">
        <v>11830</v>
      </c>
      <c r="AR1177" s="71" t="s">
        <v>11831</v>
      </c>
      <c r="AS1177" s="71" t="s">
        <v>11832</v>
      </c>
      <c r="AT1177" s="71">
        <v>17.691</v>
      </c>
      <c r="AU1177" s="89"/>
      <c r="AV1177" s="162"/>
      <c r="AW1177" s="81"/>
    </row>
    <row r="1178" ht="15.75" customHeight="1">
      <c r="A1178" s="204" t="s">
        <v>63</v>
      </c>
      <c r="B1178" s="73"/>
      <c r="C1178" s="57" t="s">
        <v>10973</v>
      </c>
      <c r="D1178" s="74">
        <v>46.640372</v>
      </c>
      <c r="E1178" s="74">
        <v>32.615508</v>
      </c>
      <c r="F1178" s="79">
        <v>1.0</v>
      </c>
      <c r="G1178" s="84" t="s">
        <v>11833</v>
      </c>
      <c r="H1178" s="61" t="s">
        <v>5522</v>
      </c>
      <c r="I1178" s="75"/>
      <c r="J1178" s="64" t="s">
        <v>11813</v>
      </c>
      <c r="K1178" s="69"/>
      <c r="L1178" s="65" t="s">
        <v>3542</v>
      </c>
      <c r="M1178" s="93" t="s">
        <v>5702</v>
      </c>
      <c r="N1178" s="314"/>
      <c r="O1178" s="93" t="s">
        <v>7098</v>
      </c>
      <c r="P1178" s="67" t="str">
        <f t="shared" si="1"/>
        <v>46.640372, 32.615508</v>
      </c>
      <c r="Q1178" s="67" t="str">
        <f t="shared" si="2"/>
        <v>46.640262, 32.614363</v>
      </c>
      <c r="R1178" s="67">
        <f t="shared" si="3"/>
        <v>46.640262</v>
      </c>
      <c r="S1178" s="67">
        <f t="shared" si="4"/>
        <v>32.614363</v>
      </c>
      <c r="T1178" s="161"/>
      <c r="U1178" s="69"/>
      <c r="V1178" s="65" t="s">
        <v>11834</v>
      </c>
      <c r="W1178" s="71" t="s">
        <v>811</v>
      </c>
      <c r="X1178" s="72" t="s">
        <v>2982</v>
      </c>
      <c r="Y1178" s="73"/>
      <c r="Z1178" s="73"/>
      <c r="AA1178" s="73"/>
      <c r="AB1178" s="73"/>
      <c r="AC1178" s="73"/>
      <c r="AD1178" s="73"/>
      <c r="AE1178" s="73"/>
      <c r="AF1178" s="73"/>
      <c r="AG1178" s="73"/>
      <c r="AH1178" s="73"/>
      <c r="AI1178" s="73"/>
      <c r="AJ1178" s="161"/>
      <c r="AK1178" s="76" t="s">
        <v>798</v>
      </c>
      <c r="AL1178" s="83" t="s">
        <v>11835</v>
      </c>
      <c r="AM1178" s="71" t="s">
        <v>11836</v>
      </c>
      <c r="AN1178" s="84" t="s">
        <v>11837</v>
      </c>
      <c r="AO1178" s="71" t="s">
        <v>11838</v>
      </c>
      <c r="AP1178" s="161" t="str">
        <f>IMAGE("https://bellingcat-archive.nyc3.cdn.digitaloceanspaces.com/Ukraine_Witness_Datasheet/Worksheet/youtube_dl_1498960682850607105/out7.jpg")</f>
        <v/>
      </c>
      <c r="AQ1178" s="84" t="s">
        <v>11839</v>
      </c>
      <c r="AR1178" s="71" t="s">
        <v>11840</v>
      </c>
      <c r="AS1178" s="71" t="s">
        <v>11841</v>
      </c>
      <c r="AT1178" s="71">
        <v>7.337</v>
      </c>
      <c r="AU1178" s="89"/>
      <c r="AV1178" s="162"/>
      <c r="AW1178" s="81"/>
    </row>
    <row r="1179" ht="15.75" customHeight="1">
      <c r="A1179" s="208"/>
      <c r="B1179" s="73"/>
      <c r="C1179" s="57" t="s">
        <v>10973</v>
      </c>
      <c r="D1179" s="121"/>
      <c r="E1179" s="121"/>
      <c r="F1179" s="79">
        <v>1.0</v>
      </c>
      <c r="G1179" s="84" t="s">
        <v>11842</v>
      </c>
      <c r="H1179" s="61" t="s">
        <v>5522</v>
      </c>
      <c r="I1179" s="75"/>
      <c r="J1179" s="64" t="s">
        <v>11843</v>
      </c>
      <c r="K1179" s="69"/>
      <c r="L1179" s="65" t="s">
        <v>3542</v>
      </c>
      <c r="M1179" s="92" t="s">
        <v>6167</v>
      </c>
      <c r="N1179" s="314"/>
      <c r="O1179" s="93" t="s">
        <v>6168</v>
      </c>
      <c r="P1179" s="67" t="str">
        <f t="shared" si="1"/>
        <v/>
      </c>
      <c r="Q1179" s="67" t="str">
        <f t="shared" si="2"/>
        <v/>
      </c>
      <c r="R1179" s="67" t="str">
        <f t="shared" si="3"/>
        <v/>
      </c>
      <c r="S1179" s="67" t="str">
        <f t="shared" si="4"/>
        <v/>
      </c>
      <c r="T1179" s="161"/>
      <c r="U1179" s="69"/>
      <c r="V1179" s="65" t="s">
        <v>11844</v>
      </c>
      <c r="W1179" s="71" t="s">
        <v>5858</v>
      </c>
      <c r="X1179" s="194"/>
      <c r="Y1179" s="73"/>
      <c r="Z1179" s="73"/>
      <c r="AA1179" s="73"/>
      <c r="AB1179" s="73"/>
      <c r="AC1179" s="73"/>
      <c r="AD1179" s="73"/>
      <c r="AE1179" s="73"/>
      <c r="AF1179" s="73"/>
      <c r="AG1179" s="73"/>
      <c r="AH1179" s="73"/>
      <c r="AI1179" s="73"/>
      <c r="AJ1179" s="161"/>
      <c r="AK1179" s="76" t="s">
        <v>798</v>
      </c>
      <c r="AL1179" s="83" t="s">
        <v>11845</v>
      </c>
      <c r="AM1179" s="71" t="s">
        <v>11846</v>
      </c>
      <c r="AN1179" s="84" t="s">
        <v>11847</v>
      </c>
      <c r="AO1179" s="71" t="s">
        <v>11848</v>
      </c>
      <c r="AP1179" s="161" t="str">
        <f>IMAGE("https://bellingcat-archive.nyc3.cdn.digitaloceanspaces.com/Ukraine_Witness_Datasheet/Worksheet/youtube_dl_1499049012493570049/out20.jpg")</f>
        <v/>
      </c>
      <c r="AQ1179" s="84" t="s">
        <v>11849</v>
      </c>
      <c r="AR1179" s="71" t="s">
        <v>11850</v>
      </c>
      <c r="AS1179" s="71" t="s">
        <v>11851</v>
      </c>
      <c r="AT1179" s="71">
        <v>92.245</v>
      </c>
      <c r="AU1179" s="89"/>
      <c r="AV1179" s="162"/>
      <c r="AW1179" s="81"/>
    </row>
    <row r="1180" ht="15.75" customHeight="1">
      <c r="A1180" s="204" t="s">
        <v>63</v>
      </c>
      <c r="B1180" s="73"/>
      <c r="C1180" s="57" t="s">
        <v>10973</v>
      </c>
      <c r="D1180" s="74">
        <v>50.541631</v>
      </c>
      <c r="E1180" s="74">
        <v>30.264427</v>
      </c>
      <c r="F1180" s="79">
        <v>3.0</v>
      </c>
      <c r="G1180" s="84" t="s">
        <v>11852</v>
      </c>
      <c r="H1180" s="61" t="s">
        <v>5522</v>
      </c>
      <c r="I1180" s="75"/>
      <c r="J1180" s="64" t="s">
        <v>11853</v>
      </c>
      <c r="K1180" s="69"/>
      <c r="L1180" s="65" t="s">
        <v>3542</v>
      </c>
      <c r="M1180" s="93" t="s">
        <v>5827</v>
      </c>
      <c r="N1180" s="314"/>
      <c r="O1180" s="93" t="s">
        <v>7550</v>
      </c>
      <c r="P1180" s="67" t="str">
        <f t="shared" si="1"/>
        <v>50.541631, 30.264427</v>
      </c>
      <c r="Q1180" s="67" t="str">
        <f t="shared" si="2"/>
        <v>50.541043, 30.264169</v>
      </c>
      <c r="R1180" s="67">
        <f t="shared" si="3"/>
        <v>50.541043</v>
      </c>
      <c r="S1180" s="67">
        <f t="shared" si="4"/>
        <v>30.264169</v>
      </c>
      <c r="T1180" s="161"/>
      <c r="U1180" s="69"/>
      <c r="V1180" s="65" t="s">
        <v>11854</v>
      </c>
      <c r="W1180" s="71" t="s">
        <v>5904</v>
      </c>
      <c r="X1180" s="72" t="s">
        <v>2982</v>
      </c>
      <c r="Y1180" s="73"/>
      <c r="Z1180" s="73"/>
      <c r="AA1180" s="73"/>
      <c r="AB1180" s="73"/>
      <c r="AC1180" s="73"/>
      <c r="AD1180" s="73"/>
      <c r="AE1180" s="73"/>
      <c r="AF1180" s="73"/>
      <c r="AG1180" s="73"/>
      <c r="AH1180" s="73"/>
      <c r="AI1180" s="73"/>
      <c r="AJ1180" s="161"/>
      <c r="AK1180" s="76" t="s">
        <v>6276</v>
      </c>
      <c r="AL1180" s="83" t="s">
        <v>11855</v>
      </c>
      <c r="AM1180" s="71" t="s">
        <v>11856</v>
      </c>
      <c r="AN1180" s="84" t="s">
        <v>11857</v>
      </c>
      <c r="AO1180" s="71" t="s">
        <v>11858</v>
      </c>
      <c r="AP1180" s="161"/>
      <c r="AQ1180" s="161"/>
      <c r="AR1180" s="161"/>
      <c r="AS1180" s="161"/>
      <c r="AT1180" s="161"/>
      <c r="AU1180" s="89"/>
      <c r="AV1180" s="162"/>
      <c r="AW1180" s="81"/>
    </row>
    <row r="1181" ht="15.75" customHeight="1">
      <c r="A1181" s="357" t="s">
        <v>63</v>
      </c>
      <c r="B1181" s="73"/>
      <c r="C1181" s="57" t="s">
        <v>9941</v>
      </c>
      <c r="D1181" s="74">
        <v>47.40684</v>
      </c>
      <c r="E1181" s="74">
        <v>32.437078</v>
      </c>
      <c r="F1181" s="79">
        <v>2.0</v>
      </c>
      <c r="G1181" s="84" t="s">
        <v>11859</v>
      </c>
      <c r="H1181" s="61" t="s">
        <v>5522</v>
      </c>
      <c r="I1181" s="75"/>
      <c r="J1181" s="64" t="s">
        <v>11508</v>
      </c>
      <c r="K1181" s="88" t="s">
        <v>11860</v>
      </c>
      <c r="L1181" s="65" t="s">
        <v>3542</v>
      </c>
      <c r="M1181" s="92" t="s">
        <v>6563</v>
      </c>
      <c r="N1181" s="314"/>
      <c r="O1181" s="92" t="s">
        <v>11861</v>
      </c>
      <c r="P1181" s="67" t="str">
        <f t="shared" si="1"/>
        <v>47.40684, 32.437078</v>
      </c>
      <c r="Q1181" s="67" t="str">
        <f t="shared" si="2"/>
        <v>47.406527, 32.43773</v>
      </c>
      <c r="R1181" s="67">
        <f t="shared" si="3"/>
        <v>47.406527</v>
      </c>
      <c r="S1181" s="67">
        <f t="shared" si="4"/>
        <v>32.43773</v>
      </c>
      <c r="T1181" s="161"/>
      <c r="U1181" s="69"/>
      <c r="V1181" s="65" t="s">
        <v>11862</v>
      </c>
      <c r="W1181" s="71" t="s">
        <v>3601</v>
      </c>
      <c r="X1181" s="72" t="s">
        <v>2982</v>
      </c>
      <c r="Y1181" s="73"/>
      <c r="Z1181" s="73"/>
      <c r="AA1181" s="73"/>
      <c r="AB1181" s="73"/>
      <c r="AC1181" s="73"/>
      <c r="AD1181" s="73"/>
      <c r="AE1181" s="73"/>
      <c r="AF1181" s="73"/>
      <c r="AG1181" s="73"/>
      <c r="AH1181" s="73"/>
      <c r="AI1181" s="73"/>
      <c r="AJ1181" s="161"/>
      <c r="AK1181" s="76" t="s">
        <v>798</v>
      </c>
      <c r="AL1181" s="83" t="s">
        <v>11863</v>
      </c>
      <c r="AM1181" s="71" t="s">
        <v>11864</v>
      </c>
      <c r="AN1181" s="84" t="s">
        <v>11865</v>
      </c>
      <c r="AO1181" s="71" t="s">
        <v>11866</v>
      </c>
      <c r="AP1181" s="161" t="str">
        <f>IMAGE("https://bellingcat-archive.nyc3.cdn.digitaloceanspaces.com/Ukraine_Witness_Datasheet/Worksheet/youtube_dl_1498730997956947973/out7.jpg")</f>
        <v/>
      </c>
      <c r="AQ1181" s="84" t="s">
        <v>11867</v>
      </c>
      <c r="AR1181" s="71" t="s">
        <v>11868</v>
      </c>
      <c r="AS1181" s="71" t="s">
        <v>11869</v>
      </c>
      <c r="AT1181" s="71">
        <v>16.633</v>
      </c>
      <c r="AU1181" s="89"/>
      <c r="AV1181" s="162"/>
      <c r="AW1181" s="81"/>
    </row>
    <row r="1182" ht="15.75" customHeight="1">
      <c r="A1182" s="208"/>
      <c r="B1182" s="73"/>
      <c r="C1182" s="57" t="s">
        <v>975</v>
      </c>
      <c r="D1182" s="121"/>
      <c r="E1182" s="121"/>
      <c r="F1182" s="79">
        <v>3.0</v>
      </c>
      <c r="G1182" s="84" t="s">
        <v>11870</v>
      </c>
      <c r="H1182" s="61" t="s">
        <v>5522</v>
      </c>
      <c r="I1182" s="75"/>
      <c r="J1182" s="69"/>
      <c r="K1182" s="69"/>
      <c r="L1182" s="70"/>
      <c r="M1182" s="314"/>
      <c r="N1182" s="314"/>
      <c r="O1182" s="314"/>
      <c r="P1182" s="67" t="str">
        <f t="shared" si="1"/>
        <v/>
      </c>
      <c r="Q1182" s="67" t="str">
        <f t="shared" si="2"/>
        <v/>
      </c>
      <c r="R1182" s="67" t="str">
        <f t="shared" si="3"/>
        <v/>
      </c>
      <c r="S1182" s="67" t="str">
        <f t="shared" si="4"/>
        <v/>
      </c>
      <c r="T1182" s="161"/>
      <c r="U1182" s="69"/>
      <c r="V1182" s="65" t="s">
        <v>11871</v>
      </c>
      <c r="W1182" s="161"/>
      <c r="X1182" s="194"/>
      <c r="Y1182" s="73"/>
      <c r="Z1182" s="73"/>
      <c r="AA1182" s="73"/>
      <c r="AB1182" s="73"/>
      <c r="AC1182" s="73"/>
      <c r="AD1182" s="73"/>
      <c r="AE1182" s="73"/>
      <c r="AF1182" s="73"/>
      <c r="AG1182" s="73"/>
      <c r="AH1182" s="73"/>
      <c r="AI1182" s="73"/>
      <c r="AJ1182" s="161"/>
      <c r="AK1182" s="76" t="s">
        <v>11872</v>
      </c>
      <c r="AL1182" s="269"/>
      <c r="AM1182" s="71" t="s">
        <v>11873</v>
      </c>
      <c r="AN1182" s="161"/>
      <c r="AO1182" s="161"/>
      <c r="AP1182" s="161"/>
      <c r="AQ1182" s="161"/>
      <c r="AR1182" s="161"/>
      <c r="AS1182" s="161"/>
      <c r="AT1182" s="161"/>
      <c r="AU1182" s="89"/>
      <c r="AV1182" s="162"/>
      <c r="AW1182" s="81"/>
    </row>
    <row r="1183" ht="15.75" customHeight="1">
      <c r="A1183" s="208"/>
      <c r="B1183" s="73"/>
      <c r="C1183" s="57" t="s">
        <v>842</v>
      </c>
      <c r="D1183" s="121"/>
      <c r="E1183" s="121"/>
      <c r="F1183" s="79">
        <v>3.0</v>
      </c>
      <c r="G1183" s="84" t="s">
        <v>11874</v>
      </c>
      <c r="H1183" s="73"/>
      <c r="I1183" s="75"/>
      <c r="J1183" s="69"/>
      <c r="K1183" s="69"/>
      <c r="L1183" s="70"/>
      <c r="M1183" s="73"/>
      <c r="N1183" s="73"/>
      <c r="O1183" s="73"/>
      <c r="P1183" s="67" t="str">
        <f t="shared" si="1"/>
        <v/>
      </c>
      <c r="Q1183" s="67" t="str">
        <f t="shared" si="2"/>
        <v/>
      </c>
      <c r="R1183" s="67" t="str">
        <f t="shared" si="3"/>
        <v/>
      </c>
      <c r="S1183" s="67" t="str">
        <f t="shared" si="4"/>
        <v/>
      </c>
      <c r="T1183" s="161"/>
      <c r="U1183" s="69"/>
      <c r="V1183" s="65" t="s">
        <v>11875</v>
      </c>
      <c r="W1183" s="161"/>
      <c r="X1183" s="194"/>
      <c r="Y1183" s="73"/>
      <c r="Z1183" s="73"/>
      <c r="AA1183" s="73"/>
      <c r="AB1183" s="73"/>
      <c r="AC1183" s="73"/>
      <c r="AD1183" s="73"/>
      <c r="AE1183" s="73"/>
      <c r="AF1183" s="73"/>
      <c r="AG1183" s="73"/>
      <c r="AH1183" s="73"/>
      <c r="AI1183" s="73"/>
      <c r="AJ1183" s="161"/>
      <c r="AK1183" s="76" t="s">
        <v>798</v>
      </c>
      <c r="AL1183" s="83" t="s">
        <v>11876</v>
      </c>
      <c r="AM1183" s="71" t="s">
        <v>11877</v>
      </c>
      <c r="AN1183" s="84" t="s">
        <v>11878</v>
      </c>
      <c r="AO1183" s="71" t="s">
        <v>11879</v>
      </c>
      <c r="AP1183" s="161" t="str">
        <f>IMAGE("https://bellingcat-archive.nyc3.cdn.digitaloceanspaces.com/Ukraine_Witness_Datasheet/Worksheet/youtube_dl_1499053530686046210/out20.jpg")</f>
        <v/>
      </c>
      <c r="AQ1183" s="84" t="s">
        <v>11880</v>
      </c>
      <c r="AR1183" s="71" t="s">
        <v>11881</v>
      </c>
      <c r="AS1183" s="71" t="s">
        <v>11882</v>
      </c>
      <c r="AT1183" s="71">
        <v>69.334</v>
      </c>
      <c r="AU1183" s="89"/>
      <c r="AV1183" s="162"/>
      <c r="AW1183" s="81"/>
    </row>
    <row r="1184" ht="15.75" customHeight="1">
      <c r="A1184" s="204" t="s">
        <v>63</v>
      </c>
      <c r="B1184" s="73"/>
      <c r="C1184" s="57" t="s">
        <v>975</v>
      </c>
      <c r="D1184" s="74">
        <v>46.65035</v>
      </c>
      <c r="E1184" s="74">
        <v>32.60766</v>
      </c>
      <c r="F1184" s="79">
        <v>1.0</v>
      </c>
      <c r="G1184" s="84" t="s">
        <v>11883</v>
      </c>
      <c r="H1184" s="73"/>
      <c r="I1184" s="62" t="s">
        <v>11884</v>
      </c>
      <c r="J1184" s="64" t="s">
        <v>11885</v>
      </c>
      <c r="K1184" s="69"/>
      <c r="L1184" s="65" t="s">
        <v>3542</v>
      </c>
      <c r="M1184" s="93" t="s">
        <v>5702</v>
      </c>
      <c r="N1184" s="314"/>
      <c r="O1184" s="93" t="s">
        <v>7098</v>
      </c>
      <c r="P1184" s="67" t="str">
        <f t="shared" si="1"/>
        <v>46.65035, 32.60766</v>
      </c>
      <c r="Q1184" s="67" t="str">
        <f t="shared" si="2"/>
        <v>46.649976, 32.607056</v>
      </c>
      <c r="R1184" s="67">
        <f t="shared" si="3"/>
        <v>46.649976</v>
      </c>
      <c r="S1184" s="67">
        <f t="shared" si="4"/>
        <v>32.607056</v>
      </c>
      <c r="T1184" s="161"/>
      <c r="U1184" s="69"/>
      <c r="V1184" s="65" t="s">
        <v>11886</v>
      </c>
      <c r="W1184" s="71" t="s">
        <v>811</v>
      </c>
      <c r="X1184" s="72" t="s">
        <v>2982</v>
      </c>
      <c r="Y1184" s="73"/>
      <c r="Z1184" s="73"/>
      <c r="AA1184" s="73"/>
      <c r="AB1184" s="73"/>
      <c r="AC1184" s="73"/>
      <c r="AD1184" s="73"/>
      <c r="AE1184" s="73"/>
      <c r="AF1184" s="73"/>
      <c r="AG1184" s="73"/>
      <c r="AH1184" s="73"/>
      <c r="AI1184" s="73"/>
      <c r="AJ1184" s="161"/>
      <c r="AK1184" s="76" t="s">
        <v>798</v>
      </c>
      <c r="AL1184" s="83" t="s">
        <v>11887</v>
      </c>
      <c r="AM1184" s="71" t="s">
        <v>11888</v>
      </c>
      <c r="AN1184" s="84" t="s">
        <v>11889</v>
      </c>
      <c r="AO1184" s="71" t="s">
        <v>11890</v>
      </c>
      <c r="AP1184" s="161" t="str">
        <f>IMAGE("https://bellingcat-archive.nyc3.cdn.digitaloceanspaces.com/Ukraine_Witness_Datasheet/Worksheet/youtube_dl_1498943189138685952/out20.jpg")</f>
        <v/>
      </c>
      <c r="AQ1184" s="84" t="s">
        <v>11891</v>
      </c>
      <c r="AR1184" s="71" t="s">
        <v>11892</v>
      </c>
      <c r="AS1184" s="71" t="s">
        <v>11893</v>
      </c>
      <c r="AT1184" s="71">
        <v>64.066</v>
      </c>
      <c r="AU1184" s="89"/>
      <c r="AV1184" s="162"/>
      <c r="AW1184" s="81"/>
    </row>
    <row r="1185" ht="15.75" customHeight="1">
      <c r="A1185" s="208"/>
      <c r="B1185" s="73"/>
      <c r="C1185" s="176"/>
      <c r="D1185" s="121"/>
      <c r="E1185" s="121"/>
      <c r="F1185" s="79">
        <v>1.0</v>
      </c>
      <c r="G1185" s="84" t="s">
        <v>11894</v>
      </c>
      <c r="H1185" s="73"/>
      <c r="I1185" s="75"/>
      <c r="J1185" s="69"/>
      <c r="K1185" s="69"/>
      <c r="L1185" s="70"/>
      <c r="M1185" s="314"/>
      <c r="N1185" s="314"/>
      <c r="O1185" s="314"/>
      <c r="P1185" s="67" t="str">
        <f t="shared" si="1"/>
        <v/>
      </c>
      <c r="Q1185" s="67" t="str">
        <f t="shared" si="2"/>
        <v/>
      </c>
      <c r="R1185" s="67" t="str">
        <f t="shared" si="3"/>
        <v/>
      </c>
      <c r="S1185" s="67" t="str">
        <f t="shared" si="4"/>
        <v/>
      </c>
      <c r="T1185" s="161"/>
      <c r="U1185" s="69"/>
      <c r="V1185" s="65" t="s">
        <v>11895</v>
      </c>
      <c r="W1185" s="161"/>
      <c r="X1185" s="194"/>
      <c r="Y1185" s="73"/>
      <c r="Z1185" s="73"/>
      <c r="AA1185" s="73"/>
      <c r="AB1185" s="73"/>
      <c r="AC1185" s="73"/>
      <c r="AD1185" s="73"/>
      <c r="AE1185" s="73"/>
      <c r="AF1185" s="73"/>
      <c r="AG1185" s="73"/>
      <c r="AH1185" s="73"/>
      <c r="AI1185" s="73"/>
      <c r="AJ1185" s="161"/>
      <c r="AK1185" s="76" t="s">
        <v>1261</v>
      </c>
      <c r="AL1185" s="83" t="s">
        <v>11896</v>
      </c>
      <c r="AM1185" s="71" t="s">
        <v>11897</v>
      </c>
      <c r="AN1185" s="84" t="s">
        <v>11898</v>
      </c>
      <c r="AO1185" s="161"/>
      <c r="AP1185" s="161"/>
      <c r="AQ1185" s="161"/>
      <c r="AR1185" s="71" t="s">
        <v>2228</v>
      </c>
      <c r="AS1185" s="161"/>
      <c r="AT1185" s="161"/>
      <c r="AU1185" s="89"/>
      <c r="AV1185" s="162"/>
      <c r="AW1185" s="81"/>
    </row>
    <row r="1186" ht="15.75" customHeight="1">
      <c r="A1186" s="357" t="s">
        <v>2580</v>
      </c>
      <c r="B1186" s="73"/>
      <c r="C1186" s="57" t="s">
        <v>10973</v>
      </c>
      <c r="D1186" s="74">
        <v>47.10925</v>
      </c>
      <c r="E1186" s="74">
        <v>37.553833</v>
      </c>
      <c r="F1186" s="79">
        <v>3.0</v>
      </c>
      <c r="G1186" s="84" t="s">
        <v>11899</v>
      </c>
      <c r="H1186" s="61" t="s">
        <v>5522</v>
      </c>
      <c r="I1186" s="75"/>
      <c r="J1186" s="64" t="s">
        <v>11900</v>
      </c>
      <c r="K1186" s="69"/>
      <c r="L1186" s="65" t="s">
        <v>3542</v>
      </c>
      <c r="M1186" s="93" t="s">
        <v>11901</v>
      </c>
      <c r="N1186" s="314"/>
      <c r="O1186" s="93" t="s">
        <v>11902</v>
      </c>
      <c r="P1186" s="67" t="str">
        <f t="shared" si="1"/>
        <v>47.10925, 37.553833</v>
      </c>
      <c r="Q1186" s="67" t="str">
        <f t="shared" si="2"/>
        <v>47.109053, 37.555003</v>
      </c>
      <c r="R1186" s="67">
        <f t="shared" si="3"/>
        <v>47.109053</v>
      </c>
      <c r="S1186" s="67">
        <f t="shared" si="4"/>
        <v>37.555003</v>
      </c>
      <c r="T1186" s="161"/>
      <c r="U1186" s="69"/>
      <c r="V1186" s="65" t="s">
        <v>11903</v>
      </c>
      <c r="W1186" s="71" t="s">
        <v>10760</v>
      </c>
      <c r="X1186" s="72" t="s">
        <v>2982</v>
      </c>
      <c r="Y1186" s="73"/>
      <c r="Z1186" s="73"/>
      <c r="AA1186" s="73"/>
      <c r="AB1186" s="73"/>
      <c r="AC1186" s="73"/>
      <c r="AD1186" s="73"/>
      <c r="AE1186" s="73"/>
      <c r="AF1186" s="73"/>
      <c r="AG1186" s="73"/>
      <c r="AH1186" s="73"/>
      <c r="AI1186" s="73"/>
      <c r="AJ1186" s="161"/>
      <c r="AK1186" s="76" t="s">
        <v>798</v>
      </c>
      <c r="AL1186" s="83" t="s">
        <v>11904</v>
      </c>
      <c r="AM1186" s="71" t="s">
        <v>11905</v>
      </c>
      <c r="AN1186" s="84" t="s">
        <v>11906</v>
      </c>
      <c r="AO1186" s="71" t="s">
        <v>11907</v>
      </c>
      <c r="AP1186" s="161" t="str">
        <f>IMAGE("https://bellingcat-archive.nyc3.cdn.digitaloceanspaces.com/Ukraine_Witness_Datasheet/Worksheet/youtube_dl_1499055732813021186/out20.jpg")</f>
        <v/>
      </c>
      <c r="AQ1186" s="84" t="s">
        <v>11908</v>
      </c>
      <c r="AR1186" s="71" t="s">
        <v>11909</v>
      </c>
      <c r="AS1186" s="71" t="s">
        <v>11910</v>
      </c>
      <c r="AT1186" s="71">
        <v>74.211</v>
      </c>
      <c r="AU1186" s="89"/>
      <c r="AV1186" s="162"/>
      <c r="AW1186" s="81"/>
    </row>
    <row r="1187" ht="15.75" customHeight="1">
      <c r="A1187" s="434" t="s">
        <v>6880</v>
      </c>
      <c r="B1187" s="73"/>
      <c r="C1187" s="57" t="s">
        <v>11911</v>
      </c>
      <c r="D1187" s="300"/>
      <c r="E1187" s="300"/>
      <c r="F1187" s="79"/>
      <c r="G1187" s="71"/>
      <c r="H1187" s="61"/>
      <c r="I1187" s="75"/>
      <c r="J1187" s="64"/>
      <c r="K1187" s="69"/>
      <c r="L1187" s="65"/>
      <c r="M1187" s="92"/>
      <c r="N1187" s="314"/>
      <c r="O1187" s="92"/>
      <c r="P1187" s="67" t="str">
        <f t="shared" si="1"/>
        <v/>
      </c>
      <c r="Q1187" s="67" t="str">
        <f t="shared" si="2"/>
        <v/>
      </c>
      <c r="R1187" s="67" t="str">
        <f t="shared" si="3"/>
        <v/>
      </c>
      <c r="S1187" s="67" t="str">
        <f t="shared" si="4"/>
        <v/>
      </c>
      <c r="T1187" s="161"/>
      <c r="U1187" s="69"/>
      <c r="V1187" s="65" t="s">
        <v>11912</v>
      </c>
      <c r="W1187" s="71"/>
      <c r="X1187" s="194"/>
      <c r="Y1187" s="73"/>
      <c r="Z1187" s="73"/>
      <c r="AA1187" s="73"/>
      <c r="AB1187" s="73"/>
      <c r="AC1187" s="73"/>
      <c r="AD1187" s="73"/>
      <c r="AE1187" s="73"/>
      <c r="AF1187" s="73"/>
      <c r="AG1187" s="73"/>
      <c r="AH1187" s="73"/>
      <c r="AI1187" s="73"/>
      <c r="AJ1187" s="161"/>
      <c r="AK1187" s="76" t="s">
        <v>1261</v>
      </c>
      <c r="AL1187" s="83" t="s">
        <v>11913</v>
      </c>
      <c r="AM1187" s="71" t="s">
        <v>11914</v>
      </c>
      <c r="AN1187" s="84" t="s">
        <v>11915</v>
      </c>
      <c r="AO1187" s="161"/>
      <c r="AP1187" s="161"/>
      <c r="AQ1187" s="161"/>
      <c r="AR1187" s="71" t="s">
        <v>2228</v>
      </c>
      <c r="AS1187" s="161"/>
      <c r="AT1187" s="161"/>
      <c r="AU1187" s="89"/>
      <c r="AV1187" s="162"/>
      <c r="AW1187" s="81"/>
    </row>
    <row r="1188" ht="15.75" customHeight="1">
      <c r="A1188" s="357" t="s">
        <v>6463</v>
      </c>
      <c r="B1188" s="73"/>
      <c r="C1188" s="57" t="s">
        <v>10973</v>
      </c>
      <c r="D1188" s="92">
        <v>50.5417466897897</v>
      </c>
      <c r="E1188" s="92">
        <v>30.2641064931368</v>
      </c>
      <c r="F1188" s="79">
        <v>3.0</v>
      </c>
      <c r="G1188" s="84" t="s">
        <v>11916</v>
      </c>
      <c r="H1188" s="61" t="s">
        <v>66</v>
      </c>
      <c r="I1188" s="75"/>
      <c r="J1188" s="64" t="s">
        <v>11917</v>
      </c>
      <c r="K1188" s="131" t="s">
        <v>11918</v>
      </c>
      <c r="L1188" s="65" t="s">
        <v>3542</v>
      </c>
      <c r="M1188" s="93" t="s">
        <v>5827</v>
      </c>
      <c r="N1188" s="314"/>
      <c r="O1188" s="93" t="s">
        <v>11919</v>
      </c>
      <c r="P1188" s="67" t="str">
        <f t="shared" si="1"/>
        <v>50.5417466897897, 30.2641064931368</v>
      </c>
      <c r="Q1188" s="67" t="str">
        <f t="shared" si="2"/>
        <v>50.541646, 30.264649</v>
      </c>
      <c r="R1188" s="67">
        <f t="shared" si="3"/>
        <v>50.541646</v>
      </c>
      <c r="S1188" s="67">
        <f t="shared" si="4"/>
        <v>30.264649</v>
      </c>
      <c r="T1188" s="161"/>
      <c r="U1188" s="69"/>
      <c r="V1188" s="65" t="s">
        <v>11920</v>
      </c>
      <c r="W1188" s="459" t="s">
        <v>3546</v>
      </c>
      <c r="X1188" s="72" t="s">
        <v>2982</v>
      </c>
      <c r="Y1188" s="73"/>
      <c r="Z1188" s="73"/>
      <c r="AA1188" s="73"/>
      <c r="AB1188" s="73"/>
      <c r="AC1188" s="73"/>
      <c r="AD1188" s="73"/>
      <c r="AE1188" s="73"/>
      <c r="AF1188" s="73"/>
      <c r="AG1188" s="73"/>
      <c r="AH1188" s="73"/>
      <c r="AI1188" s="73"/>
      <c r="AJ1188" s="161"/>
      <c r="AK1188" s="76" t="s">
        <v>798</v>
      </c>
      <c r="AL1188" s="83" t="s">
        <v>11921</v>
      </c>
      <c r="AM1188" s="71" t="s">
        <v>11922</v>
      </c>
      <c r="AN1188" s="84" t="s">
        <v>11923</v>
      </c>
      <c r="AO1188" s="71" t="s">
        <v>11924</v>
      </c>
      <c r="AP1188" s="161" t="str">
        <f>IMAGE("https://bellingcat-archive.nyc3.cdn.digitaloceanspaces.com/Ukraine_Witness_Datasheet/Worksheet/youtube_dl_1499053814241968133/out7.jpg")</f>
        <v/>
      </c>
      <c r="AQ1188" s="84" t="s">
        <v>11925</v>
      </c>
      <c r="AR1188" s="71" t="s">
        <v>11926</v>
      </c>
      <c r="AS1188" s="71" t="s">
        <v>11927</v>
      </c>
      <c r="AT1188" s="71">
        <v>53.433</v>
      </c>
      <c r="AU1188" s="89"/>
      <c r="AV1188" s="162"/>
      <c r="AW1188" s="81"/>
    </row>
    <row r="1189" ht="15.75" customHeight="1">
      <c r="A1189" s="357" t="s">
        <v>63</v>
      </c>
      <c r="B1189" s="73"/>
      <c r="C1189" s="57" t="s">
        <v>10973</v>
      </c>
      <c r="D1189" s="149">
        <v>47.437824</v>
      </c>
      <c r="E1189" s="149">
        <v>35.294283</v>
      </c>
      <c r="F1189" s="79">
        <v>1.0</v>
      </c>
      <c r="G1189" s="84" t="s">
        <v>11928</v>
      </c>
      <c r="H1189" s="61" t="s">
        <v>5522</v>
      </c>
      <c r="I1189" s="75"/>
      <c r="J1189" s="64" t="s">
        <v>11929</v>
      </c>
      <c r="K1189" s="88" t="s">
        <v>11930</v>
      </c>
      <c r="L1189" s="65" t="s">
        <v>3542</v>
      </c>
      <c r="M1189" s="92" t="s">
        <v>6167</v>
      </c>
      <c r="N1189" s="314"/>
      <c r="O1189" s="92" t="s">
        <v>11275</v>
      </c>
      <c r="P1189" s="67" t="str">
        <f t="shared" si="1"/>
        <v>47.437824, 35.294283</v>
      </c>
      <c r="Q1189" s="67" t="str">
        <f t="shared" si="2"/>
        <v>47.437155, 35.294352</v>
      </c>
      <c r="R1189" s="67">
        <f t="shared" si="3"/>
        <v>47.437155</v>
      </c>
      <c r="S1189" s="67">
        <f t="shared" si="4"/>
        <v>35.294352</v>
      </c>
      <c r="T1189" s="161"/>
      <c r="U1189" s="69"/>
      <c r="V1189" s="65" t="s">
        <v>11931</v>
      </c>
      <c r="W1189" s="71" t="s">
        <v>5858</v>
      </c>
      <c r="X1189" s="72" t="s">
        <v>2982</v>
      </c>
      <c r="Y1189" s="73"/>
      <c r="Z1189" s="73"/>
      <c r="AA1189" s="73"/>
      <c r="AB1189" s="73"/>
      <c r="AC1189" s="73"/>
      <c r="AD1189" s="73"/>
      <c r="AE1189" s="73"/>
      <c r="AF1189" s="73"/>
      <c r="AG1189" s="73"/>
      <c r="AH1189" s="73"/>
      <c r="AI1189" s="73"/>
      <c r="AJ1189" s="161"/>
      <c r="AK1189" s="76" t="s">
        <v>798</v>
      </c>
      <c r="AL1189" s="83" t="s">
        <v>11932</v>
      </c>
      <c r="AM1189" s="71" t="s">
        <v>11933</v>
      </c>
      <c r="AN1189" s="84" t="s">
        <v>11934</v>
      </c>
      <c r="AO1189" s="71" t="s">
        <v>11935</v>
      </c>
      <c r="AP1189" s="161" t="str">
        <f>IMAGE("https://bellingcat-archive.nyc3.cdn.digitaloceanspaces.com/Ukraine_Witness_Datasheet/Worksheet/youtube_dl_1498984710239883264/out7.jpg")</f>
        <v/>
      </c>
      <c r="AQ1189" s="84" t="s">
        <v>11936</v>
      </c>
      <c r="AR1189" s="71" t="s">
        <v>11937</v>
      </c>
      <c r="AS1189" s="71" t="s">
        <v>11938</v>
      </c>
      <c r="AT1189" s="71">
        <v>53.101</v>
      </c>
      <c r="AU1189" s="89"/>
      <c r="AV1189" s="162"/>
      <c r="AW1189" s="81"/>
    </row>
    <row r="1190" ht="15.75" customHeight="1">
      <c r="A1190" s="204" t="s">
        <v>10872</v>
      </c>
      <c r="B1190" s="73"/>
      <c r="C1190" s="57" t="s">
        <v>10973</v>
      </c>
      <c r="D1190" s="104">
        <v>46.83372</v>
      </c>
      <c r="E1190" s="104">
        <v>31.92034</v>
      </c>
      <c r="F1190" s="79">
        <v>3.0</v>
      </c>
      <c r="G1190" s="84" t="s">
        <v>11939</v>
      </c>
      <c r="H1190" s="61" t="s">
        <v>66</v>
      </c>
      <c r="I1190" s="75"/>
      <c r="J1190" s="64" t="s">
        <v>11940</v>
      </c>
      <c r="K1190" s="69"/>
      <c r="L1190" s="65" t="s">
        <v>3542</v>
      </c>
      <c r="M1190" s="61" t="s">
        <v>6563</v>
      </c>
      <c r="N1190" s="73"/>
      <c r="O1190" s="61" t="s">
        <v>11941</v>
      </c>
      <c r="P1190" s="67" t="str">
        <f t="shared" si="1"/>
        <v>46.83372, 31.92034</v>
      </c>
      <c r="Q1190" s="67" t="str">
        <f t="shared" si="2"/>
        <v>46.833359, 31.921092</v>
      </c>
      <c r="R1190" s="67">
        <f t="shared" si="3"/>
        <v>46.833359</v>
      </c>
      <c r="S1190" s="67">
        <f t="shared" si="4"/>
        <v>31.921092</v>
      </c>
      <c r="T1190" s="84" t="s">
        <v>11942</v>
      </c>
      <c r="U1190" s="69"/>
      <c r="V1190" s="65" t="s">
        <v>11943</v>
      </c>
      <c r="W1190" s="71" t="s">
        <v>3601</v>
      </c>
      <c r="X1190" s="72" t="s">
        <v>2982</v>
      </c>
      <c r="Y1190" s="73"/>
      <c r="Z1190" s="73"/>
      <c r="AA1190" s="73"/>
      <c r="AB1190" s="73"/>
      <c r="AC1190" s="73"/>
      <c r="AD1190" s="73"/>
      <c r="AE1190" s="73"/>
      <c r="AF1190" s="73"/>
      <c r="AG1190" s="73"/>
      <c r="AH1190" s="73"/>
      <c r="AI1190" s="73"/>
      <c r="AJ1190" s="161"/>
      <c r="AK1190" s="76" t="s">
        <v>798</v>
      </c>
      <c r="AL1190" s="83" t="s">
        <v>11944</v>
      </c>
      <c r="AM1190" s="71" t="s">
        <v>11945</v>
      </c>
      <c r="AN1190" s="84" t="s">
        <v>11946</v>
      </c>
      <c r="AO1190" s="71" t="s">
        <v>11947</v>
      </c>
      <c r="AP1190" s="161" t="str">
        <f>IMAGE("https://bellingcat-archive.nyc3.cdn.digitaloceanspaces.com/Ukraine_Witness_Datasheet/Worksheet/youtube_dl_1499071102873657349/out7.jpg")</f>
        <v/>
      </c>
      <c r="AQ1190" s="84" t="s">
        <v>11948</v>
      </c>
      <c r="AR1190" s="71" t="s">
        <v>11949</v>
      </c>
      <c r="AS1190" s="71" t="s">
        <v>11950</v>
      </c>
      <c r="AT1190" s="71">
        <v>16.533</v>
      </c>
      <c r="AU1190" s="89"/>
      <c r="AV1190" s="80" t="s">
        <v>88</v>
      </c>
      <c r="AW1190" s="81"/>
    </row>
    <row r="1191" ht="15.75" customHeight="1">
      <c r="A1191" s="204" t="s">
        <v>5457</v>
      </c>
      <c r="B1191" s="73"/>
      <c r="C1191" s="57" t="s">
        <v>10973</v>
      </c>
      <c r="D1191" s="104">
        <v>47.487962</v>
      </c>
      <c r="E1191" s="104">
        <v>34.410888</v>
      </c>
      <c r="F1191" s="79">
        <v>1.0</v>
      </c>
      <c r="G1191" s="130" t="s">
        <v>11951</v>
      </c>
      <c r="H1191" s="61" t="s">
        <v>91</v>
      </c>
      <c r="I1191" s="75"/>
      <c r="J1191" s="64" t="s">
        <v>11952</v>
      </c>
      <c r="K1191" s="69"/>
      <c r="L1191" s="65" t="s">
        <v>3542</v>
      </c>
      <c r="M1191" s="93" t="s">
        <v>6167</v>
      </c>
      <c r="N1191" s="314"/>
      <c r="O1191" s="93" t="s">
        <v>11953</v>
      </c>
      <c r="P1191" s="67" t="str">
        <f t="shared" si="1"/>
        <v>47.487962, 34.410888</v>
      </c>
      <c r="Q1191" s="67" t="str">
        <f t="shared" si="2"/>
        <v>47.487553, 34.41004</v>
      </c>
      <c r="R1191" s="67">
        <f t="shared" si="3"/>
        <v>47.487553</v>
      </c>
      <c r="S1191" s="67">
        <f t="shared" si="4"/>
        <v>34.41004</v>
      </c>
      <c r="T1191" s="161"/>
      <c r="U1191" s="69"/>
      <c r="V1191" s="65" t="s">
        <v>11954</v>
      </c>
      <c r="W1191" s="71" t="s">
        <v>5858</v>
      </c>
      <c r="X1191" s="72" t="s">
        <v>2982</v>
      </c>
      <c r="Y1191" s="73"/>
      <c r="Z1191" s="73"/>
      <c r="AA1191" s="73"/>
      <c r="AB1191" s="73"/>
      <c r="AC1191" s="73"/>
      <c r="AD1191" s="73"/>
      <c r="AE1191" s="73"/>
      <c r="AF1191" s="73"/>
      <c r="AG1191" s="73"/>
      <c r="AH1191" s="73"/>
      <c r="AI1191" s="73"/>
      <c r="AJ1191" s="161"/>
      <c r="AK1191" s="76" t="s">
        <v>2108</v>
      </c>
      <c r="AL1191" s="83" t="s">
        <v>11955</v>
      </c>
      <c r="AM1191" s="71" t="s">
        <v>11956</v>
      </c>
      <c r="AN1191" s="84" t="s">
        <v>11957</v>
      </c>
      <c r="AO1191" s="71" t="s">
        <v>11958</v>
      </c>
      <c r="AP1191" s="161" t="str">
        <f>IMAGE("https://bellingcat-archive.nyc3.cdn.digitaloceanspaces.com/Ukraine_Witness_Datasheet/Worksheet/twitter__media_FM3Jk6cagAEaPxA.jpg")</f>
        <v/>
      </c>
      <c r="AQ1191" s="161"/>
      <c r="AR1191" s="161"/>
      <c r="AS1191" s="71" t="s">
        <v>11959</v>
      </c>
      <c r="AT1191" s="161"/>
      <c r="AU1191" s="89"/>
      <c r="AV1191" s="80" t="s">
        <v>88</v>
      </c>
      <c r="AW1191" s="81"/>
    </row>
    <row r="1192" ht="15.75" customHeight="1">
      <c r="A1192" s="204" t="s">
        <v>63</v>
      </c>
      <c r="B1192" s="73"/>
      <c r="C1192" s="57" t="s">
        <v>10973</v>
      </c>
      <c r="D1192" s="74">
        <v>47.101839</v>
      </c>
      <c r="E1192" s="74">
        <v>37.648885</v>
      </c>
      <c r="F1192" s="79">
        <v>2.0</v>
      </c>
      <c r="G1192" s="84" t="s">
        <v>11960</v>
      </c>
      <c r="H1192" s="61"/>
      <c r="I1192" s="75"/>
      <c r="J1192" s="64" t="s">
        <v>11961</v>
      </c>
      <c r="K1192" s="69"/>
      <c r="L1192" s="65" t="s">
        <v>3542</v>
      </c>
      <c r="M1192" s="92" t="s">
        <v>5750</v>
      </c>
      <c r="N1192" s="314"/>
      <c r="O1192" s="92" t="s">
        <v>6109</v>
      </c>
      <c r="P1192" s="67" t="str">
        <f t="shared" si="1"/>
        <v>47.101839, 37.648885</v>
      </c>
      <c r="Q1192" s="67" t="str">
        <f t="shared" si="2"/>
        <v>47.101645, 37.648365</v>
      </c>
      <c r="R1192" s="67">
        <f t="shared" si="3"/>
        <v>47.101645</v>
      </c>
      <c r="S1192" s="67">
        <f t="shared" si="4"/>
        <v>37.648365</v>
      </c>
      <c r="T1192" s="161"/>
      <c r="U1192" s="69"/>
      <c r="V1192" s="65" t="s">
        <v>11962</v>
      </c>
      <c r="W1192" s="71" t="s">
        <v>3601</v>
      </c>
      <c r="X1192" s="72" t="s">
        <v>2982</v>
      </c>
      <c r="Y1192" s="73"/>
      <c r="Z1192" s="73"/>
      <c r="AA1192" s="73"/>
      <c r="AB1192" s="73"/>
      <c r="AC1192" s="73"/>
      <c r="AD1192" s="73"/>
      <c r="AE1192" s="73"/>
      <c r="AF1192" s="73"/>
      <c r="AG1192" s="73"/>
      <c r="AH1192" s="73"/>
      <c r="AI1192" s="73"/>
      <c r="AJ1192" s="161"/>
      <c r="AK1192" s="76" t="s">
        <v>798</v>
      </c>
      <c r="AL1192" s="83" t="s">
        <v>11963</v>
      </c>
      <c r="AM1192" s="71" t="s">
        <v>11964</v>
      </c>
      <c r="AN1192" s="84" t="s">
        <v>11965</v>
      </c>
      <c r="AO1192" s="71" t="s">
        <v>11966</v>
      </c>
      <c r="AP1192" s="161" t="str">
        <f>IMAGE("https://bellingcat-archive.nyc3.cdn.digitaloceanspaces.com/Ukraine_Witness_Datasheet/Worksheet/youtube_dl_YQBLdkt1Lew/out20.jpg")</f>
        <v/>
      </c>
      <c r="AQ1192" s="84" t="s">
        <v>11967</v>
      </c>
      <c r="AR1192" s="71" t="s">
        <v>11968</v>
      </c>
      <c r="AS1192" s="71" t="s">
        <v>11969</v>
      </c>
      <c r="AT1192" s="71">
        <v>147.0</v>
      </c>
      <c r="AU1192" s="89"/>
      <c r="AV1192" s="80" t="s">
        <v>88</v>
      </c>
      <c r="AW1192" s="81"/>
    </row>
    <row r="1193" ht="15.75" customHeight="1">
      <c r="A1193" s="204" t="s">
        <v>11075</v>
      </c>
      <c r="B1193" s="73"/>
      <c r="C1193" s="57" t="s">
        <v>10973</v>
      </c>
      <c r="D1193" s="104">
        <v>46.660892846543</v>
      </c>
      <c r="E1193" s="104">
        <v>32.6556107553957</v>
      </c>
      <c r="F1193" s="79">
        <v>5.0</v>
      </c>
      <c r="G1193" s="84" t="s">
        <v>11833</v>
      </c>
      <c r="H1193" s="61" t="s">
        <v>5522</v>
      </c>
      <c r="I1193" s="75"/>
      <c r="J1193" s="64" t="s">
        <v>11970</v>
      </c>
      <c r="K1193" s="69"/>
      <c r="L1193" s="65" t="s">
        <v>3542</v>
      </c>
      <c r="M1193" s="61" t="s">
        <v>5702</v>
      </c>
      <c r="N1193" s="73"/>
      <c r="O1193" s="61" t="s">
        <v>7098</v>
      </c>
      <c r="P1193" s="67" t="str">
        <f t="shared" si="1"/>
        <v>46.660892846543, 32.6556107553957</v>
      </c>
      <c r="Q1193" s="67" t="str">
        <f t="shared" si="2"/>
        <v>46.660604, 32.654654</v>
      </c>
      <c r="R1193" s="67">
        <f t="shared" si="3"/>
        <v>46.660604</v>
      </c>
      <c r="S1193" s="67">
        <f t="shared" si="4"/>
        <v>32.654654</v>
      </c>
      <c r="T1193" s="71" t="s">
        <v>11268</v>
      </c>
      <c r="U1193" s="69"/>
      <c r="V1193" s="65" t="s">
        <v>11971</v>
      </c>
      <c r="W1193" s="71" t="s">
        <v>6108</v>
      </c>
      <c r="X1193" s="72" t="s">
        <v>2982</v>
      </c>
      <c r="Y1193" s="73"/>
      <c r="Z1193" s="73"/>
      <c r="AA1193" s="73"/>
      <c r="AB1193" s="73"/>
      <c r="AC1193" s="73"/>
      <c r="AD1193" s="73"/>
      <c r="AE1193" s="73"/>
      <c r="AF1193" s="73"/>
      <c r="AG1193" s="73"/>
      <c r="AH1193" s="73"/>
      <c r="AI1193" s="73"/>
      <c r="AJ1193" s="161"/>
      <c r="AK1193" s="76" t="s">
        <v>6276</v>
      </c>
      <c r="AL1193" s="83" t="s">
        <v>11972</v>
      </c>
      <c r="AM1193" s="71" t="s">
        <v>11973</v>
      </c>
      <c r="AN1193" s="84" t="s">
        <v>11974</v>
      </c>
      <c r="AO1193" s="71" t="s">
        <v>11975</v>
      </c>
      <c r="AP1193" s="161" t="str">
        <f>IMAGE("https://bellingcat-archive.nyc3.cdn.digitaloceanspaces.com/Ukraine_Witness_Datasheet/Worksheet/telegram_8edcfd406f/out20.jpg")</f>
        <v/>
      </c>
      <c r="AQ1193" s="84" t="s">
        <v>11976</v>
      </c>
      <c r="AR1193" s="84" t="s">
        <v>11833</v>
      </c>
      <c r="AS1193" s="71" t="s">
        <v>11977</v>
      </c>
      <c r="AT1193" s="71">
        <v>113.0</v>
      </c>
      <c r="AU1193" s="89"/>
      <c r="AV1193" s="80" t="s">
        <v>88</v>
      </c>
      <c r="AW1193" s="81"/>
    </row>
    <row r="1194" ht="15.75" customHeight="1">
      <c r="A1194" s="72" t="s">
        <v>88</v>
      </c>
      <c r="B1194" s="73"/>
      <c r="C1194" s="57" t="s">
        <v>5586</v>
      </c>
      <c r="D1194" s="104">
        <v>49.370556</v>
      </c>
      <c r="E1194" s="74">
        <v>40.166793</v>
      </c>
      <c r="F1194" s="79">
        <v>1.0</v>
      </c>
      <c r="G1194" s="220" t="s">
        <v>11978</v>
      </c>
      <c r="H1194" s="61" t="s">
        <v>5522</v>
      </c>
      <c r="I1194" s="75"/>
      <c r="J1194" s="64" t="s">
        <v>11979</v>
      </c>
      <c r="K1194" s="69"/>
      <c r="L1194" s="65" t="s">
        <v>79</v>
      </c>
      <c r="M1194" s="61" t="s">
        <v>5082</v>
      </c>
      <c r="N1194" s="73"/>
      <c r="O1194" s="61" t="s">
        <v>11980</v>
      </c>
      <c r="P1194" s="67" t="str">
        <f t="shared" si="1"/>
        <v>49.370556, 40.166793</v>
      </c>
      <c r="Q1194" s="67" t="str">
        <f t="shared" si="2"/>
        <v>49.369976, 40.16697</v>
      </c>
      <c r="R1194" s="67">
        <f t="shared" si="3"/>
        <v>49.369976</v>
      </c>
      <c r="S1194" s="67">
        <f t="shared" si="4"/>
        <v>40.16697</v>
      </c>
      <c r="T1194" s="84" t="s">
        <v>11981</v>
      </c>
      <c r="U1194" s="69"/>
      <c r="V1194" s="65" t="s">
        <v>11982</v>
      </c>
      <c r="W1194" s="71" t="s">
        <v>5858</v>
      </c>
      <c r="X1194" s="72" t="s">
        <v>2982</v>
      </c>
      <c r="Y1194" s="73"/>
      <c r="Z1194" s="73"/>
      <c r="AA1194" s="73"/>
      <c r="AB1194" s="73"/>
      <c r="AC1194" s="73"/>
      <c r="AD1194" s="73"/>
      <c r="AE1194" s="73"/>
      <c r="AF1194" s="73"/>
      <c r="AG1194" s="73"/>
      <c r="AH1194" s="73"/>
      <c r="AI1194" s="73"/>
      <c r="AJ1194" s="161"/>
      <c r="AK1194" s="76" t="s">
        <v>1261</v>
      </c>
      <c r="AL1194" s="83" t="s">
        <v>11983</v>
      </c>
      <c r="AM1194" s="71" t="s">
        <v>11984</v>
      </c>
      <c r="AN1194" s="71" t="s">
        <v>11985</v>
      </c>
      <c r="AO1194" s="161"/>
      <c r="AP1194" s="161"/>
      <c r="AQ1194" s="161"/>
      <c r="AR1194" s="71" t="s">
        <v>2228</v>
      </c>
      <c r="AS1194" s="161"/>
      <c r="AT1194" s="161"/>
      <c r="AU1194" s="89"/>
      <c r="AV1194" s="162"/>
      <c r="AW1194" s="81"/>
    </row>
    <row r="1195" ht="15.75" customHeight="1">
      <c r="A1195" s="208" t="s">
        <v>88</v>
      </c>
      <c r="B1195" s="73"/>
      <c r="C1195" s="57" t="s">
        <v>10973</v>
      </c>
      <c r="D1195" s="121"/>
      <c r="E1195" s="121"/>
      <c r="F1195" s="79">
        <v>1.0</v>
      </c>
      <c r="G1195" s="84" t="s">
        <v>11986</v>
      </c>
      <c r="H1195" s="73"/>
      <c r="I1195" s="75"/>
      <c r="J1195" s="64" t="s">
        <v>11987</v>
      </c>
      <c r="K1195" s="69"/>
      <c r="L1195" s="70"/>
      <c r="M1195" s="73"/>
      <c r="N1195" s="73"/>
      <c r="O1195" s="73"/>
      <c r="P1195" s="67" t="str">
        <f t="shared" si="1"/>
        <v/>
      </c>
      <c r="Q1195" s="67" t="str">
        <f t="shared" si="2"/>
        <v/>
      </c>
      <c r="R1195" s="67" t="str">
        <f t="shared" si="3"/>
        <v/>
      </c>
      <c r="S1195" s="67" t="str">
        <f t="shared" si="4"/>
        <v/>
      </c>
      <c r="T1195" s="161"/>
      <c r="U1195" s="69"/>
      <c r="V1195" s="65" t="s">
        <v>11988</v>
      </c>
      <c r="W1195" s="71" t="s">
        <v>5858</v>
      </c>
      <c r="X1195" s="194"/>
      <c r="Y1195" s="73"/>
      <c r="Z1195" s="73"/>
      <c r="AA1195" s="73"/>
      <c r="AB1195" s="73"/>
      <c r="AC1195" s="73"/>
      <c r="AD1195" s="73"/>
      <c r="AE1195" s="73"/>
      <c r="AF1195" s="73"/>
      <c r="AG1195" s="73"/>
      <c r="AH1195" s="73"/>
      <c r="AI1195" s="73"/>
      <c r="AJ1195" s="161"/>
      <c r="AK1195" s="76" t="s">
        <v>798</v>
      </c>
      <c r="AL1195" s="83" t="s">
        <v>11989</v>
      </c>
      <c r="AM1195" s="71" t="s">
        <v>11990</v>
      </c>
      <c r="AN1195" s="84" t="s">
        <v>11991</v>
      </c>
      <c r="AO1195" s="71" t="s">
        <v>11992</v>
      </c>
      <c r="AP1195" s="161" t="str">
        <f>IMAGE("https://bellingcat-archive.nyc3.cdn.digitaloceanspaces.com/Ukraine_Witness_Datasheet/Worksheet/youtube_dl_1499101902470062093/out7.jpg")</f>
        <v/>
      </c>
      <c r="AQ1195" s="84" t="s">
        <v>11993</v>
      </c>
      <c r="AR1195" s="71" t="s">
        <v>11994</v>
      </c>
      <c r="AS1195" s="71" t="s">
        <v>11995</v>
      </c>
      <c r="AT1195" s="71">
        <v>20.226</v>
      </c>
      <c r="AU1195" s="89"/>
      <c r="AV1195" s="162"/>
      <c r="AW1195" s="81"/>
    </row>
    <row r="1196" ht="15.75" customHeight="1">
      <c r="A1196" s="72" t="s">
        <v>8554</v>
      </c>
      <c r="B1196" s="73"/>
      <c r="C1196" s="57" t="s">
        <v>9941</v>
      </c>
      <c r="D1196" s="121">
        <v>49.949881</v>
      </c>
      <c r="E1196" s="121">
        <v>36.1561796</v>
      </c>
      <c r="F1196" s="79">
        <v>5.0</v>
      </c>
      <c r="G1196" s="460" t="s">
        <v>11996</v>
      </c>
      <c r="H1196" s="73"/>
      <c r="I1196" s="62" t="s">
        <v>11997</v>
      </c>
      <c r="J1196" s="64" t="s">
        <v>11998</v>
      </c>
      <c r="K1196" s="88" t="s">
        <v>11999</v>
      </c>
      <c r="L1196" s="65" t="s">
        <v>3542</v>
      </c>
      <c r="M1196" s="61" t="s">
        <v>5590</v>
      </c>
      <c r="N1196" s="73"/>
      <c r="O1196" s="61" t="s">
        <v>5626</v>
      </c>
      <c r="P1196" s="67" t="str">
        <f t="shared" si="1"/>
        <v>49.949881, 36.1561796</v>
      </c>
      <c r="Q1196" s="67" t="str">
        <f t="shared" si="2"/>
        <v>49.949304, 36.156362</v>
      </c>
      <c r="R1196" s="67">
        <f t="shared" si="3"/>
        <v>49.949304</v>
      </c>
      <c r="S1196" s="67">
        <f t="shared" si="4"/>
        <v>36.156362</v>
      </c>
      <c r="T1196" s="111"/>
      <c r="U1196" s="69"/>
      <c r="V1196" s="65" t="s">
        <v>12000</v>
      </c>
      <c r="W1196" s="71" t="s">
        <v>6108</v>
      </c>
      <c r="X1196" s="72" t="s">
        <v>2982</v>
      </c>
      <c r="Y1196" s="216" t="s">
        <v>5820</v>
      </c>
      <c r="Z1196" s="73"/>
      <c r="AA1196" s="73"/>
      <c r="AB1196" s="73"/>
      <c r="AC1196" s="73"/>
      <c r="AD1196" s="73"/>
      <c r="AE1196" s="73"/>
      <c r="AF1196" s="73"/>
      <c r="AG1196" s="73"/>
      <c r="AH1196" s="73"/>
      <c r="AI1196" s="73"/>
      <c r="AJ1196" s="161"/>
      <c r="AK1196" s="76" t="s">
        <v>798</v>
      </c>
      <c r="AL1196" s="83" t="s">
        <v>12001</v>
      </c>
      <c r="AM1196" s="71" t="s">
        <v>12002</v>
      </c>
      <c r="AN1196" s="84" t="s">
        <v>12003</v>
      </c>
      <c r="AO1196" s="71" t="s">
        <v>12004</v>
      </c>
      <c r="AP1196" s="161" t="str">
        <f>IMAGE("https://bellingcat-archive.nyc3.cdn.digitaloceanspaces.com/Ukraine_Witness_Datasheet/Worksheet/youtube_dl_1498669362789638150/out20.jpg")</f>
        <v/>
      </c>
      <c r="AQ1196" s="84" t="s">
        <v>12005</v>
      </c>
      <c r="AR1196" s="71" t="s">
        <v>12006</v>
      </c>
      <c r="AS1196" s="71" t="s">
        <v>12007</v>
      </c>
      <c r="AT1196" s="71">
        <v>101.766</v>
      </c>
      <c r="AU1196" s="89"/>
      <c r="AV1196" s="80" t="s">
        <v>3944</v>
      </c>
      <c r="AW1196" s="81"/>
    </row>
    <row r="1197" ht="15.75" customHeight="1">
      <c r="A1197" s="72" t="s">
        <v>8554</v>
      </c>
      <c r="B1197" s="73"/>
      <c r="C1197" s="57" t="s">
        <v>12008</v>
      </c>
      <c r="D1197" s="121">
        <v>49.949881</v>
      </c>
      <c r="E1197" s="121">
        <v>36.1561796</v>
      </c>
      <c r="F1197" s="79">
        <v>3.0</v>
      </c>
      <c r="G1197" s="461" t="s">
        <v>12009</v>
      </c>
      <c r="H1197" s="73"/>
      <c r="I1197" s="62" t="s">
        <v>11997</v>
      </c>
      <c r="J1197" s="64" t="s">
        <v>11998</v>
      </c>
      <c r="K1197" s="64" t="s">
        <v>12010</v>
      </c>
      <c r="L1197" s="65" t="s">
        <v>3542</v>
      </c>
      <c r="M1197" s="61" t="s">
        <v>5590</v>
      </c>
      <c r="N1197" s="73"/>
      <c r="O1197" s="61" t="s">
        <v>5626</v>
      </c>
      <c r="P1197" s="67" t="str">
        <f t="shared" si="1"/>
        <v>49.949881, 36.1561796</v>
      </c>
      <c r="Q1197" s="67" t="str">
        <f t="shared" si="2"/>
        <v>49.949824, 36.155179</v>
      </c>
      <c r="R1197" s="67">
        <f t="shared" si="3"/>
        <v>49.949824</v>
      </c>
      <c r="S1197" s="67">
        <f t="shared" si="4"/>
        <v>36.155179</v>
      </c>
      <c r="T1197" s="111"/>
      <c r="U1197" s="69"/>
      <c r="V1197" s="65" t="s">
        <v>12011</v>
      </c>
      <c r="W1197" s="71" t="s">
        <v>3601</v>
      </c>
      <c r="X1197" s="72" t="s">
        <v>2982</v>
      </c>
      <c r="Y1197" s="216" t="s">
        <v>5820</v>
      </c>
      <c r="Z1197" s="73"/>
      <c r="AA1197" s="73"/>
      <c r="AB1197" s="73"/>
      <c r="AC1197" s="73"/>
      <c r="AD1197" s="73"/>
      <c r="AE1197" s="73"/>
      <c r="AF1197" s="73"/>
      <c r="AG1197" s="73"/>
      <c r="AH1197" s="73"/>
      <c r="AI1197" s="73"/>
      <c r="AJ1197" s="161"/>
      <c r="AK1197" s="76" t="s">
        <v>6276</v>
      </c>
      <c r="AL1197" s="83" t="s">
        <v>12012</v>
      </c>
      <c r="AM1197" s="71" t="s">
        <v>12013</v>
      </c>
      <c r="AN1197" s="84" t="s">
        <v>12014</v>
      </c>
      <c r="AO1197" s="71" t="s">
        <v>12015</v>
      </c>
      <c r="AP1197" s="161" t="str">
        <f>IMAGE("https://bellingcat-archive.nyc3.cdn.digitaloceanspaces.com/Ukraine_Witness_Datasheet/Worksheet/telegram_8c890305b7/out7.jpg")</f>
        <v/>
      </c>
      <c r="AQ1197" s="84" t="s">
        <v>12016</v>
      </c>
      <c r="AR1197" s="84" t="s">
        <v>12009</v>
      </c>
      <c r="AS1197" s="71" t="s">
        <v>12017</v>
      </c>
      <c r="AT1197" s="71">
        <v>14.0</v>
      </c>
      <c r="AU1197" s="89"/>
      <c r="AV1197" s="80" t="s">
        <v>3944</v>
      </c>
      <c r="AW1197" s="81"/>
    </row>
    <row r="1198" ht="15.75" customHeight="1">
      <c r="A1198" s="72" t="s">
        <v>8554</v>
      </c>
      <c r="B1198" s="73"/>
      <c r="C1198" s="57" t="s">
        <v>12018</v>
      </c>
      <c r="D1198" s="121">
        <v>49.949881</v>
      </c>
      <c r="E1198" s="121">
        <v>36.1561796</v>
      </c>
      <c r="F1198" s="79">
        <v>5.0</v>
      </c>
      <c r="G1198" s="462" t="s">
        <v>12019</v>
      </c>
      <c r="H1198" s="73"/>
      <c r="I1198" s="62" t="s">
        <v>11997</v>
      </c>
      <c r="J1198" s="64" t="s">
        <v>11998</v>
      </c>
      <c r="K1198" s="64" t="s">
        <v>12020</v>
      </c>
      <c r="L1198" s="65" t="s">
        <v>3542</v>
      </c>
      <c r="M1198" s="61" t="s">
        <v>5590</v>
      </c>
      <c r="N1198" s="73"/>
      <c r="O1198" s="61" t="s">
        <v>5626</v>
      </c>
      <c r="P1198" s="67" t="str">
        <f t="shared" si="1"/>
        <v>49.949881, 36.1561796</v>
      </c>
      <c r="Q1198" s="67" t="str">
        <f t="shared" si="2"/>
        <v>49.949272, 36.156928</v>
      </c>
      <c r="R1198" s="67">
        <f t="shared" si="3"/>
        <v>49.949272</v>
      </c>
      <c r="S1198" s="67">
        <f t="shared" si="4"/>
        <v>36.156928</v>
      </c>
      <c r="T1198" s="111"/>
      <c r="U1198" s="69"/>
      <c r="V1198" s="65" t="s">
        <v>12021</v>
      </c>
      <c r="W1198" s="71" t="s">
        <v>6108</v>
      </c>
      <c r="X1198" s="72" t="s">
        <v>2982</v>
      </c>
      <c r="Y1198" s="216" t="s">
        <v>5820</v>
      </c>
      <c r="Z1198" s="73"/>
      <c r="AA1198" s="73"/>
      <c r="AB1198" s="73"/>
      <c r="AC1198" s="73"/>
      <c r="AD1198" s="73"/>
      <c r="AE1198" s="73"/>
      <c r="AF1198" s="73"/>
      <c r="AG1198" s="73"/>
      <c r="AH1198" s="73"/>
      <c r="AI1198" s="73"/>
      <c r="AJ1198" s="161"/>
      <c r="AK1198" s="76" t="s">
        <v>798</v>
      </c>
      <c r="AL1198" s="83" t="s">
        <v>12022</v>
      </c>
      <c r="AM1198" s="71" t="s">
        <v>12023</v>
      </c>
      <c r="AN1198" s="84" t="s">
        <v>12024</v>
      </c>
      <c r="AO1198" s="71" t="s">
        <v>12004</v>
      </c>
      <c r="AP1198" s="161" t="str">
        <f>IMAGE("https://bellingcat-archive.nyc3.cdn.digitaloceanspaces.com/Ukraine_Witness_Datasheet/Worksheet/youtube_dl_1498711222463746050/out20.jpg")</f>
        <v/>
      </c>
      <c r="AQ1198" s="84" t="s">
        <v>12025</v>
      </c>
      <c r="AR1198" s="71" t="s">
        <v>12026</v>
      </c>
      <c r="AS1198" s="71" t="s">
        <v>12027</v>
      </c>
      <c r="AT1198" s="71">
        <v>101.766</v>
      </c>
      <c r="AU1198" s="89"/>
      <c r="AV1198" s="80" t="s">
        <v>3944</v>
      </c>
      <c r="AW1198" s="81"/>
    </row>
    <row r="1199" ht="15.75" customHeight="1">
      <c r="A1199" s="72" t="s">
        <v>8554</v>
      </c>
      <c r="B1199" s="73"/>
      <c r="C1199" s="57" t="s">
        <v>12028</v>
      </c>
      <c r="D1199" s="121">
        <v>49.949881</v>
      </c>
      <c r="E1199" s="121">
        <v>36.1561796</v>
      </c>
      <c r="F1199" s="79">
        <v>3.0</v>
      </c>
      <c r="G1199" s="461" t="s">
        <v>12029</v>
      </c>
      <c r="H1199" s="73"/>
      <c r="I1199" s="62" t="s">
        <v>11997</v>
      </c>
      <c r="J1199" s="64" t="s">
        <v>11998</v>
      </c>
      <c r="K1199" s="64" t="s">
        <v>12030</v>
      </c>
      <c r="L1199" s="65" t="s">
        <v>3542</v>
      </c>
      <c r="M1199" s="61" t="s">
        <v>5590</v>
      </c>
      <c r="N1199" s="73"/>
      <c r="O1199" s="61" t="s">
        <v>5626</v>
      </c>
      <c r="P1199" s="67" t="str">
        <f t="shared" si="1"/>
        <v>49.949881, 36.1561796</v>
      </c>
      <c r="Q1199" s="67" t="str">
        <f t="shared" si="2"/>
        <v>49.949769, 36.155554</v>
      </c>
      <c r="R1199" s="67">
        <f t="shared" si="3"/>
        <v>49.949769</v>
      </c>
      <c r="S1199" s="67">
        <f t="shared" si="4"/>
        <v>36.155554</v>
      </c>
      <c r="T1199" s="111"/>
      <c r="U1199" s="69"/>
      <c r="V1199" s="65" t="s">
        <v>12031</v>
      </c>
      <c r="W1199" s="71" t="s">
        <v>3601</v>
      </c>
      <c r="X1199" s="72" t="s">
        <v>2982</v>
      </c>
      <c r="Y1199" s="216" t="s">
        <v>5820</v>
      </c>
      <c r="Z1199" s="73"/>
      <c r="AA1199" s="73"/>
      <c r="AB1199" s="73"/>
      <c r="AC1199" s="73"/>
      <c r="AD1199" s="73"/>
      <c r="AE1199" s="73"/>
      <c r="AF1199" s="73"/>
      <c r="AG1199" s="73"/>
      <c r="AH1199" s="73"/>
      <c r="AI1199" s="73"/>
      <c r="AJ1199" s="161"/>
      <c r="AK1199" s="76" t="s">
        <v>798</v>
      </c>
      <c r="AL1199" s="83" t="s">
        <v>12032</v>
      </c>
      <c r="AM1199" s="71" t="s">
        <v>12033</v>
      </c>
      <c r="AN1199" s="84" t="s">
        <v>12034</v>
      </c>
      <c r="AO1199" s="71" t="s">
        <v>12035</v>
      </c>
      <c r="AP1199" s="161" t="str">
        <f>IMAGE("https://bellingcat-archive.nyc3.cdn.digitaloceanspaces.com/Ukraine_Witness_Datasheet/Worksheet/youtube_dl_1498643415558459403/out7.jpg")</f>
        <v/>
      </c>
      <c r="AQ1199" s="84" t="s">
        <v>12036</v>
      </c>
      <c r="AR1199" s="71" t="s">
        <v>12037</v>
      </c>
      <c r="AS1199" s="71" t="s">
        <v>12038</v>
      </c>
      <c r="AT1199" s="71">
        <v>5.356</v>
      </c>
      <c r="AU1199" s="89"/>
      <c r="AV1199" s="80" t="s">
        <v>3944</v>
      </c>
      <c r="AW1199" s="81"/>
    </row>
    <row r="1200" ht="15.75" customHeight="1">
      <c r="A1200" s="72" t="s">
        <v>8554</v>
      </c>
      <c r="B1200" s="73"/>
      <c r="C1200" s="57" t="s">
        <v>12039</v>
      </c>
      <c r="D1200" s="121">
        <v>49.949881</v>
      </c>
      <c r="E1200" s="121">
        <v>36.1561796</v>
      </c>
      <c r="F1200" s="79">
        <v>5.0</v>
      </c>
      <c r="G1200" s="462" t="s">
        <v>12040</v>
      </c>
      <c r="H1200" s="73"/>
      <c r="I1200" s="62" t="s">
        <v>11997</v>
      </c>
      <c r="J1200" s="64" t="s">
        <v>11998</v>
      </c>
      <c r="K1200" s="64" t="s">
        <v>12041</v>
      </c>
      <c r="L1200" s="65" t="s">
        <v>3542</v>
      </c>
      <c r="M1200" s="61" t="s">
        <v>5590</v>
      </c>
      <c r="N1200" s="73"/>
      <c r="O1200" s="61" t="s">
        <v>5626</v>
      </c>
      <c r="P1200" s="67" t="str">
        <f t="shared" si="1"/>
        <v>49.949881, 36.1561796</v>
      </c>
      <c r="Q1200" s="67" t="str">
        <f t="shared" si="2"/>
        <v>49.9493, 36.156355</v>
      </c>
      <c r="R1200" s="67">
        <f t="shared" si="3"/>
        <v>49.9493</v>
      </c>
      <c r="S1200" s="67">
        <f t="shared" si="4"/>
        <v>36.156355</v>
      </c>
      <c r="T1200" s="111"/>
      <c r="U1200" s="69"/>
      <c r="V1200" s="65" t="s">
        <v>12042</v>
      </c>
      <c r="W1200" s="71" t="s">
        <v>6108</v>
      </c>
      <c r="X1200" s="72" t="s">
        <v>2982</v>
      </c>
      <c r="Y1200" s="216" t="s">
        <v>5820</v>
      </c>
      <c r="Z1200" s="73"/>
      <c r="AA1200" s="73"/>
      <c r="AB1200" s="73"/>
      <c r="AC1200" s="73"/>
      <c r="AD1200" s="73"/>
      <c r="AE1200" s="73"/>
      <c r="AF1200" s="73"/>
      <c r="AG1200" s="73"/>
      <c r="AH1200" s="73"/>
      <c r="AI1200" s="73"/>
      <c r="AJ1200" s="161"/>
      <c r="AK1200" s="76" t="s">
        <v>798</v>
      </c>
      <c r="AL1200" s="83" t="s">
        <v>12043</v>
      </c>
      <c r="AM1200" s="71" t="s">
        <v>12044</v>
      </c>
      <c r="AN1200" s="84" t="s">
        <v>12045</v>
      </c>
      <c r="AO1200" s="71" t="s">
        <v>12046</v>
      </c>
      <c r="AP1200" s="161" t="str">
        <f>IMAGE("https://bellingcat-archive.nyc3.cdn.digitaloceanspaces.com/Ukraine_Witness_Datasheet/Worksheet/youtube_dl_1498641837434748930/out7.jpg")</f>
        <v/>
      </c>
      <c r="AQ1200" s="84" t="s">
        <v>12047</v>
      </c>
      <c r="AR1200" s="71" t="s">
        <v>12048</v>
      </c>
      <c r="AS1200" s="71" t="s">
        <v>12049</v>
      </c>
      <c r="AT1200" s="71">
        <v>44.992</v>
      </c>
      <c r="AU1200" s="89"/>
      <c r="AV1200" s="80" t="s">
        <v>3944</v>
      </c>
      <c r="AW1200" s="81"/>
    </row>
    <row r="1201" ht="15.75" customHeight="1">
      <c r="A1201" s="72" t="s">
        <v>7968</v>
      </c>
      <c r="B1201" s="73"/>
      <c r="C1201" s="57" t="s">
        <v>12050</v>
      </c>
      <c r="D1201" s="104">
        <v>51.4848373</v>
      </c>
      <c r="E1201" s="104">
        <v>31.2411643</v>
      </c>
      <c r="F1201" s="79">
        <v>3.0</v>
      </c>
      <c r="G1201" s="130" t="s">
        <v>12051</v>
      </c>
      <c r="H1201" s="73"/>
      <c r="I1201" s="75"/>
      <c r="J1201" s="64" t="s">
        <v>12052</v>
      </c>
      <c r="K1201" s="69"/>
      <c r="L1201" s="65" t="s">
        <v>5670</v>
      </c>
      <c r="M1201" s="61" t="s">
        <v>5880</v>
      </c>
      <c r="N1201" s="73"/>
      <c r="O1201" s="61" t="s">
        <v>8524</v>
      </c>
      <c r="P1201" s="67" t="str">
        <f t="shared" si="1"/>
        <v>51.4848373, 31.2411643</v>
      </c>
      <c r="Q1201" s="67" t="str">
        <f t="shared" si="2"/>
        <v>51.484114, 31.241515</v>
      </c>
      <c r="R1201" s="67">
        <f t="shared" si="3"/>
        <v>51.484114</v>
      </c>
      <c r="S1201" s="67">
        <f t="shared" si="4"/>
        <v>31.241515</v>
      </c>
      <c r="T1201" s="161"/>
      <c r="U1201" s="69"/>
      <c r="V1201" s="65" t="s">
        <v>12053</v>
      </c>
      <c r="W1201" s="71" t="s">
        <v>3601</v>
      </c>
      <c r="X1201" s="72" t="s">
        <v>2982</v>
      </c>
      <c r="Y1201" s="73"/>
      <c r="Z1201" s="73"/>
      <c r="AA1201" s="73"/>
      <c r="AB1201" s="73"/>
      <c r="AC1201" s="73"/>
      <c r="AD1201" s="73"/>
      <c r="AE1201" s="73"/>
      <c r="AF1201" s="73"/>
      <c r="AG1201" s="73"/>
      <c r="AH1201" s="73"/>
      <c r="AI1201" s="73"/>
      <c r="AJ1201" s="161"/>
      <c r="AK1201" s="76" t="s">
        <v>798</v>
      </c>
      <c r="AL1201" s="83" t="s">
        <v>12054</v>
      </c>
      <c r="AM1201" s="71" t="s">
        <v>12055</v>
      </c>
      <c r="AN1201" s="84" t="s">
        <v>12056</v>
      </c>
      <c r="AO1201" s="71" t="s">
        <v>12057</v>
      </c>
      <c r="AP1201" s="161" t="str">
        <f>IMAGE("https://bellingcat-archive.nyc3.cdn.digitaloceanspaces.com/Ukraine_Witness_Datasheet/Worksheet/youtube_dl_1499288952372699138/out7.jpg")</f>
        <v/>
      </c>
      <c r="AQ1201" s="84" t="s">
        <v>12058</v>
      </c>
      <c r="AR1201" s="71" t="s">
        <v>12059</v>
      </c>
      <c r="AS1201" s="71" t="s">
        <v>12060</v>
      </c>
      <c r="AT1201" s="71">
        <v>10.466</v>
      </c>
      <c r="AU1201" s="89"/>
      <c r="AV1201" s="80" t="s">
        <v>3944</v>
      </c>
      <c r="AW1201" s="81"/>
    </row>
    <row r="1202" ht="15.75" customHeight="1">
      <c r="A1202" s="204" t="s">
        <v>63</v>
      </c>
      <c r="B1202" s="73"/>
      <c r="C1202" s="57" t="s">
        <v>10973</v>
      </c>
      <c r="D1202" s="74">
        <v>49.981555</v>
      </c>
      <c r="E1202" s="74">
        <v>36.176643</v>
      </c>
      <c r="F1202" s="79">
        <v>2.0</v>
      </c>
      <c r="G1202" s="84" t="s">
        <v>12061</v>
      </c>
      <c r="H1202" s="73"/>
      <c r="I1202" s="75"/>
      <c r="J1202" s="64" t="s">
        <v>12062</v>
      </c>
      <c r="K1202" s="69"/>
      <c r="L1202" s="65" t="s">
        <v>5670</v>
      </c>
      <c r="M1202" s="93" t="s">
        <v>5590</v>
      </c>
      <c r="N1202" s="314"/>
      <c r="O1202" s="93" t="s">
        <v>5626</v>
      </c>
      <c r="P1202" s="67" t="str">
        <f t="shared" si="1"/>
        <v>49.981555, 36.176643</v>
      </c>
      <c r="Q1202" s="67" t="str">
        <f t="shared" si="2"/>
        <v>49.981167, 36.176901</v>
      </c>
      <c r="R1202" s="67">
        <f t="shared" si="3"/>
        <v>49.981167</v>
      </c>
      <c r="S1202" s="67">
        <f t="shared" si="4"/>
        <v>36.176901</v>
      </c>
      <c r="T1202" s="161"/>
      <c r="U1202" s="69"/>
      <c r="V1202" s="65" t="s">
        <v>12063</v>
      </c>
      <c r="W1202" s="71" t="s">
        <v>3601</v>
      </c>
      <c r="X1202" s="72" t="s">
        <v>2982</v>
      </c>
      <c r="Y1202" s="73"/>
      <c r="Z1202" s="73"/>
      <c r="AA1202" s="73"/>
      <c r="AB1202" s="73"/>
      <c r="AC1202" s="73"/>
      <c r="AD1202" s="73"/>
      <c r="AE1202" s="73"/>
      <c r="AF1202" s="73"/>
      <c r="AG1202" s="73"/>
      <c r="AH1202" s="73"/>
      <c r="AI1202" s="73"/>
      <c r="AJ1202" s="161"/>
      <c r="AK1202" s="76" t="s">
        <v>798</v>
      </c>
      <c r="AL1202" s="83" t="s">
        <v>12064</v>
      </c>
      <c r="AM1202" s="71" t="s">
        <v>12065</v>
      </c>
      <c r="AN1202" s="84" t="s">
        <v>12066</v>
      </c>
      <c r="AO1202" s="71" t="s">
        <v>12067</v>
      </c>
      <c r="AP1202" s="161" t="str">
        <f>IMAGE("https://bellingcat-archive.nyc3.cdn.digitaloceanspaces.com/Ukraine_Witness_Datasheet/Worksheet/youtube_dl_1499254338283315206/out7.jpg")</f>
        <v/>
      </c>
      <c r="AQ1202" s="84" t="s">
        <v>12068</v>
      </c>
      <c r="AR1202" s="71" t="s">
        <v>12069</v>
      </c>
      <c r="AS1202" s="71" t="s">
        <v>12070</v>
      </c>
      <c r="AT1202" s="71">
        <v>18.583</v>
      </c>
      <c r="AU1202" s="89"/>
      <c r="AV1202" s="162"/>
      <c r="AW1202" s="81"/>
    </row>
    <row r="1203" ht="15.75" customHeight="1">
      <c r="A1203" s="204" t="s">
        <v>63</v>
      </c>
      <c r="B1203" s="73"/>
      <c r="C1203" s="57" t="s">
        <v>12050</v>
      </c>
      <c r="D1203" s="74">
        <v>49.189975</v>
      </c>
      <c r="E1203" s="74">
        <v>37.277964</v>
      </c>
      <c r="F1203" s="79">
        <v>2.0</v>
      </c>
      <c r="G1203" s="84" t="s">
        <v>12071</v>
      </c>
      <c r="H1203" s="73"/>
      <c r="I1203" s="75"/>
      <c r="J1203" s="64" t="s">
        <v>12062</v>
      </c>
      <c r="K1203" s="69"/>
      <c r="L1203" s="65" t="s">
        <v>5670</v>
      </c>
      <c r="M1203" s="93" t="s">
        <v>5590</v>
      </c>
      <c r="N1203" s="314"/>
      <c r="O1203" s="92" t="s">
        <v>9227</v>
      </c>
      <c r="P1203" s="67" t="str">
        <f t="shared" si="1"/>
        <v>49.189975, 37.277964</v>
      </c>
      <c r="Q1203" s="67" t="str">
        <f t="shared" si="2"/>
        <v>49.189792, 37.277143</v>
      </c>
      <c r="R1203" s="67">
        <f t="shared" si="3"/>
        <v>49.189792</v>
      </c>
      <c r="S1203" s="67">
        <f t="shared" si="4"/>
        <v>37.277143</v>
      </c>
      <c r="T1203" s="161"/>
      <c r="U1203" s="69"/>
      <c r="V1203" s="65" t="s">
        <v>12072</v>
      </c>
      <c r="W1203" s="71" t="s">
        <v>3601</v>
      </c>
      <c r="X1203" s="72" t="s">
        <v>2982</v>
      </c>
      <c r="Y1203" s="73"/>
      <c r="Z1203" s="73"/>
      <c r="AA1203" s="73"/>
      <c r="AB1203" s="73"/>
      <c r="AC1203" s="73"/>
      <c r="AD1203" s="73"/>
      <c r="AE1203" s="73"/>
      <c r="AF1203" s="73"/>
      <c r="AG1203" s="73"/>
      <c r="AH1203" s="73"/>
      <c r="AI1203" s="73"/>
      <c r="AJ1203" s="161"/>
      <c r="AK1203" s="76" t="s">
        <v>6276</v>
      </c>
      <c r="AL1203" s="83" t="s">
        <v>12073</v>
      </c>
      <c r="AM1203" s="71" t="s">
        <v>12074</v>
      </c>
      <c r="AN1203" s="84" t="s">
        <v>12075</v>
      </c>
      <c r="AO1203" s="71" t="s">
        <v>12076</v>
      </c>
      <c r="AP1203" s="161" t="str">
        <f>IMAGE("https://bellingcat-archive.nyc3.cdn.digitaloceanspaces.com/Ukraine_Witness_Datasheet/Worksheet/telegram_f5459e54d3/out20.jpg")</f>
        <v/>
      </c>
      <c r="AQ1203" s="84" t="s">
        <v>12077</v>
      </c>
      <c r="AR1203" s="84" t="s">
        <v>12071</v>
      </c>
      <c r="AS1203" s="71" t="s">
        <v>12078</v>
      </c>
      <c r="AT1203" s="71">
        <v>81.0</v>
      </c>
      <c r="AU1203" s="89"/>
      <c r="AV1203" s="162"/>
      <c r="AW1203" s="81"/>
    </row>
    <row r="1204" ht="15.75" customHeight="1">
      <c r="A1204" s="204" t="s">
        <v>63</v>
      </c>
      <c r="B1204" s="73"/>
      <c r="C1204" s="57" t="s">
        <v>12050</v>
      </c>
      <c r="D1204" s="74">
        <v>49.190251</v>
      </c>
      <c r="E1204" s="74">
        <v>37.277283</v>
      </c>
      <c r="F1204" s="79">
        <v>2.0</v>
      </c>
      <c r="G1204" s="84" t="s">
        <v>12079</v>
      </c>
      <c r="H1204" s="73"/>
      <c r="I1204" s="75"/>
      <c r="J1204" s="64" t="s">
        <v>12062</v>
      </c>
      <c r="K1204" s="69"/>
      <c r="L1204" s="65" t="s">
        <v>5670</v>
      </c>
      <c r="M1204" s="93" t="s">
        <v>5590</v>
      </c>
      <c r="N1204" s="314"/>
      <c r="O1204" s="92" t="s">
        <v>9227</v>
      </c>
      <c r="P1204" s="67" t="str">
        <f t="shared" si="1"/>
        <v>49.190251, 37.277283</v>
      </c>
      <c r="Q1204" s="67" t="str">
        <f t="shared" si="2"/>
        <v>49.189549, 37.277117</v>
      </c>
      <c r="R1204" s="67">
        <f t="shared" si="3"/>
        <v>49.189549</v>
      </c>
      <c r="S1204" s="67">
        <f t="shared" si="4"/>
        <v>37.277117</v>
      </c>
      <c r="T1204" s="161"/>
      <c r="U1204" s="69"/>
      <c r="V1204" s="65" t="s">
        <v>12080</v>
      </c>
      <c r="W1204" s="71" t="s">
        <v>3601</v>
      </c>
      <c r="X1204" s="72" t="s">
        <v>2982</v>
      </c>
      <c r="Y1204" s="73"/>
      <c r="Z1204" s="73"/>
      <c r="AA1204" s="73"/>
      <c r="AB1204" s="73"/>
      <c r="AC1204" s="73"/>
      <c r="AD1204" s="73"/>
      <c r="AE1204" s="73"/>
      <c r="AF1204" s="73"/>
      <c r="AG1204" s="73"/>
      <c r="AH1204" s="73"/>
      <c r="AI1204" s="73"/>
      <c r="AJ1204" s="161"/>
      <c r="AK1204" s="76" t="s">
        <v>6276</v>
      </c>
      <c r="AL1204" s="83" t="s">
        <v>12081</v>
      </c>
      <c r="AM1204" s="71" t="s">
        <v>12082</v>
      </c>
      <c r="AN1204" s="84" t="s">
        <v>12083</v>
      </c>
      <c r="AO1204" s="71" t="s">
        <v>12084</v>
      </c>
      <c r="AP1204" s="161" t="str">
        <f>IMAGE("https://bellingcat-archive.nyc3.cdn.digitaloceanspaces.com/Ukraine_Witness_Datasheet/Worksheet/telegram_01756d2112/out20.jpg")</f>
        <v/>
      </c>
      <c r="AQ1204" s="84" t="s">
        <v>12085</v>
      </c>
      <c r="AR1204" s="84" t="s">
        <v>12079</v>
      </c>
      <c r="AS1204" s="71" t="s">
        <v>12086</v>
      </c>
      <c r="AT1204" s="71">
        <v>133.0</v>
      </c>
      <c r="AU1204" s="89"/>
      <c r="AV1204" s="162"/>
      <c r="AW1204" s="81"/>
    </row>
    <row r="1205" ht="15.75" customHeight="1">
      <c r="A1205" s="204" t="s">
        <v>63</v>
      </c>
      <c r="B1205" s="73"/>
      <c r="C1205" s="57" t="s">
        <v>12050</v>
      </c>
      <c r="D1205" s="74">
        <v>50.026036</v>
      </c>
      <c r="E1205" s="74">
        <v>36.258353</v>
      </c>
      <c r="F1205" s="79">
        <v>2.0</v>
      </c>
      <c r="G1205" s="84" t="s">
        <v>12087</v>
      </c>
      <c r="H1205" s="73"/>
      <c r="I1205" s="75"/>
      <c r="J1205" s="64" t="s">
        <v>12088</v>
      </c>
      <c r="K1205" s="69"/>
      <c r="L1205" s="65" t="s">
        <v>5670</v>
      </c>
      <c r="M1205" s="93" t="s">
        <v>5590</v>
      </c>
      <c r="N1205" s="314"/>
      <c r="O1205" s="93" t="s">
        <v>5626</v>
      </c>
      <c r="P1205" s="67" t="str">
        <f t="shared" si="1"/>
        <v>50.026036, 36.258353</v>
      </c>
      <c r="Q1205" s="67" t="str">
        <f t="shared" si="2"/>
        <v>50.025751, 36.257204</v>
      </c>
      <c r="R1205" s="67">
        <f t="shared" si="3"/>
        <v>50.025751</v>
      </c>
      <c r="S1205" s="67">
        <f t="shared" si="4"/>
        <v>36.257204</v>
      </c>
      <c r="T1205" s="161"/>
      <c r="U1205" s="69"/>
      <c r="V1205" s="65" t="s">
        <v>12089</v>
      </c>
      <c r="W1205" s="71" t="s">
        <v>3601</v>
      </c>
      <c r="X1205" s="72" t="s">
        <v>2982</v>
      </c>
      <c r="Y1205" s="73"/>
      <c r="Z1205" s="73"/>
      <c r="AA1205" s="73"/>
      <c r="AB1205" s="73"/>
      <c r="AC1205" s="73"/>
      <c r="AD1205" s="73"/>
      <c r="AE1205" s="73"/>
      <c r="AF1205" s="73"/>
      <c r="AG1205" s="73"/>
      <c r="AH1205" s="73"/>
      <c r="AI1205" s="73"/>
      <c r="AJ1205" s="161"/>
      <c r="AK1205" s="76" t="s">
        <v>6276</v>
      </c>
      <c r="AL1205" s="83" t="s">
        <v>12090</v>
      </c>
      <c r="AM1205" s="71" t="s">
        <v>12091</v>
      </c>
      <c r="AN1205" s="84" t="s">
        <v>12092</v>
      </c>
      <c r="AO1205" s="71" t="s">
        <v>12093</v>
      </c>
      <c r="AP1205" s="161" t="str">
        <f>IMAGE("https://bellingcat-archive.nyc3.cdn.digitaloceanspaces.com/Ukraine_Witness_Datasheet/Worksheet/telegram_1f7c89a78a/out7.jpg")</f>
        <v/>
      </c>
      <c r="AQ1205" s="84" t="s">
        <v>12094</v>
      </c>
      <c r="AR1205" s="84" t="s">
        <v>12087</v>
      </c>
      <c r="AS1205" s="71" t="s">
        <v>12095</v>
      </c>
      <c r="AT1205" s="71">
        <v>18.0</v>
      </c>
      <c r="AU1205" s="89"/>
      <c r="AV1205" s="162"/>
      <c r="AW1205" s="81"/>
    </row>
    <row r="1206" ht="15.75" customHeight="1">
      <c r="A1206" s="72" t="s">
        <v>63</v>
      </c>
      <c r="B1206" s="73"/>
      <c r="C1206" s="57" t="s">
        <v>12050</v>
      </c>
      <c r="D1206" s="74">
        <v>51.484738</v>
      </c>
      <c r="E1206" s="74">
        <v>31.24221</v>
      </c>
      <c r="F1206" s="79">
        <v>1.0</v>
      </c>
      <c r="G1206" s="84" t="s">
        <v>12096</v>
      </c>
      <c r="H1206" s="73"/>
      <c r="I1206" s="75"/>
      <c r="J1206" s="64" t="s">
        <v>12097</v>
      </c>
      <c r="K1206" s="69"/>
      <c r="L1206" s="65" t="s">
        <v>5670</v>
      </c>
      <c r="M1206" s="92" t="s">
        <v>12098</v>
      </c>
      <c r="N1206" s="314"/>
      <c r="O1206" s="92" t="s">
        <v>8524</v>
      </c>
      <c r="P1206" s="67" t="str">
        <f t="shared" si="1"/>
        <v>51.484738, 31.24221</v>
      </c>
      <c r="Q1206" s="67" t="str">
        <f t="shared" si="2"/>
        <v>51.484349, 31.242267</v>
      </c>
      <c r="R1206" s="67">
        <f t="shared" si="3"/>
        <v>51.484349</v>
      </c>
      <c r="S1206" s="67">
        <f t="shared" si="4"/>
        <v>31.242267</v>
      </c>
      <c r="T1206" s="161"/>
      <c r="U1206" s="69"/>
      <c r="V1206" s="65" t="s">
        <v>12099</v>
      </c>
      <c r="W1206" s="71" t="s">
        <v>3601</v>
      </c>
      <c r="X1206" s="72" t="s">
        <v>2982</v>
      </c>
      <c r="Y1206" s="73"/>
      <c r="Z1206" s="73"/>
      <c r="AA1206" s="73"/>
      <c r="AB1206" s="73"/>
      <c r="AC1206" s="73"/>
      <c r="AD1206" s="73"/>
      <c r="AE1206" s="73"/>
      <c r="AF1206" s="73"/>
      <c r="AG1206" s="73"/>
      <c r="AH1206" s="73"/>
      <c r="AI1206" s="73"/>
      <c r="AJ1206" s="161"/>
      <c r="AK1206" s="76" t="s">
        <v>2108</v>
      </c>
      <c r="AL1206" s="83" t="s">
        <v>12100</v>
      </c>
      <c r="AM1206" s="71" t="s">
        <v>12101</v>
      </c>
      <c r="AN1206" s="84" t="s">
        <v>12102</v>
      </c>
      <c r="AO1206" s="71" t="s">
        <v>12103</v>
      </c>
      <c r="AP1206" s="161" t="str">
        <f>IMAGE("https://bellingcat-archive.nyc3.cdn.digitaloceanspaces.com/Ukraine_Witness_Datasheet/Worksheet/twitter__media_FM6LYBlXEAAPpez.jpg")</f>
        <v/>
      </c>
      <c r="AQ1206" s="161"/>
      <c r="AR1206" s="161"/>
      <c r="AS1206" s="71" t="s">
        <v>12104</v>
      </c>
      <c r="AT1206" s="161"/>
      <c r="AU1206" s="89"/>
      <c r="AV1206" s="80" t="s">
        <v>3944</v>
      </c>
      <c r="AW1206" s="81"/>
    </row>
    <row r="1207" ht="15.75" customHeight="1">
      <c r="A1207" s="204" t="s">
        <v>63</v>
      </c>
      <c r="B1207" s="73"/>
      <c r="C1207" s="57" t="s">
        <v>12050</v>
      </c>
      <c r="D1207" s="74">
        <v>49.190245</v>
      </c>
      <c r="E1207" s="74">
        <v>37.278027</v>
      </c>
      <c r="F1207" s="79">
        <v>2.0</v>
      </c>
      <c r="G1207" s="84" t="s">
        <v>12105</v>
      </c>
      <c r="H1207" s="73"/>
      <c r="I1207" s="75"/>
      <c r="J1207" s="64" t="s">
        <v>12062</v>
      </c>
      <c r="K1207" s="69"/>
      <c r="L1207" s="65" t="s">
        <v>5670</v>
      </c>
      <c r="M1207" s="93" t="s">
        <v>5590</v>
      </c>
      <c r="N1207" s="73"/>
      <c r="O1207" s="92" t="s">
        <v>9227</v>
      </c>
      <c r="P1207" s="67" t="str">
        <f t="shared" si="1"/>
        <v>49.190245, 37.278027</v>
      </c>
      <c r="Q1207" s="67" t="str">
        <f t="shared" si="2"/>
        <v>49.190063, 37.277453</v>
      </c>
      <c r="R1207" s="67">
        <f t="shared" si="3"/>
        <v>49.190063</v>
      </c>
      <c r="S1207" s="67">
        <f t="shared" si="4"/>
        <v>37.277453</v>
      </c>
      <c r="T1207" s="161"/>
      <c r="U1207" s="69"/>
      <c r="V1207" s="65" t="s">
        <v>12106</v>
      </c>
      <c r="W1207" s="71" t="s">
        <v>3601</v>
      </c>
      <c r="X1207" s="72" t="s">
        <v>5504</v>
      </c>
      <c r="Y1207" s="73"/>
      <c r="Z1207" s="73"/>
      <c r="AA1207" s="73"/>
      <c r="AB1207" s="73"/>
      <c r="AC1207" s="73"/>
      <c r="AD1207" s="73"/>
      <c r="AE1207" s="73"/>
      <c r="AF1207" s="73"/>
      <c r="AG1207" s="73"/>
      <c r="AH1207" s="73"/>
      <c r="AI1207" s="73"/>
      <c r="AJ1207" s="161"/>
      <c r="AK1207" s="76" t="s">
        <v>2108</v>
      </c>
      <c r="AL1207" s="83" t="s">
        <v>12107</v>
      </c>
      <c r="AM1207" s="71" t="s">
        <v>12108</v>
      </c>
      <c r="AN1207" s="84" t="s">
        <v>12109</v>
      </c>
      <c r="AO1207" s="71" t="s">
        <v>12110</v>
      </c>
      <c r="AP1207" s="161" t="str">
        <f>IMAGE("https://bellingcat-archive.nyc3.cdn.digitaloceanspaces.com/Ukraine_Witness_Datasheet/Worksheet/twitter__media_FM4Yz_yXwAUaX33.jpg")</f>
        <v/>
      </c>
      <c r="AQ1207" s="161"/>
      <c r="AR1207" s="161"/>
      <c r="AS1207" s="71" t="s">
        <v>12111</v>
      </c>
      <c r="AT1207" s="161"/>
      <c r="AU1207" s="89"/>
      <c r="AV1207" s="162"/>
      <c r="AW1207" s="81"/>
    </row>
    <row r="1208" ht="15.75" customHeight="1">
      <c r="A1208" s="354" t="s">
        <v>9897</v>
      </c>
      <c r="B1208" s="73"/>
      <c r="C1208" s="57" t="s">
        <v>9028</v>
      </c>
      <c r="D1208" s="241" t="s">
        <v>12112</v>
      </c>
      <c r="E1208" s="241" t="s">
        <v>12113</v>
      </c>
      <c r="F1208" s="79">
        <v>1.0</v>
      </c>
      <c r="G1208" s="130" t="s">
        <v>12114</v>
      </c>
      <c r="H1208" s="73"/>
      <c r="I1208" s="62" t="s">
        <v>12115</v>
      </c>
      <c r="J1208" s="64" t="s">
        <v>12116</v>
      </c>
      <c r="K1208" s="69"/>
      <c r="L1208" s="65" t="s">
        <v>5670</v>
      </c>
      <c r="M1208" s="93" t="s">
        <v>5750</v>
      </c>
      <c r="N1208" s="73"/>
      <c r="O1208" s="328" t="s">
        <v>6109</v>
      </c>
      <c r="P1208" s="67" t="str">
        <f t="shared" si="1"/>
        <v>47.11104583270716, 37.51277008</v>
      </c>
      <c r="Q1208" s="67" t="str">
        <f t="shared" si="2"/>
        <v>47.110662, 37.512545</v>
      </c>
      <c r="R1208" s="67">
        <f t="shared" si="3"/>
        <v>47.110662</v>
      </c>
      <c r="S1208" s="67">
        <f t="shared" si="4"/>
        <v>37.512545</v>
      </c>
      <c r="T1208" s="161"/>
      <c r="U1208" s="69"/>
      <c r="V1208" s="65" t="s">
        <v>12117</v>
      </c>
      <c r="W1208" s="161"/>
      <c r="X1208" s="17" t="s">
        <v>9</v>
      </c>
      <c r="Y1208" s="216" t="s">
        <v>5820</v>
      </c>
      <c r="Z1208" s="73"/>
      <c r="AA1208" s="73"/>
      <c r="AB1208" s="73"/>
      <c r="AC1208" s="73"/>
      <c r="AD1208" s="73"/>
      <c r="AE1208" s="73"/>
      <c r="AF1208" s="73"/>
      <c r="AG1208" s="73"/>
      <c r="AH1208" s="73"/>
      <c r="AI1208" s="73"/>
      <c r="AJ1208" s="161"/>
      <c r="AK1208" s="76" t="s">
        <v>12118</v>
      </c>
      <c r="AL1208" s="269"/>
      <c r="AM1208" s="71" t="s">
        <v>12119</v>
      </c>
      <c r="AN1208" s="161"/>
      <c r="AO1208" s="161"/>
      <c r="AP1208" s="161"/>
      <c r="AQ1208" s="161"/>
      <c r="AR1208" s="161"/>
      <c r="AS1208" s="161"/>
      <c r="AT1208" s="161"/>
      <c r="AU1208" s="89"/>
      <c r="AV1208" s="162"/>
      <c r="AW1208" s="81"/>
    </row>
    <row r="1209" ht="15.75" customHeight="1">
      <c r="A1209" s="463" t="s">
        <v>7092</v>
      </c>
      <c r="B1209" s="73"/>
      <c r="C1209" s="57" t="s">
        <v>9941</v>
      </c>
      <c r="D1209" s="192">
        <v>49.949918</v>
      </c>
      <c r="E1209" s="464">
        <v>36.154994</v>
      </c>
      <c r="F1209" s="79">
        <v>5.0</v>
      </c>
      <c r="G1209" s="465" t="s">
        <v>12120</v>
      </c>
      <c r="H1209" s="73"/>
      <c r="I1209" s="62" t="s">
        <v>12121</v>
      </c>
      <c r="J1209" s="183" t="s">
        <v>12122</v>
      </c>
      <c r="K1209" s="69"/>
      <c r="L1209" s="70"/>
      <c r="M1209" s="73"/>
      <c r="N1209" s="73"/>
      <c r="O1209" s="328" t="s">
        <v>5626</v>
      </c>
      <c r="P1209" s="67" t="str">
        <f t="shared" si="1"/>
        <v>49.949918, 36.154994</v>
      </c>
      <c r="Q1209" s="67" t="str">
        <f t="shared" si="2"/>
        <v>49.949627, 36.155287</v>
      </c>
      <c r="R1209" s="67">
        <f t="shared" si="3"/>
        <v>49.949627</v>
      </c>
      <c r="S1209" s="67">
        <f t="shared" si="4"/>
        <v>36.155287</v>
      </c>
      <c r="T1209" s="330" t="s">
        <v>12123</v>
      </c>
      <c r="U1209" s="69"/>
      <c r="V1209" s="65" t="s">
        <v>12124</v>
      </c>
      <c r="W1209" s="161"/>
      <c r="X1209" s="194"/>
      <c r="Y1209" s="216" t="s">
        <v>5820</v>
      </c>
      <c r="Z1209" s="73"/>
      <c r="AA1209" s="73"/>
      <c r="AB1209" s="73"/>
      <c r="AC1209" s="73"/>
      <c r="AD1209" s="73"/>
      <c r="AE1209" s="73"/>
      <c r="AF1209" s="73"/>
      <c r="AG1209" s="73"/>
      <c r="AH1209" s="73"/>
      <c r="AI1209" s="73"/>
      <c r="AJ1209" s="161"/>
      <c r="AK1209" s="76" t="s">
        <v>6276</v>
      </c>
      <c r="AL1209" s="83" t="s">
        <v>12125</v>
      </c>
      <c r="AM1209" s="71" t="s">
        <v>12126</v>
      </c>
      <c r="AN1209" s="84" t="s">
        <v>12127</v>
      </c>
      <c r="AO1209" s="71" t="s">
        <v>12128</v>
      </c>
      <c r="AP1209" s="161" t="str">
        <f>IMAGE("https://bellingcat-archive.nyc3.cdn.digitaloceanspaces.com/Ukraine_Witness_Datasheet/Worksheet/telegram_l_CgrWUpYHDzABu9nob6_MTVs4iENqfhs8Qd2YUM9IgSb0PDpSIvsfW55DaV2skRvv-fUz51cfV05hc52GLVtGcX-9mH9uiu53Auc2zATh_B-aR05SvkT3ZYtdJksC-g.jpg")</f>
        <v/>
      </c>
      <c r="AQ1209" s="161"/>
      <c r="AR1209" s="161"/>
      <c r="AS1209" s="71" t="s">
        <v>12129</v>
      </c>
      <c r="AT1209" s="161"/>
      <c r="AU1209" s="89"/>
      <c r="AV1209" s="162"/>
      <c r="AW1209" s="81"/>
    </row>
    <row r="1210" ht="15.75" customHeight="1">
      <c r="A1210" s="466" t="s">
        <v>63</v>
      </c>
      <c r="B1210" s="73"/>
      <c r="C1210" s="467" t="s">
        <v>45</v>
      </c>
      <c r="D1210" s="74">
        <v>51.294733</v>
      </c>
      <c r="E1210" s="74">
        <v>29.390787</v>
      </c>
      <c r="F1210" s="79">
        <v>1.0</v>
      </c>
      <c r="G1210" s="84" t="s">
        <v>12130</v>
      </c>
      <c r="H1210" s="61" t="s">
        <v>66</v>
      </c>
      <c r="I1210" s="75"/>
      <c r="J1210" s="64" t="s">
        <v>12131</v>
      </c>
      <c r="K1210" s="69"/>
      <c r="L1210" s="65" t="s">
        <v>5670</v>
      </c>
      <c r="M1210" s="93" t="s">
        <v>5827</v>
      </c>
      <c r="N1210" s="73"/>
      <c r="O1210" s="311" t="s">
        <v>12132</v>
      </c>
      <c r="P1210" s="67" t="str">
        <f t="shared" si="1"/>
        <v>51.294733, 29.390787</v>
      </c>
      <c r="Q1210" s="67" t="str">
        <f t="shared" si="2"/>
        <v>51.293999, 29.390782</v>
      </c>
      <c r="R1210" s="67">
        <f t="shared" si="3"/>
        <v>51.293999</v>
      </c>
      <c r="S1210" s="67">
        <f t="shared" si="4"/>
        <v>29.390782</v>
      </c>
      <c r="T1210" s="71" t="s">
        <v>12133</v>
      </c>
      <c r="U1210" s="69"/>
      <c r="V1210" s="65" t="s">
        <v>12134</v>
      </c>
      <c r="W1210" s="71" t="s">
        <v>5858</v>
      </c>
      <c r="X1210" s="208"/>
      <c r="Y1210" s="61" t="s">
        <v>11347</v>
      </c>
      <c r="Z1210" s="73"/>
      <c r="AA1210" s="73"/>
      <c r="AB1210" s="73"/>
      <c r="AC1210" s="73"/>
      <c r="AD1210" s="73"/>
      <c r="AE1210" s="73"/>
      <c r="AF1210" s="73"/>
      <c r="AG1210" s="73"/>
      <c r="AH1210" s="73"/>
      <c r="AI1210" s="73"/>
      <c r="AJ1210" s="161"/>
      <c r="AK1210" s="76" t="s">
        <v>798</v>
      </c>
      <c r="AL1210" s="83" t="s">
        <v>12135</v>
      </c>
      <c r="AM1210" s="71" t="s">
        <v>12136</v>
      </c>
      <c r="AN1210" s="84" t="s">
        <v>12137</v>
      </c>
      <c r="AO1210" s="71" t="s">
        <v>12138</v>
      </c>
      <c r="AP1210" s="161" t="str">
        <f>IMAGE("https://bellingcat-archive.nyc3.cdn.digitaloceanspaces.com/Ukraine_Witness_Datasheet/Worksheet/youtube_dl_1499292926635130880/out20.jpg")</f>
        <v/>
      </c>
      <c r="AQ1210" s="84" t="s">
        <v>12139</v>
      </c>
      <c r="AR1210" s="71" t="s">
        <v>12140</v>
      </c>
      <c r="AS1210" s="71" t="s">
        <v>12141</v>
      </c>
      <c r="AT1210" s="71">
        <v>120.48</v>
      </c>
      <c r="AU1210" s="89"/>
      <c r="AV1210" s="80" t="s">
        <v>88</v>
      </c>
      <c r="AW1210" s="81"/>
    </row>
    <row r="1211" ht="15.75" customHeight="1">
      <c r="A1211" s="204" t="s">
        <v>6463</v>
      </c>
      <c r="B1211" s="73"/>
      <c r="C1211" s="57" t="s">
        <v>12050</v>
      </c>
      <c r="D1211" s="104">
        <v>50.5423708201214</v>
      </c>
      <c r="E1211" s="104">
        <v>30.2639561811913</v>
      </c>
      <c r="F1211" s="79">
        <v>2.0</v>
      </c>
      <c r="G1211" s="60" t="s">
        <v>12142</v>
      </c>
      <c r="H1211" s="61" t="s">
        <v>66</v>
      </c>
      <c r="I1211" s="75"/>
      <c r="J1211" s="64" t="s">
        <v>12143</v>
      </c>
      <c r="K1211" s="69"/>
      <c r="L1211" s="65" t="s">
        <v>5670</v>
      </c>
      <c r="M1211" s="61" t="s">
        <v>5827</v>
      </c>
      <c r="N1211" s="73"/>
      <c r="O1211" s="61" t="s">
        <v>7550</v>
      </c>
      <c r="P1211" s="67" t="str">
        <f t="shared" si="1"/>
        <v>50.5423708201214, 30.2639561811913</v>
      </c>
      <c r="Q1211" s="67" t="str">
        <f t="shared" si="2"/>
        <v>50.541977, 30.263358</v>
      </c>
      <c r="R1211" s="67">
        <f t="shared" si="3"/>
        <v>50.541977</v>
      </c>
      <c r="S1211" s="67">
        <f t="shared" si="4"/>
        <v>30.263358</v>
      </c>
      <c r="T1211" s="71" t="s">
        <v>12144</v>
      </c>
      <c r="U1211" s="69"/>
      <c r="V1211" s="65" t="s">
        <v>12145</v>
      </c>
      <c r="W1211" s="71" t="s">
        <v>3601</v>
      </c>
      <c r="X1211" s="72" t="s">
        <v>2982</v>
      </c>
      <c r="Y1211" s="73"/>
      <c r="Z1211" s="73"/>
      <c r="AA1211" s="73"/>
      <c r="AB1211" s="73"/>
      <c r="AC1211" s="73"/>
      <c r="AD1211" s="73"/>
      <c r="AE1211" s="73"/>
      <c r="AF1211" s="73"/>
      <c r="AG1211" s="73"/>
      <c r="AH1211" s="73"/>
      <c r="AI1211" s="73"/>
      <c r="AJ1211" s="161"/>
      <c r="AK1211" s="76" t="s">
        <v>6276</v>
      </c>
      <c r="AL1211" s="83" t="s">
        <v>12146</v>
      </c>
      <c r="AM1211" s="71" t="s">
        <v>12147</v>
      </c>
      <c r="AN1211" s="84" t="s">
        <v>12148</v>
      </c>
      <c r="AO1211" s="71" t="s">
        <v>12149</v>
      </c>
      <c r="AP1211" s="161" t="str">
        <f>IMAGE("https://bellingcat-archive.nyc3.cdn.digitaloceanspaces.com/Ukraine_Witness_Datasheet/Worksheet/telegram_7db0c86c43/out20.jpg")</f>
        <v/>
      </c>
      <c r="AQ1211" s="84" t="s">
        <v>12150</v>
      </c>
      <c r="AR1211" s="84" t="s">
        <v>12142</v>
      </c>
      <c r="AS1211" s="71" t="s">
        <v>12151</v>
      </c>
      <c r="AT1211" s="71">
        <v>107.0</v>
      </c>
      <c r="AU1211" s="89"/>
      <c r="AV1211" s="162"/>
      <c r="AW1211" s="81"/>
    </row>
    <row r="1212" ht="15.75" customHeight="1">
      <c r="A1212" s="204" t="s">
        <v>6463</v>
      </c>
      <c r="B1212" s="73"/>
      <c r="C1212" s="57" t="s">
        <v>12050</v>
      </c>
      <c r="D1212" s="104">
        <v>50.5423708201214</v>
      </c>
      <c r="E1212" s="104">
        <v>30.2639561811913</v>
      </c>
      <c r="F1212" s="79">
        <v>2.0</v>
      </c>
      <c r="G1212" s="130" t="s">
        <v>12152</v>
      </c>
      <c r="H1212" s="61" t="s">
        <v>66</v>
      </c>
      <c r="I1212" s="75"/>
      <c r="J1212" s="64" t="s">
        <v>12153</v>
      </c>
      <c r="K1212" s="69"/>
      <c r="L1212" s="65" t="s">
        <v>5670</v>
      </c>
      <c r="M1212" s="61" t="s">
        <v>5827</v>
      </c>
      <c r="N1212" s="73"/>
      <c r="O1212" s="61" t="s">
        <v>7550</v>
      </c>
      <c r="P1212" s="67" t="str">
        <f t="shared" si="1"/>
        <v>50.5423708201214, 30.2639561811913</v>
      </c>
      <c r="Q1212" s="67" t="str">
        <f t="shared" si="2"/>
        <v>50.541611, 30.26347</v>
      </c>
      <c r="R1212" s="67">
        <f t="shared" si="3"/>
        <v>50.541611</v>
      </c>
      <c r="S1212" s="67">
        <f t="shared" si="4"/>
        <v>30.26347</v>
      </c>
      <c r="T1212" s="71" t="s">
        <v>12154</v>
      </c>
      <c r="U1212" s="69"/>
      <c r="V1212" s="65" t="s">
        <v>12155</v>
      </c>
      <c r="W1212" s="71" t="s">
        <v>3601</v>
      </c>
      <c r="X1212" s="72" t="s">
        <v>2982</v>
      </c>
      <c r="Y1212" s="61" t="s">
        <v>2982</v>
      </c>
      <c r="Z1212" s="61" t="s">
        <v>12156</v>
      </c>
      <c r="AA1212" s="73"/>
      <c r="AB1212" s="73"/>
      <c r="AC1212" s="73"/>
      <c r="AD1212" s="73"/>
      <c r="AE1212" s="73"/>
      <c r="AF1212" s="73"/>
      <c r="AG1212" s="73"/>
      <c r="AH1212" s="73"/>
      <c r="AI1212" s="73"/>
      <c r="AJ1212" s="161"/>
      <c r="AK1212" s="76" t="s">
        <v>798</v>
      </c>
      <c r="AL1212" s="83" t="s">
        <v>12157</v>
      </c>
      <c r="AM1212" s="71" t="s">
        <v>12158</v>
      </c>
      <c r="AN1212" s="84" t="s">
        <v>12159</v>
      </c>
      <c r="AO1212" s="71" t="s">
        <v>12160</v>
      </c>
      <c r="AP1212" s="161" t="str">
        <f>IMAGE("https://bellingcat-archive.nyc3.cdn.digitaloceanspaces.com/Ukraine_Witness_Datasheet/Worksheet/youtube_dl_1499294921680949251/out7.jpg")</f>
        <v/>
      </c>
      <c r="AQ1212" s="84" t="s">
        <v>12161</v>
      </c>
      <c r="AR1212" s="71" t="s">
        <v>12162</v>
      </c>
      <c r="AS1212" s="71" t="s">
        <v>12163</v>
      </c>
      <c r="AT1212" s="71">
        <v>17.743</v>
      </c>
      <c r="AU1212" s="89"/>
      <c r="AV1212" s="162"/>
      <c r="AW1212" s="81"/>
    </row>
    <row r="1213" ht="15.75" customHeight="1">
      <c r="A1213" s="204" t="s">
        <v>63</v>
      </c>
      <c r="B1213" s="73"/>
      <c r="C1213" s="57" t="s">
        <v>12050</v>
      </c>
      <c r="D1213" s="74">
        <v>47.098335</v>
      </c>
      <c r="E1213" s="74">
        <v>37.502214</v>
      </c>
      <c r="F1213" s="79">
        <v>1.0</v>
      </c>
      <c r="G1213" s="84" t="s">
        <v>12164</v>
      </c>
      <c r="H1213" s="73"/>
      <c r="I1213" s="215" t="s">
        <v>12165</v>
      </c>
      <c r="J1213" s="64" t="s">
        <v>12166</v>
      </c>
      <c r="K1213" s="69"/>
      <c r="L1213" s="65" t="s">
        <v>5670</v>
      </c>
      <c r="M1213" s="92" t="s">
        <v>5750</v>
      </c>
      <c r="N1213" s="314"/>
      <c r="O1213" s="92" t="s">
        <v>6109</v>
      </c>
      <c r="P1213" s="67" t="str">
        <f t="shared" si="1"/>
        <v>47.098335, 37.502214</v>
      </c>
      <c r="Q1213" s="67" t="str">
        <f t="shared" si="2"/>
        <v>47.097904, 37.501758</v>
      </c>
      <c r="R1213" s="67">
        <f t="shared" si="3"/>
        <v>47.097904</v>
      </c>
      <c r="S1213" s="67">
        <f t="shared" si="4"/>
        <v>37.501758</v>
      </c>
      <c r="T1213" s="161"/>
      <c r="U1213" s="69"/>
      <c r="V1213" s="65" t="s">
        <v>12167</v>
      </c>
      <c r="W1213" s="71" t="s">
        <v>3601</v>
      </c>
      <c r="X1213" s="72" t="s">
        <v>2982</v>
      </c>
      <c r="Y1213" s="216" t="s">
        <v>5820</v>
      </c>
      <c r="Z1213" s="73"/>
      <c r="AA1213" s="73"/>
      <c r="AB1213" s="73"/>
      <c r="AC1213" s="73"/>
      <c r="AD1213" s="73"/>
      <c r="AE1213" s="73"/>
      <c r="AF1213" s="73"/>
      <c r="AG1213" s="73"/>
      <c r="AH1213" s="73"/>
      <c r="AI1213" s="73"/>
      <c r="AJ1213" s="161"/>
      <c r="AK1213" s="76" t="s">
        <v>2108</v>
      </c>
      <c r="AL1213" s="83" t="s">
        <v>12168</v>
      </c>
      <c r="AM1213" s="71" t="s">
        <v>12169</v>
      </c>
      <c r="AN1213" s="84" t="s">
        <v>12170</v>
      </c>
      <c r="AO1213" s="71" t="s">
        <v>12171</v>
      </c>
      <c r="AP1213" s="161" t="str">
        <f>IMAGE("https://bellingcat-archive.nyc3.cdn.digitaloceanspaces.com/Ukraine_Witness_Datasheet/Worksheet/twitter__media_FM6xHA_XEAIGQSz.jpg")</f>
        <v/>
      </c>
      <c r="AQ1213" s="161"/>
      <c r="AR1213" s="161"/>
      <c r="AS1213" s="71" t="s">
        <v>12172</v>
      </c>
      <c r="AT1213" s="161"/>
      <c r="AU1213" s="89"/>
      <c r="AV1213" s="162"/>
      <c r="AW1213" s="81"/>
    </row>
    <row r="1214" ht="15.75" customHeight="1">
      <c r="A1214" s="204" t="s">
        <v>5457</v>
      </c>
      <c r="B1214" s="73"/>
      <c r="C1214" s="57" t="s">
        <v>12050</v>
      </c>
      <c r="D1214" s="300">
        <v>50.02785</v>
      </c>
      <c r="E1214" s="300">
        <v>36.298505</v>
      </c>
      <c r="F1214" s="79">
        <v>2.0</v>
      </c>
      <c r="G1214" s="462" t="s">
        <v>12173</v>
      </c>
      <c r="H1214" s="61" t="s">
        <v>12174</v>
      </c>
      <c r="I1214" s="215" t="s">
        <v>12175</v>
      </c>
      <c r="J1214" s="64" t="s">
        <v>12176</v>
      </c>
      <c r="K1214" s="69"/>
      <c r="L1214" s="65" t="s">
        <v>5670</v>
      </c>
      <c r="M1214" s="93" t="s">
        <v>5590</v>
      </c>
      <c r="N1214" s="73"/>
      <c r="O1214" s="93" t="s">
        <v>5626</v>
      </c>
      <c r="P1214" s="67" t="str">
        <f t="shared" si="1"/>
        <v>50.02785, 36.298505</v>
      </c>
      <c r="Q1214" s="67" t="str">
        <f t="shared" si="2"/>
        <v>50.027186, 36.298445</v>
      </c>
      <c r="R1214" s="67">
        <f t="shared" si="3"/>
        <v>50.027186</v>
      </c>
      <c r="S1214" s="67">
        <f t="shared" si="4"/>
        <v>36.298445</v>
      </c>
      <c r="T1214" s="161"/>
      <c r="U1214" s="69"/>
      <c r="V1214" s="65" t="s">
        <v>12177</v>
      </c>
      <c r="W1214" s="71" t="s">
        <v>5904</v>
      </c>
      <c r="X1214" s="72" t="s">
        <v>2982</v>
      </c>
      <c r="Y1214" s="216" t="s">
        <v>5820</v>
      </c>
      <c r="Z1214" s="73"/>
      <c r="AA1214" s="73"/>
      <c r="AB1214" s="73"/>
      <c r="AC1214" s="73"/>
      <c r="AD1214" s="73"/>
      <c r="AE1214" s="73"/>
      <c r="AF1214" s="73"/>
      <c r="AG1214" s="73"/>
      <c r="AH1214" s="73"/>
      <c r="AI1214" s="73"/>
      <c r="AJ1214" s="161"/>
      <c r="AK1214" s="76" t="s">
        <v>2108</v>
      </c>
      <c r="AL1214" s="83" t="s">
        <v>12178</v>
      </c>
      <c r="AM1214" s="71" t="s">
        <v>12179</v>
      </c>
      <c r="AN1214" s="84" t="s">
        <v>12180</v>
      </c>
      <c r="AO1214" s="71" t="s">
        <v>12181</v>
      </c>
      <c r="AP1214" s="161" t="str">
        <f>IMAGE("https://bellingcat-archive.nyc3.cdn.digitaloceanspaces.com/Ukraine_Witness_Datasheet/Worksheet/twitter__media_FM60NopXIAYIXXR.jpg")</f>
        <v/>
      </c>
      <c r="AQ1214" s="161"/>
      <c r="AR1214" s="161"/>
      <c r="AS1214" s="71" t="s">
        <v>12182</v>
      </c>
      <c r="AT1214" s="161"/>
      <c r="AU1214" s="89"/>
      <c r="AV1214" s="162"/>
      <c r="AW1214" s="81"/>
    </row>
    <row r="1215" ht="15.75" customHeight="1">
      <c r="A1215" s="208"/>
      <c r="B1215" s="73"/>
      <c r="C1215" s="176"/>
      <c r="D1215" s="121"/>
      <c r="E1215" s="121"/>
      <c r="F1215" s="89"/>
      <c r="G1215" s="84" t="s">
        <v>12183</v>
      </c>
      <c r="H1215" s="73"/>
      <c r="I1215" s="75"/>
      <c r="J1215" s="69"/>
      <c r="K1215" s="69"/>
      <c r="L1215" s="70"/>
      <c r="M1215" s="73"/>
      <c r="N1215" s="73"/>
      <c r="O1215" s="73"/>
      <c r="P1215" s="67" t="str">
        <f t="shared" si="1"/>
        <v/>
      </c>
      <c r="Q1215" s="67" t="str">
        <f t="shared" si="2"/>
        <v/>
      </c>
      <c r="R1215" s="67" t="str">
        <f t="shared" si="3"/>
        <v/>
      </c>
      <c r="S1215" s="67" t="str">
        <f t="shared" si="4"/>
        <v/>
      </c>
      <c r="T1215" s="161"/>
      <c r="U1215" s="69"/>
      <c r="V1215" s="65" t="s">
        <v>12184</v>
      </c>
      <c r="W1215" s="161"/>
      <c r="X1215" s="194"/>
      <c r="Y1215" s="73"/>
      <c r="Z1215" s="73"/>
      <c r="AA1215" s="73"/>
      <c r="AB1215" s="73"/>
      <c r="AC1215" s="73"/>
      <c r="AD1215" s="73"/>
      <c r="AE1215" s="73"/>
      <c r="AF1215" s="73"/>
      <c r="AG1215" s="73"/>
      <c r="AH1215" s="73"/>
      <c r="AI1215" s="73"/>
      <c r="AJ1215" s="161"/>
      <c r="AK1215" s="76" t="s">
        <v>2108</v>
      </c>
      <c r="AL1215" s="83" t="s">
        <v>12185</v>
      </c>
      <c r="AM1215" s="71" t="s">
        <v>12186</v>
      </c>
      <c r="AN1215" s="84" t="s">
        <v>12187</v>
      </c>
      <c r="AO1215" s="71" t="s">
        <v>12188</v>
      </c>
      <c r="AP1215" s="161" t="str">
        <f>IMAGE("https://bellingcat-archive.nyc3.cdn.digitaloceanspaces.com/Ukraine_Witness_Datasheet/Worksheet/twitter__media_FM6v2WeXIAY7Ie-.jpg")</f>
        <v/>
      </c>
      <c r="AQ1215" s="161"/>
      <c r="AR1215" s="161"/>
      <c r="AS1215" s="71" t="s">
        <v>12189</v>
      </c>
      <c r="AT1215" s="161"/>
      <c r="AU1215" s="89"/>
      <c r="AV1215" s="162"/>
      <c r="AW1215" s="81"/>
    </row>
    <row r="1216" ht="15.75" customHeight="1">
      <c r="A1216" s="72" t="s">
        <v>3259</v>
      </c>
      <c r="B1216" s="73"/>
      <c r="C1216" s="57" t="s">
        <v>12050</v>
      </c>
      <c r="D1216" s="104">
        <v>47.033947</v>
      </c>
      <c r="E1216" s="104">
        <v>32.217945</v>
      </c>
      <c r="F1216" s="79">
        <v>2.0</v>
      </c>
      <c r="G1216" s="84" t="s">
        <v>12190</v>
      </c>
      <c r="H1216" s="61" t="s">
        <v>5368</v>
      </c>
      <c r="I1216" s="75"/>
      <c r="J1216" s="64" t="s">
        <v>12191</v>
      </c>
      <c r="K1216" s="88" t="s">
        <v>12192</v>
      </c>
      <c r="L1216" s="65" t="s">
        <v>3542</v>
      </c>
      <c r="M1216" s="61" t="s">
        <v>6563</v>
      </c>
      <c r="N1216" s="73"/>
      <c r="O1216" s="61" t="s">
        <v>12193</v>
      </c>
      <c r="P1216" s="67" t="str">
        <f t="shared" si="1"/>
        <v>47.033947, 32.217945</v>
      </c>
      <c r="Q1216" s="67" t="str">
        <f t="shared" si="2"/>
        <v>47.033351, 32.217284</v>
      </c>
      <c r="R1216" s="67">
        <f t="shared" si="3"/>
        <v>47.033351</v>
      </c>
      <c r="S1216" s="67">
        <f t="shared" si="4"/>
        <v>32.217284</v>
      </c>
      <c r="T1216" s="161"/>
      <c r="U1216" s="69"/>
      <c r="V1216" s="65" t="s">
        <v>12194</v>
      </c>
      <c r="W1216" s="71" t="s">
        <v>5739</v>
      </c>
      <c r="X1216" s="72" t="s">
        <v>2982</v>
      </c>
      <c r="Y1216" s="73"/>
      <c r="Z1216" s="73"/>
      <c r="AA1216" s="73"/>
      <c r="AB1216" s="73"/>
      <c r="AC1216" s="73"/>
      <c r="AD1216" s="73"/>
      <c r="AE1216" s="73"/>
      <c r="AF1216" s="73"/>
      <c r="AG1216" s="73"/>
      <c r="AH1216" s="73"/>
      <c r="AI1216" s="73"/>
      <c r="AJ1216" s="161"/>
      <c r="AK1216" s="76" t="s">
        <v>2108</v>
      </c>
      <c r="AL1216" s="83" t="s">
        <v>12195</v>
      </c>
      <c r="AM1216" s="71" t="s">
        <v>12196</v>
      </c>
      <c r="AN1216" s="84" t="s">
        <v>12197</v>
      </c>
      <c r="AO1216" s="71" t="s">
        <v>12198</v>
      </c>
      <c r="AP1216" s="161" t="str">
        <f>IMAGE("https://bellingcat-archive.nyc3.cdn.digitaloceanspaces.com/Ukraine_Witness_Datasheet/Worksheet/twitter__media_FM6zDrxXEAAqluD.jpg")</f>
        <v/>
      </c>
      <c r="AQ1216" s="161"/>
      <c r="AR1216" s="161"/>
      <c r="AS1216" s="71" t="s">
        <v>12199</v>
      </c>
      <c r="AT1216" s="161"/>
      <c r="AU1216" s="89"/>
      <c r="AV1216" s="162"/>
      <c r="AW1216" s="81"/>
    </row>
    <row r="1217" ht="15.75" customHeight="1">
      <c r="A1217" s="208"/>
      <c r="B1217" s="73"/>
      <c r="C1217" s="57"/>
      <c r="D1217" s="121"/>
      <c r="E1217" s="121"/>
      <c r="F1217" s="79">
        <v>1.0</v>
      </c>
      <c r="G1217" s="84" t="s">
        <v>12200</v>
      </c>
      <c r="H1217" s="61" t="s">
        <v>66</v>
      </c>
      <c r="I1217" s="75"/>
      <c r="J1217" s="64" t="s">
        <v>12201</v>
      </c>
      <c r="K1217" s="69"/>
      <c r="L1217" s="70"/>
      <c r="M1217" s="73"/>
      <c r="N1217" s="73"/>
      <c r="O1217" s="73"/>
      <c r="P1217" s="67" t="str">
        <f t="shared" si="1"/>
        <v/>
      </c>
      <c r="Q1217" s="67" t="str">
        <f t="shared" si="2"/>
        <v/>
      </c>
      <c r="R1217" s="67" t="str">
        <f t="shared" si="3"/>
        <v/>
      </c>
      <c r="S1217" s="67" t="str">
        <f t="shared" si="4"/>
        <v/>
      </c>
      <c r="T1217" s="161"/>
      <c r="U1217" s="69"/>
      <c r="V1217" s="65" t="s">
        <v>12202</v>
      </c>
      <c r="W1217" s="161"/>
      <c r="X1217" s="194"/>
      <c r="Y1217" s="73"/>
      <c r="Z1217" s="73"/>
      <c r="AA1217" s="73"/>
      <c r="AB1217" s="73"/>
      <c r="AC1217" s="73"/>
      <c r="AD1217" s="73"/>
      <c r="AE1217" s="73"/>
      <c r="AF1217" s="73"/>
      <c r="AG1217" s="73"/>
      <c r="AH1217" s="73"/>
      <c r="AI1217" s="73"/>
      <c r="AJ1217" s="161"/>
      <c r="AK1217" s="76" t="s">
        <v>798</v>
      </c>
      <c r="AL1217" s="83" t="s">
        <v>12203</v>
      </c>
      <c r="AM1217" s="71" t="s">
        <v>12204</v>
      </c>
      <c r="AN1217" s="84" t="s">
        <v>12205</v>
      </c>
      <c r="AO1217" s="71" t="s">
        <v>12206</v>
      </c>
      <c r="AP1217" s="161" t="str">
        <f>IMAGE("https://bellingcat-archive.nyc3.cdn.digitaloceanspaces.com/Ukraine_Witness_Datasheet/Worksheet/youtube_dl_1499303894274478086/out20.jpg")</f>
        <v/>
      </c>
      <c r="AQ1217" s="84" t="s">
        <v>12207</v>
      </c>
      <c r="AR1217" s="71" t="s">
        <v>12208</v>
      </c>
      <c r="AS1217" s="71" t="s">
        <v>12209</v>
      </c>
      <c r="AT1217" s="71">
        <v>74.628</v>
      </c>
      <c r="AU1217" s="89"/>
      <c r="AV1217" s="162"/>
      <c r="AW1217" s="81"/>
    </row>
    <row r="1218" ht="15.75" customHeight="1">
      <c r="A1218" s="72" t="s">
        <v>6463</v>
      </c>
      <c r="B1218" s="73"/>
      <c r="C1218" s="57" t="s">
        <v>7672</v>
      </c>
      <c r="D1218" s="104">
        <v>50.5925811498421</v>
      </c>
      <c r="E1218" s="104">
        <v>30.2109877870253</v>
      </c>
      <c r="F1218" s="79">
        <v>3.0</v>
      </c>
      <c r="G1218" s="130" t="s">
        <v>12210</v>
      </c>
      <c r="H1218" s="61" t="s">
        <v>66</v>
      </c>
      <c r="I1218" s="75"/>
      <c r="J1218" s="64" t="s">
        <v>12211</v>
      </c>
      <c r="K1218" s="69"/>
      <c r="L1218" s="65" t="s">
        <v>3542</v>
      </c>
      <c r="M1218" s="61" t="s">
        <v>5827</v>
      </c>
      <c r="N1218" s="73"/>
      <c r="O1218" s="61" t="s">
        <v>5828</v>
      </c>
      <c r="P1218" s="67" t="str">
        <f t="shared" si="1"/>
        <v>50.5925811498421, 30.2109877870253</v>
      </c>
      <c r="Q1218" s="67" t="str">
        <f t="shared" si="2"/>
        <v>50.59215, 30.210469</v>
      </c>
      <c r="R1218" s="67">
        <f t="shared" si="3"/>
        <v>50.59215</v>
      </c>
      <c r="S1218" s="67">
        <f t="shared" si="4"/>
        <v>30.210469</v>
      </c>
      <c r="T1218" s="71" t="s">
        <v>12212</v>
      </c>
      <c r="U1218" s="69"/>
      <c r="V1218" s="65" t="s">
        <v>12213</v>
      </c>
      <c r="W1218" s="468" t="s">
        <v>7571</v>
      </c>
      <c r="X1218" s="72" t="s">
        <v>5504</v>
      </c>
      <c r="Y1218" s="73"/>
      <c r="Z1218" s="73"/>
      <c r="AA1218" s="73"/>
      <c r="AB1218" s="73"/>
      <c r="AC1218" s="73"/>
      <c r="AD1218" s="73"/>
      <c r="AE1218" s="73"/>
      <c r="AF1218" s="73"/>
      <c r="AG1218" s="73"/>
      <c r="AH1218" s="73"/>
      <c r="AI1218" s="73"/>
      <c r="AJ1218" s="161"/>
      <c r="AK1218" s="76" t="s">
        <v>6276</v>
      </c>
      <c r="AL1218" s="83" t="s">
        <v>12214</v>
      </c>
      <c r="AM1218" s="71" t="s">
        <v>12215</v>
      </c>
      <c r="AN1218" s="84" t="s">
        <v>12216</v>
      </c>
      <c r="AO1218" s="71" t="s">
        <v>12217</v>
      </c>
      <c r="AP1218" s="161" t="str">
        <f>IMAGE("https://bellingcat-archive.nyc3.cdn.digitaloceanspaces.com/Ukraine_Witness_Datasheet/Worksheet/telegram_02687c06bf/out7.jpg")</f>
        <v/>
      </c>
      <c r="AQ1218" s="84" t="s">
        <v>12218</v>
      </c>
      <c r="AR1218" s="84" t="s">
        <v>12210</v>
      </c>
      <c r="AS1218" s="71" t="s">
        <v>12219</v>
      </c>
      <c r="AT1218" s="71">
        <v>5.0</v>
      </c>
      <c r="AU1218" s="89"/>
      <c r="AV1218" s="162"/>
      <c r="AW1218" s="81"/>
    </row>
    <row r="1219" ht="15.75" customHeight="1">
      <c r="A1219" s="72" t="s">
        <v>11075</v>
      </c>
      <c r="B1219" s="73"/>
      <c r="C1219" s="57" t="s">
        <v>12050</v>
      </c>
      <c r="D1219" s="104">
        <v>51.4983148345038</v>
      </c>
      <c r="E1219" s="104">
        <v>31.276828083087</v>
      </c>
      <c r="F1219" s="79">
        <v>3.0</v>
      </c>
      <c r="G1219" s="84" t="s">
        <v>12220</v>
      </c>
      <c r="H1219" s="61" t="s">
        <v>5522</v>
      </c>
      <c r="I1219" s="75"/>
      <c r="J1219" s="64" t="s">
        <v>12221</v>
      </c>
      <c r="K1219" s="69"/>
      <c r="L1219" s="65" t="s">
        <v>3542</v>
      </c>
      <c r="M1219" s="61" t="s">
        <v>5880</v>
      </c>
      <c r="N1219" s="61"/>
      <c r="O1219" s="61" t="s">
        <v>8524</v>
      </c>
      <c r="P1219" s="67" t="str">
        <f t="shared" si="1"/>
        <v>51.4983148345038, 31.276828083087</v>
      </c>
      <c r="Q1219" s="67" t="str">
        <f t="shared" si="2"/>
        <v>51.498129, 31.276363</v>
      </c>
      <c r="R1219" s="67">
        <f t="shared" si="3"/>
        <v>51.498129</v>
      </c>
      <c r="S1219" s="67">
        <f t="shared" si="4"/>
        <v>31.276363</v>
      </c>
      <c r="T1219" s="161"/>
      <c r="U1219" s="69"/>
      <c r="V1219" s="65" t="s">
        <v>12222</v>
      </c>
      <c r="W1219" s="61" t="s">
        <v>9711</v>
      </c>
      <c r="X1219" s="72" t="s">
        <v>5504</v>
      </c>
      <c r="Y1219" s="73"/>
      <c r="Z1219" s="73"/>
      <c r="AA1219" s="73"/>
      <c r="AB1219" s="73"/>
      <c r="AC1219" s="73"/>
      <c r="AD1219" s="73"/>
      <c r="AE1219" s="73"/>
      <c r="AF1219" s="73"/>
      <c r="AG1219" s="73"/>
      <c r="AH1219" s="73"/>
      <c r="AI1219" s="73"/>
      <c r="AJ1219" s="161"/>
      <c r="AK1219" s="76" t="s">
        <v>6276</v>
      </c>
      <c r="AL1219" s="83" t="s">
        <v>12223</v>
      </c>
      <c r="AM1219" s="71" t="s">
        <v>12224</v>
      </c>
      <c r="AN1219" s="84" t="s">
        <v>12225</v>
      </c>
      <c r="AO1219" s="71" t="s">
        <v>12226</v>
      </c>
      <c r="AP1219" s="161"/>
      <c r="AQ1219" s="161"/>
      <c r="AR1219" s="161"/>
      <c r="AS1219" s="161"/>
      <c r="AT1219" s="161"/>
      <c r="AU1219" s="89"/>
      <c r="AV1219" s="162"/>
      <c r="AW1219" s="81"/>
    </row>
    <row r="1220" ht="15.75" customHeight="1">
      <c r="A1220" s="357" t="s">
        <v>10913</v>
      </c>
      <c r="B1220" s="73"/>
      <c r="C1220" s="57" t="s">
        <v>12050</v>
      </c>
      <c r="D1220" s="104">
        <v>51.5001631</v>
      </c>
      <c r="E1220" s="104">
        <v>31.2789432</v>
      </c>
      <c r="F1220" s="79">
        <v>2.0</v>
      </c>
      <c r="G1220" s="84" t="s">
        <v>12227</v>
      </c>
      <c r="H1220" s="61" t="s">
        <v>5522</v>
      </c>
      <c r="I1220" s="75"/>
      <c r="J1220" s="64" t="s">
        <v>12228</v>
      </c>
      <c r="K1220" s="114" t="s">
        <v>12229</v>
      </c>
      <c r="L1220" s="65" t="s">
        <v>3542</v>
      </c>
      <c r="M1220" s="61" t="s">
        <v>5880</v>
      </c>
      <c r="N1220" s="73"/>
      <c r="O1220" s="61" t="s">
        <v>8524</v>
      </c>
      <c r="P1220" s="67" t="str">
        <f t="shared" si="1"/>
        <v>51.5001631, 31.2789432</v>
      </c>
      <c r="Q1220" s="67" t="str">
        <f t="shared" si="2"/>
        <v>51.49997, 31.279808</v>
      </c>
      <c r="R1220" s="67">
        <f t="shared" si="3"/>
        <v>51.49997</v>
      </c>
      <c r="S1220" s="67">
        <f t="shared" si="4"/>
        <v>31.279808</v>
      </c>
      <c r="T1220" s="71"/>
      <c r="U1220" s="69"/>
      <c r="V1220" s="65" t="s">
        <v>12230</v>
      </c>
      <c r="W1220" s="71" t="s">
        <v>3601</v>
      </c>
      <c r="X1220" s="72" t="s">
        <v>5504</v>
      </c>
      <c r="Y1220" s="73"/>
      <c r="Z1220" s="73"/>
      <c r="AA1220" s="73"/>
      <c r="AB1220" s="73"/>
      <c r="AC1220" s="73"/>
      <c r="AD1220" s="73"/>
      <c r="AE1220" s="73"/>
      <c r="AF1220" s="73"/>
      <c r="AG1220" s="73"/>
      <c r="AH1220" s="73"/>
      <c r="AI1220" s="73"/>
      <c r="AJ1220" s="161"/>
      <c r="AK1220" s="76" t="s">
        <v>6276</v>
      </c>
      <c r="AL1220" s="83" t="s">
        <v>12231</v>
      </c>
      <c r="AM1220" s="71" t="s">
        <v>12232</v>
      </c>
      <c r="AN1220" s="71" t="s">
        <v>12233</v>
      </c>
      <c r="AO1220" s="71" t="s">
        <v>12234</v>
      </c>
      <c r="AP1220" s="161" t="str">
        <f>IMAGE("https://bellingcat-archive.nyc3.cdn.digitaloceanspaces.com/Ukraine_Witness_Datasheet/Worksheet/telegram_cc6d0be274/out7.jpg")</f>
        <v/>
      </c>
      <c r="AQ1220" s="84" t="s">
        <v>12235</v>
      </c>
      <c r="AR1220" s="84" t="s">
        <v>12227</v>
      </c>
      <c r="AS1220" s="71" t="s">
        <v>12236</v>
      </c>
      <c r="AT1220" s="71">
        <v>28.0</v>
      </c>
      <c r="AU1220" s="89"/>
      <c r="AV1220" s="162"/>
      <c r="AW1220" s="81"/>
    </row>
    <row r="1221" ht="15.75" customHeight="1">
      <c r="A1221" s="204" t="s">
        <v>63</v>
      </c>
      <c r="B1221" s="73"/>
      <c r="C1221" s="57" t="s">
        <v>12050</v>
      </c>
      <c r="D1221" s="74">
        <v>51.499511</v>
      </c>
      <c r="E1221" s="74">
        <v>31.277672</v>
      </c>
      <c r="F1221" s="79">
        <v>3.0</v>
      </c>
      <c r="G1221" s="84" t="s">
        <v>12237</v>
      </c>
      <c r="H1221" s="61" t="s">
        <v>5522</v>
      </c>
      <c r="I1221" s="75"/>
      <c r="J1221" s="64" t="s">
        <v>12238</v>
      </c>
      <c r="K1221" s="69"/>
      <c r="L1221" s="65" t="s">
        <v>3542</v>
      </c>
      <c r="M1221" s="61" t="s">
        <v>5880</v>
      </c>
      <c r="N1221" s="73"/>
      <c r="O1221" s="61" t="s">
        <v>8524</v>
      </c>
      <c r="P1221" s="67" t="str">
        <f t="shared" si="1"/>
        <v>51.499511, 31.277672</v>
      </c>
      <c r="Q1221" s="67" t="str">
        <f t="shared" si="2"/>
        <v>51.499242, 31.278794</v>
      </c>
      <c r="R1221" s="67">
        <f t="shared" si="3"/>
        <v>51.499242</v>
      </c>
      <c r="S1221" s="67">
        <f t="shared" si="4"/>
        <v>31.278794</v>
      </c>
      <c r="T1221" s="161"/>
      <c r="U1221" s="69"/>
      <c r="V1221" s="65" t="s">
        <v>12239</v>
      </c>
      <c r="W1221" s="71" t="s">
        <v>5787</v>
      </c>
      <c r="X1221" s="72" t="s">
        <v>5504</v>
      </c>
      <c r="Y1221" s="73"/>
      <c r="Z1221" s="73"/>
      <c r="AA1221" s="73"/>
      <c r="AB1221" s="73"/>
      <c r="AC1221" s="73"/>
      <c r="AD1221" s="73"/>
      <c r="AE1221" s="73"/>
      <c r="AF1221" s="73"/>
      <c r="AG1221" s="73"/>
      <c r="AH1221" s="73"/>
      <c r="AI1221" s="73"/>
      <c r="AJ1221" s="161"/>
      <c r="AK1221" s="76" t="s">
        <v>798</v>
      </c>
      <c r="AL1221" s="83" t="s">
        <v>12240</v>
      </c>
      <c r="AM1221" s="71" t="s">
        <v>12241</v>
      </c>
      <c r="AN1221" s="84" t="s">
        <v>12242</v>
      </c>
      <c r="AO1221" s="71" t="s">
        <v>12243</v>
      </c>
      <c r="AP1221" s="161" t="str">
        <f>IMAGE("https://bellingcat-archive.nyc3.cdn.digitaloceanspaces.com/Ukraine_Witness_Datasheet/Worksheet/youtube_dl_1499358871336460290/out7.jpg")</f>
        <v/>
      </c>
      <c r="AQ1221" s="84" t="s">
        <v>12244</v>
      </c>
      <c r="AR1221" s="71" t="s">
        <v>12245</v>
      </c>
      <c r="AS1221" s="71" t="s">
        <v>12246</v>
      </c>
      <c r="AT1221" s="71">
        <v>45.0</v>
      </c>
      <c r="AU1221" s="89"/>
      <c r="AV1221" s="162"/>
      <c r="AW1221" s="81"/>
    </row>
    <row r="1222" ht="15.75" customHeight="1">
      <c r="A1222" s="204" t="s">
        <v>63</v>
      </c>
      <c r="B1222" s="73"/>
      <c r="C1222" s="101" t="s">
        <v>12050</v>
      </c>
      <c r="D1222" s="300">
        <v>46.815077</v>
      </c>
      <c r="E1222" s="300">
        <v>33.325562</v>
      </c>
      <c r="F1222" s="79">
        <v>2.0</v>
      </c>
      <c r="G1222" s="84" t="s">
        <v>12247</v>
      </c>
      <c r="H1222" s="61" t="s">
        <v>5522</v>
      </c>
      <c r="I1222" s="75"/>
      <c r="J1222" s="64" t="s">
        <v>12248</v>
      </c>
      <c r="K1222" s="69"/>
      <c r="L1222" s="65" t="s">
        <v>3542</v>
      </c>
      <c r="M1222" s="61" t="s">
        <v>5702</v>
      </c>
      <c r="N1222" s="73"/>
      <c r="O1222" s="364" t="s">
        <v>12249</v>
      </c>
      <c r="P1222" s="67" t="str">
        <f t="shared" si="1"/>
        <v>46.815077, 33.325562</v>
      </c>
      <c r="Q1222" s="67" t="str">
        <f t="shared" si="2"/>
        <v>46.814665, 33.325722</v>
      </c>
      <c r="R1222" s="67">
        <f t="shared" si="3"/>
        <v>46.814665</v>
      </c>
      <c r="S1222" s="67">
        <f t="shared" si="4"/>
        <v>33.325722</v>
      </c>
      <c r="T1222" s="161"/>
      <c r="U1222" s="69"/>
      <c r="V1222" s="65" t="s">
        <v>12250</v>
      </c>
      <c r="W1222" s="71" t="s">
        <v>5739</v>
      </c>
      <c r="X1222" s="72" t="s">
        <v>5504</v>
      </c>
      <c r="Y1222" s="73"/>
      <c r="Z1222" s="73"/>
      <c r="AA1222" s="73"/>
      <c r="AB1222" s="73"/>
      <c r="AC1222" s="73"/>
      <c r="AD1222" s="73"/>
      <c r="AE1222" s="73"/>
      <c r="AF1222" s="73"/>
      <c r="AG1222" s="73"/>
      <c r="AH1222" s="73"/>
      <c r="AI1222" s="73"/>
      <c r="AJ1222" s="161"/>
      <c r="AK1222" s="76" t="s">
        <v>798</v>
      </c>
      <c r="AL1222" s="83" t="s">
        <v>12251</v>
      </c>
      <c r="AM1222" s="71" t="s">
        <v>12252</v>
      </c>
      <c r="AN1222" s="84" t="s">
        <v>12253</v>
      </c>
      <c r="AO1222" s="71" t="s">
        <v>12254</v>
      </c>
      <c r="AP1222" s="161" t="str">
        <f>IMAGE("https://bellingcat-archive.nyc3.cdn.digitaloceanspaces.com/Ukraine_Witness_Datasheet/Worksheet/youtube_dl_1499364380441563147/out20.jpg")</f>
        <v/>
      </c>
      <c r="AQ1222" s="84" t="s">
        <v>12255</v>
      </c>
      <c r="AR1222" s="71" t="s">
        <v>12256</v>
      </c>
      <c r="AS1222" s="71" t="s">
        <v>12257</v>
      </c>
      <c r="AT1222" s="71">
        <v>64.033</v>
      </c>
      <c r="AU1222" s="89"/>
      <c r="AV1222" s="162"/>
      <c r="AW1222" s="81"/>
    </row>
    <row r="1223" ht="15.75" customHeight="1">
      <c r="A1223" s="204" t="s">
        <v>8023</v>
      </c>
      <c r="B1223" s="73"/>
      <c r="C1223" s="101" t="s">
        <v>12050</v>
      </c>
      <c r="D1223" s="104">
        <v>50.544566</v>
      </c>
      <c r="E1223" s="74">
        <v>30.190898</v>
      </c>
      <c r="F1223" s="79">
        <v>1.0</v>
      </c>
      <c r="G1223" s="60" t="s">
        <v>12258</v>
      </c>
      <c r="H1223" s="61" t="s">
        <v>66</v>
      </c>
      <c r="I1223" s="75"/>
      <c r="J1223" s="64" t="s">
        <v>12259</v>
      </c>
      <c r="K1223" s="69"/>
      <c r="L1223" s="65" t="s">
        <v>3542</v>
      </c>
      <c r="M1223" s="61" t="s">
        <v>5827</v>
      </c>
      <c r="N1223" s="73"/>
      <c r="O1223" s="61" t="s">
        <v>5868</v>
      </c>
      <c r="P1223" s="67" t="str">
        <f t="shared" si="1"/>
        <v>50.544566, 30.190898</v>
      </c>
      <c r="Q1223" s="67" t="str">
        <f t="shared" si="2"/>
        <v>50.544088, 30.190662</v>
      </c>
      <c r="R1223" s="67">
        <f t="shared" si="3"/>
        <v>50.544088</v>
      </c>
      <c r="S1223" s="67">
        <f t="shared" si="4"/>
        <v>30.190662</v>
      </c>
      <c r="T1223" s="71" t="s">
        <v>12260</v>
      </c>
      <c r="U1223" s="69"/>
      <c r="V1223" s="65" t="s">
        <v>12261</v>
      </c>
      <c r="W1223" s="71" t="s">
        <v>3601</v>
      </c>
      <c r="X1223" s="72" t="s">
        <v>2982</v>
      </c>
      <c r="Y1223" s="61" t="s">
        <v>75</v>
      </c>
      <c r="Z1223" s="61" t="s">
        <v>12262</v>
      </c>
      <c r="AA1223" s="73"/>
      <c r="AB1223" s="73"/>
      <c r="AC1223" s="73"/>
      <c r="AD1223" s="73"/>
      <c r="AE1223" s="73"/>
      <c r="AF1223" s="73"/>
      <c r="AG1223" s="73"/>
      <c r="AH1223" s="73"/>
      <c r="AI1223" s="73"/>
      <c r="AJ1223" s="161"/>
      <c r="AK1223" s="76" t="s">
        <v>798</v>
      </c>
      <c r="AL1223" s="83" t="s">
        <v>12263</v>
      </c>
      <c r="AM1223" s="71" t="s">
        <v>12264</v>
      </c>
      <c r="AN1223" s="84" t="s">
        <v>12265</v>
      </c>
      <c r="AO1223" s="71" t="s">
        <v>12266</v>
      </c>
      <c r="AP1223" s="161" t="str">
        <f>IMAGE("https://bellingcat-archive.nyc3.cdn.digitaloceanspaces.com/Ukraine_Witness_Datasheet/Worksheet/youtube_dl_1499366533625257989/out7.jpg")</f>
        <v/>
      </c>
      <c r="AQ1223" s="84" t="s">
        <v>12267</v>
      </c>
      <c r="AR1223" s="71" t="s">
        <v>12268</v>
      </c>
      <c r="AS1223" s="71" t="s">
        <v>12269</v>
      </c>
      <c r="AT1223" s="71">
        <v>36.533</v>
      </c>
      <c r="AU1223" s="89"/>
      <c r="AV1223" s="80" t="s">
        <v>88</v>
      </c>
      <c r="AW1223" s="81"/>
    </row>
    <row r="1224" ht="15.75" customHeight="1">
      <c r="A1224" s="357" t="s">
        <v>2580</v>
      </c>
      <c r="B1224" s="73"/>
      <c r="C1224" s="101" t="s">
        <v>12050</v>
      </c>
      <c r="D1224" s="376">
        <v>46.8422038922944</v>
      </c>
      <c r="E1224" s="104">
        <v>35.3731340780529</v>
      </c>
      <c r="F1224" s="79">
        <v>1.0</v>
      </c>
      <c r="G1224" s="84" t="s">
        <v>12270</v>
      </c>
      <c r="H1224" s="61" t="s">
        <v>66</v>
      </c>
      <c r="I1224" s="75"/>
      <c r="J1224" s="64" t="s">
        <v>12271</v>
      </c>
      <c r="K1224" s="88" t="s">
        <v>12272</v>
      </c>
      <c r="L1224" s="65" t="s">
        <v>3542</v>
      </c>
      <c r="M1224" s="412" t="s">
        <v>6167</v>
      </c>
      <c r="N1224" s="73"/>
      <c r="O1224" s="61" t="s">
        <v>6168</v>
      </c>
      <c r="P1224" s="67" t="str">
        <f t="shared" si="1"/>
        <v>46.8422038922944, 35.3731340780529</v>
      </c>
      <c r="Q1224" s="67" t="str">
        <f t="shared" si="2"/>
        <v>46.841855, 35.373738</v>
      </c>
      <c r="R1224" s="67">
        <f t="shared" si="3"/>
        <v>46.841855</v>
      </c>
      <c r="S1224" s="67">
        <f t="shared" si="4"/>
        <v>35.373738</v>
      </c>
      <c r="T1224" s="161"/>
      <c r="U1224" s="69"/>
      <c r="V1224" s="65" t="s">
        <v>12273</v>
      </c>
      <c r="W1224" s="71" t="s">
        <v>12274</v>
      </c>
      <c r="X1224" s="72" t="s">
        <v>5504</v>
      </c>
      <c r="Y1224" s="61" t="s">
        <v>2982</v>
      </c>
      <c r="Z1224" s="61" t="s">
        <v>12275</v>
      </c>
      <c r="AA1224" s="73"/>
      <c r="AB1224" s="73"/>
      <c r="AC1224" s="73"/>
      <c r="AD1224" s="73"/>
      <c r="AE1224" s="73"/>
      <c r="AF1224" s="73"/>
      <c r="AG1224" s="73"/>
      <c r="AH1224" s="73"/>
      <c r="AI1224" s="73"/>
      <c r="AJ1224" s="161"/>
      <c r="AK1224" s="76" t="s">
        <v>798</v>
      </c>
      <c r="AL1224" s="83" t="s">
        <v>12276</v>
      </c>
      <c r="AM1224" s="71" t="s">
        <v>12277</v>
      </c>
      <c r="AN1224" s="84" t="s">
        <v>12278</v>
      </c>
      <c r="AO1224" s="71" t="s">
        <v>12279</v>
      </c>
      <c r="AP1224" s="161" t="str">
        <f>IMAGE("https://bellingcat-archive.nyc3.cdn.digitaloceanspaces.com/Ukraine_Witness_Datasheet/Worksheet/youtube_dl_1499372565957160964/out7.jpg")</f>
        <v/>
      </c>
      <c r="AQ1224" s="84" t="s">
        <v>12280</v>
      </c>
      <c r="AR1224" s="71" t="s">
        <v>12281</v>
      </c>
      <c r="AS1224" s="71" t="s">
        <v>12282</v>
      </c>
      <c r="AT1224" s="71">
        <v>17.166</v>
      </c>
      <c r="AU1224" s="89"/>
      <c r="AV1224" s="162"/>
      <c r="AW1224" s="81"/>
    </row>
    <row r="1225" ht="15.75" customHeight="1">
      <c r="A1225" s="357" t="s">
        <v>6463</v>
      </c>
      <c r="B1225" s="73"/>
      <c r="C1225" s="101" t="s">
        <v>10973</v>
      </c>
      <c r="D1225" s="104">
        <v>49.9976534277652</v>
      </c>
      <c r="E1225" s="104">
        <v>36.2395948963528</v>
      </c>
      <c r="F1225" s="79">
        <v>3.0</v>
      </c>
      <c r="G1225" s="469" t="s">
        <v>11125</v>
      </c>
      <c r="H1225" s="61" t="s">
        <v>66</v>
      </c>
      <c r="I1225" s="75"/>
      <c r="J1225" s="64" t="s">
        <v>12283</v>
      </c>
      <c r="K1225" s="69"/>
      <c r="L1225" s="65" t="s">
        <v>3542</v>
      </c>
      <c r="M1225" s="61" t="s">
        <v>5590</v>
      </c>
      <c r="N1225" s="73"/>
      <c r="O1225" s="61" t="s">
        <v>5626</v>
      </c>
      <c r="P1225" s="67" t="str">
        <f t="shared" si="1"/>
        <v>49.9976534277652, 36.2395948963528</v>
      </c>
      <c r="Q1225" s="67" t="str">
        <f t="shared" si="2"/>
        <v>49.997445, 36.238883</v>
      </c>
      <c r="R1225" s="67">
        <f t="shared" si="3"/>
        <v>49.997445</v>
      </c>
      <c r="S1225" s="67">
        <f t="shared" si="4"/>
        <v>36.238883</v>
      </c>
      <c r="T1225" s="71" t="s">
        <v>12284</v>
      </c>
      <c r="U1225" s="69"/>
      <c r="V1225" s="65" t="s">
        <v>12285</v>
      </c>
      <c r="W1225" s="91" t="s">
        <v>6014</v>
      </c>
      <c r="X1225" s="72" t="s">
        <v>2982</v>
      </c>
      <c r="Y1225" s="61" t="s">
        <v>2982</v>
      </c>
      <c r="Z1225" s="61" t="s">
        <v>12262</v>
      </c>
      <c r="AA1225" s="73"/>
      <c r="AB1225" s="73"/>
      <c r="AC1225" s="73"/>
      <c r="AD1225" s="73"/>
      <c r="AE1225" s="73"/>
      <c r="AF1225" s="73"/>
      <c r="AG1225" s="73"/>
      <c r="AH1225" s="73"/>
      <c r="AI1225" s="73"/>
      <c r="AJ1225" s="161"/>
      <c r="AK1225" s="76" t="s">
        <v>930</v>
      </c>
      <c r="AL1225" s="83" t="s">
        <v>11129</v>
      </c>
      <c r="AM1225" s="71" t="s">
        <v>12286</v>
      </c>
      <c r="AN1225" s="84" t="s">
        <v>12287</v>
      </c>
      <c r="AO1225" s="71" t="s">
        <v>11132</v>
      </c>
      <c r="AP1225" s="161" t="str">
        <f>IMAGE("https://bellingcat-archive.nyc3.cdn.digitaloceanspaces.com/Ukraine_Witness_Datasheet/Worksheet/youtube_dl_1498906571916591110/out7.jpg")</f>
        <v/>
      </c>
      <c r="AQ1225" s="84" t="s">
        <v>11133</v>
      </c>
      <c r="AR1225" s="71" t="s">
        <v>11134</v>
      </c>
      <c r="AS1225" s="71" t="s">
        <v>11135</v>
      </c>
      <c r="AT1225" s="71">
        <v>8.366</v>
      </c>
      <c r="AU1225" s="89"/>
      <c r="AV1225" s="80" t="s">
        <v>88</v>
      </c>
      <c r="AW1225" s="81"/>
    </row>
    <row r="1226" ht="15.75" customHeight="1">
      <c r="A1226" s="208"/>
      <c r="B1226" s="73"/>
      <c r="C1226" s="101" t="s">
        <v>12050</v>
      </c>
      <c r="D1226" s="121"/>
      <c r="E1226" s="121"/>
      <c r="F1226" s="79">
        <v>3.0</v>
      </c>
      <c r="G1226" s="84" t="s">
        <v>12288</v>
      </c>
      <c r="H1226" s="61" t="s">
        <v>5368</v>
      </c>
      <c r="I1226" s="75"/>
      <c r="J1226" s="64" t="s">
        <v>12289</v>
      </c>
      <c r="K1226" s="69"/>
      <c r="L1226" s="65" t="s">
        <v>3542</v>
      </c>
      <c r="M1226" s="61" t="s">
        <v>5827</v>
      </c>
      <c r="N1226" s="73"/>
      <c r="O1226" s="74" t="s">
        <v>7832</v>
      </c>
      <c r="P1226" s="67" t="str">
        <f t="shared" si="1"/>
        <v/>
      </c>
      <c r="Q1226" s="67" t="str">
        <f t="shared" si="2"/>
        <v/>
      </c>
      <c r="R1226" s="67" t="str">
        <f t="shared" si="3"/>
        <v/>
      </c>
      <c r="S1226" s="67" t="str">
        <f t="shared" si="4"/>
        <v/>
      </c>
      <c r="T1226" s="161"/>
      <c r="U1226" s="69"/>
      <c r="V1226" s="65" t="s">
        <v>12290</v>
      </c>
      <c r="W1226" s="71" t="s">
        <v>3601</v>
      </c>
      <c r="X1226" s="194"/>
      <c r="Y1226" s="73"/>
      <c r="Z1226" s="73"/>
      <c r="AA1226" s="73"/>
      <c r="AB1226" s="73"/>
      <c r="AC1226" s="73"/>
      <c r="AD1226" s="73"/>
      <c r="AE1226" s="73"/>
      <c r="AF1226" s="73"/>
      <c r="AG1226" s="73"/>
      <c r="AH1226" s="73"/>
      <c r="AI1226" s="73"/>
      <c r="AJ1226" s="161"/>
      <c r="AK1226" s="76" t="s">
        <v>2108</v>
      </c>
      <c r="AL1226" s="83" t="s">
        <v>12291</v>
      </c>
      <c r="AM1226" s="71" t="s">
        <v>12292</v>
      </c>
      <c r="AN1226" s="84" t="s">
        <v>12293</v>
      </c>
      <c r="AO1226" s="71" t="s">
        <v>12294</v>
      </c>
      <c r="AP1226" s="161" t="str">
        <f>IMAGE("https://bellingcat-archive.nyc3.cdn.digitaloceanspaces.com/Ukraine_Witness_Datasheet/Worksheet/twitter__media_FM7X-7NX0AElAuK.jpg")</f>
        <v/>
      </c>
      <c r="AQ1226" s="161"/>
      <c r="AR1226" s="161"/>
      <c r="AS1226" s="71" t="s">
        <v>12295</v>
      </c>
      <c r="AT1226" s="161"/>
      <c r="AU1226" s="89"/>
      <c r="AV1226" s="162"/>
      <c r="AW1226" s="81"/>
    </row>
    <row r="1227" ht="15.75" customHeight="1">
      <c r="A1227" s="208"/>
      <c r="B1227" s="73"/>
      <c r="C1227" s="101" t="s">
        <v>12050</v>
      </c>
      <c r="D1227" s="121"/>
      <c r="E1227" s="121"/>
      <c r="F1227" s="79">
        <v>3.0</v>
      </c>
      <c r="G1227" s="84" t="s">
        <v>12296</v>
      </c>
      <c r="H1227" s="61" t="s">
        <v>5522</v>
      </c>
      <c r="I1227" s="75"/>
      <c r="J1227" s="64" t="s">
        <v>12259</v>
      </c>
      <c r="K1227" s="69"/>
      <c r="L1227" s="65" t="s">
        <v>3542</v>
      </c>
      <c r="M1227" s="61" t="s">
        <v>5827</v>
      </c>
      <c r="N1227" s="73"/>
      <c r="O1227" s="61" t="s">
        <v>5868</v>
      </c>
      <c r="P1227" s="67" t="str">
        <f t="shared" si="1"/>
        <v/>
      </c>
      <c r="Q1227" s="67" t="str">
        <f t="shared" si="2"/>
        <v/>
      </c>
      <c r="R1227" s="67" t="str">
        <f t="shared" si="3"/>
        <v/>
      </c>
      <c r="S1227" s="67" t="str">
        <f t="shared" si="4"/>
        <v/>
      </c>
      <c r="T1227" s="161"/>
      <c r="U1227" s="69"/>
      <c r="V1227" s="65" t="s">
        <v>12297</v>
      </c>
      <c r="W1227" s="71" t="s">
        <v>3601</v>
      </c>
      <c r="X1227" s="208"/>
      <c r="Y1227" s="73"/>
      <c r="Z1227" s="73"/>
      <c r="AA1227" s="73"/>
      <c r="AB1227" s="73"/>
      <c r="AC1227" s="73"/>
      <c r="AD1227" s="73"/>
      <c r="AE1227" s="73"/>
      <c r="AF1227" s="73"/>
      <c r="AG1227" s="73"/>
      <c r="AH1227" s="73"/>
      <c r="AI1227" s="73"/>
      <c r="AJ1227" s="161"/>
      <c r="AK1227" s="76" t="s">
        <v>798</v>
      </c>
      <c r="AL1227" s="83" t="s">
        <v>12298</v>
      </c>
      <c r="AM1227" s="71" t="s">
        <v>12299</v>
      </c>
      <c r="AN1227" s="84" t="s">
        <v>12300</v>
      </c>
      <c r="AO1227" s="71" t="s">
        <v>12301</v>
      </c>
      <c r="AP1227" s="161" t="str">
        <f>IMAGE("https://bellingcat-archive.nyc3.cdn.digitaloceanspaces.com/Ukraine_Witness_Datasheet/Worksheet/youtube_dl_1499374386968674314/out7.jpg")</f>
        <v/>
      </c>
      <c r="AQ1227" s="84" t="s">
        <v>12302</v>
      </c>
      <c r="AR1227" s="71" t="s">
        <v>12303</v>
      </c>
      <c r="AS1227" s="71" t="s">
        <v>12304</v>
      </c>
      <c r="AT1227" s="71">
        <v>20.967</v>
      </c>
      <c r="AU1227" s="89"/>
      <c r="AV1227" s="162"/>
      <c r="AW1227" s="81"/>
    </row>
    <row r="1228" ht="15.75" customHeight="1">
      <c r="A1228" s="444" t="s">
        <v>7092</v>
      </c>
      <c r="B1228" s="73"/>
      <c r="C1228" s="470">
        <v>44564.0</v>
      </c>
      <c r="D1228" s="192">
        <v>50.471365</v>
      </c>
      <c r="E1228" s="471">
        <v>30.453854</v>
      </c>
      <c r="F1228" s="79">
        <v>3.0</v>
      </c>
      <c r="G1228" s="273" t="s">
        <v>12305</v>
      </c>
      <c r="H1228" s="73"/>
      <c r="I1228" s="381" t="s">
        <v>12306</v>
      </c>
      <c r="J1228" s="276" t="s">
        <v>12307</v>
      </c>
      <c r="K1228" s="69"/>
      <c r="L1228" s="65" t="s">
        <v>3542</v>
      </c>
      <c r="M1228" s="61" t="s">
        <v>5827</v>
      </c>
      <c r="N1228" s="73"/>
      <c r="O1228" s="61" t="s">
        <v>6121</v>
      </c>
      <c r="P1228" s="67" t="str">
        <f t="shared" si="1"/>
        <v>50.471365, 30.453854</v>
      </c>
      <c r="Q1228" s="67" t="str">
        <f t="shared" si="2"/>
        <v>50.470633, 30.453462</v>
      </c>
      <c r="R1228" s="67">
        <f t="shared" si="3"/>
        <v>50.470633</v>
      </c>
      <c r="S1228" s="67">
        <f t="shared" si="4"/>
        <v>30.453462</v>
      </c>
      <c r="T1228" s="161"/>
      <c r="U1228" s="69"/>
      <c r="V1228" s="65" t="s">
        <v>12308</v>
      </c>
      <c r="W1228" s="71" t="s">
        <v>3601</v>
      </c>
      <c r="X1228" s="72" t="s">
        <v>5504</v>
      </c>
      <c r="Y1228" s="216" t="s">
        <v>5820</v>
      </c>
      <c r="Z1228" s="73"/>
      <c r="AA1228" s="73"/>
      <c r="AB1228" s="73"/>
      <c r="AC1228" s="73"/>
      <c r="AD1228" s="73"/>
      <c r="AE1228" s="73"/>
      <c r="AF1228" s="73"/>
      <c r="AG1228" s="73"/>
      <c r="AH1228" s="73"/>
      <c r="AI1228" s="73"/>
      <c r="AJ1228" s="161"/>
      <c r="AK1228" s="76" t="s">
        <v>6276</v>
      </c>
      <c r="AL1228" s="83" t="s">
        <v>12309</v>
      </c>
      <c r="AM1228" s="71" t="s">
        <v>12310</v>
      </c>
      <c r="AN1228" s="84" t="s">
        <v>12311</v>
      </c>
      <c r="AO1228" s="71" t="s">
        <v>12312</v>
      </c>
      <c r="AP1228" s="161" t="str">
        <f>IMAGE("https://bellingcat-archive.nyc3.cdn.digitaloceanspaces.com/Ukraine_Witness_Datasheet/Worksheet/telegram_8b95d41fd4/out7.jpg")</f>
        <v/>
      </c>
      <c r="AQ1228" s="84" t="s">
        <v>12313</v>
      </c>
      <c r="AR1228" s="84" t="s">
        <v>12305</v>
      </c>
      <c r="AS1228" s="71" t="s">
        <v>12314</v>
      </c>
      <c r="AT1228" s="71">
        <v>25.0</v>
      </c>
      <c r="AU1228" s="89"/>
      <c r="AV1228" s="162"/>
      <c r="AW1228" s="81"/>
    </row>
    <row r="1229" ht="15.75" customHeight="1">
      <c r="A1229" s="444" t="s">
        <v>10579</v>
      </c>
      <c r="B1229" s="73"/>
      <c r="C1229" s="470">
        <v>44595.0</v>
      </c>
      <c r="D1229" s="192">
        <v>49.931075</v>
      </c>
      <c r="E1229" s="471">
        <v>36.416403</v>
      </c>
      <c r="F1229" s="79">
        <v>3.0</v>
      </c>
      <c r="G1229" s="273" t="s">
        <v>12315</v>
      </c>
      <c r="H1229" s="73"/>
      <c r="I1229" s="381" t="s">
        <v>12316</v>
      </c>
      <c r="J1229" s="276" t="s">
        <v>12317</v>
      </c>
      <c r="K1229" s="69"/>
      <c r="L1229" s="65" t="s">
        <v>5670</v>
      </c>
      <c r="M1229" s="61" t="s">
        <v>5590</v>
      </c>
      <c r="N1229" s="73"/>
      <c r="O1229" s="61" t="s">
        <v>5626</v>
      </c>
      <c r="P1229" s="67" t="str">
        <f t="shared" si="1"/>
        <v>49.931075, 36.416403</v>
      </c>
      <c r="Q1229" s="67" t="str">
        <f t="shared" si="2"/>
        <v>49.930995, 36.417375</v>
      </c>
      <c r="R1229" s="67">
        <f t="shared" si="3"/>
        <v>49.930995</v>
      </c>
      <c r="S1229" s="67">
        <f t="shared" si="4"/>
        <v>36.417375</v>
      </c>
      <c r="T1229" s="161"/>
      <c r="U1229" s="69"/>
      <c r="V1229" s="65" t="s">
        <v>12318</v>
      </c>
      <c r="W1229" s="71" t="s">
        <v>3601</v>
      </c>
      <c r="X1229" s="72" t="s">
        <v>5504</v>
      </c>
      <c r="Y1229" s="216" t="s">
        <v>5820</v>
      </c>
      <c r="Z1229" s="73"/>
      <c r="AA1229" s="73"/>
      <c r="AB1229" s="73"/>
      <c r="AC1229" s="73"/>
      <c r="AD1229" s="73"/>
      <c r="AE1229" s="73"/>
      <c r="AF1229" s="73"/>
      <c r="AG1229" s="73"/>
      <c r="AH1229" s="73"/>
      <c r="AI1229" s="73"/>
      <c r="AJ1229" s="161"/>
      <c r="AK1229" s="76" t="s">
        <v>6276</v>
      </c>
      <c r="AL1229" s="83" t="s">
        <v>12319</v>
      </c>
      <c r="AM1229" s="71" t="s">
        <v>12320</v>
      </c>
      <c r="AN1229" s="84" t="s">
        <v>12321</v>
      </c>
      <c r="AO1229" s="71" t="s">
        <v>12322</v>
      </c>
      <c r="AP1229" s="161" t="str">
        <f>IMAGE("https://bellingcat-archive.nyc3.cdn.digitaloceanspaces.com/Ukraine_Witness_Datasheet/Worksheet/telegram_f5d71ac551/out7.jpg")</f>
        <v/>
      </c>
      <c r="AQ1229" s="84" t="s">
        <v>12323</v>
      </c>
      <c r="AR1229" s="84" t="s">
        <v>12315</v>
      </c>
      <c r="AS1229" s="71" t="s">
        <v>12324</v>
      </c>
      <c r="AT1229" s="71">
        <v>31.0</v>
      </c>
      <c r="AU1229" s="89"/>
      <c r="AV1229" s="162"/>
      <c r="AW1229" s="81"/>
    </row>
    <row r="1230" ht="15.75" customHeight="1">
      <c r="A1230" s="444" t="s">
        <v>7092</v>
      </c>
      <c r="B1230" s="73"/>
      <c r="C1230" s="470">
        <v>44595.0</v>
      </c>
      <c r="D1230" s="192">
        <v>49.99929</v>
      </c>
      <c r="E1230" s="192">
        <v>36.23671</v>
      </c>
      <c r="F1230" s="79">
        <v>3.0</v>
      </c>
      <c r="G1230" s="273" t="s">
        <v>12325</v>
      </c>
      <c r="H1230" s="73"/>
      <c r="I1230" s="381" t="s">
        <v>12326</v>
      </c>
      <c r="J1230" s="276" t="s">
        <v>12327</v>
      </c>
      <c r="K1230" s="69"/>
      <c r="L1230" s="65" t="s">
        <v>5670</v>
      </c>
      <c r="M1230" s="61" t="s">
        <v>5590</v>
      </c>
      <c r="N1230" s="73"/>
      <c r="O1230" s="61" t="s">
        <v>5626</v>
      </c>
      <c r="P1230" s="67" t="str">
        <f t="shared" si="1"/>
        <v>49.99929, 36.23671</v>
      </c>
      <c r="Q1230" s="67" t="str">
        <f t="shared" si="2"/>
        <v>49.998827, 36.237063</v>
      </c>
      <c r="R1230" s="67">
        <f t="shared" si="3"/>
        <v>49.998827</v>
      </c>
      <c r="S1230" s="67">
        <f t="shared" si="4"/>
        <v>36.237063</v>
      </c>
      <c r="T1230" s="161"/>
      <c r="U1230" s="69"/>
      <c r="V1230" s="65" t="s">
        <v>12328</v>
      </c>
      <c r="W1230" s="71" t="s">
        <v>3601</v>
      </c>
      <c r="X1230" s="72" t="s">
        <v>5504</v>
      </c>
      <c r="Y1230" s="216" t="s">
        <v>5820</v>
      </c>
      <c r="Z1230" s="73"/>
      <c r="AA1230" s="73"/>
      <c r="AB1230" s="73"/>
      <c r="AC1230" s="73"/>
      <c r="AD1230" s="73"/>
      <c r="AE1230" s="73"/>
      <c r="AF1230" s="73"/>
      <c r="AG1230" s="73"/>
      <c r="AH1230" s="73"/>
      <c r="AI1230" s="73"/>
      <c r="AJ1230" s="161"/>
      <c r="AK1230" s="76" t="s">
        <v>6276</v>
      </c>
      <c r="AL1230" s="83" t="s">
        <v>12329</v>
      </c>
      <c r="AM1230" s="71" t="s">
        <v>12330</v>
      </c>
      <c r="AN1230" s="84" t="s">
        <v>12331</v>
      </c>
      <c r="AO1230" s="71" t="s">
        <v>12332</v>
      </c>
      <c r="AP1230" s="161" t="str">
        <f>IMAGE("https://bellingcat-archive.nyc3.cdn.digitaloceanspaces.com/Ukraine_Witness_Datasheet/Worksheet/telegram_33e2a12b65/out7.jpg")</f>
        <v/>
      </c>
      <c r="AQ1230" s="84" t="s">
        <v>12333</v>
      </c>
      <c r="AR1230" s="84" t="s">
        <v>12325</v>
      </c>
      <c r="AS1230" s="71" t="s">
        <v>12334</v>
      </c>
      <c r="AT1230" s="71">
        <v>32.0</v>
      </c>
      <c r="AU1230" s="89"/>
      <c r="AV1230" s="162"/>
      <c r="AW1230" s="81"/>
    </row>
    <row r="1231" ht="15.75" customHeight="1">
      <c r="A1231" s="444" t="s">
        <v>7092</v>
      </c>
      <c r="B1231" s="73"/>
      <c r="C1231" s="470">
        <v>44595.0</v>
      </c>
      <c r="D1231" s="192">
        <v>49.937978</v>
      </c>
      <c r="E1231" s="471">
        <v>36.40366</v>
      </c>
      <c r="F1231" s="79">
        <v>3.0</v>
      </c>
      <c r="G1231" s="273" t="s">
        <v>12335</v>
      </c>
      <c r="H1231" s="73"/>
      <c r="I1231" s="381" t="s">
        <v>12336</v>
      </c>
      <c r="J1231" s="290" t="s">
        <v>12337</v>
      </c>
      <c r="K1231" s="69"/>
      <c r="L1231" s="65" t="s">
        <v>3542</v>
      </c>
      <c r="M1231" s="61" t="s">
        <v>5590</v>
      </c>
      <c r="N1231" s="73"/>
      <c r="O1231" s="61" t="s">
        <v>5626</v>
      </c>
      <c r="P1231" s="67" t="str">
        <f t="shared" si="1"/>
        <v>49.937978, 36.40366</v>
      </c>
      <c r="Q1231" s="67" t="str">
        <f t="shared" si="2"/>
        <v>49.937838, 36.4042</v>
      </c>
      <c r="R1231" s="67">
        <f t="shared" si="3"/>
        <v>49.937838</v>
      </c>
      <c r="S1231" s="67">
        <f t="shared" si="4"/>
        <v>36.4042</v>
      </c>
      <c r="T1231" s="161"/>
      <c r="U1231" s="69"/>
      <c r="V1231" s="65" t="s">
        <v>12338</v>
      </c>
      <c r="W1231" s="71" t="s">
        <v>3601</v>
      </c>
      <c r="X1231" s="72" t="s">
        <v>5504</v>
      </c>
      <c r="Y1231" s="216" t="s">
        <v>5820</v>
      </c>
      <c r="Z1231" s="73"/>
      <c r="AA1231" s="73"/>
      <c r="AB1231" s="73"/>
      <c r="AC1231" s="73"/>
      <c r="AD1231" s="73"/>
      <c r="AE1231" s="73"/>
      <c r="AF1231" s="73"/>
      <c r="AG1231" s="73"/>
      <c r="AH1231" s="73"/>
      <c r="AI1231" s="73"/>
      <c r="AJ1231" s="161"/>
      <c r="AK1231" s="76" t="s">
        <v>6276</v>
      </c>
      <c r="AL1231" s="83" t="s">
        <v>12339</v>
      </c>
      <c r="AM1231" s="71" t="s">
        <v>12340</v>
      </c>
      <c r="AN1231" s="84" t="s">
        <v>12341</v>
      </c>
      <c r="AO1231" s="71" t="s">
        <v>12342</v>
      </c>
      <c r="AP1231" s="161" t="str">
        <f>IMAGE("https://bellingcat-archive.nyc3.cdn.digitaloceanspaces.com/Ukraine_Witness_Datasheet/Worksheet/telegram_807c07766a/out7.jpg")</f>
        <v/>
      </c>
      <c r="AQ1231" s="84" t="s">
        <v>12343</v>
      </c>
      <c r="AR1231" s="84" t="s">
        <v>12335</v>
      </c>
      <c r="AS1231" s="71" t="s">
        <v>12344</v>
      </c>
      <c r="AT1231" s="71">
        <v>20.0</v>
      </c>
      <c r="AU1231" s="89"/>
      <c r="AV1231" s="162"/>
      <c r="AW1231" s="81"/>
    </row>
    <row r="1232" ht="15.75" customHeight="1">
      <c r="A1232" s="472" t="s">
        <v>6924</v>
      </c>
      <c r="B1232" s="73"/>
      <c r="C1232" s="470">
        <v>44595.0</v>
      </c>
      <c r="D1232" s="289"/>
      <c r="E1232" s="260"/>
      <c r="F1232" s="89"/>
      <c r="G1232" s="391" t="s">
        <v>12345</v>
      </c>
      <c r="H1232" s="73"/>
      <c r="I1232" s="381" t="s">
        <v>12346</v>
      </c>
      <c r="J1232" s="276" t="s">
        <v>12347</v>
      </c>
      <c r="K1232" s="69"/>
      <c r="L1232" s="70"/>
      <c r="M1232" s="73"/>
      <c r="N1232" s="73"/>
      <c r="O1232" s="73"/>
      <c r="P1232" s="67" t="str">
        <f t="shared" si="1"/>
        <v/>
      </c>
      <c r="Q1232" s="67" t="str">
        <f t="shared" si="2"/>
        <v/>
      </c>
      <c r="R1232" s="67" t="str">
        <f t="shared" si="3"/>
        <v/>
      </c>
      <c r="S1232" s="67" t="str">
        <f t="shared" si="4"/>
        <v/>
      </c>
      <c r="T1232" s="161"/>
      <c r="U1232" s="69"/>
      <c r="V1232" s="65" t="s">
        <v>12348</v>
      </c>
      <c r="W1232" s="161"/>
      <c r="X1232" s="194"/>
      <c r="Y1232" s="216" t="s">
        <v>5820</v>
      </c>
      <c r="Z1232" s="73"/>
      <c r="AA1232" s="73"/>
      <c r="AB1232" s="73"/>
      <c r="AC1232" s="73"/>
      <c r="AD1232" s="73"/>
      <c r="AE1232" s="73"/>
      <c r="AF1232" s="73"/>
      <c r="AG1232" s="73"/>
      <c r="AH1232" s="73"/>
      <c r="AI1232" s="73"/>
      <c r="AJ1232" s="161"/>
      <c r="AK1232" s="76" t="s">
        <v>798</v>
      </c>
      <c r="AL1232" s="83" t="s">
        <v>12349</v>
      </c>
      <c r="AM1232" s="71" t="s">
        <v>12350</v>
      </c>
      <c r="AN1232" s="84" t="s">
        <v>12351</v>
      </c>
      <c r="AO1232" s="71" t="s">
        <v>12352</v>
      </c>
      <c r="AP1232" s="161" t="str">
        <f>IMAGE("https://bellingcat-archive.nyc3.cdn.digitaloceanspaces.com/Ukraine_Witness_Datasheet/Worksheet/youtube_dl_1498896758641987584/out7.jpg")</f>
        <v/>
      </c>
      <c r="AQ1232" s="84" t="s">
        <v>12353</v>
      </c>
      <c r="AR1232" s="71" t="s">
        <v>12354</v>
      </c>
      <c r="AS1232" s="71" t="s">
        <v>12355</v>
      </c>
      <c r="AT1232" s="71">
        <v>13.4</v>
      </c>
      <c r="AU1232" s="89"/>
      <c r="AV1232" s="162"/>
      <c r="AW1232" s="81"/>
    </row>
    <row r="1233" ht="15.75" customHeight="1">
      <c r="A1233" s="472" t="s">
        <v>6924</v>
      </c>
      <c r="B1233" s="73"/>
      <c r="C1233" s="470">
        <v>44595.0</v>
      </c>
      <c r="D1233" s="285" t="s">
        <v>12356</v>
      </c>
      <c r="E1233" s="241" t="s">
        <v>12356</v>
      </c>
      <c r="F1233" s="89"/>
      <c r="G1233" s="391" t="s">
        <v>12357</v>
      </c>
      <c r="H1233" s="73"/>
      <c r="I1233" s="381" t="s">
        <v>12358</v>
      </c>
      <c r="J1233" s="276" t="s">
        <v>12359</v>
      </c>
      <c r="K1233" s="69"/>
      <c r="L1233" s="70"/>
      <c r="M1233" s="73"/>
      <c r="N1233" s="73"/>
      <c r="O1233" s="73"/>
      <c r="P1233" s="67" t="str">
        <f t="shared" si="1"/>
        <v>49.935265, 49.935265</v>
      </c>
      <c r="Q1233" s="67" t="str">
        <f t="shared" si="2"/>
        <v>49.934709, 49.935784</v>
      </c>
      <c r="R1233" s="67">
        <f t="shared" si="3"/>
        <v>49.934709</v>
      </c>
      <c r="S1233" s="67">
        <f t="shared" si="4"/>
        <v>49.935784</v>
      </c>
      <c r="T1233" s="161"/>
      <c r="U1233" s="69"/>
      <c r="V1233" s="65" t="s">
        <v>12360</v>
      </c>
      <c r="W1233" s="161"/>
      <c r="X1233" s="194"/>
      <c r="Y1233" s="216" t="s">
        <v>5820</v>
      </c>
      <c r="Z1233" s="73"/>
      <c r="AA1233" s="73"/>
      <c r="AB1233" s="73"/>
      <c r="AC1233" s="73"/>
      <c r="AD1233" s="73"/>
      <c r="AE1233" s="73"/>
      <c r="AF1233" s="73"/>
      <c r="AG1233" s="73"/>
      <c r="AH1233" s="73"/>
      <c r="AI1233" s="73"/>
      <c r="AJ1233" s="161"/>
      <c r="AK1233" s="76" t="s">
        <v>798</v>
      </c>
      <c r="AL1233" s="83" t="s">
        <v>12361</v>
      </c>
      <c r="AM1233" s="71" t="s">
        <v>12362</v>
      </c>
      <c r="AN1233" s="84" t="s">
        <v>12363</v>
      </c>
      <c r="AO1233" s="71" t="s">
        <v>12364</v>
      </c>
      <c r="AP1233" s="161" t="str">
        <f>IMAGE("https://bellingcat-archive.nyc3.cdn.digitaloceanspaces.com/Ukraine_Witness_Datasheet/Worksheet/youtube_dl_1498906055534952449/out7.jpg")</f>
        <v/>
      </c>
      <c r="AQ1233" s="84" t="s">
        <v>12365</v>
      </c>
      <c r="AR1233" s="71" t="s">
        <v>12366</v>
      </c>
      <c r="AS1233" s="71" t="s">
        <v>12367</v>
      </c>
      <c r="AT1233" s="71">
        <v>37.733</v>
      </c>
      <c r="AU1233" s="89"/>
      <c r="AV1233" s="162"/>
      <c r="AW1233" s="81"/>
    </row>
    <row r="1234" ht="15.75" customHeight="1">
      <c r="A1234" s="472" t="s">
        <v>6924</v>
      </c>
      <c r="B1234" s="73"/>
      <c r="C1234" s="470">
        <v>44564.0</v>
      </c>
      <c r="D1234" s="289"/>
      <c r="E1234" s="289"/>
      <c r="F1234" s="89"/>
      <c r="G1234" s="273" t="s">
        <v>12368</v>
      </c>
      <c r="H1234" s="73"/>
      <c r="I1234" s="381" t="s">
        <v>12369</v>
      </c>
      <c r="J1234" s="276" t="s">
        <v>12370</v>
      </c>
      <c r="K1234" s="69"/>
      <c r="L1234" s="70"/>
      <c r="M1234" s="73"/>
      <c r="N1234" s="73"/>
      <c r="O1234" s="73"/>
      <c r="P1234" s="67" t="str">
        <f t="shared" si="1"/>
        <v/>
      </c>
      <c r="Q1234" s="67" t="str">
        <f t="shared" si="2"/>
        <v/>
      </c>
      <c r="R1234" s="67" t="str">
        <f t="shared" si="3"/>
        <v/>
      </c>
      <c r="S1234" s="67" t="str">
        <f t="shared" si="4"/>
        <v/>
      </c>
      <c r="T1234" s="161"/>
      <c r="U1234" s="69"/>
      <c r="V1234" s="65" t="s">
        <v>12371</v>
      </c>
      <c r="W1234" s="161"/>
      <c r="X1234" s="194"/>
      <c r="Y1234" s="216" t="s">
        <v>5820</v>
      </c>
      <c r="Z1234" s="73"/>
      <c r="AA1234" s="73"/>
      <c r="AB1234" s="73"/>
      <c r="AC1234" s="73"/>
      <c r="AD1234" s="73"/>
      <c r="AE1234" s="73"/>
      <c r="AF1234" s="73"/>
      <c r="AG1234" s="73"/>
      <c r="AH1234" s="73"/>
      <c r="AI1234" s="73"/>
      <c r="AJ1234" s="161"/>
      <c r="AK1234" s="76" t="s">
        <v>798</v>
      </c>
      <c r="AL1234" s="83" t="s">
        <v>12372</v>
      </c>
      <c r="AM1234" s="71" t="s">
        <v>12373</v>
      </c>
      <c r="AN1234" s="84" t="s">
        <v>12374</v>
      </c>
      <c r="AO1234" s="71" t="s">
        <v>6885</v>
      </c>
      <c r="AP1234" s="161"/>
      <c r="AQ1234" s="71" t="s">
        <v>6886</v>
      </c>
      <c r="AR1234" s="71" t="s">
        <v>12375</v>
      </c>
      <c r="AS1234" s="161"/>
      <c r="AT1234" s="161"/>
      <c r="AU1234" s="89"/>
      <c r="AV1234" s="162"/>
      <c r="AW1234" s="81"/>
    </row>
    <row r="1235" ht="15.75" customHeight="1">
      <c r="A1235" s="473" t="s">
        <v>7092</v>
      </c>
      <c r="B1235" s="73"/>
      <c r="C1235" s="470">
        <v>44595.0</v>
      </c>
      <c r="D1235" s="335">
        <v>49.99929</v>
      </c>
      <c r="E1235" s="280">
        <v>36.23671</v>
      </c>
      <c r="F1235" s="79">
        <v>3.0</v>
      </c>
      <c r="G1235" s="391" t="s">
        <v>12376</v>
      </c>
      <c r="H1235" s="73"/>
      <c r="I1235" s="389" t="s">
        <v>12377</v>
      </c>
      <c r="J1235" s="276" t="s">
        <v>12378</v>
      </c>
      <c r="K1235" s="69"/>
      <c r="L1235" s="65" t="s">
        <v>3542</v>
      </c>
      <c r="M1235" s="61" t="s">
        <v>5590</v>
      </c>
      <c r="N1235" s="73"/>
      <c r="O1235" s="61" t="s">
        <v>5626</v>
      </c>
      <c r="P1235" s="67" t="str">
        <f t="shared" si="1"/>
        <v>49.99929, 36.23671</v>
      </c>
      <c r="Q1235" s="67" t="str">
        <f t="shared" si="2"/>
        <v>49.998892, 36.237261</v>
      </c>
      <c r="R1235" s="67">
        <f t="shared" si="3"/>
        <v>49.998892</v>
      </c>
      <c r="S1235" s="67">
        <f t="shared" si="4"/>
        <v>36.237261</v>
      </c>
      <c r="T1235" s="161"/>
      <c r="U1235" s="69"/>
      <c r="V1235" s="65" t="s">
        <v>12379</v>
      </c>
      <c r="W1235" s="71" t="s">
        <v>3601</v>
      </c>
      <c r="X1235" s="229" t="s">
        <v>12380</v>
      </c>
      <c r="Y1235" s="61" t="s">
        <v>2982</v>
      </c>
      <c r="Z1235" s="61" t="s">
        <v>12381</v>
      </c>
      <c r="AA1235" s="73"/>
      <c r="AB1235" s="73"/>
      <c r="AC1235" s="73"/>
      <c r="AD1235" s="73"/>
      <c r="AE1235" s="73"/>
      <c r="AF1235" s="73"/>
      <c r="AG1235" s="73"/>
      <c r="AH1235" s="73"/>
      <c r="AI1235" s="73"/>
      <c r="AJ1235" s="161"/>
      <c r="AK1235" s="76" t="s">
        <v>930</v>
      </c>
      <c r="AL1235" s="83" t="s">
        <v>11023</v>
      </c>
      <c r="AM1235" s="71" t="s">
        <v>12382</v>
      </c>
      <c r="AN1235" s="84" t="s">
        <v>12383</v>
      </c>
      <c r="AO1235" s="71" t="s">
        <v>11026</v>
      </c>
      <c r="AP1235" s="161" t="str">
        <f>IMAGE("https://bellingcat-archive.nyc3.cdn.digitaloceanspaces.com/Ukraine_Witness_Datasheet/Worksheet/youtube_dl_1498914132225048576/out7.jpg")</f>
        <v/>
      </c>
      <c r="AQ1235" s="84" t="s">
        <v>11027</v>
      </c>
      <c r="AR1235" s="71" t="s">
        <v>11028</v>
      </c>
      <c r="AS1235" s="71" t="s">
        <v>11029</v>
      </c>
      <c r="AT1235" s="71">
        <v>37.633</v>
      </c>
      <c r="AU1235" s="89"/>
      <c r="AV1235" s="162"/>
      <c r="AW1235" s="203" t="s">
        <v>12384</v>
      </c>
    </row>
    <row r="1236" ht="15.75" customHeight="1">
      <c r="A1236" s="444" t="s">
        <v>6682</v>
      </c>
      <c r="B1236" s="73"/>
      <c r="C1236" s="470">
        <v>44564.0</v>
      </c>
      <c r="D1236" s="192">
        <v>49.950525</v>
      </c>
      <c r="E1236" s="192">
        <v>36.154524</v>
      </c>
      <c r="F1236" s="79">
        <v>3.0</v>
      </c>
      <c r="G1236" s="391" t="s">
        <v>12385</v>
      </c>
      <c r="H1236" s="73"/>
      <c r="I1236" s="381" t="s">
        <v>12386</v>
      </c>
      <c r="J1236" s="276" t="s">
        <v>12387</v>
      </c>
      <c r="K1236" s="69"/>
      <c r="L1236" s="65" t="s">
        <v>3542</v>
      </c>
      <c r="M1236" s="61" t="s">
        <v>5590</v>
      </c>
      <c r="N1236" s="73"/>
      <c r="O1236" s="61" t="s">
        <v>5626</v>
      </c>
      <c r="P1236" s="67" t="str">
        <f t="shared" si="1"/>
        <v>49.950525, 36.154524</v>
      </c>
      <c r="Q1236" s="67" t="str">
        <f t="shared" si="2"/>
        <v>49.950439, 36.153699</v>
      </c>
      <c r="R1236" s="67">
        <f t="shared" si="3"/>
        <v>49.950439</v>
      </c>
      <c r="S1236" s="67">
        <f t="shared" si="4"/>
        <v>36.153699</v>
      </c>
      <c r="T1236" s="161"/>
      <c r="U1236" s="69"/>
      <c r="V1236" s="65" t="s">
        <v>12388</v>
      </c>
      <c r="W1236" s="71" t="s">
        <v>3601</v>
      </c>
      <c r="X1236" s="72" t="s">
        <v>5504</v>
      </c>
      <c r="Y1236" s="61" t="s">
        <v>2982</v>
      </c>
      <c r="Z1236" s="61" t="s">
        <v>12389</v>
      </c>
      <c r="AA1236" s="73"/>
      <c r="AB1236" s="73"/>
      <c r="AC1236" s="73"/>
      <c r="AD1236" s="73"/>
      <c r="AE1236" s="73"/>
      <c r="AF1236" s="73"/>
      <c r="AG1236" s="73"/>
      <c r="AH1236" s="73"/>
      <c r="AI1236" s="73"/>
      <c r="AJ1236" s="161"/>
      <c r="AK1236" s="76" t="s">
        <v>798</v>
      </c>
      <c r="AL1236" s="83" t="s">
        <v>12390</v>
      </c>
      <c r="AM1236" s="71" t="s">
        <v>12391</v>
      </c>
      <c r="AN1236" s="84" t="s">
        <v>12392</v>
      </c>
      <c r="AO1236" s="71" t="s">
        <v>12393</v>
      </c>
      <c r="AP1236" s="161" t="str">
        <f>IMAGE("https://bellingcat-archive.nyc3.cdn.digitaloceanspaces.com/Ukraine_Witness_Datasheet/Worksheet/youtube_dl_1498662465919504393/out7.jpg")</f>
        <v/>
      </c>
      <c r="AQ1236" s="84" t="s">
        <v>12394</v>
      </c>
      <c r="AR1236" s="71" t="s">
        <v>12395</v>
      </c>
      <c r="AS1236" s="71" t="s">
        <v>12396</v>
      </c>
      <c r="AT1236" s="71">
        <v>41.14</v>
      </c>
      <c r="AU1236" s="89"/>
      <c r="AV1236" s="162"/>
      <c r="AW1236" s="81"/>
    </row>
    <row r="1237" ht="15.75" customHeight="1">
      <c r="A1237" s="444" t="s">
        <v>7092</v>
      </c>
      <c r="B1237" s="73"/>
      <c r="C1237" s="470">
        <v>44595.0</v>
      </c>
      <c r="D1237" s="335">
        <v>50.0211070546563</v>
      </c>
      <c r="E1237" s="280">
        <v>36.3280375760619</v>
      </c>
      <c r="F1237" s="79">
        <v>3.0</v>
      </c>
      <c r="G1237" s="391" t="s">
        <v>12397</v>
      </c>
      <c r="H1237" s="73"/>
      <c r="I1237" s="389" t="s">
        <v>12398</v>
      </c>
      <c r="J1237" s="276" t="s">
        <v>12399</v>
      </c>
      <c r="K1237" s="69"/>
      <c r="L1237" s="65" t="s">
        <v>3542</v>
      </c>
      <c r="M1237" s="61" t="s">
        <v>5590</v>
      </c>
      <c r="N1237" s="73"/>
      <c r="O1237" s="61" t="s">
        <v>5626</v>
      </c>
      <c r="P1237" s="67" t="str">
        <f t="shared" si="1"/>
        <v>50.0211070546563, 36.3280375760619</v>
      </c>
      <c r="Q1237" s="67" t="str">
        <f t="shared" si="2"/>
        <v>50.020481, 36.327877</v>
      </c>
      <c r="R1237" s="67">
        <f t="shared" si="3"/>
        <v>50.020481</v>
      </c>
      <c r="S1237" s="67">
        <f t="shared" si="4"/>
        <v>36.327877</v>
      </c>
      <c r="T1237" s="161"/>
      <c r="U1237" s="69"/>
      <c r="V1237" s="65" t="s">
        <v>12400</v>
      </c>
      <c r="W1237" s="71" t="s">
        <v>3601</v>
      </c>
      <c r="X1237" s="72" t="s">
        <v>5504</v>
      </c>
      <c r="Y1237" s="61" t="s">
        <v>11347</v>
      </c>
      <c r="Z1237" s="73"/>
      <c r="AA1237" s="73"/>
      <c r="AB1237" s="73"/>
      <c r="AC1237" s="73"/>
      <c r="AD1237" s="73"/>
      <c r="AE1237" s="73"/>
      <c r="AF1237" s="73"/>
      <c r="AG1237" s="73"/>
      <c r="AH1237" s="73"/>
      <c r="AI1237" s="73"/>
      <c r="AJ1237" s="161"/>
      <c r="AK1237" s="76" t="s">
        <v>2108</v>
      </c>
      <c r="AL1237" s="83" t="s">
        <v>12401</v>
      </c>
      <c r="AM1237" s="71" t="s">
        <v>12402</v>
      </c>
      <c r="AN1237" s="84" t="s">
        <v>12403</v>
      </c>
      <c r="AO1237" s="71" t="s">
        <v>12404</v>
      </c>
      <c r="AP1237" s="161" t="str">
        <f>IMAGE("https://bellingcat-archive.nyc3.cdn.digitaloceanspaces.com/Ukraine_Witness_Datasheet/Worksheet/twitter__media_FM192DqXwAgFDxT.jpg")</f>
        <v/>
      </c>
      <c r="AQ1237" s="161"/>
      <c r="AR1237" s="161"/>
      <c r="AS1237" s="71" t="s">
        <v>12405</v>
      </c>
      <c r="AT1237" s="161"/>
      <c r="AU1237" s="89"/>
      <c r="AV1237" s="162"/>
      <c r="AW1237" s="81"/>
    </row>
    <row r="1238" ht="15.75" customHeight="1">
      <c r="A1238" s="444" t="s">
        <v>9566</v>
      </c>
      <c r="B1238" s="73"/>
      <c r="C1238" s="470">
        <v>44595.0</v>
      </c>
      <c r="D1238" s="300">
        <v>50.64036</v>
      </c>
      <c r="E1238" s="300">
        <v>29.918554</v>
      </c>
      <c r="F1238" s="79">
        <v>3.0</v>
      </c>
      <c r="G1238" s="474" t="s">
        <v>12406</v>
      </c>
      <c r="H1238" s="73"/>
      <c r="I1238" s="381" t="s">
        <v>12407</v>
      </c>
      <c r="J1238" s="64" t="s">
        <v>12408</v>
      </c>
      <c r="K1238" s="69"/>
      <c r="L1238" s="65" t="s">
        <v>3542</v>
      </c>
      <c r="M1238" s="61" t="s">
        <v>5827</v>
      </c>
      <c r="N1238" s="73"/>
      <c r="O1238" s="92" t="s">
        <v>7832</v>
      </c>
      <c r="P1238" s="67" t="str">
        <f t="shared" si="1"/>
        <v>50.64036, 29.918554</v>
      </c>
      <c r="Q1238" s="67" t="str">
        <f t="shared" si="2"/>
        <v>50.639656, 29.918011</v>
      </c>
      <c r="R1238" s="67">
        <f t="shared" si="3"/>
        <v>50.639656</v>
      </c>
      <c r="S1238" s="67">
        <f t="shared" si="4"/>
        <v>29.918011</v>
      </c>
      <c r="T1238" s="161"/>
      <c r="U1238" s="69"/>
      <c r="V1238" s="65" t="s">
        <v>12409</v>
      </c>
      <c r="W1238" s="71" t="s">
        <v>3601</v>
      </c>
      <c r="X1238" s="72" t="s">
        <v>5504</v>
      </c>
      <c r="Y1238" s="61" t="s">
        <v>2982</v>
      </c>
      <c r="Z1238" s="61" t="s">
        <v>12410</v>
      </c>
      <c r="AA1238" s="73"/>
      <c r="AB1238" s="73"/>
      <c r="AC1238" s="73"/>
      <c r="AD1238" s="73"/>
      <c r="AE1238" s="73"/>
      <c r="AF1238" s="73"/>
      <c r="AG1238" s="73"/>
      <c r="AH1238" s="73"/>
      <c r="AI1238" s="73"/>
      <c r="AJ1238" s="161"/>
      <c r="AK1238" s="76" t="s">
        <v>798</v>
      </c>
      <c r="AL1238" s="83" t="s">
        <v>12411</v>
      </c>
      <c r="AM1238" s="71" t="s">
        <v>12412</v>
      </c>
      <c r="AN1238" s="84" t="s">
        <v>12413</v>
      </c>
      <c r="AO1238" s="71" t="s">
        <v>12414</v>
      </c>
      <c r="AP1238" s="161" t="str">
        <f>IMAGE("https://bellingcat-archive.nyc3.cdn.digitaloceanspaces.com/Ukraine_Witness_Datasheet/Worksheet/youtube_dl_1498978704524992516/out7.jpg")</f>
        <v/>
      </c>
      <c r="AQ1238" s="84" t="s">
        <v>12415</v>
      </c>
      <c r="AR1238" s="71" t="s">
        <v>12416</v>
      </c>
      <c r="AS1238" s="71" t="s">
        <v>12417</v>
      </c>
      <c r="AT1238" s="71">
        <v>18.664</v>
      </c>
      <c r="AU1238" s="89"/>
      <c r="AV1238" s="162"/>
      <c r="AW1238" s="81"/>
    </row>
    <row r="1239" ht="15.75" customHeight="1">
      <c r="A1239" s="444" t="s">
        <v>7092</v>
      </c>
      <c r="B1239" s="73"/>
      <c r="C1239" s="470">
        <v>44595.0</v>
      </c>
      <c r="D1239" s="335">
        <v>49.990002</v>
      </c>
      <c r="E1239" s="280">
        <v>36.232542</v>
      </c>
      <c r="F1239" s="79">
        <v>3.0</v>
      </c>
      <c r="G1239" s="474" t="s">
        <v>12418</v>
      </c>
      <c r="H1239" s="73"/>
      <c r="I1239" s="381" t="s">
        <v>12419</v>
      </c>
      <c r="J1239" s="64" t="s">
        <v>12420</v>
      </c>
      <c r="K1239" s="69"/>
      <c r="L1239" s="65" t="s">
        <v>3542</v>
      </c>
      <c r="M1239" s="61" t="s">
        <v>5590</v>
      </c>
      <c r="N1239" s="73"/>
      <c r="O1239" s="61" t="s">
        <v>5626</v>
      </c>
      <c r="P1239" s="67" t="str">
        <f t="shared" si="1"/>
        <v>49.990002, 36.232542</v>
      </c>
      <c r="Q1239" s="67" t="str">
        <f t="shared" si="2"/>
        <v>49.989716, 36.231859</v>
      </c>
      <c r="R1239" s="67">
        <f t="shared" si="3"/>
        <v>49.989716</v>
      </c>
      <c r="S1239" s="67">
        <f t="shared" si="4"/>
        <v>36.231859</v>
      </c>
      <c r="T1239" s="161"/>
      <c r="U1239" s="69"/>
      <c r="V1239" s="65" t="s">
        <v>12421</v>
      </c>
      <c r="W1239" s="71" t="s">
        <v>3601</v>
      </c>
      <c r="X1239" s="72" t="s">
        <v>5504</v>
      </c>
      <c r="Y1239" s="61" t="s">
        <v>11347</v>
      </c>
      <c r="Z1239" s="73"/>
      <c r="AA1239" s="73"/>
      <c r="AB1239" s="73"/>
      <c r="AC1239" s="73"/>
      <c r="AD1239" s="73"/>
      <c r="AE1239" s="73"/>
      <c r="AF1239" s="73"/>
      <c r="AG1239" s="73"/>
      <c r="AH1239" s="73"/>
      <c r="AI1239" s="73"/>
      <c r="AJ1239" s="161"/>
      <c r="AK1239" s="76" t="s">
        <v>2108</v>
      </c>
      <c r="AL1239" s="83" t="s">
        <v>12422</v>
      </c>
      <c r="AM1239" s="71" t="s">
        <v>12423</v>
      </c>
      <c r="AN1239" s="84" t="s">
        <v>12424</v>
      </c>
      <c r="AO1239" s="71" t="s">
        <v>12425</v>
      </c>
      <c r="AP1239" s="161" t="str">
        <f>IMAGE("https://bellingcat-archive.nyc3.cdn.digitaloceanspaces.com/Ukraine_Witness_Datasheet/Worksheet/twitter__media_FM2CxlgXwAEX7_f.jpg")</f>
        <v/>
      </c>
      <c r="AQ1239" s="161"/>
      <c r="AR1239" s="161"/>
      <c r="AS1239" s="71" t="s">
        <v>12426</v>
      </c>
      <c r="AT1239" s="161"/>
      <c r="AU1239" s="89"/>
      <c r="AV1239" s="162"/>
      <c r="AW1239" s="81"/>
    </row>
    <row r="1240" ht="15.75" customHeight="1">
      <c r="A1240" s="444" t="s">
        <v>7092</v>
      </c>
      <c r="B1240" s="73"/>
      <c r="C1240" s="470">
        <v>44595.0</v>
      </c>
      <c r="D1240" s="192">
        <v>49.990002</v>
      </c>
      <c r="E1240" s="192">
        <v>36.232542</v>
      </c>
      <c r="F1240" s="79">
        <v>3.0</v>
      </c>
      <c r="G1240" s="474" t="s">
        <v>12427</v>
      </c>
      <c r="H1240" s="61" t="s">
        <v>5522</v>
      </c>
      <c r="I1240" s="389" t="s">
        <v>12428</v>
      </c>
      <c r="J1240" s="64" t="s">
        <v>12429</v>
      </c>
      <c r="K1240" s="69"/>
      <c r="L1240" s="65" t="s">
        <v>3542</v>
      </c>
      <c r="M1240" s="61" t="s">
        <v>5590</v>
      </c>
      <c r="N1240" s="73"/>
      <c r="O1240" s="61" t="s">
        <v>5626</v>
      </c>
      <c r="P1240" s="67" t="str">
        <f t="shared" si="1"/>
        <v>49.990002, 36.232542</v>
      </c>
      <c r="Q1240" s="67" t="str">
        <f t="shared" si="2"/>
        <v>49.989653, 36.232288</v>
      </c>
      <c r="R1240" s="67">
        <f t="shared" si="3"/>
        <v>49.989653</v>
      </c>
      <c r="S1240" s="67">
        <f t="shared" si="4"/>
        <v>36.232288</v>
      </c>
      <c r="T1240" s="161"/>
      <c r="U1240" s="69"/>
      <c r="V1240" s="65" t="s">
        <v>12430</v>
      </c>
      <c r="W1240" s="71" t="s">
        <v>3601</v>
      </c>
      <c r="X1240" s="72" t="s">
        <v>5504</v>
      </c>
      <c r="Y1240" s="61" t="s">
        <v>11347</v>
      </c>
      <c r="Z1240" s="73"/>
      <c r="AA1240" s="73"/>
      <c r="AB1240" s="73"/>
      <c r="AC1240" s="73"/>
      <c r="AD1240" s="73"/>
      <c r="AE1240" s="73"/>
      <c r="AF1240" s="73"/>
      <c r="AG1240" s="73"/>
      <c r="AH1240" s="73"/>
      <c r="AI1240" s="73"/>
      <c r="AJ1240" s="161"/>
      <c r="AK1240" s="76" t="s">
        <v>2108</v>
      </c>
      <c r="AL1240" s="83" t="s">
        <v>12431</v>
      </c>
      <c r="AM1240" s="71" t="s">
        <v>12432</v>
      </c>
      <c r="AN1240" s="84" t="s">
        <v>12433</v>
      </c>
      <c r="AO1240" s="71" t="s">
        <v>12434</v>
      </c>
      <c r="AP1240" s="161" t="str">
        <f>IMAGE("https://bellingcat-archive.nyc3.cdn.digitaloceanspaces.com/Ukraine_Witness_Datasheet/Worksheet/twitter__media_FM14Ja6WYAAplM_.jpg")</f>
        <v/>
      </c>
      <c r="AQ1240" s="161"/>
      <c r="AR1240" s="161"/>
      <c r="AS1240" s="71" t="s">
        <v>12435</v>
      </c>
      <c r="AT1240" s="161"/>
      <c r="AU1240" s="89"/>
      <c r="AV1240" s="162"/>
      <c r="AW1240" s="81"/>
    </row>
    <row r="1241" ht="15.75" customHeight="1">
      <c r="A1241" s="444" t="s">
        <v>7092</v>
      </c>
      <c r="B1241" s="73"/>
      <c r="C1241" s="470">
        <v>44595.0</v>
      </c>
      <c r="D1241" s="192">
        <v>50.0211070546563</v>
      </c>
      <c r="E1241" s="471">
        <v>36.3280375760619</v>
      </c>
      <c r="F1241" s="79">
        <v>3.0</v>
      </c>
      <c r="G1241" s="273" t="s">
        <v>12436</v>
      </c>
      <c r="H1241" s="61" t="s">
        <v>91</v>
      </c>
      <c r="I1241" s="397" t="s">
        <v>11797</v>
      </c>
      <c r="J1241" s="64" t="s">
        <v>12437</v>
      </c>
      <c r="K1241" s="69"/>
      <c r="L1241" s="65" t="s">
        <v>3542</v>
      </c>
      <c r="M1241" s="61" t="s">
        <v>5590</v>
      </c>
      <c r="N1241" s="73"/>
      <c r="O1241" s="61" t="s">
        <v>5626</v>
      </c>
      <c r="P1241" s="67" t="str">
        <f t="shared" si="1"/>
        <v>50.0211070546563, 36.3280375760619</v>
      </c>
      <c r="Q1241" s="67" t="str">
        <f t="shared" si="2"/>
        <v>50.020817, 36.327725</v>
      </c>
      <c r="R1241" s="67">
        <f t="shared" si="3"/>
        <v>50.020817</v>
      </c>
      <c r="S1241" s="67">
        <f t="shared" si="4"/>
        <v>36.327725</v>
      </c>
      <c r="T1241" s="161"/>
      <c r="U1241" s="69"/>
      <c r="V1241" s="65" t="s">
        <v>12438</v>
      </c>
      <c r="W1241" s="71" t="s">
        <v>3601</v>
      </c>
      <c r="X1241" s="72" t="s">
        <v>5504</v>
      </c>
      <c r="Y1241" s="61" t="s">
        <v>11347</v>
      </c>
      <c r="Z1241" s="73"/>
      <c r="AA1241" s="73"/>
      <c r="AB1241" s="73"/>
      <c r="AC1241" s="73"/>
      <c r="AD1241" s="73"/>
      <c r="AE1241" s="73"/>
      <c r="AF1241" s="73"/>
      <c r="AG1241" s="73"/>
      <c r="AH1241" s="73"/>
      <c r="AI1241" s="73"/>
      <c r="AJ1241" s="161"/>
      <c r="AK1241" s="76" t="s">
        <v>2108</v>
      </c>
      <c r="AL1241" s="83" t="s">
        <v>11799</v>
      </c>
      <c r="AM1241" s="71" t="s">
        <v>12439</v>
      </c>
      <c r="AN1241" s="84" t="s">
        <v>12440</v>
      </c>
      <c r="AO1241" s="71" t="s">
        <v>12441</v>
      </c>
      <c r="AP1241" s="161" t="str">
        <f>IMAGE("https://bellingcat-archive.nyc3.cdn.digitaloceanspaces.com/Ukraine_Witness_Datasheet/Worksheet/twitter__media_FM1_bPLWUAAdj2x.jpg")</f>
        <v/>
      </c>
      <c r="AQ1241" s="161"/>
      <c r="AR1241" s="161"/>
      <c r="AS1241" s="71" t="s">
        <v>11803</v>
      </c>
      <c r="AT1241" s="161"/>
      <c r="AU1241" s="89"/>
      <c r="AV1241" s="162"/>
      <c r="AW1241" s="81"/>
    </row>
    <row r="1242" ht="15.75" customHeight="1">
      <c r="A1242" s="444" t="s">
        <v>6682</v>
      </c>
      <c r="B1242" s="73"/>
      <c r="C1242" s="470">
        <v>44595.0</v>
      </c>
      <c r="D1242" s="192">
        <v>48.940137</v>
      </c>
      <c r="E1242" s="192">
        <v>38.5008</v>
      </c>
      <c r="F1242" s="79">
        <v>3.0</v>
      </c>
      <c r="G1242" s="273" t="s">
        <v>12442</v>
      </c>
      <c r="H1242" s="61" t="s">
        <v>91</v>
      </c>
      <c r="I1242" s="381" t="s">
        <v>12443</v>
      </c>
      <c r="J1242" s="64" t="s">
        <v>12444</v>
      </c>
      <c r="K1242" s="69"/>
      <c r="L1242" s="65" t="s">
        <v>3542</v>
      </c>
      <c r="M1242" s="61" t="s">
        <v>5524</v>
      </c>
      <c r="N1242" s="73"/>
      <c r="O1242" s="92" t="s">
        <v>10274</v>
      </c>
      <c r="P1242" s="67" t="str">
        <f t="shared" si="1"/>
        <v>48.940137, 38.5008</v>
      </c>
      <c r="Q1242" s="67" t="str">
        <f t="shared" si="2"/>
        <v>48.939687, 38.500659</v>
      </c>
      <c r="R1242" s="67">
        <f t="shared" si="3"/>
        <v>48.939687</v>
      </c>
      <c r="S1242" s="67">
        <f t="shared" si="4"/>
        <v>38.500659</v>
      </c>
      <c r="T1242" s="161"/>
      <c r="U1242" s="69"/>
      <c r="V1242" s="65" t="s">
        <v>12445</v>
      </c>
      <c r="W1242" s="71" t="s">
        <v>3601</v>
      </c>
      <c r="X1242" s="72" t="s">
        <v>5504</v>
      </c>
      <c r="Y1242" s="61" t="s">
        <v>11347</v>
      </c>
      <c r="Z1242" s="73"/>
      <c r="AA1242" s="73"/>
      <c r="AB1242" s="73"/>
      <c r="AC1242" s="73"/>
      <c r="AD1242" s="73"/>
      <c r="AE1242" s="73"/>
      <c r="AF1242" s="73"/>
      <c r="AG1242" s="73"/>
      <c r="AH1242" s="73"/>
      <c r="AI1242" s="73"/>
      <c r="AJ1242" s="161"/>
      <c r="AK1242" s="76" t="s">
        <v>2108</v>
      </c>
      <c r="AL1242" s="83" t="s">
        <v>12446</v>
      </c>
      <c r="AM1242" s="71" t="s">
        <v>12447</v>
      </c>
      <c r="AN1242" s="84" t="s">
        <v>12448</v>
      </c>
      <c r="AO1242" s="71" t="s">
        <v>12449</v>
      </c>
      <c r="AP1242" s="161" t="str">
        <f>IMAGE("https://bellingcat-archive.nyc3.cdn.digitaloceanspaces.com/Ukraine_Witness_Datasheet/Worksheet/twitter__media_FM2EWeCXwAM-kdV.jpg")</f>
        <v/>
      </c>
      <c r="AQ1242" s="161"/>
      <c r="AR1242" s="161"/>
      <c r="AS1242" s="71" t="s">
        <v>12450</v>
      </c>
      <c r="AT1242" s="161"/>
      <c r="AU1242" s="89"/>
      <c r="AV1242" s="162"/>
      <c r="AW1242" s="81"/>
    </row>
    <row r="1243" ht="15.75" customHeight="1">
      <c r="A1243" s="373" t="s">
        <v>6924</v>
      </c>
      <c r="B1243" s="73"/>
      <c r="C1243" s="214" t="s">
        <v>5586</v>
      </c>
      <c r="D1243" s="289"/>
      <c r="E1243" s="260"/>
      <c r="F1243" s="89"/>
      <c r="G1243" s="273" t="s">
        <v>12451</v>
      </c>
      <c r="H1243" s="73"/>
      <c r="I1243" s="381" t="s">
        <v>12452</v>
      </c>
      <c r="J1243" s="422" t="s">
        <v>12453</v>
      </c>
      <c r="K1243" s="69"/>
      <c r="L1243" s="70"/>
      <c r="M1243" s="73"/>
      <c r="N1243" s="73"/>
      <c r="O1243" s="73"/>
      <c r="P1243" s="67" t="str">
        <f t="shared" si="1"/>
        <v/>
      </c>
      <c r="Q1243" s="67" t="str">
        <f t="shared" si="2"/>
        <v/>
      </c>
      <c r="R1243" s="67" t="str">
        <f t="shared" si="3"/>
        <v/>
      </c>
      <c r="S1243" s="67" t="str">
        <f t="shared" si="4"/>
        <v/>
      </c>
      <c r="T1243" s="161"/>
      <c r="U1243" s="69"/>
      <c r="V1243" s="65" t="s">
        <v>12454</v>
      </c>
      <c r="W1243" s="161"/>
      <c r="X1243" s="194"/>
      <c r="Y1243" s="216" t="s">
        <v>75</v>
      </c>
      <c r="Z1243" s="73"/>
      <c r="AA1243" s="73"/>
      <c r="AB1243" s="73"/>
      <c r="AC1243" s="73"/>
      <c r="AD1243" s="73"/>
      <c r="AE1243" s="73"/>
      <c r="AF1243" s="73"/>
      <c r="AG1243" s="73"/>
      <c r="AH1243" s="73"/>
      <c r="AI1243" s="73"/>
      <c r="AJ1243" s="161"/>
      <c r="AK1243" s="76" t="s">
        <v>798</v>
      </c>
      <c r="AL1243" s="83" t="s">
        <v>12455</v>
      </c>
      <c r="AM1243" s="71" t="s">
        <v>12456</v>
      </c>
      <c r="AN1243" s="84" t="s">
        <v>12457</v>
      </c>
      <c r="AO1243" s="71" t="s">
        <v>12458</v>
      </c>
      <c r="AP1243" s="161" t="str">
        <f>IMAGE("https://bellingcat-archive.nyc3.cdn.digitaloceanspaces.com/Ukraine_Witness_Datasheet/Worksheet/youtube_dl_1496854488933715972/out7.jpg")</f>
        <v/>
      </c>
      <c r="AQ1243" s="84" t="s">
        <v>12459</v>
      </c>
      <c r="AR1243" s="71" t="s">
        <v>12460</v>
      </c>
      <c r="AS1243" s="71" t="s">
        <v>12461</v>
      </c>
      <c r="AT1243" s="71">
        <v>12.866</v>
      </c>
      <c r="AU1243" s="89"/>
      <c r="AV1243" s="162"/>
      <c r="AW1243" s="81"/>
    </row>
    <row r="1244" ht="15.75" customHeight="1">
      <c r="A1244" s="373" t="s">
        <v>6924</v>
      </c>
      <c r="B1244" s="73"/>
      <c r="C1244" s="214" t="s">
        <v>6118</v>
      </c>
      <c r="D1244" s="385" t="s">
        <v>12462</v>
      </c>
      <c r="E1244" s="385" t="s">
        <v>12463</v>
      </c>
      <c r="F1244" s="79"/>
      <c r="G1244" s="273" t="s">
        <v>12464</v>
      </c>
      <c r="H1244" s="73"/>
      <c r="I1244" s="381" t="s">
        <v>12465</v>
      </c>
      <c r="J1244" s="422" t="s">
        <v>12466</v>
      </c>
      <c r="K1244" s="69"/>
      <c r="L1244" s="70"/>
      <c r="M1244" s="73"/>
      <c r="N1244" s="73"/>
      <c r="O1244" s="73"/>
      <c r="P1244" s="67" t="str">
        <f t="shared" si="1"/>
        <v>48.335082, 38.082349</v>
      </c>
      <c r="Q1244" s="67" t="str">
        <f t="shared" si="2"/>
        <v>48.334961, 38.083279</v>
      </c>
      <c r="R1244" s="67">
        <f t="shared" si="3"/>
        <v>48.334961</v>
      </c>
      <c r="S1244" s="67">
        <f t="shared" si="4"/>
        <v>38.083279</v>
      </c>
      <c r="T1244" s="161"/>
      <c r="U1244" s="69"/>
      <c r="V1244" s="65" t="s">
        <v>12467</v>
      </c>
      <c r="W1244" s="161"/>
      <c r="X1244" s="194"/>
      <c r="Y1244" s="216" t="s">
        <v>5820</v>
      </c>
      <c r="Z1244" s="73"/>
      <c r="AA1244" s="73"/>
      <c r="AB1244" s="73"/>
      <c r="AC1244" s="73"/>
      <c r="AD1244" s="73"/>
      <c r="AE1244" s="73"/>
      <c r="AF1244" s="73"/>
      <c r="AG1244" s="73"/>
      <c r="AH1244" s="73"/>
      <c r="AI1244" s="73"/>
      <c r="AJ1244" s="161"/>
      <c r="AK1244" s="76" t="s">
        <v>6276</v>
      </c>
      <c r="AL1244" s="83" t="s">
        <v>12468</v>
      </c>
      <c r="AM1244" s="71" t="s">
        <v>12469</v>
      </c>
      <c r="AN1244" s="84" t="s">
        <v>12470</v>
      </c>
      <c r="AO1244" s="71" t="s">
        <v>12471</v>
      </c>
      <c r="AP1244" s="161"/>
      <c r="AQ1244" s="161"/>
      <c r="AR1244" s="161"/>
      <c r="AS1244" s="161"/>
      <c r="AT1244" s="161"/>
      <c r="AU1244" s="89"/>
      <c r="AV1244" s="162"/>
      <c r="AW1244" s="81"/>
    </row>
    <row r="1245" ht="15.75" customHeight="1">
      <c r="A1245" s="373" t="s">
        <v>6924</v>
      </c>
      <c r="B1245" s="73"/>
      <c r="C1245" s="214" t="s">
        <v>6118</v>
      </c>
      <c r="D1245" s="385" t="s">
        <v>12472</v>
      </c>
      <c r="E1245" s="385" t="s">
        <v>12473</v>
      </c>
      <c r="F1245" s="79">
        <v>2.0</v>
      </c>
      <c r="G1245" s="273" t="s">
        <v>12474</v>
      </c>
      <c r="H1245" s="61" t="s">
        <v>5522</v>
      </c>
      <c r="I1245" s="381" t="s">
        <v>12475</v>
      </c>
      <c r="J1245" s="64" t="s">
        <v>12476</v>
      </c>
      <c r="K1245" s="69"/>
      <c r="L1245" s="65" t="s">
        <v>3542</v>
      </c>
      <c r="M1245" s="61" t="s">
        <v>5702</v>
      </c>
      <c r="N1245" s="73"/>
      <c r="O1245" s="61" t="s">
        <v>12477</v>
      </c>
      <c r="P1245" s="67" t="str">
        <f t="shared" si="1"/>
        <v>46.757458, 33.370035</v>
      </c>
      <c r="Q1245" s="67" t="str">
        <f t="shared" si="2"/>
        <v>46.757132, 33.36905</v>
      </c>
      <c r="R1245" s="67">
        <f t="shared" si="3"/>
        <v>46.757132</v>
      </c>
      <c r="S1245" s="67">
        <f t="shared" si="4"/>
        <v>33.36905</v>
      </c>
      <c r="T1245" s="161"/>
      <c r="U1245" s="69"/>
      <c r="V1245" s="65" t="s">
        <v>12478</v>
      </c>
      <c r="W1245" s="71" t="s">
        <v>5904</v>
      </c>
      <c r="X1245" s="194"/>
      <c r="Y1245" s="61" t="s">
        <v>2982</v>
      </c>
      <c r="Z1245" s="61" t="s">
        <v>12479</v>
      </c>
      <c r="AA1245" s="73"/>
      <c r="AB1245" s="73"/>
      <c r="AC1245" s="73"/>
      <c r="AD1245" s="73"/>
      <c r="AE1245" s="73"/>
      <c r="AF1245" s="73"/>
      <c r="AG1245" s="73"/>
      <c r="AH1245" s="73"/>
      <c r="AI1245" s="73"/>
      <c r="AJ1245" s="161"/>
      <c r="AK1245" s="76" t="s">
        <v>798</v>
      </c>
      <c r="AL1245" s="83" t="s">
        <v>12480</v>
      </c>
      <c r="AM1245" s="71" t="s">
        <v>12481</v>
      </c>
      <c r="AN1245" s="84" t="s">
        <v>12482</v>
      </c>
      <c r="AO1245" s="71" t="s">
        <v>12483</v>
      </c>
      <c r="AP1245" s="161" t="str">
        <f>IMAGE("https://bellingcat-archive.nyc3.cdn.digitaloceanspaces.com/Ukraine_Witness_Datasheet/Worksheet/youtube_dl_1497149587215298571/out7.jpg")</f>
        <v/>
      </c>
      <c r="AQ1245" s="84" t="s">
        <v>12484</v>
      </c>
      <c r="AR1245" s="71" t="s">
        <v>12485</v>
      </c>
      <c r="AS1245" s="71" t="s">
        <v>12486</v>
      </c>
      <c r="AT1245" s="71">
        <v>11.1</v>
      </c>
      <c r="AU1245" s="89"/>
      <c r="AV1245" s="162"/>
      <c r="AW1245" s="81"/>
    </row>
    <row r="1246" ht="15.75" customHeight="1">
      <c r="A1246" s="444" t="s">
        <v>6682</v>
      </c>
      <c r="B1246" s="73"/>
      <c r="C1246" s="214" t="s">
        <v>8024</v>
      </c>
      <c r="D1246" s="192">
        <v>50.457761</v>
      </c>
      <c r="E1246" s="192">
        <v>30.592878</v>
      </c>
      <c r="F1246" s="79">
        <v>5.0</v>
      </c>
      <c r="G1246" s="273" t="s">
        <v>12487</v>
      </c>
      <c r="H1246" s="61" t="s">
        <v>5522</v>
      </c>
      <c r="I1246" s="381" t="s">
        <v>12488</v>
      </c>
      <c r="J1246" s="64" t="s">
        <v>12489</v>
      </c>
      <c r="K1246" s="69"/>
      <c r="L1246" s="65" t="s">
        <v>3542</v>
      </c>
      <c r="M1246" s="61" t="s">
        <v>12490</v>
      </c>
      <c r="N1246" s="73"/>
      <c r="O1246" s="61" t="s">
        <v>6121</v>
      </c>
      <c r="P1246" s="67" t="str">
        <f t="shared" si="1"/>
        <v>50.457761, 30.592878</v>
      </c>
      <c r="Q1246" s="67" t="str">
        <f t="shared" si="2"/>
        <v>50.457425, 30.592252</v>
      </c>
      <c r="R1246" s="67">
        <f t="shared" si="3"/>
        <v>50.457425</v>
      </c>
      <c r="S1246" s="67">
        <f t="shared" si="4"/>
        <v>30.592252</v>
      </c>
      <c r="T1246" s="161"/>
      <c r="U1246" s="69"/>
      <c r="V1246" s="65" t="s">
        <v>12491</v>
      </c>
      <c r="W1246" s="71" t="s">
        <v>6108</v>
      </c>
      <c r="X1246" s="229" t="s">
        <v>6054</v>
      </c>
      <c r="Y1246" s="61" t="s">
        <v>2982</v>
      </c>
      <c r="Z1246" s="61" t="s">
        <v>12492</v>
      </c>
      <c r="AA1246" s="73"/>
      <c r="AB1246" s="73"/>
      <c r="AC1246" s="73"/>
      <c r="AD1246" s="73"/>
      <c r="AE1246" s="73"/>
      <c r="AF1246" s="73"/>
      <c r="AG1246" s="73"/>
      <c r="AH1246" s="73"/>
      <c r="AI1246" s="73"/>
      <c r="AJ1246" s="161"/>
      <c r="AK1246" s="76" t="s">
        <v>798</v>
      </c>
      <c r="AL1246" s="83" t="s">
        <v>12493</v>
      </c>
      <c r="AM1246" s="71" t="s">
        <v>12494</v>
      </c>
      <c r="AN1246" s="84" t="s">
        <v>12495</v>
      </c>
      <c r="AO1246" s="71" t="s">
        <v>12496</v>
      </c>
      <c r="AP1246" s="161" t="str">
        <f>IMAGE("https://bellingcat-archive.nyc3.cdn.digitaloceanspaces.com/Ukraine_Witness_Datasheet/Worksheet/youtube_dl_1497910542429794305/out7.jpg")</f>
        <v/>
      </c>
      <c r="AQ1246" s="84" t="s">
        <v>12497</v>
      </c>
      <c r="AR1246" s="71" t="s">
        <v>12498</v>
      </c>
      <c r="AS1246" s="71" t="s">
        <v>12499</v>
      </c>
      <c r="AT1246" s="71">
        <v>43.766</v>
      </c>
      <c r="AU1246" s="89"/>
      <c r="AV1246" s="162"/>
      <c r="AW1246" s="81"/>
    </row>
    <row r="1247" ht="15.75" customHeight="1">
      <c r="A1247" s="472" t="s">
        <v>6924</v>
      </c>
      <c r="B1247" s="73"/>
      <c r="C1247" s="470">
        <v>44595.0</v>
      </c>
      <c r="D1247" s="289"/>
      <c r="E1247" s="475"/>
      <c r="F1247" s="89"/>
      <c r="G1247" s="273" t="s">
        <v>12500</v>
      </c>
      <c r="H1247" s="73"/>
      <c r="I1247" s="381" t="s">
        <v>12501</v>
      </c>
      <c r="J1247" s="422" t="s">
        <v>12502</v>
      </c>
      <c r="K1247" s="69"/>
      <c r="L1247" s="70"/>
      <c r="M1247" s="73"/>
      <c r="N1247" s="73"/>
      <c r="O1247" s="73"/>
      <c r="P1247" s="67" t="str">
        <f t="shared" si="1"/>
        <v/>
      </c>
      <c r="Q1247" s="67" t="str">
        <f t="shared" si="2"/>
        <v/>
      </c>
      <c r="R1247" s="67" t="str">
        <f t="shared" si="3"/>
        <v/>
      </c>
      <c r="S1247" s="67" t="str">
        <f t="shared" si="4"/>
        <v/>
      </c>
      <c r="T1247" s="161"/>
      <c r="U1247" s="69"/>
      <c r="V1247" s="65" t="s">
        <v>12503</v>
      </c>
      <c r="W1247" s="161"/>
      <c r="X1247" s="194"/>
      <c r="Y1247" s="216" t="s">
        <v>5820</v>
      </c>
      <c r="Z1247" s="73"/>
      <c r="AA1247" s="73"/>
      <c r="AB1247" s="73"/>
      <c r="AC1247" s="73"/>
      <c r="AD1247" s="73"/>
      <c r="AE1247" s="73"/>
      <c r="AF1247" s="73"/>
      <c r="AG1247" s="73"/>
      <c r="AH1247" s="73"/>
      <c r="AI1247" s="73"/>
      <c r="AJ1247" s="161"/>
      <c r="AK1247" s="76" t="s">
        <v>6276</v>
      </c>
      <c r="AL1247" s="83" t="s">
        <v>12504</v>
      </c>
      <c r="AM1247" s="71" t="s">
        <v>12505</v>
      </c>
      <c r="AN1247" s="71" t="s">
        <v>12506</v>
      </c>
      <c r="AO1247" s="71" t="s">
        <v>12507</v>
      </c>
      <c r="AP1247" s="161" t="str">
        <f>IMAGE("https://bellingcat-archive.nyc3.cdn.digitaloceanspaces.com/Ukraine_Witness_Datasheet/Worksheet/telegram_929470ee1a/out7.jpg")</f>
        <v/>
      </c>
      <c r="AQ1247" s="84" t="s">
        <v>12508</v>
      </c>
      <c r="AR1247" s="84" t="s">
        <v>12500</v>
      </c>
      <c r="AS1247" s="71" t="s">
        <v>12509</v>
      </c>
      <c r="AT1247" s="71">
        <v>17.0</v>
      </c>
      <c r="AU1247" s="89"/>
      <c r="AV1247" s="162"/>
      <c r="AW1247" s="81"/>
    </row>
    <row r="1248" ht="15.75" customHeight="1">
      <c r="A1248" s="373" t="s">
        <v>6924</v>
      </c>
      <c r="B1248" s="73"/>
      <c r="C1248" s="470">
        <v>44595.0</v>
      </c>
      <c r="D1248" s="289"/>
      <c r="E1248" s="260"/>
      <c r="F1248" s="89"/>
      <c r="G1248" s="273" t="s">
        <v>12510</v>
      </c>
      <c r="H1248" s="73"/>
      <c r="I1248" s="381" t="s">
        <v>12511</v>
      </c>
      <c r="J1248" s="422" t="s">
        <v>12512</v>
      </c>
      <c r="K1248" s="69"/>
      <c r="L1248" s="70"/>
      <c r="M1248" s="73"/>
      <c r="N1248" s="73"/>
      <c r="O1248" s="73"/>
      <c r="P1248" s="67" t="str">
        <f t="shared" si="1"/>
        <v/>
      </c>
      <c r="Q1248" s="67" t="str">
        <f t="shared" si="2"/>
        <v/>
      </c>
      <c r="R1248" s="67" t="str">
        <f t="shared" si="3"/>
        <v/>
      </c>
      <c r="S1248" s="67" t="str">
        <f t="shared" si="4"/>
        <v/>
      </c>
      <c r="T1248" s="161"/>
      <c r="U1248" s="69"/>
      <c r="V1248" s="65" t="s">
        <v>12513</v>
      </c>
      <c r="W1248" s="161"/>
      <c r="X1248" s="194"/>
      <c r="Y1248" s="216" t="s">
        <v>5820</v>
      </c>
      <c r="Z1248" s="73"/>
      <c r="AA1248" s="73"/>
      <c r="AB1248" s="73"/>
      <c r="AC1248" s="73"/>
      <c r="AD1248" s="73"/>
      <c r="AE1248" s="73"/>
      <c r="AF1248" s="73"/>
      <c r="AG1248" s="73"/>
      <c r="AH1248" s="73"/>
      <c r="AI1248" s="73"/>
      <c r="AJ1248" s="161"/>
      <c r="AK1248" s="76" t="s">
        <v>6276</v>
      </c>
      <c r="AL1248" s="476" t="s">
        <v>12514</v>
      </c>
      <c r="AM1248" s="71" t="s">
        <v>12515</v>
      </c>
      <c r="AN1248" s="71" t="s">
        <v>12516</v>
      </c>
      <c r="AO1248" s="71" t="s">
        <v>12517</v>
      </c>
      <c r="AP1248" s="161" t="str">
        <f>IMAGE("https://bellingcat-archive.nyc3.cdn.digitaloceanspaces.com/Ukraine_Witness_Datasheet/Worksheet/telegram_wyCe4zacOMgNhkVCQxMaY7CIB382yCz5BMZ6daqRIwhIpdOQOjxvIpCmUBn_nWuqKOIH4HFFrAS-db_fc70rCWy75tdDDokVkseXfeLVZ9tnLeiKglnPK7_hfmdk-E0Q.jpg")</f>
        <v/>
      </c>
      <c r="AQ1248" s="161"/>
      <c r="AR1248" s="161"/>
      <c r="AS1248" s="71" t="s">
        <v>12518</v>
      </c>
      <c r="AT1248" s="161"/>
      <c r="AU1248" s="89"/>
      <c r="AV1248" s="162"/>
      <c r="AW1248" s="81"/>
    </row>
    <row r="1249" ht="15.75" customHeight="1">
      <c r="A1249" s="373" t="s">
        <v>6924</v>
      </c>
      <c r="B1249" s="73"/>
      <c r="C1249" s="470">
        <v>44595.0</v>
      </c>
      <c r="D1249" s="385" t="s">
        <v>12519</v>
      </c>
      <c r="E1249" s="385" t="s">
        <v>12520</v>
      </c>
      <c r="F1249" s="79">
        <v>3.0</v>
      </c>
      <c r="G1249" s="391" t="s">
        <v>12521</v>
      </c>
      <c r="H1249" s="61" t="s">
        <v>91</v>
      </c>
      <c r="I1249" s="397" t="s">
        <v>12522</v>
      </c>
      <c r="J1249" s="64" t="s">
        <v>12523</v>
      </c>
      <c r="K1249" s="69"/>
      <c r="L1249" s="65" t="s">
        <v>3542</v>
      </c>
      <c r="M1249" s="61" t="s">
        <v>5524</v>
      </c>
      <c r="N1249" s="73"/>
      <c r="O1249" s="61" t="s">
        <v>12524</v>
      </c>
      <c r="P1249" s="67" t="str">
        <f t="shared" si="1"/>
        <v>48.6478606, 38.3668592</v>
      </c>
      <c r="Q1249" s="67" t="str">
        <f t="shared" si="2"/>
        <v>48.647284, 38.367753</v>
      </c>
      <c r="R1249" s="67">
        <f t="shared" si="3"/>
        <v>48.647284</v>
      </c>
      <c r="S1249" s="67">
        <f t="shared" si="4"/>
        <v>38.367753</v>
      </c>
      <c r="T1249" s="161"/>
      <c r="U1249" s="69"/>
      <c r="V1249" s="65" t="s">
        <v>12525</v>
      </c>
      <c r="W1249" s="71" t="s">
        <v>3601</v>
      </c>
      <c r="X1249" s="194"/>
      <c r="Y1249" s="61" t="s">
        <v>2982</v>
      </c>
      <c r="Z1249" s="61" t="s">
        <v>12526</v>
      </c>
      <c r="AA1249" s="73"/>
      <c r="AB1249" s="73"/>
      <c r="AC1249" s="73"/>
      <c r="AD1249" s="73"/>
      <c r="AE1249" s="73"/>
      <c r="AF1249" s="73"/>
      <c r="AG1249" s="73"/>
      <c r="AH1249" s="73"/>
      <c r="AI1249" s="73"/>
      <c r="AJ1249" s="161"/>
      <c r="AK1249" s="76" t="s">
        <v>2108</v>
      </c>
      <c r="AL1249" s="83" t="s">
        <v>12527</v>
      </c>
      <c r="AM1249" s="71" t="s">
        <v>12528</v>
      </c>
      <c r="AN1249" s="84" t="s">
        <v>12529</v>
      </c>
      <c r="AO1249" s="71" t="s">
        <v>12530</v>
      </c>
      <c r="AP1249" s="161" t="str">
        <f>IMAGE("https://bellingcat-archive.nyc3.cdn.digitaloceanspaces.com/Ukraine_Witness_Datasheet/Worksheet/twitter__media_FM2ap85WUAM8D5s.jpg")</f>
        <v/>
      </c>
      <c r="AQ1249" s="161"/>
      <c r="AR1249" s="161"/>
      <c r="AS1249" s="71" t="s">
        <v>12531</v>
      </c>
      <c r="AT1249" s="161"/>
      <c r="AU1249" s="89"/>
      <c r="AV1249" s="162"/>
      <c r="AW1249" s="81"/>
    </row>
    <row r="1250" ht="15.75" customHeight="1">
      <c r="A1250" s="477" t="s">
        <v>12532</v>
      </c>
      <c r="B1250" s="73"/>
      <c r="C1250" s="470">
        <v>44623.0</v>
      </c>
      <c r="D1250" s="383" t="s">
        <v>12533</v>
      </c>
      <c r="E1250" s="383" t="s">
        <v>12534</v>
      </c>
      <c r="F1250" s="79">
        <v>3.0</v>
      </c>
      <c r="G1250" s="273" t="s">
        <v>12535</v>
      </c>
      <c r="H1250" s="104" t="s">
        <v>91</v>
      </c>
      <c r="I1250" s="384" t="s">
        <v>12536</v>
      </c>
      <c r="J1250" s="64" t="s">
        <v>10975</v>
      </c>
      <c r="K1250" s="69"/>
      <c r="L1250" s="65" t="s">
        <v>3542</v>
      </c>
      <c r="M1250" s="61" t="s">
        <v>5590</v>
      </c>
      <c r="N1250" s="73"/>
      <c r="O1250" s="61" t="s">
        <v>9227</v>
      </c>
      <c r="P1250" s="67" t="str">
        <f t="shared" si="1"/>
        <v>49.19025877, 37.27789237</v>
      </c>
      <c r="Q1250" s="67" t="str">
        <f t="shared" si="2"/>
        <v>49.189653, 37.277699</v>
      </c>
      <c r="R1250" s="67">
        <f t="shared" si="3"/>
        <v>49.189653</v>
      </c>
      <c r="S1250" s="67">
        <f t="shared" si="4"/>
        <v>37.277699</v>
      </c>
      <c r="T1250" s="161"/>
      <c r="U1250" s="69"/>
      <c r="V1250" s="65" t="s">
        <v>12537</v>
      </c>
      <c r="W1250" s="71" t="s">
        <v>3601</v>
      </c>
      <c r="X1250" s="208"/>
      <c r="Y1250" s="61" t="s">
        <v>11347</v>
      </c>
      <c r="Z1250" s="73"/>
      <c r="AA1250" s="73"/>
      <c r="AB1250" s="73"/>
      <c r="AC1250" s="73"/>
      <c r="AD1250" s="73"/>
      <c r="AE1250" s="73"/>
      <c r="AF1250" s="73"/>
      <c r="AG1250" s="73"/>
      <c r="AH1250" s="73"/>
      <c r="AI1250" s="73"/>
      <c r="AJ1250" s="161"/>
      <c r="AK1250" s="76" t="s">
        <v>6276</v>
      </c>
      <c r="AL1250" s="83" t="s">
        <v>12538</v>
      </c>
      <c r="AM1250" s="71" t="s">
        <v>12539</v>
      </c>
      <c r="AN1250" s="84" t="s">
        <v>12540</v>
      </c>
      <c r="AO1250" s="71" t="s">
        <v>12541</v>
      </c>
      <c r="AP1250" s="161"/>
      <c r="AQ1250" s="161"/>
      <c r="AR1250" s="161"/>
      <c r="AS1250" s="71" t="s">
        <v>12542</v>
      </c>
      <c r="AT1250" s="161"/>
      <c r="AU1250" s="89"/>
      <c r="AV1250" s="80" t="s">
        <v>63</v>
      </c>
      <c r="AW1250" s="203"/>
    </row>
    <row r="1251" ht="15.75" customHeight="1">
      <c r="A1251" s="444" t="s">
        <v>8554</v>
      </c>
      <c r="B1251" s="73"/>
      <c r="C1251" s="470">
        <v>44623.0</v>
      </c>
      <c r="D1251" s="335">
        <v>50.5419111862596</v>
      </c>
      <c r="E1251" s="192">
        <v>30.2640369241697</v>
      </c>
      <c r="F1251" s="79">
        <v>3.0</v>
      </c>
      <c r="G1251" s="273" t="s">
        <v>12543</v>
      </c>
      <c r="H1251" s="61" t="s">
        <v>5522</v>
      </c>
      <c r="I1251" s="381" t="s">
        <v>12544</v>
      </c>
      <c r="J1251" s="64" t="s">
        <v>12545</v>
      </c>
      <c r="K1251" s="69"/>
      <c r="L1251" s="65" t="s">
        <v>3542</v>
      </c>
      <c r="M1251" s="61" t="s">
        <v>5827</v>
      </c>
      <c r="N1251" s="73"/>
      <c r="O1251" s="61" t="s">
        <v>7550</v>
      </c>
      <c r="P1251" s="67" t="str">
        <f t="shared" si="1"/>
        <v>50.5419111862596, 30.2640369241697</v>
      </c>
      <c r="Q1251" s="67" t="str">
        <f t="shared" si="2"/>
        <v>50.541796, 30.262991</v>
      </c>
      <c r="R1251" s="67">
        <f t="shared" si="3"/>
        <v>50.541796</v>
      </c>
      <c r="S1251" s="67">
        <f t="shared" si="4"/>
        <v>30.262991</v>
      </c>
      <c r="T1251" s="161"/>
      <c r="U1251" s="69"/>
      <c r="V1251" s="65" t="s">
        <v>12546</v>
      </c>
      <c r="W1251" s="71" t="s">
        <v>3601</v>
      </c>
      <c r="X1251" s="72" t="s">
        <v>5504</v>
      </c>
      <c r="Y1251" s="216" t="s">
        <v>5820</v>
      </c>
      <c r="Z1251" s="73"/>
      <c r="AA1251" s="73"/>
      <c r="AB1251" s="73"/>
      <c r="AC1251" s="73"/>
      <c r="AD1251" s="73"/>
      <c r="AE1251" s="73"/>
      <c r="AF1251" s="73"/>
      <c r="AG1251" s="73"/>
      <c r="AH1251" s="73"/>
      <c r="AI1251" s="73"/>
      <c r="AJ1251" s="161"/>
      <c r="AK1251" s="76" t="s">
        <v>6276</v>
      </c>
      <c r="AL1251" s="83" t="s">
        <v>12547</v>
      </c>
      <c r="AM1251" s="71" t="s">
        <v>12548</v>
      </c>
      <c r="AN1251" s="84" t="s">
        <v>12549</v>
      </c>
      <c r="AO1251" s="71" t="s">
        <v>12550</v>
      </c>
      <c r="AP1251" s="161" t="str">
        <f>IMAGE("https://bellingcat-archive.nyc3.cdn.digitaloceanspaces.com/Ukraine_Witness_Datasheet/Worksheet/telegram_OAQL5ids5hvQOFItMA4YIMqetJMXRS7MZu07Abx4VZCF3-hPB9hdZ8p71JDgnTMO9ezmh1Ozf2JYL6ix_k4QOVTnpnPfFPDZ83BkqSHBtdP7OvBKY6mqdEg5mJLbOekQ.jpg")</f>
        <v/>
      </c>
      <c r="AQ1251" s="161"/>
      <c r="AR1251" s="161"/>
      <c r="AS1251" s="161"/>
      <c r="AT1251" s="161"/>
      <c r="AU1251" s="89"/>
      <c r="AV1251" s="162"/>
      <c r="AW1251" s="81"/>
    </row>
    <row r="1252" ht="15.75" customHeight="1">
      <c r="A1252" s="477" t="s">
        <v>12532</v>
      </c>
      <c r="B1252" s="73"/>
      <c r="C1252" s="470">
        <v>44623.0</v>
      </c>
      <c r="D1252" s="383" t="s">
        <v>12551</v>
      </c>
      <c r="E1252" s="383" t="s">
        <v>12552</v>
      </c>
      <c r="F1252" s="79">
        <v>3.0</v>
      </c>
      <c r="G1252" s="273" t="s">
        <v>12553</v>
      </c>
      <c r="H1252" s="104" t="s">
        <v>5522</v>
      </c>
      <c r="I1252" s="478" t="s">
        <v>12554</v>
      </c>
      <c r="J1252" s="71" t="s">
        <v>12555</v>
      </c>
      <c r="K1252" s="69"/>
      <c r="L1252" s="65" t="s">
        <v>3542</v>
      </c>
      <c r="M1252" s="61" t="s">
        <v>5590</v>
      </c>
      <c r="N1252" s="73"/>
      <c r="O1252" s="61" t="s">
        <v>9227</v>
      </c>
      <c r="P1252" s="67" t="str">
        <f t="shared" si="1"/>
        <v>49.1899901, 37.27794522</v>
      </c>
      <c r="Q1252" s="67" t="str">
        <f t="shared" si="2"/>
        <v>49.189938, 37.27703</v>
      </c>
      <c r="R1252" s="67">
        <f t="shared" si="3"/>
        <v>49.189938</v>
      </c>
      <c r="S1252" s="67">
        <f t="shared" si="4"/>
        <v>37.27703</v>
      </c>
      <c r="T1252" s="161"/>
      <c r="U1252" s="69"/>
      <c r="V1252" s="65" t="s">
        <v>12556</v>
      </c>
      <c r="W1252" s="71" t="s">
        <v>3601</v>
      </c>
      <c r="X1252" s="208"/>
      <c r="Y1252" s="61" t="s">
        <v>2982</v>
      </c>
      <c r="Z1252" s="61" t="s">
        <v>12557</v>
      </c>
      <c r="AA1252" s="73"/>
      <c r="AB1252" s="73"/>
      <c r="AC1252" s="73"/>
      <c r="AD1252" s="73"/>
      <c r="AE1252" s="73"/>
      <c r="AF1252" s="73"/>
      <c r="AG1252" s="73"/>
      <c r="AH1252" s="73"/>
      <c r="AI1252" s="73"/>
      <c r="AJ1252" s="161"/>
      <c r="AK1252" s="76" t="s">
        <v>6276</v>
      </c>
      <c r="AL1252" s="83" t="s">
        <v>12558</v>
      </c>
      <c r="AM1252" s="71" t="s">
        <v>12559</v>
      </c>
      <c r="AN1252" s="84" t="s">
        <v>12560</v>
      </c>
      <c r="AO1252" s="71" t="s">
        <v>12561</v>
      </c>
      <c r="AP1252" s="161" t="str">
        <f>IMAGE("https://bellingcat-archive.nyc3.cdn.digitaloceanspaces.com/Ukraine_Witness_Datasheet/Worksheet/telegram_7bf08cb0ee/out20.jpg")</f>
        <v/>
      </c>
      <c r="AQ1252" s="84" t="s">
        <v>12562</v>
      </c>
      <c r="AR1252" s="84" t="s">
        <v>12553</v>
      </c>
      <c r="AS1252" s="71" t="s">
        <v>12563</v>
      </c>
      <c r="AT1252" s="71">
        <v>81.0</v>
      </c>
      <c r="AU1252" s="89"/>
      <c r="AV1252" s="80" t="s">
        <v>63</v>
      </c>
      <c r="AW1252" s="203"/>
    </row>
    <row r="1253" ht="15.75" customHeight="1">
      <c r="A1253" s="477" t="s">
        <v>12532</v>
      </c>
      <c r="B1253" s="73"/>
      <c r="C1253" s="470">
        <v>44623.0</v>
      </c>
      <c r="D1253" s="383" t="s">
        <v>12564</v>
      </c>
      <c r="E1253" s="383" t="s">
        <v>12565</v>
      </c>
      <c r="F1253" s="79">
        <v>3.0</v>
      </c>
      <c r="G1253" s="273" t="s">
        <v>12566</v>
      </c>
      <c r="H1253" s="104" t="s">
        <v>5522</v>
      </c>
      <c r="I1253" s="384" t="s">
        <v>12567</v>
      </c>
      <c r="J1253" s="71" t="s">
        <v>12568</v>
      </c>
      <c r="K1253" s="69"/>
      <c r="L1253" s="65" t="s">
        <v>3542</v>
      </c>
      <c r="M1253" s="61" t="s">
        <v>5590</v>
      </c>
      <c r="N1253" s="73"/>
      <c r="O1253" s="61" t="s">
        <v>9227</v>
      </c>
      <c r="P1253" s="67" t="str">
        <f t="shared" si="1"/>
        <v>49.19023088, 37.27716383</v>
      </c>
      <c r="Q1253" s="67" t="str">
        <f t="shared" si="2"/>
        <v>49.189997, 37.277567</v>
      </c>
      <c r="R1253" s="67">
        <f t="shared" si="3"/>
        <v>49.189997</v>
      </c>
      <c r="S1253" s="67">
        <f t="shared" si="4"/>
        <v>37.277567</v>
      </c>
      <c r="T1253" s="161"/>
      <c r="U1253" s="69"/>
      <c r="V1253" s="65" t="s">
        <v>12569</v>
      </c>
      <c r="W1253" s="71" t="s">
        <v>3601</v>
      </c>
      <c r="X1253" s="208"/>
      <c r="Y1253" s="61" t="s">
        <v>12570</v>
      </c>
      <c r="Z1253" s="61" t="s">
        <v>12557</v>
      </c>
      <c r="AA1253" s="73"/>
      <c r="AB1253" s="73"/>
      <c r="AC1253" s="73"/>
      <c r="AD1253" s="73"/>
      <c r="AE1253" s="73"/>
      <c r="AF1253" s="73"/>
      <c r="AG1253" s="73"/>
      <c r="AH1253" s="73"/>
      <c r="AI1253" s="73"/>
      <c r="AJ1253" s="161"/>
      <c r="AK1253" s="76" t="s">
        <v>6276</v>
      </c>
      <c r="AL1253" s="83" t="s">
        <v>12571</v>
      </c>
      <c r="AM1253" s="71" t="s">
        <v>12572</v>
      </c>
      <c r="AN1253" s="84" t="s">
        <v>12573</v>
      </c>
      <c r="AO1253" s="71" t="s">
        <v>12574</v>
      </c>
      <c r="AP1253" s="161" t="str">
        <f>IMAGE("https://bellingcat-archive.nyc3.cdn.digitaloceanspaces.com/Ukraine_Witness_Datasheet/Worksheet/telegram_00988246b3/out20.jpg")</f>
        <v/>
      </c>
      <c r="AQ1253" s="84" t="s">
        <v>12575</v>
      </c>
      <c r="AR1253" s="84" t="s">
        <v>12566</v>
      </c>
      <c r="AS1253" s="71" t="s">
        <v>12576</v>
      </c>
      <c r="AT1253" s="71">
        <v>133.0</v>
      </c>
      <c r="AU1253" s="89"/>
      <c r="AV1253" s="80" t="s">
        <v>63</v>
      </c>
      <c r="AW1253" s="203"/>
    </row>
    <row r="1254" ht="15.75" customHeight="1">
      <c r="A1254" s="479" t="s">
        <v>6682</v>
      </c>
      <c r="B1254" s="73"/>
      <c r="C1254" s="132"/>
      <c r="D1254" s="285" t="s">
        <v>12577</v>
      </c>
      <c r="E1254" s="241" t="s">
        <v>12578</v>
      </c>
      <c r="F1254" s="89"/>
      <c r="G1254" s="273" t="s">
        <v>12579</v>
      </c>
      <c r="H1254" s="73"/>
      <c r="I1254" s="381" t="s">
        <v>12580</v>
      </c>
      <c r="J1254" s="476" t="s">
        <v>12581</v>
      </c>
      <c r="K1254" s="69"/>
      <c r="L1254" s="65" t="s">
        <v>5670</v>
      </c>
      <c r="M1254" s="61" t="s">
        <v>5590</v>
      </c>
      <c r="N1254" s="73"/>
      <c r="O1254" s="61" t="s">
        <v>5626</v>
      </c>
      <c r="P1254" s="67" t="str">
        <f t="shared" si="1"/>
        <v>49.990053, 36.232864</v>
      </c>
      <c r="Q1254" s="67" t="str">
        <f t="shared" si="2"/>
        <v>49.989679, 36.233271</v>
      </c>
      <c r="R1254" s="67">
        <f t="shared" si="3"/>
        <v>49.989679</v>
      </c>
      <c r="S1254" s="67">
        <f t="shared" si="4"/>
        <v>36.233271</v>
      </c>
      <c r="T1254" s="161"/>
      <c r="U1254" s="69"/>
      <c r="V1254" s="65" t="s">
        <v>12582</v>
      </c>
      <c r="W1254" s="161"/>
      <c r="X1254" s="17" t="s">
        <v>9</v>
      </c>
      <c r="Y1254" s="216" t="s">
        <v>5820</v>
      </c>
      <c r="Z1254" s="73"/>
      <c r="AA1254" s="73"/>
      <c r="AB1254" s="73"/>
      <c r="AC1254" s="73"/>
      <c r="AD1254" s="73"/>
      <c r="AE1254" s="73"/>
      <c r="AF1254" s="73"/>
      <c r="AG1254" s="73"/>
      <c r="AH1254" s="73"/>
      <c r="AI1254" s="73"/>
      <c r="AJ1254" s="161"/>
      <c r="AK1254" s="76" t="s">
        <v>6276</v>
      </c>
      <c r="AL1254" s="83" t="s">
        <v>12583</v>
      </c>
      <c r="AM1254" s="71" t="s">
        <v>12584</v>
      </c>
      <c r="AN1254" s="84" t="s">
        <v>12585</v>
      </c>
      <c r="AO1254" s="71" t="s">
        <v>12586</v>
      </c>
      <c r="AP1254" s="161"/>
      <c r="AQ1254" s="161"/>
      <c r="AR1254" s="161"/>
      <c r="AS1254" s="161"/>
      <c r="AT1254" s="161"/>
      <c r="AU1254" s="89"/>
      <c r="AV1254" s="162"/>
      <c r="AW1254" s="81"/>
    </row>
    <row r="1255" ht="15.75" customHeight="1">
      <c r="A1255" s="480" t="s">
        <v>6682</v>
      </c>
      <c r="B1255" s="73"/>
      <c r="C1255" s="101" t="s">
        <v>12587</v>
      </c>
      <c r="D1255" s="481">
        <v>50.01029795854</v>
      </c>
      <c r="E1255" s="481">
        <v>36.2854865696803</v>
      </c>
      <c r="F1255" s="79">
        <v>3.0</v>
      </c>
      <c r="G1255" s="273" t="s">
        <v>12588</v>
      </c>
      <c r="H1255" s="61" t="s">
        <v>5522</v>
      </c>
      <c r="I1255" s="381" t="s">
        <v>12589</v>
      </c>
      <c r="J1255" s="71" t="s">
        <v>12590</v>
      </c>
      <c r="K1255" s="69"/>
      <c r="L1255" s="65" t="s">
        <v>3542</v>
      </c>
      <c r="M1255" s="61" t="s">
        <v>5590</v>
      </c>
      <c r="N1255" s="73"/>
      <c r="O1255" s="61" t="s">
        <v>5626</v>
      </c>
      <c r="P1255" s="67" t="str">
        <f t="shared" si="1"/>
        <v>50.01029795854, 36.2854865696803</v>
      </c>
      <c r="Q1255" s="67" t="str">
        <f t="shared" si="2"/>
        <v>50.010006, 36.284971</v>
      </c>
      <c r="R1255" s="67">
        <f t="shared" si="3"/>
        <v>50.010006</v>
      </c>
      <c r="S1255" s="67">
        <f t="shared" si="4"/>
        <v>36.284971</v>
      </c>
      <c r="T1255" s="161"/>
      <c r="U1255" s="69"/>
      <c r="V1255" s="65" t="s">
        <v>12591</v>
      </c>
      <c r="W1255" s="71" t="s">
        <v>3601</v>
      </c>
      <c r="X1255" s="208"/>
      <c r="Y1255" s="61" t="s">
        <v>2982</v>
      </c>
      <c r="Z1255" s="61" t="s">
        <v>12557</v>
      </c>
      <c r="AA1255" s="73"/>
      <c r="AB1255" s="73"/>
      <c r="AC1255" s="73"/>
      <c r="AD1255" s="73"/>
      <c r="AE1255" s="73"/>
      <c r="AF1255" s="73"/>
      <c r="AG1255" s="73"/>
      <c r="AH1255" s="73"/>
      <c r="AI1255" s="73"/>
      <c r="AJ1255" s="161"/>
      <c r="AK1255" s="76" t="s">
        <v>6276</v>
      </c>
      <c r="AL1255" s="83" t="s">
        <v>12592</v>
      </c>
      <c r="AM1255" s="71" t="s">
        <v>12593</v>
      </c>
      <c r="AN1255" s="84" t="s">
        <v>12594</v>
      </c>
      <c r="AO1255" s="71" t="s">
        <v>12595</v>
      </c>
      <c r="AP1255" s="161" t="str">
        <f>IMAGE("https://bellingcat-archive.nyc3.cdn.digitaloceanspaces.com/Ukraine_Witness_Datasheet/Worksheet/telegram_2351919712/out7.jpg")</f>
        <v/>
      </c>
      <c r="AQ1255" s="84" t="s">
        <v>12596</v>
      </c>
      <c r="AR1255" s="84" t="s">
        <v>12588</v>
      </c>
      <c r="AS1255" s="71" t="s">
        <v>12597</v>
      </c>
      <c r="AT1255" s="71">
        <v>17.0</v>
      </c>
      <c r="AU1255" s="89"/>
      <c r="AV1255" s="162"/>
      <c r="AW1255" s="81"/>
    </row>
    <row r="1256" ht="15.75" customHeight="1">
      <c r="A1256" s="482" t="s">
        <v>8554</v>
      </c>
      <c r="B1256" s="73"/>
      <c r="C1256" s="214" t="s">
        <v>7672</v>
      </c>
      <c r="D1256" s="383" t="s">
        <v>12598</v>
      </c>
      <c r="E1256" s="383" t="s">
        <v>12599</v>
      </c>
      <c r="F1256" s="79">
        <v>5.0</v>
      </c>
      <c r="G1256" s="273" t="s">
        <v>12600</v>
      </c>
      <c r="H1256" s="104" t="s">
        <v>5522</v>
      </c>
      <c r="I1256" s="483" t="s">
        <v>12601</v>
      </c>
      <c r="J1256" s="71" t="s">
        <v>12602</v>
      </c>
      <c r="K1256" s="69"/>
      <c r="L1256" s="65" t="s">
        <v>3542</v>
      </c>
      <c r="M1256" s="61" t="s">
        <v>5590</v>
      </c>
      <c r="N1256" s="73"/>
      <c r="O1256" s="92" t="s">
        <v>12603</v>
      </c>
      <c r="P1256" s="67" t="str">
        <f t="shared" si="1"/>
        <v>50.184706, 36.119724</v>
      </c>
      <c r="Q1256" s="67" t="str">
        <f t="shared" si="2"/>
        <v>50.184122, 36.120646</v>
      </c>
      <c r="R1256" s="67">
        <f t="shared" si="3"/>
        <v>50.184122</v>
      </c>
      <c r="S1256" s="67">
        <f t="shared" si="4"/>
        <v>36.120646</v>
      </c>
      <c r="T1256" s="161"/>
      <c r="U1256" s="69"/>
      <c r="V1256" s="65" t="s">
        <v>12604</v>
      </c>
      <c r="W1256" s="71" t="s">
        <v>6108</v>
      </c>
      <c r="X1256" s="72" t="s">
        <v>5504</v>
      </c>
      <c r="Y1256" s="61" t="s">
        <v>2982</v>
      </c>
      <c r="Z1256" s="61" t="s">
        <v>12557</v>
      </c>
      <c r="AA1256" s="73"/>
      <c r="AB1256" s="73"/>
      <c r="AC1256" s="73"/>
      <c r="AD1256" s="73"/>
      <c r="AE1256" s="73"/>
      <c r="AF1256" s="73"/>
      <c r="AG1256" s="73"/>
      <c r="AH1256" s="73"/>
      <c r="AI1256" s="73"/>
      <c r="AJ1256" s="161"/>
      <c r="AK1256" s="76" t="s">
        <v>6276</v>
      </c>
      <c r="AL1256" s="83" t="s">
        <v>12605</v>
      </c>
      <c r="AM1256" s="71" t="s">
        <v>12606</v>
      </c>
      <c r="AN1256" s="84" t="s">
        <v>12607</v>
      </c>
      <c r="AO1256" s="71" t="s">
        <v>12608</v>
      </c>
      <c r="AP1256" s="161" t="str">
        <f>IMAGE("https://bellingcat-archive.nyc3.cdn.digitaloceanspaces.com/Ukraine_Witness_Datasheet/Worksheet/telegram_d4ef02f786/out20.jpg")</f>
        <v/>
      </c>
      <c r="AQ1256" s="84" t="s">
        <v>12609</v>
      </c>
      <c r="AR1256" s="84" t="s">
        <v>12600</v>
      </c>
      <c r="AS1256" s="71" t="s">
        <v>12610</v>
      </c>
      <c r="AT1256" s="71">
        <v>99.0</v>
      </c>
      <c r="AU1256" s="89"/>
      <c r="AV1256" s="80" t="s">
        <v>63</v>
      </c>
      <c r="AW1256" s="203"/>
    </row>
    <row r="1257" ht="15.75" customHeight="1">
      <c r="A1257" s="444" t="s">
        <v>6682</v>
      </c>
      <c r="B1257" s="73"/>
      <c r="C1257" s="470">
        <v>44595.0</v>
      </c>
      <c r="D1257" s="192">
        <v>48.940137</v>
      </c>
      <c r="E1257" s="192">
        <v>38.5008</v>
      </c>
      <c r="F1257" s="79">
        <v>3.0</v>
      </c>
      <c r="G1257" s="273" t="s">
        <v>12611</v>
      </c>
      <c r="H1257" s="61" t="s">
        <v>12612</v>
      </c>
      <c r="I1257" s="397" t="s">
        <v>12613</v>
      </c>
      <c r="J1257" s="71" t="s">
        <v>12590</v>
      </c>
      <c r="K1257" s="69"/>
      <c r="L1257" s="65" t="s">
        <v>3542</v>
      </c>
      <c r="M1257" s="61" t="s">
        <v>5524</v>
      </c>
      <c r="N1257" s="73"/>
      <c r="O1257" s="484" t="s">
        <v>10274</v>
      </c>
      <c r="P1257" s="67" t="str">
        <f t="shared" si="1"/>
        <v>48.940137, 38.5008</v>
      </c>
      <c r="Q1257" s="67" t="str">
        <f t="shared" si="2"/>
        <v>48.939607, 38.501428</v>
      </c>
      <c r="R1257" s="67">
        <f t="shared" si="3"/>
        <v>48.939607</v>
      </c>
      <c r="S1257" s="67">
        <f t="shared" si="4"/>
        <v>38.501428</v>
      </c>
      <c r="T1257" s="161"/>
      <c r="U1257" s="69"/>
      <c r="V1257" s="65" t="s">
        <v>12614</v>
      </c>
      <c r="W1257" s="71" t="s">
        <v>3601</v>
      </c>
      <c r="X1257" s="72" t="s">
        <v>5504</v>
      </c>
      <c r="Y1257" s="61" t="s">
        <v>11347</v>
      </c>
      <c r="Z1257" s="73"/>
      <c r="AA1257" s="73"/>
      <c r="AB1257" s="73"/>
      <c r="AC1257" s="73"/>
      <c r="AD1257" s="73"/>
      <c r="AE1257" s="73"/>
      <c r="AF1257" s="73"/>
      <c r="AG1257" s="73"/>
      <c r="AH1257" s="73"/>
      <c r="AI1257" s="73"/>
      <c r="AJ1257" s="161"/>
      <c r="AK1257" s="76" t="s">
        <v>6276</v>
      </c>
      <c r="AL1257" s="83" t="s">
        <v>12615</v>
      </c>
      <c r="AM1257" s="71" t="s">
        <v>12616</v>
      </c>
      <c r="AN1257" s="84" t="s">
        <v>12617</v>
      </c>
      <c r="AO1257" s="71" t="s">
        <v>12618</v>
      </c>
      <c r="AP1257" s="161" t="str">
        <f>IMAGE("https://bellingcat-archive.nyc3.cdn.digitaloceanspaces.com/Ukraine_Witness_Datasheet/Worksheet/telegram_xqTF_PktP2yGrExYXkb3JOpHTHWfoFBQ8vHw-l5lhJwTHbR1m98SV8_oX6Q4YZSKAQZgAcRiqXiON5fNJeYnJIl0tzKA7pTN6gvxReLpb3IgJh_pDdd7yki2U1r_x-Nw.jpg")</f>
        <v/>
      </c>
      <c r="AQ1257" s="161"/>
      <c r="AR1257" s="161"/>
      <c r="AS1257" s="71" t="s">
        <v>12619</v>
      </c>
      <c r="AT1257" s="161"/>
      <c r="AU1257" s="89"/>
      <c r="AV1257" s="162"/>
      <c r="AW1257" s="81"/>
    </row>
    <row r="1258" ht="15.75" customHeight="1">
      <c r="A1258" s="485" t="s">
        <v>6924</v>
      </c>
      <c r="B1258" s="73"/>
      <c r="C1258" s="470">
        <v>44595.0</v>
      </c>
      <c r="D1258" s="335"/>
      <c r="E1258" s="335"/>
      <c r="F1258" s="89"/>
      <c r="G1258" s="174"/>
      <c r="H1258" s="73"/>
      <c r="I1258" s="397" t="s">
        <v>12620</v>
      </c>
      <c r="J1258" s="161"/>
      <c r="K1258" s="69"/>
      <c r="L1258" s="70"/>
      <c r="M1258" s="73"/>
      <c r="N1258" s="73"/>
      <c r="O1258" s="73"/>
      <c r="P1258" s="67" t="str">
        <f t="shared" si="1"/>
        <v/>
      </c>
      <c r="Q1258" s="67" t="str">
        <f t="shared" si="2"/>
        <v/>
      </c>
      <c r="R1258" s="67" t="str">
        <f t="shared" si="3"/>
        <v/>
      </c>
      <c r="S1258" s="67" t="str">
        <f t="shared" si="4"/>
        <v/>
      </c>
      <c r="T1258" s="161"/>
      <c r="U1258" s="69"/>
      <c r="V1258" s="65" t="s">
        <v>12621</v>
      </c>
      <c r="W1258" s="161"/>
      <c r="X1258" s="194"/>
      <c r="Y1258" s="73"/>
      <c r="Z1258" s="73"/>
      <c r="AA1258" s="73"/>
      <c r="AB1258" s="73"/>
      <c r="AC1258" s="73"/>
      <c r="AD1258" s="73"/>
      <c r="AE1258" s="73"/>
      <c r="AF1258" s="73"/>
      <c r="AG1258" s="73"/>
      <c r="AH1258" s="73"/>
      <c r="AI1258" s="73"/>
      <c r="AJ1258" s="161"/>
      <c r="AK1258" s="236"/>
      <c r="AL1258" s="269"/>
      <c r="AM1258" s="161"/>
      <c r="AN1258" s="161"/>
      <c r="AO1258" s="161"/>
      <c r="AP1258" s="161"/>
      <c r="AQ1258" s="161"/>
      <c r="AR1258" s="161"/>
      <c r="AS1258" s="161"/>
      <c r="AT1258" s="161"/>
      <c r="AU1258" s="89"/>
      <c r="AV1258" s="162"/>
      <c r="AW1258" s="81"/>
    </row>
    <row r="1259" ht="15.75" customHeight="1">
      <c r="A1259" s="479" t="s">
        <v>10579</v>
      </c>
      <c r="B1259" s="73"/>
      <c r="C1259" s="470">
        <v>44595.0</v>
      </c>
      <c r="D1259" s="285" t="s">
        <v>12622</v>
      </c>
      <c r="E1259" s="285" t="s">
        <v>12623</v>
      </c>
      <c r="F1259" s="89"/>
      <c r="G1259" s="403" t="s">
        <v>12624</v>
      </c>
      <c r="H1259" s="73"/>
      <c r="I1259" s="397" t="s">
        <v>12625</v>
      </c>
      <c r="J1259" s="476" t="s">
        <v>12626</v>
      </c>
      <c r="K1259" s="69"/>
      <c r="L1259" s="65" t="s">
        <v>5670</v>
      </c>
      <c r="M1259" s="61" t="s">
        <v>5590</v>
      </c>
      <c r="N1259" s="73"/>
      <c r="O1259" s="61" t="s">
        <v>5626</v>
      </c>
      <c r="P1259" s="67" t="str">
        <f t="shared" si="1"/>
        <v>49.949881, 36.1561796</v>
      </c>
      <c r="Q1259" s="67" t="str">
        <f t="shared" si="2"/>
        <v>49.949163, 36.15629</v>
      </c>
      <c r="R1259" s="67">
        <f t="shared" si="3"/>
        <v>49.949163</v>
      </c>
      <c r="S1259" s="67">
        <f t="shared" si="4"/>
        <v>36.15629</v>
      </c>
      <c r="T1259" s="161"/>
      <c r="U1259" s="69"/>
      <c r="V1259" s="65" t="s">
        <v>12627</v>
      </c>
      <c r="W1259" s="161"/>
      <c r="X1259" s="17" t="s">
        <v>9</v>
      </c>
      <c r="Y1259" s="216" t="s">
        <v>5820</v>
      </c>
      <c r="Z1259" s="161"/>
      <c r="AA1259" s="73"/>
      <c r="AB1259" s="73"/>
      <c r="AC1259" s="73"/>
      <c r="AD1259" s="73"/>
      <c r="AE1259" s="73"/>
      <c r="AF1259" s="73"/>
      <c r="AG1259" s="73"/>
      <c r="AH1259" s="73"/>
      <c r="AI1259" s="73"/>
      <c r="AJ1259" s="161"/>
      <c r="AK1259" s="76" t="s">
        <v>798</v>
      </c>
      <c r="AL1259" s="83" t="s">
        <v>12628</v>
      </c>
      <c r="AM1259" s="71" t="s">
        <v>12629</v>
      </c>
      <c r="AN1259" s="84" t="s">
        <v>12630</v>
      </c>
      <c r="AO1259" s="71" t="s">
        <v>12631</v>
      </c>
      <c r="AP1259" s="161" t="str">
        <f>IMAGE("https://bellingcat-archive.nyc3.cdn.digitaloceanspaces.com/Ukraine_Witness_Datasheet/Worksheet/youtube_dl_1499051939333644300/out7.jpg")</f>
        <v/>
      </c>
      <c r="AQ1259" s="84" t="s">
        <v>12632</v>
      </c>
      <c r="AR1259" s="71" t="s">
        <v>12633</v>
      </c>
      <c r="AS1259" s="71" t="s">
        <v>12634</v>
      </c>
      <c r="AT1259" s="71">
        <v>31.055</v>
      </c>
      <c r="AU1259" s="89"/>
      <c r="AV1259" s="162"/>
      <c r="AW1259" s="81"/>
    </row>
    <row r="1260" ht="15.75" customHeight="1">
      <c r="A1260" s="444" t="s">
        <v>6682</v>
      </c>
      <c r="B1260" s="73"/>
      <c r="C1260" s="470">
        <v>44595.0</v>
      </c>
      <c r="D1260" s="192">
        <v>50.008117</v>
      </c>
      <c r="E1260" s="192">
        <v>36.238195</v>
      </c>
      <c r="F1260" s="79">
        <v>3.0</v>
      </c>
      <c r="G1260" s="273" t="s">
        <v>12635</v>
      </c>
      <c r="H1260" s="61" t="s">
        <v>5522</v>
      </c>
      <c r="I1260" s="397" t="s">
        <v>12636</v>
      </c>
      <c r="J1260" s="71" t="s">
        <v>12637</v>
      </c>
      <c r="K1260" s="69"/>
      <c r="L1260" s="65" t="s">
        <v>3542</v>
      </c>
      <c r="M1260" s="61" t="s">
        <v>12638</v>
      </c>
      <c r="N1260" s="73"/>
      <c r="O1260" s="61" t="s">
        <v>5626</v>
      </c>
      <c r="P1260" s="67" t="str">
        <f t="shared" si="1"/>
        <v>50.008117, 36.238195</v>
      </c>
      <c r="Q1260" s="67" t="str">
        <f t="shared" si="2"/>
        <v>50.007805, 36.237625</v>
      </c>
      <c r="R1260" s="67">
        <f t="shared" si="3"/>
        <v>50.007805</v>
      </c>
      <c r="S1260" s="67">
        <f t="shared" si="4"/>
        <v>36.237625</v>
      </c>
      <c r="T1260" s="161"/>
      <c r="U1260" s="69"/>
      <c r="V1260" s="65" t="s">
        <v>12639</v>
      </c>
      <c r="W1260" s="71" t="s">
        <v>3601</v>
      </c>
      <c r="X1260" s="72" t="s">
        <v>5504</v>
      </c>
      <c r="Y1260" s="216" t="s">
        <v>5820</v>
      </c>
      <c r="Z1260" s="161"/>
      <c r="AA1260" s="73"/>
      <c r="AB1260" s="73"/>
      <c r="AC1260" s="73"/>
      <c r="AD1260" s="73"/>
      <c r="AE1260" s="73"/>
      <c r="AF1260" s="73"/>
      <c r="AG1260" s="73"/>
      <c r="AH1260" s="73"/>
      <c r="AI1260" s="73"/>
      <c r="AJ1260" s="161"/>
      <c r="AK1260" s="76" t="s">
        <v>6276</v>
      </c>
      <c r="AL1260" s="83" t="s">
        <v>12640</v>
      </c>
      <c r="AM1260" s="71" t="s">
        <v>12641</v>
      </c>
      <c r="AN1260" s="84" t="s">
        <v>12642</v>
      </c>
      <c r="AO1260" s="71" t="s">
        <v>12643</v>
      </c>
      <c r="AP1260" s="161"/>
      <c r="AQ1260" s="161"/>
      <c r="AR1260" s="161"/>
      <c r="AS1260" s="161"/>
      <c r="AT1260" s="161"/>
      <c r="AU1260" s="89"/>
      <c r="AV1260" s="162"/>
      <c r="AW1260" s="81"/>
    </row>
    <row r="1261" ht="15.75" customHeight="1">
      <c r="A1261" s="444" t="s">
        <v>6682</v>
      </c>
      <c r="B1261" s="73"/>
      <c r="C1261" s="470">
        <v>44595.0</v>
      </c>
      <c r="D1261" s="192">
        <v>50.541676</v>
      </c>
      <c r="E1261" s="192">
        <v>30.263724</v>
      </c>
      <c r="F1261" s="79">
        <v>3.0</v>
      </c>
      <c r="G1261" s="273" t="s">
        <v>12644</v>
      </c>
      <c r="H1261" s="61" t="s">
        <v>5522</v>
      </c>
      <c r="I1261" s="397" t="s">
        <v>12645</v>
      </c>
      <c r="J1261" s="71" t="s">
        <v>12555</v>
      </c>
      <c r="K1261" s="69"/>
      <c r="L1261" s="65" t="s">
        <v>3542</v>
      </c>
      <c r="M1261" s="61" t="s">
        <v>5827</v>
      </c>
      <c r="N1261" s="73"/>
      <c r="O1261" s="61" t="s">
        <v>12646</v>
      </c>
      <c r="P1261" s="67" t="str">
        <f t="shared" si="1"/>
        <v>50.541676, 30.263724</v>
      </c>
      <c r="Q1261" s="67" t="str">
        <f t="shared" si="2"/>
        <v>50.5416, 30.264908</v>
      </c>
      <c r="R1261" s="67">
        <f t="shared" si="3"/>
        <v>50.5416</v>
      </c>
      <c r="S1261" s="67">
        <f t="shared" si="4"/>
        <v>30.264908</v>
      </c>
      <c r="T1261" s="161"/>
      <c r="U1261" s="69"/>
      <c r="V1261" s="65" t="s">
        <v>12647</v>
      </c>
      <c r="W1261" s="71" t="s">
        <v>3601</v>
      </c>
      <c r="X1261" s="72" t="s">
        <v>5504</v>
      </c>
      <c r="Y1261" s="61" t="s">
        <v>2982</v>
      </c>
      <c r="Z1261" s="71" t="s">
        <v>12648</v>
      </c>
      <c r="AA1261" s="73"/>
      <c r="AB1261" s="73"/>
      <c r="AC1261" s="73"/>
      <c r="AD1261" s="73"/>
      <c r="AE1261" s="73"/>
      <c r="AF1261" s="73"/>
      <c r="AG1261" s="73"/>
      <c r="AH1261" s="73"/>
      <c r="AI1261" s="73"/>
      <c r="AJ1261" s="161"/>
      <c r="AK1261" s="76" t="s">
        <v>798</v>
      </c>
      <c r="AL1261" s="83" t="s">
        <v>12649</v>
      </c>
      <c r="AM1261" s="71" t="s">
        <v>12650</v>
      </c>
      <c r="AN1261" s="84" t="s">
        <v>12651</v>
      </c>
      <c r="AO1261" s="71" t="s">
        <v>12652</v>
      </c>
      <c r="AP1261" s="161" t="str">
        <f>IMAGE("https://bellingcat-archive.nyc3.cdn.digitaloceanspaces.com/Ukraine_Witness_Datasheet/Worksheet/youtube_dl_1498932785100333064/out7.jpg")</f>
        <v/>
      </c>
      <c r="AQ1261" s="84" t="s">
        <v>12653</v>
      </c>
      <c r="AR1261" s="71" t="s">
        <v>12654</v>
      </c>
      <c r="AS1261" s="71" t="s">
        <v>12655</v>
      </c>
      <c r="AT1261" s="71">
        <v>8.916</v>
      </c>
      <c r="AU1261" s="89"/>
      <c r="AV1261" s="162"/>
      <c r="AW1261" s="81"/>
    </row>
    <row r="1262" ht="15.75" customHeight="1">
      <c r="A1262" s="472" t="s">
        <v>6924</v>
      </c>
      <c r="B1262" s="73"/>
      <c r="C1262" s="470">
        <v>44595.0</v>
      </c>
      <c r="D1262" s="285" t="s">
        <v>12356</v>
      </c>
      <c r="E1262" s="285" t="s">
        <v>12656</v>
      </c>
      <c r="F1262" s="89"/>
      <c r="G1262" s="295" t="s">
        <v>12657</v>
      </c>
      <c r="H1262" s="73"/>
      <c r="I1262" s="397" t="s">
        <v>12658</v>
      </c>
      <c r="J1262" s="476" t="s">
        <v>12659</v>
      </c>
      <c r="K1262" s="69"/>
      <c r="L1262" s="70"/>
      <c r="M1262" s="73"/>
      <c r="N1262" s="73"/>
      <c r="O1262" s="73"/>
      <c r="P1262" s="67" t="str">
        <f t="shared" si="1"/>
        <v>49.935265, 36.410086</v>
      </c>
      <c r="Q1262" s="67" t="str">
        <f t="shared" si="2"/>
        <v>49.93489, 36.409284</v>
      </c>
      <c r="R1262" s="67">
        <f t="shared" si="3"/>
        <v>49.93489</v>
      </c>
      <c r="S1262" s="67">
        <f t="shared" si="4"/>
        <v>36.409284</v>
      </c>
      <c r="T1262" s="161"/>
      <c r="U1262" s="69"/>
      <c r="V1262" s="65" t="s">
        <v>12660</v>
      </c>
      <c r="W1262" s="161"/>
      <c r="X1262" s="194"/>
      <c r="Y1262" s="216" t="s">
        <v>5820</v>
      </c>
      <c r="Z1262" s="161"/>
      <c r="AA1262" s="73"/>
      <c r="AB1262" s="73"/>
      <c r="AC1262" s="73"/>
      <c r="AD1262" s="73"/>
      <c r="AE1262" s="73"/>
      <c r="AF1262" s="73"/>
      <c r="AG1262" s="73"/>
      <c r="AH1262" s="73"/>
      <c r="AI1262" s="73"/>
      <c r="AJ1262" s="161"/>
      <c r="AK1262" s="76" t="s">
        <v>798</v>
      </c>
      <c r="AL1262" s="83" t="s">
        <v>12661</v>
      </c>
      <c r="AM1262" s="71" t="s">
        <v>12662</v>
      </c>
      <c r="AN1262" s="84" t="s">
        <v>12663</v>
      </c>
      <c r="AO1262" s="71" t="s">
        <v>12664</v>
      </c>
      <c r="AP1262" s="161" t="str">
        <f>IMAGE("https://bellingcat-archive.nyc3.cdn.digitaloceanspaces.com/Ukraine_Witness_Datasheet/Worksheet/youtube_dl_1498917615389057028/out7.jpg")</f>
        <v/>
      </c>
      <c r="AQ1262" s="84" t="s">
        <v>12665</v>
      </c>
      <c r="AR1262" s="71" t="s">
        <v>12666</v>
      </c>
      <c r="AS1262" s="71" t="s">
        <v>12667</v>
      </c>
      <c r="AT1262" s="71">
        <v>37.633</v>
      </c>
      <c r="AU1262" s="89"/>
      <c r="AV1262" s="162"/>
      <c r="AW1262" s="81"/>
    </row>
    <row r="1263" ht="15.75" customHeight="1">
      <c r="A1263" s="444" t="s">
        <v>6682</v>
      </c>
      <c r="B1263" s="73"/>
      <c r="C1263" s="470">
        <v>44623.0</v>
      </c>
      <c r="D1263" s="192">
        <v>49.989114</v>
      </c>
      <c r="E1263" s="192">
        <v>36.231404</v>
      </c>
      <c r="F1263" s="79">
        <v>3.0</v>
      </c>
      <c r="G1263" s="273" t="s">
        <v>12668</v>
      </c>
      <c r="H1263" s="61" t="s">
        <v>5522</v>
      </c>
      <c r="I1263" s="397" t="s">
        <v>12669</v>
      </c>
      <c r="J1263" s="71" t="s">
        <v>12670</v>
      </c>
      <c r="K1263" s="69"/>
      <c r="L1263" s="65" t="s">
        <v>3542</v>
      </c>
      <c r="M1263" s="61" t="s">
        <v>5590</v>
      </c>
      <c r="N1263" s="73"/>
      <c r="O1263" s="61" t="s">
        <v>5626</v>
      </c>
      <c r="P1263" s="67" t="str">
        <f t="shared" si="1"/>
        <v>49.989114, 36.231404</v>
      </c>
      <c r="Q1263" s="67" t="str">
        <f t="shared" si="2"/>
        <v>49.988625, 36.230884</v>
      </c>
      <c r="R1263" s="67">
        <f t="shared" si="3"/>
        <v>49.988625</v>
      </c>
      <c r="S1263" s="67">
        <f t="shared" si="4"/>
        <v>36.230884</v>
      </c>
      <c r="T1263" s="161"/>
      <c r="U1263" s="69"/>
      <c r="V1263" s="65" t="s">
        <v>12671</v>
      </c>
      <c r="W1263" s="71" t="s">
        <v>3601</v>
      </c>
      <c r="X1263" s="72" t="s">
        <v>5504</v>
      </c>
      <c r="Y1263" s="61" t="s">
        <v>5820</v>
      </c>
      <c r="Z1263" s="161"/>
      <c r="AA1263" s="73"/>
      <c r="AB1263" s="73"/>
      <c r="AC1263" s="73"/>
      <c r="AD1263" s="73"/>
      <c r="AE1263" s="73"/>
      <c r="AF1263" s="73"/>
      <c r="AG1263" s="73"/>
      <c r="AH1263" s="73"/>
      <c r="AI1263" s="73"/>
      <c r="AJ1263" s="161"/>
      <c r="AK1263" s="76" t="s">
        <v>6276</v>
      </c>
      <c r="AL1263" s="83" t="s">
        <v>12672</v>
      </c>
      <c r="AM1263" s="71" t="s">
        <v>12673</v>
      </c>
      <c r="AN1263" s="84" t="s">
        <v>12674</v>
      </c>
      <c r="AO1263" s="71" t="s">
        <v>12675</v>
      </c>
      <c r="AP1263" s="161" t="str">
        <f>IMAGE("https://bellingcat-archive.nyc3.cdn.digitaloceanspaces.com/Ukraine_Witness_Datasheet/Worksheet/telegram_0bb9272665/out7.jpg")</f>
        <v/>
      </c>
      <c r="AQ1263" s="84" t="s">
        <v>12676</v>
      </c>
      <c r="AR1263" s="84" t="s">
        <v>12668</v>
      </c>
      <c r="AS1263" s="71" t="s">
        <v>12677</v>
      </c>
      <c r="AT1263" s="71">
        <v>27.0</v>
      </c>
      <c r="AU1263" s="89"/>
      <c r="AV1263" s="162"/>
      <c r="AW1263" s="81"/>
    </row>
    <row r="1264" ht="15.75" customHeight="1">
      <c r="A1264" s="444" t="s">
        <v>6682</v>
      </c>
      <c r="B1264" s="73"/>
      <c r="C1264" s="470">
        <v>44623.0</v>
      </c>
      <c r="D1264" s="192">
        <v>49.190252</v>
      </c>
      <c r="E1264" s="192">
        <v>37.27721</v>
      </c>
      <c r="F1264" s="79">
        <v>3.0</v>
      </c>
      <c r="G1264" s="273" t="s">
        <v>12678</v>
      </c>
      <c r="H1264" s="61" t="s">
        <v>5522</v>
      </c>
      <c r="I1264" s="397" t="s">
        <v>12679</v>
      </c>
      <c r="J1264" s="71" t="s">
        <v>12670</v>
      </c>
      <c r="K1264" s="69"/>
      <c r="L1264" s="65" t="s">
        <v>3542</v>
      </c>
      <c r="M1264" s="61" t="s">
        <v>5590</v>
      </c>
      <c r="N1264" s="73"/>
      <c r="O1264" s="61" t="s">
        <v>9227</v>
      </c>
      <c r="P1264" s="67" t="str">
        <f t="shared" si="1"/>
        <v>49.190252, 37.27721</v>
      </c>
      <c r="Q1264" s="67" t="str">
        <f t="shared" si="2"/>
        <v>49.189724, 37.277803</v>
      </c>
      <c r="R1264" s="67">
        <f t="shared" si="3"/>
        <v>49.189724</v>
      </c>
      <c r="S1264" s="67">
        <f t="shared" si="4"/>
        <v>37.277803</v>
      </c>
      <c r="T1264" s="161"/>
      <c r="U1264" s="69"/>
      <c r="V1264" s="65" t="s">
        <v>12680</v>
      </c>
      <c r="W1264" s="71" t="s">
        <v>3601</v>
      </c>
      <c r="X1264" s="72" t="s">
        <v>5504</v>
      </c>
      <c r="Y1264" s="61" t="s">
        <v>2982</v>
      </c>
      <c r="Z1264" s="71" t="s">
        <v>12557</v>
      </c>
      <c r="AA1264" s="73"/>
      <c r="AB1264" s="73"/>
      <c r="AC1264" s="73"/>
      <c r="AD1264" s="73"/>
      <c r="AE1264" s="73"/>
      <c r="AF1264" s="73"/>
      <c r="AG1264" s="73"/>
      <c r="AH1264" s="73"/>
      <c r="AI1264" s="73"/>
      <c r="AJ1264" s="161"/>
      <c r="AK1264" s="76" t="s">
        <v>6276</v>
      </c>
      <c r="AL1264" s="83" t="s">
        <v>12681</v>
      </c>
      <c r="AM1264" s="71" t="s">
        <v>12682</v>
      </c>
      <c r="AN1264" s="84" t="s">
        <v>12683</v>
      </c>
      <c r="AO1264" s="71" t="s">
        <v>12684</v>
      </c>
      <c r="AP1264" s="161" t="str">
        <f>IMAGE("https://bellingcat-archive.nyc3.cdn.digitaloceanspaces.com/Ukraine_Witness_Datasheet/Worksheet/telegram_b3c7347aea/out20.jpg")</f>
        <v/>
      </c>
      <c r="AQ1264" s="84" t="s">
        <v>12685</v>
      </c>
      <c r="AR1264" s="84" t="s">
        <v>12678</v>
      </c>
      <c r="AS1264" s="71" t="s">
        <v>12686</v>
      </c>
      <c r="AT1264" s="71">
        <v>133.0</v>
      </c>
      <c r="AU1264" s="89"/>
      <c r="AV1264" s="162"/>
      <c r="AW1264" s="81"/>
    </row>
    <row r="1265" ht="15.75" customHeight="1">
      <c r="A1265" s="72" t="s">
        <v>7849</v>
      </c>
      <c r="B1265" s="73"/>
      <c r="C1265" s="486">
        <v>44623.0</v>
      </c>
      <c r="D1265" s="104">
        <v>50.59891</v>
      </c>
      <c r="E1265" s="104">
        <v>36.628674</v>
      </c>
      <c r="F1265" s="79">
        <v>1.0</v>
      </c>
      <c r="G1265" s="84" t="s">
        <v>12687</v>
      </c>
      <c r="H1265" s="73"/>
      <c r="I1265" s="397"/>
      <c r="J1265" s="71" t="s">
        <v>12688</v>
      </c>
      <c r="K1265" s="88" t="s">
        <v>12689</v>
      </c>
      <c r="L1265" s="65" t="s">
        <v>79</v>
      </c>
      <c r="M1265" s="61" t="s">
        <v>12690</v>
      </c>
      <c r="N1265" s="73"/>
      <c r="O1265" s="61" t="s">
        <v>547</v>
      </c>
      <c r="P1265" s="67" t="str">
        <f t="shared" si="1"/>
        <v>50.59891, 36.628674</v>
      </c>
      <c r="Q1265" s="67" t="str">
        <f t="shared" si="2"/>
        <v>50.598703, 36.629118</v>
      </c>
      <c r="R1265" s="67">
        <f t="shared" si="3"/>
        <v>50.598703</v>
      </c>
      <c r="S1265" s="67">
        <f t="shared" si="4"/>
        <v>36.629118</v>
      </c>
      <c r="T1265" s="161"/>
      <c r="U1265" s="69"/>
      <c r="V1265" s="65" t="s">
        <v>12691</v>
      </c>
      <c r="W1265" s="71" t="s">
        <v>5858</v>
      </c>
      <c r="X1265" s="72" t="s">
        <v>5504</v>
      </c>
      <c r="Y1265" s="61" t="s">
        <v>5820</v>
      </c>
      <c r="Z1265" s="161"/>
      <c r="AA1265" s="73"/>
      <c r="AB1265" s="73"/>
      <c r="AC1265" s="73"/>
      <c r="AD1265" s="73"/>
      <c r="AE1265" s="73"/>
      <c r="AF1265" s="73"/>
      <c r="AG1265" s="73"/>
      <c r="AH1265" s="73"/>
      <c r="AI1265" s="73"/>
      <c r="AJ1265" s="161"/>
      <c r="AK1265" s="76" t="s">
        <v>798</v>
      </c>
      <c r="AL1265" s="83" t="s">
        <v>12692</v>
      </c>
      <c r="AM1265" s="71" t="s">
        <v>12693</v>
      </c>
      <c r="AN1265" s="84" t="s">
        <v>12694</v>
      </c>
      <c r="AO1265" s="71" t="s">
        <v>12695</v>
      </c>
      <c r="AP1265" s="161" t="str">
        <f>IMAGE("https://bellingcat-archive.nyc3.cdn.digitaloceanspaces.com/Ukraine_Witness_Datasheet/Worksheet/youtube_dl_1499356252396269573/out7.jpg")</f>
        <v/>
      </c>
      <c r="AQ1265" s="84" t="s">
        <v>12696</v>
      </c>
      <c r="AR1265" s="71" t="s">
        <v>12697</v>
      </c>
      <c r="AS1265" s="71" t="s">
        <v>12698</v>
      </c>
      <c r="AT1265" s="71">
        <v>12.212</v>
      </c>
      <c r="AU1265" s="89"/>
      <c r="AV1265" s="162"/>
      <c r="AW1265" s="81"/>
    </row>
    <row r="1266" ht="15.75" customHeight="1">
      <c r="A1266" s="404" t="s">
        <v>12532</v>
      </c>
      <c r="B1266" s="73"/>
      <c r="C1266" s="101" t="s">
        <v>12050</v>
      </c>
      <c r="D1266" s="104">
        <v>51.5001631</v>
      </c>
      <c r="E1266" s="104">
        <v>31.2789432</v>
      </c>
      <c r="F1266" s="79">
        <v>2.0</v>
      </c>
      <c r="G1266" s="84" t="s">
        <v>12699</v>
      </c>
      <c r="H1266" s="61" t="s">
        <v>5522</v>
      </c>
      <c r="I1266" s="397"/>
      <c r="J1266" s="71" t="s">
        <v>12700</v>
      </c>
      <c r="K1266" s="69"/>
      <c r="L1266" s="65" t="s">
        <v>3542</v>
      </c>
      <c r="M1266" s="61" t="s">
        <v>5880</v>
      </c>
      <c r="N1266" s="73"/>
      <c r="O1266" s="61" t="s">
        <v>8524</v>
      </c>
      <c r="P1266" s="67" t="str">
        <f t="shared" si="1"/>
        <v>51.5001631, 31.2789432</v>
      </c>
      <c r="Q1266" s="67" t="str">
        <f t="shared" si="2"/>
        <v>51.500127, 31.277843</v>
      </c>
      <c r="R1266" s="67">
        <f t="shared" si="3"/>
        <v>51.500127</v>
      </c>
      <c r="S1266" s="67">
        <f t="shared" si="4"/>
        <v>31.277843</v>
      </c>
      <c r="T1266" s="161"/>
      <c r="U1266" s="69"/>
      <c r="V1266" s="65" t="s">
        <v>12701</v>
      </c>
      <c r="W1266" s="71" t="s">
        <v>12702</v>
      </c>
      <c r="X1266" s="208"/>
      <c r="Y1266" s="61" t="s">
        <v>2982</v>
      </c>
      <c r="Z1266" s="71" t="s">
        <v>12703</v>
      </c>
      <c r="AA1266" s="73"/>
      <c r="AB1266" s="73"/>
      <c r="AC1266" s="73"/>
      <c r="AD1266" s="73"/>
      <c r="AE1266" s="73"/>
      <c r="AF1266" s="73"/>
      <c r="AG1266" s="73"/>
      <c r="AH1266" s="73"/>
      <c r="AI1266" s="73"/>
      <c r="AJ1266" s="161"/>
      <c r="AK1266" s="76" t="s">
        <v>798</v>
      </c>
      <c r="AL1266" s="83" t="s">
        <v>12704</v>
      </c>
      <c r="AM1266" s="71" t="s">
        <v>12705</v>
      </c>
      <c r="AN1266" s="84" t="s">
        <v>12706</v>
      </c>
      <c r="AO1266" s="71" t="s">
        <v>12707</v>
      </c>
      <c r="AP1266" s="161" t="str">
        <f>IMAGE("https://bellingcat-archive.nyc3.cdn.digitaloceanspaces.com/Ukraine_Witness_Datasheet/Worksheet/youtube_dl_1499400552664371209/out7.jpg")</f>
        <v/>
      </c>
      <c r="AQ1266" s="84" t="s">
        <v>12708</v>
      </c>
      <c r="AR1266" s="71" t="s">
        <v>12709</v>
      </c>
      <c r="AS1266" s="71" t="s">
        <v>12710</v>
      </c>
      <c r="AT1266" s="71">
        <v>12.766</v>
      </c>
      <c r="AU1266" s="89"/>
      <c r="AV1266" s="162"/>
      <c r="AW1266" s="81"/>
    </row>
    <row r="1267" ht="15.75" customHeight="1">
      <c r="A1267" s="204" t="s">
        <v>8023</v>
      </c>
      <c r="B1267" s="73"/>
      <c r="C1267" s="101" t="s">
        <v>12050</v>
      </c>
      <c r="D1267" s="104">
        <v>50.440783</v>
      </c>
      <c r="E1267" s="104">
        <v>30.295449</v>
      </c>
      <c r="F1267" s="79">
        <v>1.0</v>
      </c>
      <c r="G1267" s="84" t="s">
        <v>12711</v>
      </c>
      <c r="H1267" s="61" t="s">
        <v>66</v>
      </c>
      <c r="I1267" s="397"/>
      <c r="J1267" s="71" t="s">
        <v>12712</v>
      </c>
      <c r="K1267" s="69"/>
      <c r="L1267" s="65" t="s">
        <v>3542</v>
      </c>
      <c r="M1267" s="93" t="s">
        <v>5827</v>
      </c>
      <c r="N1267" s="314"/>
      <c r="O1267" s="93" t="s">
        <v>12713</v>
      </c>
      <c r="P1267" s="67" t="str">
        <f t="shared" si="1"/>
        <v>50.440783, 30.295449</v>
      </c>
      <c r="Q1267" s="67" t="str">
        <f t="shared" si="2"/>
        <v>50.440195, 30.296279</v>
      </c>
      <c r="R1267" s="67">
        <f t="shared" si="3"/>
        <v>50.440195</v>
      </c>
      <c r="S1267" s="67">
        <f t="shared" si="4"/>
        <v>30.296279</v>
      </c>
      <c r="T1267" s="71" t="s">
        <v>12714</v>
      </c>
      <c r="U1267" s="69"/>
      <c r="V1267" s="65" t="s">
        <v>12715</v>
      </c>
      <c r="W1267" s="71" t="s">
        <v>12702</v>
      </c>
      <c r="X1267" s="72" t="s">
        <v>2982</v>
      </c>
      <c r="Y1267" s="73"/>
      <c r="Z1267" s="161"/>
      <c r="AA1267" s="73"/>
      <c r="AB1267" s="73"/>
      <c r="AC1267" s="73"/>
      <c r="AD1267" s="73"/>
      <c r="AE1267" s="73"/>
      <c r="AF1267" s="73"/>
      <c r="AG1267" s="73"/>
      <c r="AH1267" s="73"/>
      <c r="AI1267" s="73"/>
      <c r="AJ1267" s="161"/>
      <c r="AK1267" s="76" t="s">
        <v>798</v>
      </c>
      <c r="AL1267" s="83" t="s">
        <v>12716</v>
      </c>
      <c r="AM1267" s="71" t="s">
        <v>12717</v>
      </c>
      <c r="AN1267" s="84" t="s">
        <v>12718</v>
      </c>
      <c r="AO1267" s="71" t="s">
        <v>12719</v>
      </c>
      <c r="AP1267" s="161" t="str">
        <f>IMAGE("https://bellingcat-archive.nyc3.cdn.digitaloceanspaces.com/Ukraine_Witness_Datasheet/Worksheet/youtube_dl_1499390793001226243/out7.jpg")</f>
        <v/>
      </c>
      <c r="AQ1267" s="84" t="s">
        <v>12720</v>
      </c>
      <c r="AR1267" s="71" t="s">
        <v>12721</v>
      </c>
      <c r="AS1267" s="71" t="s">
        <v>12722</v>
      </c>
      <c r="AT1267" s="71">
        <v>6.366</v>
      </c>
      <c r="AU1267" s="89"/>
      <c r="AV1267" s="80" t="s">
        <v>3944</v>
      </c>
      <c r="AW1267" s="81"/>
    </row>
    <row r="1268" ht="15.75" customHeight="1">
      <c r="A1268" s="72" t="s">
        <v>8023</v>
      </c>
      <c r="B1268" s="73"/>
      <c r="C1268" s="101" t="s">
        <v>12050</v>
      </c>
      <c r="D1268" s="104">
        <v>49.9698643099748</v>
      </c>
      <c r="E1268" s="104">
        <v>36.0104431745097</v>
      </c>
      <c r="F1268" s="79">
        <v>2.0</v>
      </c>
      <c r="G1268" s="60" t="s">
        <v>12723</v>
      </c>
      <c r="H1268" s="61" t="s">
        <v>5368</v>
      </c>
      <c r="I1268" s="397"/>
      <c r="J1268" s="71" t="s">
        <v>12724</v>
      </c>
      <c r="K1268" s="69"/>
      <c r="L1268" s="65" t="s">
        <v>3542</v>
      </c>
      <c r="M1268" s="93" t="s">
        <v>5590</v>
      </c>
      <c r="N1268" s="314"/>
      <c r="O1268" s="93" t="s">
        <v>12725</v>
      </c>
      <c r="P1268" s="67" t="str">
        <f t="shared" si="1"/>
        <v>49.9698643099748, 36.0104431745097</v>
      </c>
      <c r="Q1268" s="67" t="str">
        <f t="shared" si="2"/>
        <v>49.969291, 36.010125</v>
      </c>
      <c r="R1268" s="67">
        <f t="shared" si="3"/>
        <v>49.969291</v>
      </c>
      <c r="S1268" s="67">
        <f t="shared" si="4"/>
        <v>36.010125</v>
      </c>
      <c r="T1268" s="71" t="s">
        <v>12726</v>
      </c>
      <c r="U1268" s="69"/>
      <c r="V1268" s="65" t="s">
        <v>12727</v>
      </c>
      <c r="W1268" s="71" t="s">
        <v>6014</v>
      </c>
      <c r="X1268" s="72" t="s">
        <v>5504</v>
      </c>
      <c r="Y1268" s="73"/>
      <c r="Z1268" s="73"/>
      <c r="AA1268" s="73"/>
      <c r="AB1268" s="73"/>
      <c r="AC1268" s="73"/>
      <c r="AD1268" s="73"/>
      <c r="AE1268" s="73"/>
      <c r="AF1268" s="73"/>
      <c r="AG1268" s="73"/>
      <c r="AH1268" s="73"/>
      <c r="AI1268" s="73"/>
      <c r="AJ1268" s="161"/>
      <c r="AK1268" s="76" t="s">
        <v>2108</v>
      </c>
      <c r="AL1268" s="83" t="s">
        <v>12728</v>
      </c>
      <c r="AM1268" s="71" t="s">
        <v>12729</v>
      </c>
      <c r="AN1268" s="84" t="s">
        <v>12730</v>
      </c>
      <c r="AO1268" s="71" t="s">
        <v>12731</v>
      </c>
      <c r="AP1268" s="161" t="str">
        <f>IMAGE("https://bellingcat-archive.nyc3.cdn.digitaloceanspaces.com/Ukraine_Witness_Datasheet/Worksheet/twitter__media_FM78RjzXwAMleLQ.jpg")</f>
        <v/>
      </c>
      <c r="AQ1268" s="161"/>
      <c r="AR1268" s="161"/>
      <c r="AS1268" s="71" t="s">
        <v>12732</v>
      </c>
      <c r="AT1268" s="161"/>
      <c r="AU1268" s="89"/>
      <c r="AV1268" s="162"/>
      <c r="AW1268" s="81"/>
    </row>
    <row r="1269" ht="15.75" customHeight="1">
      <c r="A1269" s="204" t="s">
        <v>63</v>
      </c>
      <c r="B1269" s="73"/>
      <c r="C1269" s="101" t="s">
        <v>12050</v>
      </c>
      <c r="D1269" s="74">
        <v>51.500268</v>
      </c>
      <c r="E1269" s="74">
        <v>31.278485</v>
      </c>
      <c r="F1269" s="79">
        <v>2.0</v>
      </c>
      <c r="G1269" s="84" t="s">
        <v>12733</v>
      </c>
      <c r="H1269" s="61" t="s">
        <v>5522</v>
      </c>
      <c r="I1269" s="75"/>
      <c r="J1269" s="71" t="s">
        <v>11448</v>
      </c>
      <c r="K1269" s="69"/>
      <c r="L1269" s="65" t="s">
        <v>3542</v>
      </c>
      <c r="M1269" s="93" t="s">
        <v>5880</v>
      </c>
      <c r="N1269" s="314"/>
      <c r="O1269" s="93" t="s">
        <v>6466</v>
      </c>
      <c r="P1269" s="67" t="str">
        <f t="shared" si="1"/>
        <v>51.500268, 31.278485</v>
      </c>
      <c r="Q1269" s="67" t="str">
        <f t="shared" si="2"/>
        <v>51.499655, 31.27806</v>
      </c>
      <c r="R1269" s="67">
        <f t="shared" si="3"/>
        <v>51.499655</v>
      </c>
      <c r="S1269" s="67">
        <f t="shared" si="4"/>
        <v>31.27806</v>
      </c>
      <c r="T1269" s="161"/>
      <c r="U1269" s="69"/>
      <c r="V1269" s="65" t="s">
        <v>12734</v>
      </c>
      <c r="W1269" s="71" t="s">
        <v>3601</v>
      </c>
      <c r="X1269" s="72" t="s">
        <v>5504</v>
      </c>
      <c r="Y1269" s="61" t="s">
        <v>5820</v>
      </c>
      <c r="Z1269" s="73"/>
      <c r="AA1269" s="73"/>
      <c r="AB1269" s="73"/>
      <c r="AC1269" s="73"/>
      <c r="AD1269" s="73"/>
      <c r="AE1269" s="73"/>
      <c r="AF1269" s="73"/>
      <c r="AG1269" s="73"/>
      <c r="AH1269" s="73"/>
      <c r="AI1269" s="73"/>
      <c r="AJ1269" s="161"/>
      <c r="AK1269" s="76" t="s">
        <v>798</v>
      </c>
      <c r="AL1269" s="83" t="s">
        <v>12735</v>
      </c>
      <c r="AM1269" s="71" t="s">
        <v>12736</v>
      </c>
      <c r="AN1269" s="84" t="s">
        <v>12737</v>
      </c>
      <c r="AO1269" s="71" t="s">
        <v>12738</v>
      </c>
      <c r="AP1269" s="161" t="str">
        <f>IMAGE("https://bellingcat-archive.nyc3.cdn.digitaloceanspaces.com/Ukraine_Witness_Datasheet/Worksheet/youtube_dl_1499417437204267010/out7.jpg")</f>
        <v/>
      </c>
      <c r="AQ1269" s="84" t="s">
        <v>12739</v>
      </c>
      <c r="AR1269" s="71" t="s">
        <v>12740</v>
      </c>
      <c r="AS1269" s="71" t="s">
        <v>12741</v>
      </c>
      <c r="AT1269" s="71">
        <v>12.766</v>
      </c>
      <c r="AU1269" s="89"/>
      <c r="AV1269" s="162"/>
      <c r="AW1269" s="81"/>
    </row>
    <row r="1270" ht="15.75" customHeight="1">
      <c r="A1270" s="72" t="s">
        <v>8023</v>
      </c>
      <c r="B1270" s="73"/>
      <c r="C1270" s="101" t="s">
        <v>12050</v>
      </c>
      <c r="D1270" s="300">
        <v>50.31677</v>
      </c>
      <c r="E1270" s="300">
        <v>34.876943</v>
      </c>
      <c r="F1270" s="79">
        <v>3.0</v>
      </c>
      <c r="G1270" s="84" t="s">
        <v>12742</v>
      </c>
      <c r="H1270" s="61" t="s">
        <v>5522</v>
      </c>
      <c r="I1270" s="75"/>
      <c r="J1270" s="71" t="s">
        <v>12743</v>
      </c>
      <c r="K1270" s="69"/>
      <c r="L1270" s="65" t="s">
        <v>3542</v>
      </c>
      <c r="M1270" s="93" t="s">
        <v>5978</v>
      </c>
      <c r="N1270" s="314"/>
      <c r="O1270" s="92" t="s">
        <v>6001</v>
      </c>
      <c r="P1270" s="67" t="str">
        <f t="shared" si="1"/>
        <v>50.31677, 34.876943</v>
      </c>
      <c r="Q1270" s="67" t="str">
        <f t="shared" si="2"/>
        <v>50.316651, 34.876165</v>
      </c>
      <c r="R1270" s="67">
        <f t="shared" si="3"/>
        <v>50.316651</v>
      </c>
      <c r="S1270" s="67">
        <f t="shared" si="4"/>
        <v>34.876165</v>
      </c>
      <c r="T1270" s="71" t="s">
        <v>12744</v>
      </c>
      <c r="U1270" s="69"/>
      <c r="V1270" s="65" t="s">
        <v>12745</v>
      </c>
      <c r="W1270" s="71" t="s">
        <v>3601</v>
      </c>
      <c r="X1270" s="72" t="s">
        <v>5504</v>
      </c>
      <c r="Y1270" s="61" t="s">
        <v>2982</v>
      </c>
      <c r="Z1270" s="61" t="s">
        <v>12746</v>
      </c>
      <c r="AA1270" s="73"/>
      <c r="AB1270" s="73"/>
      <c r="AC1270" s="73"/>
      <c r="AD1270" s="73"/>
      <c r="AE1270" s="73"/>
      <c r="AF1270" s="73"/>
      <c r="AG1270" s="73"/>
      <c r="AH1270" s="73"/>
      <c r="AI1270" s="73"/>
      <c r="AJ1270" s="161"/>
      <c r="AK1270" s="76" t="s">
        <v>798</v>
      </c>
      <c r="AL1270" s="83" t="s">
        <v>12747</v>
      </c>
      <c r="AM1270" s="71" t="s">
        <v>12748</v>
      </c>
      <c r="AN1270" s="84" t="s">
        <v>12749</v>
      </c>
      <c r="AO1270" s="71" t="s">
        <v>12750</v>
      </c>
      <c r="AP1270" s="161" t="str">
        <f>IMAGE("https://bellingcat-archive.nyc3.cdn.digitaloceanspaces.com/Ukraine_Witness_Datasheet/Worksheet/youtube_dl_1499405555206705153/out7.jpg")</f>
        <v/>
      </c>
      <c r="AQ1270" s="84" t="s">
        <v>12751</v>
      </c>
      <c r="AR1270" s="71" t="s">
        <v>12752</v>
      </c>
      <c r="AS1270" s="71" t="s">
        <v>12753</v>
      </c>
      <c r="AT1270" s="71">
        <v>31.3</v>
      </c>
      <c r="AU1270" s="89"/>
      <c r="AV1270" s="162"/>
      <c r="AW1270" s="81"/>
    </row>
    <row r="1271" ht="15.75" customHeight="1">
      <c r="A1271" s="208"/>
      <c r="B1271" s="73"/>
      <c r="C1271" s="101" t="s">
        <v>12050</v>
      </c>
      <c r="D1271" s="121"/>
      <c r="E1271" s="121"/>
      <c r="F1271" s="79">
        <v>3.0</v>
      </c>
      <c r="G1271" s="84" t="s">
        <v>12754</v>
      </c>
      <c r="H1271" s="61" t="s">
        <v>5522</v>
      </c>
      <c r="I1271" s="75"/>
      <c r="J1271" s="71" t="s">
        <v>12755</v>
      </c>
      <c r="K1271" s="69"/>
      <c r="L1271" s="65" t="s">
        <v>3542</v>
      </c>
      <c r="M1271" s="92" t="s">
        <v>7160</v>
      </c>
      <c r="N1271" s="314"/>
      <c r="O1271" s="92" t="s">
        <v>12756</v>
      </c>
      <c r="P1271" s="67" t="str">
        <f t="shared" si="1"/>
        <v/>
      </c>
      <c r="Q1271" s="67" t="str">
        <f t="shared" si="2"/>
        <v/>
      </c>
      <c r="R1271" s="67" t="str">
        <f t="shared" si="3"/>
        <v/>
      </c>
      <c r="S1271" s="67" t="str">
        <f t="shared" si="4"/>
        <v/>
      </c>
      <c r="T1271" s="161"/>
      <c r="U1271" s="69"/>
      <c r="V1271" s="65" t="s">
        <v>12757</v>
      </c>
      <c r="W1271" s="71" t="s">
        <v>12702</v>
      </c>
      <c r="X1271" s="208"/>
      <c r="Y1271" s="73"/>
      <c r="Z1271" s="73"/>
      <c r="AA1271" s="73"/>
      <c r="AB1271" s="73"/>
      <c r="AC1271" s="73"/>
      <c r="AD1271" s="73"/>
      <c r="AE1271" s="73"/>
      <c r="AF1271" s="73"/>
      <c r="AG1271" s="73"/>
      <c r="AH1271" s="73"/>
      <c r="AI1271" s="73"/>
      <c r="AJ1271" s="161"/>
      <c r="AK1271" s="76" t="s">
        <v>798</v>
      </c>
      <c r="AL1271" s="83" t="s">
        <v>12758</v>
      </c>
      <c r="AM1271" s="71" t="s">
        <v>12759</v>
      </c>
      <c r="AN1271" s="84" t="s">
        <v>12760</v>
      </c>
      <c r="AO1271" s="71" t="s">
        <v>12761</v>
      </c>
      <c r="AP1271" s="161" t="str">
        <f>IMAGE("https://bellingcat-archive.nyc3.cdn.digitaloceanspaces.com/Ukraine_Witness_Datasheet/Worksheet/youtube_dl_1499404517439426563/out20.jpg")</f>
        <v/>
      </c>
      <c r="AQ1271" s="84" t="s">
        <v>12762</v>
      </c>
      <c r="AR1271" s="71" t="s">
        <v>12763</v>
      </c>
      <c r="AS1271" s="71" t="s">
        <v>12764</v>
      </c>
      <c r="AT1271" s="71">
        <v>98.433</v>
      </c>
      <c r="AU1271" s="89"/>
      <c r="AV1271" s="162"/>
      <c r="AW1271" s="81"/>
    </row>
    <row r="1272" ht="15.75" customHeight="1">
      <c r="A1272" s="72" t="s">
        <v>7849</v>
      </c>
      <c r="B1272" s="73"/>
      <c r="C1272" s="57" t="s">
        <v>12050</v>
      </c>
      <c r="D1272" s="74">
        <v>50.401891</v>
      </c>
      <c r="E1272" s="74">
        <v>30.559422</v>
      </c>
      <c r="F1272" s="79">
        <v>1.0</v>
      </c>
      <c r="G1272" s="84" t="s">
        <v>12765</v>
      </c>
      <c r="H1272" s="61" t="s">
        <v>5368</v>
      </c>
      <c r="I1272" s="75"/>
      <c r="J1272" s="71" t="s">
        <v>12766</v>
      </c>
      <c r="K1272" s="88" t="s">
        <v>12767</v>
      </c>
      <c r="L1272" s="65" t="s">
        <v>3542</v>
      </c>
      <c r="M1272" s="93" t="s">
        <v>5827</v>
      </c>
      <c r="N1272" s="314"/>
      <c r="O1272" s="92" t="s">
        <v>6121</v>
      </c>
      <c r="P1272" s="67" t="str">
        <f t="shared" si="1"/>
        <v>50.401891, 30.559422</v>
      </c>
      <c r="Q1272" s="67" t="str">
        <f t="shared" si="2"/>
        <v>50.401267, 30.5588</v>
      </c>
      <c r="R1272" s="67">
        <f t="shared" si="3"/>
        <v>50.401267</v>
      </c>
      <c r="S1272" s="67">
        <f t="shared" si="4"/>
        <v>30.5588</v>
      </c>
      <c r="T1272" s="161"/>
      <c r="U1272" s="69"/>
      <c r="V1272" s="65" t="s">
        <v>12768</v>
      </c>
      <c r="W1272" s="71" t="s">
        <v>5904</v>
      </c>
      <c r="X1272" s="72" t="s">
        <v>5504</v>
      </c>
      <c r="Y1272" s="61" t="s">
        <v>5820</v>
      </c>
      <c r="Z1272" s="73"/>
      <c r="AA1272" s="73"/>
      <c r="AB1272" s="73"/>
      <c r="AC1272" s="73"/>
      <c r="AD1272" s="73"/>
      <c r="AE1272" s="73"/>
      <c r="AF1272" s="73"/>
      <c r="AG1272" s="73"/>
      <c r="AH1272" s="73"/>
      <c r="AI1272" s="73"/>
      <c r="AJ1272" s="161"/>
      <c r="AK1272" s="76" t="s">
        <v>2108</v>
      </c>
      <c r="AL1272" s="83" t="s">
        <v>12769</v>
      </c>
      <c r="AM1272" s="71" t="s">
        <v>12770</v>
      </c>
      <c r="AN1272" s="84" t="s">
        <v>12771</v>
      </c>
      <c r="AO1272" s="71" t="s">
        <v>12772</v>
      </c>
      <c r="AP1272" s="161" t="str">
        <f>IMAGE("https://bellingcat-archive.nyc3.cdn.digitaloceanspaces.com/Ukraine_Witness_Datasheet/Worksheet/twitter__media_FM8BRSnWYAsElRA.jpg")</f>
        <v/>
      </c>
      <c r="AQ1272" s="161"/>
      <c r="AR1272" s="161"/>
      <c r="AS1272" s="71" t="s">
        <v>12773</v>
      </c>
      <c r="AT1272" s="161"/>
      <c r="AU1272" s="89"/>
      <c r="AV1272" s="162"/>
      <c r="AW1272" s="81"/>
    </row>
    <row r="1273" ht="15.75" customHeight="1">
      <c r="A1273" s="204" t="s">
        <v>63</v>
      </c>
      <c r="B1273" s="73"/>
      <c r="C1273" s="57" t="s">
        <v>9941</v>
      </c>
      <c r="D1273" s="74">
        <v>47.110561</v>
      </c>
      <c r="E1273" s="74">
        <v>37.552093</v>
      </c>
      <c r="F1273" s="79">
        <v>1.0</v>
      </c>
      <c r="G1273" s="84" t="s">
        <v>12774</v>
      </c>
      <c r="H1273" s="61" t="s">
        <v>5368</v>
      </c>
      <c r="I1273" s="75"/>
      <c r="J1273" s="71" t="s">
        <v>11448</v>
      </c>
      <c r="K1273" s="69"/>
      <c r="L1273" s="65" t="s">
        <v>3542</v>
      </c>
      <c r="M1273" s="92" t="s">
        <v>5750</v>
      </c>
      <c r="N1273" s="314"/>
      <c r="O1273" s="93" t="s">
        <v>6109</v>
      </c>
      <c r="P1273" s="67" t="str">
        <f t="shared" si="1"/>
        <v>47.110561, 37.552093</v>
      </c>
      <c r="Q1273" s="67" t="str">
        <f t="shared" si="2"/>
        <v>47.109964, 37.552566</v>
      </c>
      <c r="R1273" s="67">
        <f t="shared" si="3"/>
        <v>47.109964</v>
      </c>
      <c r="S1273" s="67">
        <f t="shared" si="4"/>
        <v>37.552566</v>
      </c>
      <c r="T1273" s="161"/>
      <c r="U1273" s="69"/>
      <c r="V1273" s="65" t="s">
        <v>12775</v>
      </c>
      <c r="W1273" s="71" t="s">
        <v>3601</v>
      </c>
      <c r="X1273" s="72" t="s">
        <v>5504</v>
      </c>
      <c r="Y1273" s="61" t="s">
        <v>5820</v>
      </c>
      <c r="Z1273" s="73"/>
      <c r="AA1273" s="73"/>
      <c r="AB1273" s="73"/>
      <c r="AC1273" s="73"/>
      <c r="AD1273" s="73"/>
      <c r="AE1273" s="73"/>
      <c r="AF1273" s="73"/>
      <c r="AG1273" s="73"/>
      <c r="AH1273" s="73"/>
      <c r="AI1273" s="73"/>
      <c r="AJ1273" s="161"/>
      <c r="AK1273" s="76" t="s">
        <v>2108</v>
      </c>
      <c r="AL1273" s="83" t="s">
        <v>12776</v>
      </c>
      <c r="AM1273" s="71" t="s">
        <v>12777</v>
      </c>
      <c r="AN1273" s="84" t="s">
        <v>12778</v>
      </c>
      <c r="AO1273" s="71" t="s">
        <v>12779</v>
      </c>
      <c r="AP1273" s="161" t="str">
        <f>IMAGE("https://bellingcat-archive.nyc3.cdn.digitaloceanspaces.com/Ukraine_Witness_Datasheet/Worksheet/twitter__media_FMxjdLraQAY9zjK.jpg")</f>
        <v/>
      </c>
      <c r="AQ1273" s="161"/>
      <c r="AR1273" s="161"/>
      <c r="AS1273" s="71" t="s">
        <v>12780</v>
      </c>
      <c r="AT1273" s="161"/>
      <c r="AU1273" s="89"/>
      <c r="AV1273" s="162"/>
      <c r="AW1273" s="81"/>
    </row>
    <row r="1274" ht="15.75" customHeight="1">
      <c r="A1274" s="204" t="s">
        <v>63</v>
      </c>
      <c r="B1274" s="73"/>
      <c r="C1274" s="57" t="s">
        <v>9941</v>
      </c>
      <c r="D1274" s="74">
        <v>47.112148</v>
      </c>
      <c r="E1274" s="74">
        <v>37.553096</v>
      </c>
      <c r="F1274" s="79">
        <v>1.0</v>
      </c>
      <c r="G1274" s="60" t="s">
        <v>12781</v>
      </c>
      <c r="H1274" s="61" t="s">
        <v>5368</v>
      </c>
      <c r="I1274" s="62" t="s">
        <v>12782</v>
      </c>
      <c r="J1274" s="71" t="s">
        <v>12783</v>
      </c>
      <c r="K1274" s="69"/>
      <c r="L1274" s="65" t="s">
        <v>3542</v>
      </c>
      <c r="M1274" s="92" t="s">
        <v>5750</v>
      </c>
      <c r="N1274" s="314"/>
      <c r="O1274" s="93" t="s">
        <v>6109</v>
      </c>
      <c r="P1274" s="67" t="str">
        <f t="shared" si="1"/>
        <v>47.112148, 37.553096</v>
      </c>
      <c r="Q1274" s="67" t="str">
        <f t="shared" si="2"/>
        <v>47.111683, 37.552738</v>
      </c>
      <c r="R1274" s="67">
        <f t="shared" si="3"/>
        <v>47.111683</v>
      </c>
      <c r="S1274" s="67">
        <f t="shared" si="4"/>
        <v>37.552738</v>
      </c>
      <c r="T1274" s="161"/>
      <c r="U1274" s="64" t="s">
        <v>12784</v>
      </c>
      <c r="V1274" s="65" t="s">
        <v>12785</v>
      </c>
      <c r="W1274" s="71" t="s">
        <v>5904</v>
      </c>
      <c r="X1274" s="72" t="s">
        <v>5504</v>
      </c>
      <c r="Y1274" s="61" t="s">
        <v>5820</v>
      </c>
      <c r="Z1274" s="73"/>
      <c r="AA1274" s="73"/>
      <c r="AB1274" s="73"/>
      <c r="AC1274" s="73"/>
      <c r="AD1274" s="73"/>
      <c r="AE1274" s="73"/>
      <c r="AF1274" s="73"/>
      <c r="AG1274" s="73"/>
      <c r="AH1274" s="73"/>
      <c r="AI1274" s="73"/>
      <c r="AJ1274" s="161"/>
      <c r="AK1274" s="76" t="s">
        <v>2108</v>
      </c>
      <c r="AL1274" s="83" t="s">
        <v>12786</v>
      </c>
      <c r="AM1274" s="71" t="s">
        <v>12787</v>
      </c>
      <c r="AN1274" s="84" t="s">
        <v>12788</v>
      </c>
      <c r="AO1274" s="71" t="s">
        <v>12789</v>
      </c>
      <c r="AP1274" s="161" t="str">
        <f>IMAGE("https://bellingcat-archive.nyc3.cdn.digitaloceanspaces.com/Ukraine_Witness_Datasheet/Worksheet/twitter__media_FMyNypLXIAALJCq.jpg")</f>
        <v/>
      </c>
      <c r="AQ1274" s="161"/>
      <c r="AR1274" s="161"/>
      <c r="AS1274" s="71" t="s">
        <v>12790</v>
      </c>
      <c r="AT1274" s="161"/>
      <c r="AU1274" s="89"/>
      <c r="AV1274" s="162"/>
      <c r="AW1274" s="81"/>
    </row>
    <row r="1275" ht="15.75" customHeight="1">
      <c r="A1275" s="204" t="s">
        <v>63</v>
      </c>
      <c r="B1275" s="73"/>
      <c r="C1275" s="57" t="s">
        <v>12050</v>
      </c>
      <c r="D1275" s="74">
        <v>47.486667</v>
      </c>
      <c r="E1275" s="74">
        <v>34.652812</v>
      </c>
      <c r="F1275" s="79">
        <v>2.0</v>
      </c>
      <c r="G1275" s="84" t="s">
        <v>12791</v>
      </c>
      <c r="H1275" s="61" t="s">
        <v>5522</v>
      </c>
      <c r="I1275" s="75"/>
      <c r="J1275" s="71" t="s">
        <v>12792</v>
      </c>
      <c r="K1275" s="69"/>
      <c r="L1275" s="65" t="s">
        <v>3542</v>
      </c>
      <c r="M1275" s="92" t="s">
        <v>6167</v>
      </c>
      <c r="N1275" s="314"/>
      <c r="O1275" s="92" t="s">
        <v>12793</v>
      </c>
      <c r="P1275" s="67" t="str">
        <f t="shared" si="1"/>
        <v>47.486667, 34.652812</v>
      </c>
      <c r="Q1275" s="67" t="str">
        <f t="shared" si="2"/>
        <v>47.486179, 34.653812</v>
      </c>
      <c r="R1275" s="67">
        <f t="shared" si="3"/>
        <v>47.486179</v>
      </c>
      <c r="S1275" s="67">
        <f t="shared" si="4"/>
        <v>34.653812</v>
      </c>
      <c r="T1275" s="161"/>
      <c r="U1275" s="69"/>
      <c r="V1275" s="65" t="s">
        <v>12794</v>
      </c>
      <c r="W1275" s="71" t="s">
        <v>10760</v>
      </c>
      <c r="X1275" s="72" t="s">
        <v>5504</v>
      </c>
      <c r="Y1275" s="61" t="s">
        <v>2982</v>
      </c>
      <c r="Z1275" s="61" t="s">
        <v>12262</v>
      </c>
      <c r="AA1275" s="73"/>
      <c r="AB1275" s="73"/>
      <c r="AC1275" s="73"/>
      <c r="AD1275" s="73"/>
      <c r="AE1275" s="73"/>
      <c r="AF1275" s="73"/>
      <c r="AG1275" s="73"/>
      <c r="AH1275" s="73"/>
      <c r="AI1275" s="73"/>
      <c r="AJ1275" s="161"/>
      <c r="AK1275" s="76" t="s">
        <v>798</v>
      </c>
      <c r="AL1275" s="83" t="s">
        <v>12795</v>
      </c>
      <c r="AM1275" s="71" t="s">
        <v>12796</v>
      </c>
      <c r="AN1275" s="84" t="s">
        <v>12797</v>
      </c>
      <c r="AO1275" s="71" t="s">
        <v>12798</v>
      </c>
      <c r="AP1275" s="161" t="str">
        <f>IMAGE("https://bellingcat-archive.nyc3.cdn.digitaloceanspaces.com/Ukraine_Witness_Datasheet/Worksheet/youtube_dl_1499417383982833668/out7.jpg")</f>
        <v/>
      </c>
      <c r="AQ1275" s="84" t="s">
        <v>12799</v>
      </c>
      <c r="AR1275" s="71" t="s">
        <v>12800</v>
      </c>
      <c r="AS1275" s="71" t="s">
        <v>12801</v>
      </c>
      <c r="AT1275" s="71">
        <v>21.365</v>
      </c>
      <c r="AU1275" s="89"/>
      <c r="AV1275" s="162"/>
      <c r="AW1275" s="81"/>
    </row>
    <row r="1276" ht="15.75" customHeight="1">
      <c r="A1276" s="204" t="s">
        <v>63</v>
      </c>
      <c r="B1276" s="73"/>
      <c r="C1276" s="57" t="s">
        <v>12050</v>
      </c>
      <c r="D1276" s="74">
        <v>47.478241</v>
      </c>
      <c r="E1276" s="74">
        <v>34.643527</v>
      </c>
      <c r="F1276" s="79">
        <v>2.0</v>
      </c>
      <c r="G1276" s="84" t="s">
        <v>12802</v>
      </c>
      <c r="H1276" s="61" t="s">
        <v>5522</v>
      </c>
      <c r="I1276" s="75"/>
      <c r="J1276" s="71" t="s">
        <v>12803</v>
      </c>
      <c r="K1276" s="69"/>
      <c r="L1276" s="65" t="s">
        <v>3542</v>
      </c>
      <c r="M1276" s="92" t="s">
        <v>6167</v>
      </c>
      <c r="N1276" s="314"/>
      <c r="O1276" s="92" t="s">
        <v>12793</v>
      </c>
      <c r="P1276" s="67" t="str">
        <f t="shared" si="1"/>
        <v>47.478241, 34.643527</v>
      </c>
      <c r="Q1276" s="67" t="str">
        <f t="shared" si="2"/>
        <v>47.477647, 34.64326</v>
      </c>
      <c r="R1276" s="67">
        <f t="shared" si="3"/>
        <v>47.477647</v>
      </c>
      <c r="S1276" s="67">
        <f t="shared" si="4"/>
        <v>34.64326</v>
      </c>
      <c r="T1276" s="161"/>
      <c r="U1276" s="69"/>
      <c r="V1276" s="65" t="s">
        <v>12804</v>
      </c>
      <c r="W1276" s="71" t="s">
        <v>10760</v>
      </c>
      <c r="X1276" s="72" t="s">
        <v>5504</v>
      </c>
      <c r="Y1276" s="61" t="s">
        <v>5820</v>
      </c>
      <c r="Z1276" s="73"/>
      <c r="AA1276" s="73"/>
      <c r="AB1276" s="73"/>
      <c r="AC1276" s="73"/>
      <c r="AD1276" s="73"/>
      <c r="AE1276" s="73"/>
      <c r="AF1276" s="73"/>
      <c r="AG1276" s="73"/>
      <c r="AH1276" s="73"/>
      <c r="AI1276" s="73"/>
      <c r="AJ1276" s="161"/>
      <c r="AK1276" s="76" t="s">
        <v>798</v>
      </c>
      <c r="AL1276" s="83" t="s">
        <v>12805</v>
      </c>
      <c r="AM1276" s="71" t="s">
        <v>12806</v>
      </c>
      <c r="AN1276" s="84" t="s">
        <v>12807</v>
      </c>
      <c r="AO1276" s="71" t="s">
        <v>12808</v>
      </c>
      <c r="AP1276" s="161" t="str">
        <f>IMAGE("https://bellingcat-archive.nyc3.cdn.digitaloceanspaces.com/Ukraine_Witness_Datasheet/Worksheet/youtube_dl_1499420543723921409/out7.jpg")</f>
        <v/>
      </c>
      <c r="AQ1276" s="84" t="s">
        <v>12809</v>
      </c>
      <c r="AR1276" s="71" t="s">
        <v>12810</v>
      </c>
      <c r="AS1276" s="71" t="s">
        <v>12811</v>
      </c>
      <c r="AT1276" s="71">
        <v>26.772</v>
      </c>
      <c r="AU1276" s="89"/>
      <c r="AV1276" s="162"/>
      <c r="AW1276" s="81"/>
    </row>
    <row r="1277" ht="15.75" customHeight="1">
      <c r="A1277" s="72" t="s">
        <v>7849</v>
      </c>
      <c r="B1277" s="73"/>
      <c r="C1277" s="57" t="s">
        <v>12050</v>
      </c>
      <c r="D1277" s="104">
        <v>53.637823</v>
      </c>
      <c r="E1277" s="104">
        <v>28.004812</v>
      </c>
      <c r="F1277" s="79">
        <v>1.0</v>
      </c>
      <c r="G1277" s="84" t="s">
        <v>12812</v>
      </c>
      <c r="H1277" s="61" t="s">
        <v>66</v>
      </c>
      <c r="I1277" s="75"/>
      <c r="J1277" s="71" t="s">
        <v>2123</v>
      </c>
      <c r="K1277" s="88" t="s">
        <v>12813</v>
      </c>
      <c r="L1277" s="65" t="s">
        <v>69</v>
      </c>
      <c r="M1277" s="61" t="s">
        <v>163</v>
      </c>
      <c r="N1277" s="73"/>
      <c r="O1277" s="443" t="s">
        <v>12814</v>
      </c>
      <c r="P1277" s="67" t="str">
        <f t="shared" si="1"/>
        <v>53.637823, 28.004812</v>
      </c>
      <c r="Q1277" s="67" t="str">
        <f t="shared" si="2"/>
        <v>53.637396, 28.00497</v>
      </c>
      <c r="R1277" s="67">
        <f t="shared" si="3"/>
        <v>53.637396</v>
      </c>
      <c r="S1277" s="67">
        <f t="shared" si="4"/>
        <v>28.00497</v>
      </c>
      <c r="T1277" s="71" t="s">
        <v>12815</v>
      </c>
      <c r="U1277" s="69"/>
      <c r="V1277" s="65" t="s">
        <v>12816</v>
      </c>
      <c r="W1277" s="71" t="s">
        <v>5858</v>
      </c>
      <c r="X1277" s="72" t="s">
        <v>2982</v>
      </c>
      <c r="Y1277" s="73"/>
      <c r="Z1277" s="73"/>
      <c r="AA1277" s="73"/>
      <c r="AB1277" s="73"/>
      <c r="AC1277" s="73"/>
      <c r="AD1277" s="73"/>
      <c r="AE1277" s="73"/>
      <c r="AF1277" s="73"/>
      <c r="AG1277" s="73"/>
      <c r="AH1277" s="73"/>
      <c r="AI1277" s="73"/>
      <c r="AJ1277" s="161"/>
      <c r="AK1277" s="76" t="s">
        <v>798</v>
      </c>
      <c r="AL1277" s="83" t="s">
        <v>12817</v>
      </c>
      <c r="AM1277" s="71" t="s">
        <v>12818</v>
      </c>
      <c r="AN1277" s="84" t="s">
        <v>12819</v>
      </c>
      <c r="AO1277" s="71" t="s">
        <v>12820</v>
      </c>
      <c r="AP1277" s="161" t="str">
        <f>IMAGE("https://bellingcat-archive.nyc3.cdn.digitaloceanspaces.com/Ukraine_Witness_Datasheet/Worksheet/youtube_dl_1499399672284151808/out20.jpg")</f>
        <v/>
      </c>
      <c r="AQ1277" s="84" t="s">
        <v>12821</v>
      </c>
      <c r="AR1277" s="71" t="s">
        <v>12822</v>
      </c>
      <c r="AS1277" s="71" t="s">
        <v>12823</v>
      </c>
      <c r="AT1277" s="71">
        <v>70.037</v>
      </c>
      <c r="AU1277" s="89"/>
      <c r="AV1277" s="162"/>
      <c r="AW1277" s="81"/>
    </row>
    <row r="1278" ht="15.75" customHeight="1">
      <c r="A1278" s="72" t="s">
        <v>8023</v>
      </c>
      <c r="B1278" s="73"/>
      <c r="C1278" s="57" t="s">
        <v>12050</v>
      </c>
      <c r="D1278" s="104">
        <v>46.8422292338903</v>
      </c>
      <c r="E1278" s="104">
        <v>35.3731413272469</v>
      </c>
      <c r="F1278" s="79">
        <v>1.0</v>
      </c>
      <c r="G1278" s="84" t="s">
        <v>12824</v>
      </c>
      <c r="H1278" s="61" t="s">
        <v>66</v>
      </c>
      <c r="I1278" s="75"/>
      <c r="J1278" s="71" t="s">
        <v>12825</v>
      </c>
      <c r="K1278" s="69"/>
      <c r="L1278" s="65" t="s">
        <v>5670</v>
      </c>
      <c r="M1278" s="92" t="s">
        <v>6167</v>
      </c>
      <c r="N1278" s="73"/>
      <c r="O1278" s="61" t="s">
        <v>6168</v>
      </c>
      <c r="P1278" s="67" t="str">
        <f t="shared" si="1"/>
        <v>46.8422292338903, 35.3731413272469</v>
      </c>
      <c r="Q1278" s="67" t="str">
        <f t="shared" si="2"/>
        <v>46.841581, 35.373896</v>
      </c>
      <c r="R1278" s="67">
        <f t="shared" si="3"/>
        <v>46.841581</v>
      </c>
      <c r="S1278" s="67">
        <f t="shared" si="4"/>
        <v>35.373896</v>
      </c>
      <c r="T1278" s="71" t="s">
        <v>12826</v>
      </c>
      <c r="U1278" s="69"/>
      <c r="V1278" s="65" t="s">
        <v>12827</v>
      </c>
      <c r="W1278" s="71" t="s">
        <v>811</v>
      </c>
      <c r="X1278" s="72" t="s">
        <v>5504</v>
      </c>
      <c r="Y1278" s="73"/>
      <c r="Z1278" s="73"/>
      <c r="AA1278" s="73"/>
      <c r="AB1278" s="73"/>
      <c r="AC1278" s="73"/>
      <c r="AD1278" s="73"/>
      <c r="AE1278" s="73"/>
      <c r="AF1278" s="73"/>
      <c r="AG1278" s="73"/>
      <c r="AH1278" s="73"/>
      <c r="AI1278" s="73"/>
      <c r="AJ1278" s="161"/>
      <c r="AK1278" s="76" t="s">
        <v>798</v>
      </c>
      <c r="AL1278" s="83" t="s">
        <v>12828</v>
      </c>
      <c r="AM1278" s="71" t="s">
        <v>12829</v>
      </c>
      <c r="AN1278" s="84" t="s">
        <v>12830</v>
      </c>
      <c r="AO1278" s="71" t="s">
        <v>12831</v>
      </c>
      <c r="AP1278" s="161" t="str">
        <f>IMAGE("https://bellingcat-archive.nyc3.cdn.digitaloceanspaces.com/Ukraine_Witness_Datasheet/Worksheet/youtube_dl_1499431262276227080/out7.jpg")</f>
        <v/>
      </c>
      <c r="AQ1278" s="84" t="s">
        <v>12832</v>
      </c>
      <c r="AR1278" s="71" t="s">
        <v>12833</v>
      </c>
      <c r="AS1278" s="71" t="s">
        <v>12834</v>
      </c>
      <c r="AT1278" s="71">
        <v>28.164</v>
      </c>
      <c r="AU1278" s="89"/>
      <c r="AV1278" s="162"/>
      <c r="AW1278" s="81"/>
    </row>
    <row r="1279" ht="15.75" customHeight="1">
      <c r="A1279" s="72" t="s">
        <v>6463</v>
      </c>
      <c r="B1279" s="73"/>
      <c r="C1279" s="57" t="s">
        <v>12050</v>
      </c>
      <c r="D1279" s="104">
        <v>50.4020551042565</v>
      </c>
      <c r="E1279" s="104">
        <v>30.5598136009098</v>
      </c>
      <c r="F1279" s="79">
        <v>1.0</v>
      </c>
      <c r="G1279" s="84" t="s">
        <v>12835</v>
      </c>
      <c r="H1279" s="61" t="s">
        <v>5368</v>
      </c>
      <c r="I1279" s="75"/>
      <c r="J1279" s="71" t="s">
        <v>12836</v>
      </c>
      <c r="K1279" s="69"/>
      <c r="L1279" s="65" t="s">
        <v>5670</v>
      </c>
      <c r="M1279" s="61" t="s">
        <v>12837</v>
      </c>
      <c r="N1279" s="73"/>
      <c r="O1279" s="61" t="s">
        <v>6121</v>
      </c>
      <c r="P1279" s="67" t="str">
        <f t="shared" si="1"/>
        <v>50.4020551042565, 30.5598136009098</v>
      </c>
      <c r="Q1279" s="67" t="str">
        <f t="shared" si="2"/>
        <v>50.40157, 30.558863</v>
      </c>
      <c r="R1279" s="67">
        <f t="shared" si="3"/>
        <v>50.40157</v>
      </c>
      <c r="S1279" s="67">
        <f t="shared" si="4"/>
        <v>30.558863</v>
      </c>
      <c r="T1279" s="71" t="s">
        <v>12838</v>
      </c>
      <c r="U1279" s="69"/>
      <c r="V1279" s="65" t="s">
        <v>12839</v>
      </c>
      <c r="W1279" s="71" t="s">
        <v>12840</v>
      </c>
      <c r="X1279" s="72" t="s">
        <v>5504</v>
      </c>
      <c r="Y1279" s="61" t="s">
        <v>11347</v>
      </c>
      <c r="Z1279" s="73"/>
      <c r="AA1279" s="73"/>
      <c r="AB1279" s="73"/>
      <c r="AC1279" s="73"/>
      <c r="AD1279" s="73"/>
      <c r="AE1279" s="73"/>
      <c r="AF1279" s="73"/>
      <c r="AG1279" s="73"/>
      <c r="AH1279" s="73"/>
      <c r="AI1279" s="73"/>
      <c r="AJ1279" s="161"/>
      <c r="AK1279" s="76" t="s">
        <v>6276</v>
      </c>
      <c r="AL1279" s="83" t="s">
        <v>12841</v>
      </c>
      <c r="AM1279" s="71" t="s">
        <v>12842</v>
      </c>
      <c r="AN1279" s="84" t="s">
        <v>12843</v>
      </c>
      <c r="AO1279" s="71" t="s">
        <v>12844</v>
      </c>
      <c r="AP1279" s="161"/>
      <c r="AQ1279" s="161"/>
      <c r="AR1279" s="161"/>
      <c r="AS1279" s="71" t="s">
        <v>12845</v>
      </c>
      <c r="AT1279" s="161"/>
      <c r="AU1279" s="89"/>
      <c r="AV1279" s="162"/>
      <c r="AW1279" s="81"/>
    </row>
    <row r="1280" ht="15.75" customHeight="1">
      <c r="A1280" s="72" t="s">
        <v>6463</v>
      </c>
      <c r="B1280" s="73"/>
      <c r="C1280" s="57" t="s">
        <v>12050</v>
      </c>
      <c r="D1280" s="104">
        <v>49.9698107086297</v>
      </c>
      <c r="E1280" s="104">
        <v>36.0101925424221</v>
      </c>
      <c r="F1280" s="79">
        <v>2.0</v>
      </c>
      <c r="G1280" s="84" t="s">
        <v>12846</v>
      </c>
      <c r="H1280" s="61" t="s">
        <v>5368</v>
      </c>
      <c r="I1280" s="75"/>
      <c r="J1280" s="71" t="s">
        <v>12847</v>
      </c>
      <c r="K1280" s="69"/>
      <c r="L1280" s="65" t="s">
        <v>5670</v>
      </c>
      <c r="M1280" s="61" t="s">
        <v>5590</v>
      </c>
      <c r="N1280" s="73"/>
      <c r="O1280" s="61" t="s">
        <v>12725</v>
      </c>
      <c r="P1280" s="67" t="str">
        <f t="shared" si="1"/>
        <v>49.9698107086297, 36.0101925424221</v>
      </c>
      <c r="Q1280" s="67" t="str">
        <f t="shared" si="2"/>
        <v>49.969403, 36.010137</v>
      </c>
      <c r="R1280" s="67">
        <f t="shared" si="3"/>
        <v>49.969403</v>
      </c>
      <c r="S1280" s="67">
        <f t="shared" si="4"/>
        <v>36.010137</v>
      </c>
      <c r="T1280" s="71" t="s">
        <v>12848</v>
      </c>
      <c r="U1280" s="69"/>
      <c r="V1280" s="65" t="s">
        <v>12849</v>
      </c>
      <c r="W1280" s="71" t="s">
        <v>7695</v>
      </c>
      <c r="X1280" s="72" t="s">
        <v>5504</v>
      </c>
      <c r="Y1280" s="61" t="s">
        <v>11347</v>
      </c>
      <c r="Z1280" s="61" t="s">
        <v>12850</v>
      </c>
      <c r="AA1280" s="73"/>
      <c r="AB1280" s="73"/>
      <c r="AC1280" s="73"/>
      <c r="AD1280" s="73"/>
      <c r="AE1280" s="73"/>
      <c r="AF1280" s="73"/>
      <c r="AG1280" s="73"/>
      <c r="AH1280" s="73"/>
      <c r="AI1280" s="73"/>
      <c r="AJ1280" s="161"/>
      <c r="AK1280" s="76" t="s">
        <v>6276</v>
      </c>
      <c r="AL1280" s="83" t="s">
        <v>12851</v>
      </c>
      <c r="AM1280" s="71" t="s">
        <v>12852</v>
      </c>
      <c r="AN1280" s="84" t="s">
        <v>12853</v>
      </c>
      <c r="AO1280" s="71" t="s">
        <v>12854</v>
      </c>
      <c r="AP1280" s="161" t="str">
        <f>IMAGE("https://bellingcat-archive.nyc3.cdn.digitaloceanspaces.com/Ukraine_Witness_Datasheet/Worksheet/telegram_oMfCdNwrh3JUpqdrPB3QSaux6ENHaprNOtd884ATLw56ihmTX1z5Y7FSt9uD1pgcpbyx0ysInwSYlMoWdgY3qX1Pk5Fu_lJWgrtHhQgU5ytK91asM832mejRkH5hmUjg.jpg")</f>
        <v/>
      </c>
      <c r="AQ1280" s="161"/>
      <c r="AR1280" s="161"/>
      <c r="AS1280" s="71" t="s">
        <v>12855</v>
      </c>
      <c r="AT1280" s="161"/>
      <c r="AU1280" s="89"/>
      <c r="AV1280" s="162"/>
      <c r="AW1280" s="81"/>
    </row>
    <row r="1281" ht="15.75" customHeight="1">
      <c r="A1281" s="72" t="s">
        <v>6463</v>
      </c>
      <c r="B1281" s="73"/>
      <c r="C1281" s="57" t="s">
        <v>12050</v>
      </c>
      <c r="D1281" s="300">
        <v>51.500288</v>
      </c>
      <c r="E1281" s="300">
        <v>31.278797</v>
      </c>
      <c r="F1281" s="79">
        <v>3.0</v>
      </c>
      <c r="G1281" s="84" t="s">
        <v>12856</v>
      </c>
      <c r="H1281" s="61" t="s">
        <v>66</v>
      </c>
      <c r="I1281" s="75"/>
      <c r="J1281" s="71" t="s">
        <v>12857</v>
      </c>
      <c r="K1281" s="69"/>
      <c r="L1281" s="65" t="s">
        <v>5670</v>
      </c>
      <c r="M1281" s="61" t="s">
        <v>5880</v>
      </c>
      <c r="N1281" s="73"/>
      <c r="O1281" s="61" t="s">
        <v>8524</v>
      </c>
      <c r="P1281" s="67" t="str">
        <f t="shared" si="1"/>
        <v>51.500288, 31.278797</v>
      </c>
      <c r="Q1281" s="67" t="str">
        <f t="shared" si="2"/>
        <v>51.500076, 31.279785</v>
      </c>
      <c r="R1281" s="67">
        <f t="shared" si="3"/>
        <v>51.500076</v>
      </c>
      <c r="S1281" s="67">
        <f t="shared" si="4"/>
        <v>31.279785</v>
      </c>
      <c r="T1281" s="71" t="s">
        <v>12858</v>
      </c>
      <c r="U1281" s="69"/>
      <c r="V1281" s="65" t="s">
        <v>12859</v>
      </c>
      <c r="W1281" s="71" t="s">
        <v>6641</v>
      </c>
      <c r="X1281" s="72" t="s">
        <v>5504</v>
      </c>
      <c r="Y1281" s="61" t="s">
        <v>11347</v>
      </c>
      <c r="Z1281" s="73"/>
      <c r="AA1281" s="73"/>
      <c r="AB1281" s="73"/>
      <c r="AC1281" s="73"/>
      <c r="AD1281" s="73"/>
      <c r="AE1281" s="73"/>
      <c r="AF1281" s="73"/>
      <c r="AG1281" s="73"/>
      <c r="AH1281" s="73"/>
      <c r="AI1281" s="73"/>
      <c r="AJ1281" s="161"/>
      <c r="AK1281" s="76" t="s">
        <v>798</v>
      </c>
      <c r="AL1281" s="83" t="s">
        <v>12860</v>
      </c>
      <c r="AM1281" s="71" t="s">
        <v>12861</v>
      </c>
      <c r="AN1281" s="84" t="s">
        <v>12862</v>
      </c>
      <c r="AO1281" s="71" t="s">
        <v>12863</v>
      </c>
      <c r="AP1281" s="161" t="str">
        <f>IMAGE("https://bellingcat-archive.nyc3.cdn.digitaloceanspaces.com/Ukraine_Witness_Datasheet/Worksheet/youtube_dl_1499431817996345356/out7.jpg")</f>
        <v/>
      </c>
      <c r="AQ1281" s="84" t="s">
        <v>12864</v>
      </c>
      <c r="AR1281" s="71" t="s">
        <v>12865</v>
      </c>
      <c r="AS1281" s="71" t="s">
        <v>12866</v>
      </c>
      <c r="AT1281" s="71">
        <v>29.633</v>
      </c>
      <c r="AU1281" s="89"/>
      <c r="AV1281" s="162"/>
      <c r="AW1281" s="81"/>
    </row>
    <row r="1282" ht="15.75" customHeight="1">
      <c r="A1282" s="72" t="s">
        <v>6463</v>
      </c>
      <c r="B1282" s="73"/>
      <c r="C1282" s="57" t="s">
        <v>12050</v>
      </c>
      <c r="D1282" s="104">
        <v>47.48655944926</v>
      </c>
      <c r="E1282" s="104">
        <v>34.652902645705</v>
      </c>
      <c r="F1282" s="79">
        <v>3.0</v>
      </c>
      <c r="G1282" s="130" t="s">
        <v>12867</v>
      </c>
      <c r="H1282" s="61" t="s">
        <v>66</v>
      </c>
      <c r="I1282" s="75"/>
      <c r="J1282" s="71" t="s">
        <v>12868</v>
      </c>
      <c r="K1282" s="69"/>
      <c r="L1282" s="65" t="s">
        <v>3542</v>
      </c>
      <c r="M1282" s="61" t="s">
        <v>6167</v>
      </c>
      <c r="N1282" s="73"/>
      <c r="O1282" s="61" t="s">
        <v>12793</v>
      </c>
      <c r="P1282" s="67" t="str">
        <f t="shared" si="1"/>
        <v>47.48655944926, 34.652902645705</v>
      </c>
      <c r="Q1282" s="67" t="str">
        <f t="shared" si="2"/>
        <v>47.486343, 34.653874</v>
      </c>
      <c r="R1282" s="67">
        <f t="shared" si="3"/>
        <v>47.486343</v>
      </c>
      <c r="S1282" s="67">
        <f t="shared" si="4"/>
        <v>34.653874</v>
      </c>
      <c r="T1282" s="71" t="s">
        <v>12869</v>
      </c>
      <c r="U1282" s="69"/>
      <c r="V1282" s="65" t="s">
        <v>12870</v>
      </c>
      <c r="W1282" s="71" t="s">
        <v>6641</v>
      </c>
      <c r="X1282" s="72" t="s">
        <v>2982</v>
      </c>
      <c r="Y1282" s="61" t="s">
        <v>11347</v>
      </c>
      <c r="Z1282" s="73"/>
      <c r="AA1282" s="73"/>
      <c r="AB1282" s="73"/>
      <c r="AC1282" s="73"/>
      <c r="AD1282" s="73"/>
      <c r="AE1282" s="73"/>
      <c r="AF1282" s="73"/>
      <c r="AG1282" s="73"/>
      <c r="AH1282" s="73"/>
      <c r="AI1282" s="73"/>
      <c r="AJ1282" s="161"/>
      <c r="AK1282" s="76" t="s">
        <v>798</v>
      </c>
      <c r="AL1282" s="83" t="s">
        <v>12871</v>
      </c>
      <c r="AM1282" s="71" t="s">
        <v>12872</v>
      </c>
      <c r="AN1282" s="84" t="s">
        <v>12873</v>
      </c>
      <c r="AO1282" s="71" t="s">
        <v>12874</v>
      </c>
      <c r="AP1282" s="161" t="str">
        <f>IMAGE("https://bellingcat-archive.nyc3.cdn.digitaloceanspaces.com/Ukraine_Witness_Datasheet/Worksheet/youtube_dl_1499418195488346116/out7.jpg")</f>
        <v/>
      </c>
      <c r="AQ1282" s="84" t="s">
        <v>12875</v>
      </c>
      <c r="AR1282" s="71" t="s">
        <v>12876</v>
      </c>
      <c r="AS1282" s="71" t="s">
        <v>12877</v>
      </c>
      <c r="AT1282" s="71">
        <v>31.333</v>
      </c>
      <c r="AU1282" s="89"/>
      <c r="AV1282" s="162"/>
      <c r="AW1282" s="81"/>
    </row>
    <row r="1283" ht="15.75" customHeight="1">
      <c r="A1283" s="72" t="s">
        <v>6463</v>
      </c>
      <c r="B1283" s="73"/>
      <c r="C1283" s="57" t="s">
        <v>12050</v>
      </c>
      <c r="D1283" s="104">
        <v>47.48655944926</v>
      </c>
      <c r="E1283" s="104">
        <v>34.652902645705</v>
      </c>
      <c r="F1283" s="79">
        <v>3.0</v>
      </c>
      <c r="G1283" s="130" t="s">
        <v>12878</v>
      </c>
      <c r="H1283" s="61" t="s">
        <v>66</v>
      </c>
      <c r="I1283" s="75"/>
      <c r="J1283" s="71" t="s">
        <v>12879</v>
      </c>
      <c r="K1283" s="69"/>
      <c r="L1283" s="65" t="s">
        <v>3542</v>
      </c>
      <c r="M1283" s="61" t="s">
        <v>6167</v>
      </c>
      <c r="N1283" s="73"/>
      <c r="O1283" s="61" t="s">
        <v>12793</v>
      </c>
      <c r="P1283" s="67" t="str">
        <f t="shared" si="1"/>
        <v>47.48655944926, 34.652902645705</v>
      </c>
      <c r="Q1283" s="67" t="str">
        <f t="shared" si="2"/>
        <v>47.48638, 34.653472</v>
      </c>
      <c r="R1283" s="67">
        <f t="shared" si="3"/>
        <v>47.48638</v>
      </c>
      <c r="S1283" s="67">
        <f t="shared" si="4"/>
        <v>34.653472</v>
      </c>
      <c r="T1283" s="71" t="s">
        <v>12869</v>
      </c>
      <c r="U1283" s="69"/>
      <c r="V1283" s="65" t="s">
        <v>12880</v>
      </c>
      <c r="W1283" s="71" t="s">
        <v>6641</v>
      </c>
      <c r="X1283" s="72" t="s">
        <v>2982</v>
      </c>
      <c r="Y1283" s="61" t="s">
        <v>11347</v>
      </c>
      <c r="Z1283" s="73"/>
      <c r="AA1283" s="73"/>
      <c r="AB1283" s="73"/>
      <c r="AC1283" s="73"/>
      <c r="AD1283" s="73"/>
      <c r="AE1283" s="73"/>
      <c r="AF1283" s="73"/>
      <c r="AG1283" s="73"/>
      <c r="AH1283" s="73"/>
      <c r="AI1283" s="73"/>
      <c r="AJ1283" s="161"/>
      <c r="AK1283" s="76" t="s">
        <v>798</v>
      </c>
      <c r="AL1283" s="83" t="s">
        <v>12881</v>
      </c>
      <c r="AM1283" s="71" t="s">
        <v>12882</v>
      </c>
      <c r="AN1283" s="84" t="s">
        <v>12883</v>
      </c>
      <c r="AO1283" s="71" t="s">
        <v>12884</v>
      </c>
      <c r="AP1283" s="161" t="str">
        <f>IMAGE("https://bellingcat-archive.nyc3.cdn.digitaloceanspaces.com/Ukraine_Witness_Datasheet/Worksheet/youtube_dl_1499437391328821251/out7.jpg")</f>
        <v/>
      </c>
      <c r="AQ1283" s="84" t="s">
        <v>12885</v>
      </c>
      <c r="AR1283" s="71" t="s">
        <v>12886</v>
      </c>
      <c r="AS1283" s="71" t="s">
        <v>12887</v>
      </c>
      <c r="AT1283" s="71">
        <v>8.133</v>
      </c>
      <c r="AU1283" s="89"/>
      <c r="AV1283" s="162"/>
      <c r="AW1283" s="81"/>
    </row>
    <row r="1284" ht="17.25" customHeight="1">
      <c r="A1284" s="72" t="s">
        <v>6463</v>
      </c>
      <c r="B1284" s="73"/>
      <c r="C1284" s="57" t="s">
        <v>12050</v>
      </c>
      <c r="D1284" s="300">
        <v>47.097886</v>
      </c>
      <c r="E1284" s="300">
        <v>37.502098</v>
      </c>
      <c r="F1284" s="79">
        <v>2.0</v>
      </c>
      <c r="G1284" s="130" t="s">
        <v>12888</v>
      </c>
      <c r="H1284" s="61" t="s">
        <v>5368</v>
      </c>
      <c r="I1284" s="75"/>
      <c r="J1284" s="71" t="s">
        <v>12889</v>
      </c>
      <c r="K1284" s="69"/>
      <c r="L1284" s="65" t="s">
        <v>3542</v>
      </c>
      <c r="M1284" s="61" t="s">
        <v>5750</v>
      </c>
      <c r="N1284" s="73"/>
      <c r="O1284" s="61" t="s">
        <v>6109</v>
      </c>
      <c r="P1284" s="67" t="str">
        <f t="shared" si="1"/>
        <v>47.097886, 37.502098</v>
      </c>
      <c r="Q1284" s="67" t="str">
        <f t="shared" si="2"/>
        <v>47.097641, 37.501544</v>
      </c>
      <c r="R1284" s="67">
        <f t="shared" si="3"/>
        <v>47.097641</v>
      </c>
      <c r="S1284" s="67">
        <f t="shared" si="4"/>
        <v>37.501544</v>
      </c>
      <c r="T1284" s="71" t="s">
        <v>12890</v>
      </c>
      <c r="U1284" s="69"/>
      <c r="V1284" s="65" t="s">
        <v>12891</v>
      </c>
      <c r="W1284" s="468" t="s">
        <v>6641</v>
      </c>
      <c r="X1284" s="72" t="s">
        <v>2982</v>
      </c>
      <c r="Y1284" s="61" t="s">
        <v>11347</v>
      </c>
      <c r="Z1284" s="73"/>
      <c r="AA1284" s="73"/>
      <c r="AB1284" s="73"/>
      <c r="AC1284" s="73"/>
      <c r="AD1284" s="73"/>
      <c r="AE1284" s="73"/>
      <c r="AF1284" s="73"/>
      <c r="AG1284" s="73"/>
      <c r="AH1284" s="73"/>
      <c r="AI1284" s="73"/>
      <c r="AJ1284" s="161"/>
      <c r="AK1284" s="76" t="s">
        <v>6276</v>
      </c>
      <c r="AL1284" s="83" t="s">
        <v>12892</v>
      </c>
      <c r="AM1284" s="71" t="s">
        <v>12893</v>
      </c>
      <c r="AN1284" s="84" t="s">
        <v>12894</v>
      </c>
      <c r="AO1284" s="71" t="s">
        <v>12895</v>
      </c>
      <c r="AP1284" s="161"/>
      <c r="AQ1284" s="161"/>
      <c r="AR1284" s="161"/>
      <c r="AS1284" s="71" t="s">
        <v>12896</v>
      </c>
      <c r="AT1284" s="161"/>
      <c r="AU1284" s="89"/>
      <c r="AV1284" s="162"/>
      <c r="AW1284" s="81"/>
    </row>
    <row r="1285" ht="15.75" customHeight="1">
      <c r="A1285" s="72" t="s">
        <v>6463</v>
      </c>
      <c r="B1285" s="73"/>
      <c r="C1285" s="57" t="s">
        <v>12050</v>
      </c>
      <c r="D1285" s="300">
        <v>47.471732</v>
      </c>
      <c r="E1285" s="300">
        <v>34.645385</v>
      </c>
      <c r="F1285" s="79">
        <v>2.0</v>
      </c>
      <c r="G1285" s="130" t="s">
        <v>12897</v>
      </c>
      <c r="H1285" s="61" t="s">
        <v>66</v>
      </c>
      <c r="I1285" s="75"/>
      <c r="J1285" s="71" t="s">
        <v>12898</v>
      </c>
      <c r="K1285" s="69"/>
      <c r="L1285" s="65" t="s">
        <v>3542</v>
      </c>
      <c r="M1285" s="61" t="s">
        <v>6167</v>
      </c>
      <c r="N1285" s="73"/>
      <c r="O1285" s="61" t="s">
        <v>12793</v>
      </c>
      <c r="P1285" s="67" t="str">
        <f t="shared" si="1"/>
        <v>47.471732, 34.645385</v>
      </c>
      <c r="Q1285" s="67" t="str">
        <f t="shared" si="2"/>
        <v>47.471126, 34.644621</v>
      </c>
      <c r="R1285" s="67">
        <f t="shared" si="3"/>
        <v>47.471126</v>
      </c>
      <c r="S1285" s="67">
        <f t="shared" si="4"/>
        <v>34.644621</v>
      </c>
      <c r="T1285" s="71" t="s">
        <v>12899</v>
      </c>
      <c r="U1285" s="69"/>
      <c r="V1285" s="65" t="s">
        <v>12900</v>
      </c>
      <c r="W1285" s="71" t="s">
        <v>10760</v>
      </c>
      <c r="X1285" s="72" t="s">
        <v>2982</v>
      </c>
      <c r="Y1285" s="61" t="s">
        <v>11347</v>
      </c>
      <c r="Z1285" s="73"/>
      <c r="AA1285" s="73"/>
      <c r="AB1285" s="73"/>
      <c r="AC1285" s="73"/>
      <c r="AD1285" s="73"/>
      <c r="AE1285" s="73"/>
      <c r="AF1285" s="73"/>
      <c r="AG1285" s="73"/>
      <c r="AH1285" s="73"/>
      <c r="AI1285" s="73"/>
      <c r="AJ1285" s="161"/>
      <c r="AK1285" s="76" t="s">
        <v>798</v>
      </c>
      <c r="AL1285" s="83" t="s">
        <v>12901</v>
      </c>
      <c r="AM1285" s="71" t="s">
        <v>12902</v>
      </c>
      <c r="AN1285" s="84" t="s">
        <v>12903</v>
      </c>
      <c r="AO1285" s="71" t="s">
        <v>12904</v>
      </c>
      <c r="AP1285" s="161" t="str">
        <f>IMAGE("https://bellingcat-archive.nyc3.cdn.digitaloceanspaces.com/Ukraine_Witness_Datasheet/Worksheet/youtube_dl_1499424930978582533/out7.jpg")</f>
        <v/>
      </c>
      <c r="AQ1285" s="84" t="s">
        <v>12905</v>
      </c>
      <c r="AR1285" s="71" t="s">
        <v>12906</v>
      </c>
      <c r="AS1285" s="71" t="s">
        <v>12907</v>
      </c>
      <c r="AT1285" s="71">
        <v>21.033</v>
      </c>
      <c r="AU1285" s="89"/>
      <c r="AV1285" s="162"/>
      <c r="AW1285" s="81"/>
    </row>
    <row r="1286" ht="15.75" customHeight="1">
      <c r="A1286" s="466" t="s">
        <v>6463</v>
      </c>
      <c r="B1286" s="73"/>
      <c r="C1286" s="57" t="s">
        <v>12050</v>
      </c>
      <c r="D1286" s="104">
        <v>47.49128115</v>
      </c>
      <c r="E1286" s="104">
        <v>34.662079904715</v>
      </c>
      <c r="F1286" s="79">
        <v>3.0</v>
      </c>
      <c r="G1286" s="130" t="s">
        <v>12908</v>
      </c>
      <c r="H1286" s="61" t="s">
        <v>66</v>
      </c>
      <c r="I1286" s="75"/>
      <c r="J1286" s="71" t="s">
        <v>12909</v>
      </c>
      <c r="K1286" s="69"/>
      <c r="L1286" s="65" t="s">
        <v>3542</v>
      </c>
      <c r="M1286" s="61" t="s">
        <v>6167</v>
      </c>
      <c r="N1286" s="73"/>
      <c r="O1286" s="61" t="s">
        <v>12910</v>
      </c>
      <c r="P1286" s="67" t="str">
        <f t="shared" si="1"/>
        <v>47.49128115, 34.662079904715</v>
      </c>
      <c r="Q1286" s="67" t="str">
        <f t="shared" si="2"/>
        <v>47.490779, 34.662153</v>
      </c>
      <c r="R1286" s="67">
        <f t="shared" si="3"/>
        <v>47.490779</v>
      </c>
      <c r="S1286" s="67">
        <f t="shared" si="4"/>
        <v>34.662153</v>
      </c>
      <c r="T1286" s="107" t="s">
        <v>12911</v>
      </c>
      <c r="U1286" s="69"/>
      <c r="V1286" s="65" t="s">
        <v>12912</v>
      </c>
      <c r="W1286" s="71" t="s">
        <v>6641</v>
      </c>
      <c r="X1286" s="194"/>
      <c r="Y1286" s="61" t="s">
        <v>11347</v>
      </c>
      <c r="Z1286" s="73"/>
      <c r="AA1286" s="73"/>
      <c r="AB1286" s="73"/>
      <c r="AC1286" s="73"/>
      <c r="AD1286" s="73"/>
      <c r="AE1286" s="73"/>
      <c r="AF1286" s="73"/>
      <c r="AG1286" s="73"/>
      <c r="AH1286" s="73"/>
      <c r="AI1286" s="73"/>
      <c r="AJ1286" s="161"/>
      <c r="AK1286" s="76" t="s">
        <v>798</v>
      </c>
      <c r="AL1286" s="83" t="s">
        <v>12913</v>
      </c>
      <c r="AM1286" s="71" t="s">
        <v>12914</v>
      </c>
      <c r="AN1286" s="84" t="s">
        <v>12915</v>
      </c>
      <c r="AO1286" s="71" t="s">
        <v>12916</v>
      </c>
      <c r="AP1286" s="161" t="str">
        <f>IMAGE("https://bellingcat-archive.nyc3.cdn.digitaloceanspaces.com/Ukraine_Witness_Datasheet/Worksheet/youtube_dl_1499418106002825224/out7.jpg")</f>
        <v/>
      </c>
      <c r="AQ1286" s="84" t="s">
        <v>12917</v>
      </c>
      <c r="AR1286" s="71" t="s">
        <v>12918</v>
      </c>
      <c r="AS1286" s="71" t="s">
        <v>12919</v>
      </c>
      <c r="AT1286" s="71">
        <v>13.266</v>
      </c>
      <c r="AU1286" s="89"/>
      <c r="AV1286" s="162"/>
      <c r="AW1286" s="81"/>
    </row>
    <row r="1287" ht="15.75" customHeight="1">
      <c r="A1287" s="72" t="s">
        <v>6463</v>
      </c>
      <c r="B1287" s="73"/>
      <c r="C1287" s="57" t="s">
        <v>9941</v>
      </c>
      <c r="D1287" s="104">
        <v>50.4724027697036</v>
      </c>
      <c r="E1287" s="104">
        <v>30.4553135549897</v>
      </c>
      <c r="F1287" s="79">
        <v>1.0</v>
      </c>
      <c r="G1287" s="130" t="s">
        <v>12920</v>
      </c>
      <c r="H1287" s="61" t="s">
        <v>5368</v>
      </c>
      <c r="I1287" s="75"/>
      <c r="J1287" s="71" t="s">
        <v>12921</v>
      </c>
      <c r="K1287" s="69"/>
      <c r="L1287" s="65" t="s">
        <v>5670</v>
      </c>
      <c r="M1287" s="61" t="s">
        <v>5827</v>
      </c>
      <c r="N1287" s="73"/>
      <c r="O1287" s="61" t="s">
        <v>6121</v>
      </c>
      <c r="P1287" s="67" t="str">
        <f t="shared" si="1"/>
        <v>50.4724027697036, 30.4553135549897</v>
      </c>
      <c r="Q1287" s="67" t="str">
        <f t="shared" si="2"/>
        <v>50.471854, 30.454873</v>
      </c>
      <c r="R1287" s="67">
        <f t="shared" si="3"/>
        <v>50.471854</v>
      </c>
      <c r="S1287" s="67">
        <f t="shared" si="4"/>
        <v>30.454873</v>
      </c>
      <c r="T1287" s="71" t="s">
        <v>12922</v>
      </c>
      <c r="U1287" s="69"/>
      <c r="V1287" s="65" t="s">
        <v>12923</v>
      </c>
      <c r="W1287" s="71" t="s">
        <v>6641</v>
      </c>
      <c r="X1287" s="72" t="s">
        <v>2982</v>
      </c>
      <c r="Y1287" s="61" t="s">
        <v>11347</v>
      </c>
      <c r="Z1287" s="73"/>
      <c r="AA1287" s="73"/>
      <c r="AB1287" s="73"/>
      <c r="AC1287" s="73"/>
      <c r="AD1287" s="73"/>
      <c r="AE1287" s="73"/>
      <c r="AF1287" s="73"/>
      <c r="AG1287" s="73"/>
      <c r="AH1287" s="73"/>
      <c r="AI1287" s="73"/>
      <c r="AJ1287" s="161"/>
      <c r="AK1287" s="76" t="s">
        <v>2108</v>
      </c>
      <c r="AL1287" s="83" t="s">
        <v>12924</v>
      </c>
      <c r="AM1287" s="71" t="s">
        <v>12925</v>
      </c>
      <c r="AN1287" s="84" t="s">
        <v>12926</v>
      </c>
      <c r="AO1287" s="71" t="s">
        <v>12927</v>
      </c>
      <c r="AP1287" s="161" t="str">
        <f>IMAGE("https://bellingcat-archive.nyc3.cdn.digitaloceanspaces.com/Ukraine_Witness_Datasheet/Worksheet/twitter__media_FM8rFrlXEAQ_OYb.jpg")</f>
        <v/>
      </c>
      <c r="AQ1287" s="161"/>
      <c r="AR1287" s="161"/>
      <c r="AS1287" s="71" t="s">
        <v>12928</v>
      </c>
      <c r="AT1287" s="161"/>
      <c r="AU1287" s="89"/>
      <c r="AV1287" s="162"/>
      <c r="AW1287" s="81"/>
    </row>
    <row r="1288" ht="15.75" customHeight="1">
      <c r="A1288" s="204" t="s">
        <v>63</v>
      </c>
      <c r="B1288" s="73"/>
      <c r="C1288" s="57" t="s">
        <v>9941</v>
      </c>
      <c r="D1288" s="74">
        <v>50.645372</v>
      </c>
      <c r="E1288" s="74">
        <v>29.939021</v>
      </c>
      <c r="F1288" s="79">
        <v>2.0</v>
      </c>
      <c r="G1288" s="60" t="s">
        <v>12929</v>
      </c>
      <c r="H1288" s="61" t="s">
        <v>5522</v>
      </c>
      <c r="I1288" s="75"/>
      <c r="J1288" s="71" t="s">
        <v>12930</v>
      </c>
      <c r="K1288" s="69"/>
      <c r="L1288" s="65" t="s">
        <v>3542</v>
      </c>
      <c r="M1288" s="61" t="s">
        <v>5827</v>
      </c>
      <c r="N1288" s="73"/>
      <c r="O1288" s="92" t="s">
        <v>7832</v>
      </c>
      <c r="P1288" s="67" t="str">
        <f t="shared" si="1"/>
        <v>50.645372, 29.939021</v>
      </c>
      <c r="Q1288" s="67" t="str">
        <f t="shared" si="2"/>
        <v>50.645132, 29.938056</v>
      </c>
      <c r="R1288" s="67">
        <f t="shared" si="3"/>
        <v>50.645132</v>
      </c>
      <c r="S1288" s="67">
        <f t="shared" si="4"/>
        <v>29.938056</v>
      </c>
      <c r="T1288" s="161"/>
      <c r="U1288" s="69"/>
      <c r="V1288" s="65" t="s">
        <v>12931</v>
      </c>
      <c r="W1288" s="71" t="s">
        <v>5739</v>
      </c>
      <c r="X1288" s="72" t="s">
        <v>2982</v>
      </c>
      <c r="Y1288" s="61" t="s">
        <v>11347</v>
      </c>
      <c r="Z1288" s="73"/>
      <c r="AA1288" s="73"/>
      <c r="AB1288" s="73"/>
      <c r="AC1288" s="73"/>
      <c r="AD1288" s="73"/>
      <c r="AE1288" s="73"/>
      <c r="AF1288" s="73"/>
      <c r="AG1288" s="73"/>
      <c r="AH1288" s="73"/>
      <c r="AI1288" s="73"/>
      <c r="AJ1288" s="161"/>
      <c r="AK1288" s="76" t="s">
        <v>798</v>
      </c>
      <c r="AL1288" s="83" t="s">
        <v>12932</v>
      </c>
      <c r="AM1288" s="71" t="s">
        <v>12933</v>
      </c>
      <c r="AN1288" s="84" t="s">
        <v>12934</v>
      </c>
      <c r="AO1288" s="71" t="s">
        <v>12935</v>
      </c>
      <c r="AP1288" s="161" t="str">
        <f>IMAGE("https://bellingcat-archive.nyc3.cdn.digitaloceanspaces.com/Ukraine_Witness_Datasheet/Worksheet/youtube_dl_1499450783749845001/out20.jpg")</f>
        <v/>
      </c>
      <c r="AQ1288" s="84" t="s">
        <v>12936</v>
      </c>
      <c r="AR1288" s="71" t="s">
        <v>12937</v>
      </c>
      <c r="AS1288" s="71" t="s">
        <v>12938</v>
      </c>
      <c r="AT1288" s="71">
        <v>99.333</v>
      </c>
      <c r="AU1288" s="89"/>
      <c r="AV1288" s="80" t="s">
        <v>88</v>
      </c>
      <c r="AW1288" s="81"/>
    </row>
    <row r="1289" ht="15.75" customHeight="1">
      <c r="A1289" s="72" t="s">
        <v>6463</v>
      </c>
      <c r="B1289" s="73"/>
      <c r="C1289" s="57" t="s">
        <v>12050</v>
      </c>
      <c r="D1289" s="74">
        <v>47.478241</v>
      </c>
      <c r="E1289" s="74">
        <v>34.643527</v>
      </c>
      <c r="F1289" s="79">
        <v>2.0</v>
      </c>
      <c r="G1289" s="130" t="s">
        <v>12939</v>
      </c>
      <c r="H1289" s="61" t="s">
        <v>66</v>
      </c>
      <c r="I1289" s="75"/>
      <c r="J1289" s="71" t="s">
        <v>12940</v>
      </c>
      <c r="K1289" s="69"/>
      <c r="L1289" s="65" t="s">
        <v>5670</v>
      </c>
      <c r="M1289" s="61" t="s">
        <v>6167</v>
      </c>
      <c r="N1289" s="73"/>
      <c r="O1289" s="61" t="s">
        <v>12793</v>
      </c>
      <c r="P1289" s="67" t="str">
        <f t="shared" si="1"/>
        <v>47.478241, 34.643527</v>
      </c>
      <c r="Q1289" s="67" t="str">
        <f t="shared" si="2"/>
        <v>47.47774, 34.642714</v>
      </c>
      <c r="R1289" s="67">
        <f t="shared" si="3"/>
        <v>47.47774</v>
      </c>
      <c r="S1289" s="67">
        <f t="shared" si="4"/>
        <v>34.642714</v>
      </c>
      <c r="T1289" s="71" t="s">
        <v>12941</v>
      </c>
      <c r="U1289" s="69"/>
      <c r="V1289" s="65" t="s">
        <v>12942</v>
      </c>
      <c r="W1289" s="71" t="s">
        <v>6641</v>
      </c>
      <c r="X1289" s="72" t="s">
        <v>5504</v>
      </c>
      <c r="Y1289" s="73"/>
      <c r="Z1289" s="73"/>
      <c r="AA1289" s="73"/>
      <c r="AB1289" s="73"/>
      <c r="AC1289" s="73"/>
      <c r="AD1289" s="73"/>
      <c r="AE1289" s="73"/>
      <c r="AF1289" s="73"/>
      <c r="AG1289" s="73"/>
      <c r="AH1289" s="73"/>
      <c r="AI1289" s="73"/>
      <c r="AJ1289" s="161"/>
      <c r="AK1289" s="76" t="s">
        <v>6276</v>
      </c>
      <c r="AL1289" s="83" t="s">
        <v>12943</v>
      </c>
      <c r="AM1289" s="71" t="s">
        <v>12944</v>
      </c>
      <c r="AN1289" s="84" t="s">
        <v>12945</v>
      </c>
      <c r="AO1289" s="71" t="s">
        <v>12946</v>
      </c>
      <c r="AP1289" s="161" t="str">
        <f>IMAGE("https://bellingcat-archive.nyc3.cdn.digitaloceanspaces.com/Ukraine_Witness_Datasheet/Worksheet/telegram_23ec035868/out20.jpg")</f>
        <v/>
      </c>
      <c r="AQ1289" s="84" t="s">
        <v>12947</v>
      </c>
      <c r="AR1289" s="84" t="s">
        <v>12939</v>
      </c>
      <c r="AS1289" s="71" t="s">
        <v>12948</v>
      </c>
      <c r="AT1289" s="71">
        <v>105.0</v>
      </c>
      <c r="AU1289" s="89"/>
      <c r="AV1289" s="162"/>
      <c r="AW1289" s="81"/>
    </row>
    <row r="1290" ht="15.75" customHeight="1">
      <c r="A1290" s="424" t="s">
        <v>6463</v>
      </c>
      <c r="B1290" s="73"/>
      <c r="C1290" s="57" t="s">
        <v>12050</v>
      </c>
      <c r="D1290" s="121"/>
      <c r="E1290" s="121"/>
      <c r="F1290" s="79">
        <v>1.0</v>
      </c>
      <c r="G1290" s="130" t="s">
        <v>12949</v>
      </c>
      <c r="H1290" s="61" t="s">
        <v>66</v>
      </c>
      <c r="I1290" s="75"/>
      <c r="J1290" s="71" t="s">
        <v>12950</v>
      </c>
      <c r="K1290" s="69"/>
      <c r="L1290" s="70"/>
      <c r="M1290" s="73"/>
      <c r="N1290" s="73"/>
      <c r="O1290" s="73"/>
      <c r="P1290" s="67" t="str">
        <f t="shared" si="1"/>
        <v/>
      </c>
      <c r="Q1290" s="67" t="str">
        <f t="shared" si="2"/>
        <v/>
      </c>
      <c r="R1290" s="67" t="str">
        <f t="shared" si="3"/>
        <v/>
      </c>
      <c r="S1290" s="67" t="str">
        <f t="shared" si="4"/>
        <v/>
      </c>
      <c r="T1290" s="161"/>
      <c r="U1290" s="69"/>
      <c r="V1290" s="65" t="s">
        <v>12951</v>
      </c>
      <c r="W1290" s="487" t="s">
        <v>12952</v>
      </c>
      <c r="X1290" s="194"/>
      <c r="Y1290" s="73"/>
      <c r="Z1290" s="73"/>
      <c r="AA1290" s="73"/>
      <c r="AB1290" s="73"/>
      <c r="AC1290" s="73"/>
      <c r="AD1290" s="73"/>
      <c r="AE1290" s="73"/>
      <c r="AF1290" s="73"/>
      <c r="AG1290" s="73"/>
      <c r="AH1290" s="73"/>
      <c r="AI1290" s="73"/>
      <c r="AJ1290" s="161"/>
      <c r="AK1290" s="76" t="s">
        <v>6276</v>
      </c>
      <c r="AL1290" s="83" t="s">
        <v>12953</v>
      </c>
      <c r="AM1290" s="71" t="s">
        <v>12954</v>
      </c>
      <c r="AN1290" s="84" t="s">
        <v>12955</v>
      </c>
      <c r="AO1290" s="71" t="s">
        <v>12956</v>
      </c>
      <c r="AP1290" s="161" t="str">
        <f>IMAGE("https://bellingcat-archive.nyc3.cdn.digitaloceanspaces.com/Ukraine_Witness_Datasheet/Worksheet/telegram_7de523d268/out20.jpg")</f>
        <v/>
      </c>
      <c r="AQ1290" s="84" t="s">
        <v>12957</v>
      </c>
      <c r="AR1290" s="84" t="s">
        <v>12949</v>
      </c>
      <c r="AS1290" s="71" t="s">
        <v>12958</v>
      </c>
      <c r="AT1290" s="71">
        <v>113.0</v>
      </c>
      <c r="AU1290" s="89"/>
      <c r="AV1290" s="162"/>
      <c r="AW1290" s="81"/>
    </row>
    <row r="1291" ht="15.75" customHeight="1">
      <c r="A1291" s="424" t="s">
        <v>6463</v>
      </c>
      <c r="B1291" s="73"/>
      <c r="C1291" s="57" t="s">
        <v>12959</v>
      </c>
      <c r="D1291" s="121"/>
      <c r="E1291" s="121"/>
      <c r="F1291" s="79">
        <v>1.0</v>
      </c>
      <c r="G1291" s="130" t="s">
        <v>12960</v>
      </c>
      <c r="H1291" s="61" t="s">
        <v>66</v>
      </c>
      <c r="I1291" s="75"/>
      <c r="J1291" s="71" t="s">
        <v>12961</v>
      </c>
      <c r="K1291" s="69"/>
      <c r="L1291" s="70"/>
      <c r="M1291" s="73"/>
      <c r="N1291" s="73"/>
      <c r="O1291" s="73"/>
      <c r="P1291" s="67" t="str">
        <f t="shared" si="1"/>
        <v/>
      </c>
      <c r="Q1291" s="67" t="str">
        <f t="shared" si="2"/>
        <v/>
      </c>
      <c r="R1291" s="67" t="str">
        <f t="shared" si="3"/>
        <v/>
      </c>
      <c r="S1291" s="67" t="str">
        <f t="shared" si="4"/>
        <v/>
      </c>
      <c r="T1291" s="161"/>
      <c r="U1291" s="69"/>
      <c r="V1291" s="65" t="s">
        <v>12962</v>
      </c>
      <c r="W1291" s="161"/>
      <c r="X1291" s="194"/>
      <c r="Y1291" s="73"/>
      <c r="Z1291" s="73"/>
      <c r="AA1291" s="73"/>
      <c r="AB1291" s="73"/>
      <c r="AC1291" s="73"/>
      <c r="AD1291" s="73"/>
      <c r="AE1291" s="73"/>
      <c r="AF1291" s="73"/>
      <c r="AG1291" s="73"/>
      <c r="AH1291" s="73"/>
      <c r="AI1291" s="73"/>
      <c r="AJ1291" s="161"/>
      <c r="AK1291" s="76" t="s">
        <v>6276</v>
      </c>
      <c r="AL1291" s="83" t="s">
        <v>12963</v>
      </c>
      <c r="AM1291" s="71" t="s">
        <v>12964</v>
      </c>
      <c r="AN1291" s="84" t="s">
        <v>12965</v>
      </c>
      <c r="AO1291" s="71" t="s">
        <v>12966</v>
      </c>
      <c r="AP1291" s="161" t="str">
        <f>IMAGE("https://bellingcat-archive.nyc3.cdn.digitaloceanspaces.com/Ukraine_Witness_Datasheet/Worksheet/telegram_f101c4e59f/out7.jpg")</f>
        <v/>
      </c>
      <c r="AQ1291" s="84" t="s">
        <v>12967</v>
      </c>
      <c r="AR1291" s="84" t="s">
        <v>12960</v>
      </c>
      <c r="AS1291" s="71" t="s">
        <v>12968</v>
      </c>
      <c r="AT1291" s="71">
        <v>39.0</v>
      </c>
      <c r="AU1291" s="89"/>
      <c r="AV1291" s="162"/>
      <c r="AW1291" s="81"/>
    </row>
    <row r="1292" ht="15.75" customHeight="1">
      <c r="A1292" s="204" t="s">
        <v>11075</v>
      </c>
      <c r="B1292" s="73"/>
      <c r="C1292" s="57" t="s">
        <v>9941</v>
      </c>
      <c r="D1292" s="104">
        <v>47.491531</v>
      </c>
      <c r="E1292" s="104">
        <v>34.65573</v>
      </c>
      <c r="F1292" s="79">
        <v>3.0</v>
      </c>
      <c r="G1292" s="84" t="s">
        <v>12969</v>
      </c>
      <c r="H1292" s="61" t="s">
        <v>5522</v>
      </c>
      <c r="I1292" s="75"/>
      <c r="J1292" s="71" t="s">
        <v>12970</v>
      </c>
      <c r="K1292" s="69"/>
      <c r="L1292" s="65" t="s">
        <v>3542</v>
      </c>
      <c r="M1292" s="61" t="s">
        <v>12971</v>
      </c>
      <c r="N1292" s="73"/>
      <c r="O1292" s="61" t="s">
        <v>12793</v>
      </c>
      <c r="P1292" s="67" t="str">
        <f t="shared" si="1"/>
        <v>47.491531, 34.65573</v>
      </c>
      <c r="Q1292" s="67" t="str">
        <f t="shared" si="2"/>
        <v>47.490924, 34.656369</v>
      </c>
      <c r="R1292" s="67">
        <f t="shared" si="3"/>
        <v>47.490924</v>
      </c>
      <c r="S1292" s="67">
        <f t="shared" si="4"/>
        <v>34.656369</v>
      </c>
      <c r="T1292" s="71" t="s">
        <v>12972</v>
      </c>
      <c r="U1292" s="69"/>
      <c r="V1292" s="65" t="s">
        <v>12973</v>
      </c>
      <c r="W1292" s="71" t="s">
        <v>5904</v>
      </c>
      <c r="X1292" s="72" t="s">
        <v>5504</v>
      </c>
      <c r="Y1292" s="61" t="s">
        <v>2982</v>
      </c>
      <c r="Z1292" s="61" t="s">
        <v>8106</v>
      </c>
      <c r="AA1292" s="73"/>
      <c r="AB1292" s="73"/>
      <c r="AC1292" s="73"/>
      <c r="AD1292" s="73"/>
      <c r="AE1292" s="73"/>
      <c r="AF1292" s="73"/>
      <c r="AG1292" s="73"/>
      <c r="AH1292" s="73"/>
      <c r="AI1292" s="73"/>
      <c r="AJ1292" s="161"/>
      <c r="AK1292" s="76" t="s">
        <v>6276</v>
      </c>
      <c r="AL1292" s="83" t="s">
        <v>12974</v>
      </c>
      <c r="AM1292" s="71" t="s">
        <v>12975</v>
      </c>
      <c r="AN1292" s="84" t="s">
        <v>12976</v>
      </c>
      <c r="AO1292" s="71" t="s">
        <v>12977</v>
      </c>
      <c r="AP1292" s="161" t="str">
        <f>IMAGE("https://bellingcat-archive.nyc3.cdn.digitaloceanspaces.com/Ukraine_Witness_Datasheet/Worksheet/telegram_40058464b2/out7.jpg")</f>
        <v/>
      </c>
      <c r="AQ1292" s="84" t="s">
        <v>12978</v>
      </c>
      <c r="AR1292" s="84" t="s">
        <v>12969</v>
      </c>
      <c r="AS1292" s="71" t="s">
        <v>12979</v>
      </c>
      <c r="AT1292" s="71">
        <v>10.0</v>
      </c>
      <c r="AU1292" s="89"/>
      <c r="AV1292" s="80" t="s">
        <v>88</v>
      </c>
      <c r="AW1292" s="81"/>
    </row>
    <row r="1293" ht="15.75" customHeight="1">
      <c r="A1293" s="204" t="s">
        <v>11075</v>
      </c>
      <c r="B1293" s="73"/>
      <c r="C1293" s="57" t="s">
        <v>9941</v>
      </c>
      <c r="D1293" s="104">
        <v>51.499945</v>
      </c>
      <c r="E1293" s="104">
        <v>31.278308</v>
      </c>
      <c r="F1293" s="79">
        <v>5.0</v>
      </c>
      <c r="G1293" s="84" t="s">
        <v>12980</v>
      </c>
      <c r="H1293" s="61" t="s">
        <v>5522</v>
      </c>
      <c r="I1293" s="75"/>
      <c r="J1293" s="71" t="s">
        <v>12981</v>
      </c>
      <c r="K1293" s="69"/>
      <c r="L1293" s="65" t="s">
        <v>3542</v>
      </c>
      <c r="M1293" s="92" t="s">
        <v>12098</v>
      </c>
      <c r="N1293" s="314"/>
      <c r="O1293" s="92" t="s">
        <v>8524</v>
      </c>
      <c r="P1293" s="67" t="str">
        <f t="shared" si="1"/>
        <v>51.499945, 31.278308</v>
      </c>
      <c r="Q1293" s="67" t="str">
        <f t="shared" si="2"/>
        <v>51.499562, 31.277485</v>
      </c>
      <c r="R1293" s="67">
        <f t="shared" si="3"/>
        <v>51.499562</v>
      </c>
      <c r="S1293" s="67">
        <f t="shared" si="4"/>
        <v>31.277485</v>
      </c>
      <c r="T1293" s="84" t="s">
        <v>12982</v>
      </c>
      <c r="U1293" s="69"/>
      <c r="V1293" s="65" t="s">
        <v>12983</v>
      </c>
      <c r="W1293" s="71" t="s">
        <v>6108</v>
      </c>
      <c r="X1293" s="72" t="s">
        <v>2982</v>
      </c>
      <c r="Y1293" s="61" t="s">
        <v>11347</v>
      </c>
      <c r="Z1293" s="73"/>
      <c r="AA1293" s="73"/>
      <c r="AB1293" s="73"/>
      <c r="AC1293" s="73"/>
      <c r="AD1293" s="73"/>
      <c r="AE1293" s="73"/>
      <c r="AF1293" s="73"/>
      <c r="AG1293" s="73"/>
      <c r="AH1293" s="73"/>
      <c r="AI1293" s="73"/>
      <c r="AJ1293" s="161"/>
      <c r="AK1293" s="76" t="s">
        <v>12984</v>
      </c>
      <c r="AL1293" s="269"/>
      <c r="AM1293" s="71" t="s">
        <v>12985</v>
      </c>
      <c r="AN1293" s="161"/>
      <c r="AO1293" s="161"/>
      <c r="AP1293" s="161"/>
      <c r="AQ1293" s="161"/>
      <c r="AR1293" s="161"/>
      <c r="AS1293" s="161"/>
      <c r="AT1293" s="161"/>
      <c r="AU1293" s="89"/>
      <c r="AV1293" s="80" t="s">
        <v>3944</v>
      </c>
      <c r="AW1293" s="81"/>
    </row>
    <row r="1294" ht="15.75" customHeight="1">
      <c r="A1294" s="357" t="s">
        <v>63</v>
      </c>
      <c r="B1294" s="73"/>
      <c r="C1294" s="57" t="s">
        <v>12050</v>
      </c>
      <c r="D1294" s="74">
        <v>50.565466</v>
      </c>
      <c r="E1294" s="74">
        <v>30.270758</v>
      </c>
      <c r="F1294" s="79">
        <v>4.0</v>
      </c>
      <c r="G1294" s="84" t="s">
        <v>12986</v>
      </c>
      <c r="H1294" s="61" t="s">
        <v>5522</v>
      </c>
      <c r="I1294" s="75"/>
      <c r="J1294" s="71" t="s">
        <v>12987</v>
      </c>
      <c r="K1294" s="88" t="s">
        <v>12988</v>
      </c>
      <c r="L1294" s="65" t="s">
        <v>3542</v>
      </c>
      <c r="M1294" s="61" t="s">
        <v>5827</v>
      </c>
      <c r="N1294" s="73"/>
      <c r="O1294" s="61" t="s">
        <v>5828</v>
      </c>
      <c r="P1294" s="67" t="str">
        <f t="shared" si="1"/>
        <v>50.565466, 30.270758</v>
      </c>
      <c r="Q1294" s="67" t="str">
        <f t="shared" si="2"/>
        <v>50.565406, 30.269562</v>
      </c>
      <c r="R1294" s="67">
        <f t="shared" si="3"/>
        <v>50.565406</v>
      </c>
      <c r="S1294" s="67">
        <f t="shared" si="4"/>
        <v>30.269562</v>
      </c>
      <c r="T1294" s="161"/>
      <c r="U1294" s="69"/>
      <c r="V1294" s="65" t="s">
        <v>12989</v>
      </c>
      <c r="W1294" s="71" t="s">
        <v>5739</v>
      </c>
      <c r="X1294" s="72" t="s">
        <v>2982</v>
      </c>
      <c r="Y1294" s="61" t="s">
        <v>11347</v>
      </c>
      <c r="Z1294" s="73"/>
      <c r="AA1294" s="73"/>
      <c r="AB1294" s="73"/>
      <c r="AC1294" s="73"/>
      <c r="AD1294" s="73"/>
      <c r="AE1294" s="73"/>
      <c r="AF1294" s="73"/>
      <c r="AG1294" s="73"/>
      <c r="AH1294" s="73"/>
      <c r="AI1294" s="73"/>
      <c r="AJ1294" s="161"/>
      <c r="AK1294" s="76" t="s">
        <v>798</v>
      </c>
      <c r="AL1294" s="83" t="s">
        <v>12990</v>
      </c>
      <c r="AM1294" s="71" t="s">
        <v>12991</v>
      </c>
      <c r="AN1294" s="84" t="s">
        <v>12992</v>
      </c>
      <c r="AO1294" s="71" t="s">
        <v>12993</v>
      </c>
      <c r="AP1294" s="161" t="str">
        <f>IMAGE("https://bellingcat-archive.nyc3.cdn.digitaloceanspaces.com/Ukraine_Witness_Datasheet/Worksheet/youtube_dl_1499441751987310596/out7.jpg")</f>
        <v/>
      </c>
      <c r="AQ1294" s="84" t="s">
        <v>12994</v>
      </c>
      <c r="AR1294" s="71" t="s">
        <v>12995</v>
      </c>
      <c r="AS1294" s="71" t="s">
        <v>12996</v>
      </c>
      <c r="AT1294" s="71">
        <v>8.566</v>
      </c>
      <c r="AU1294" s="89"/>
      <c r="AV1294" s="162"/>
      <c r="AW1294" s="81"/>
    </row>
    <row r="1295" ht="15.75" customHeight="1">
      <c r="A1295" s="357" t="s">
        <v>5520</v>
      </c>
      <c r="B1295" s="73"/>
      <c r="C1295" s="57" t="s">
        <v>12050</v>
      </c>
      <c r="D1295" s="104">
        <v>46.943227</v>
      </c>
      <c r="E1295" s="104">
        <v>31.97972</v>
      </c>
      <c r="F1295" s="79">
        <v>2.0</v>
      </c>
      <c r="G1295" s="84" t="s">
        <v>12997</v>
      </c>
      <c r="H1295" s="61" t="s">
        <v>12998</v>
      </c>
      <c r="I1295" s="75"/>
      <c r="J1295" s="71" t="s">
        <v>12999</v>
      </c>
      <c r="K1295" s="88" t="s">
        <v>13000</v>
      </c>
      <c r="L1295" s="65" t="s">
        <v>3542</v>
      </c>
      <c r="M1295" s="74" t="s">
        <v>6563</v>
      </c>
      <c r="N1295" s="73"/>
      <c r="O1295" s="488" t="s">
        <v>13001</v>
      </c>
      <c r="P1295" s="67" t="str">
        <f t="shared" si="1"/>
        <v>46.943227, 31.97972</v>
      </c>
      <c r="Q1295" s="67" t="str">
        <f t="shared" si="2"/>
        <v>46.942571, 31.979971</v>
      </c>
      <c r="R1295" s="67">
        <f t="shared" si="3"/>
        <v>46.942571</v>
      </c>
      <c r="S1295" s="67">
        <f t="shared" si="4"/>
        <v>31.979971</v>
      </c>
      <c r="T1295" s="71" t="s">
        <v>13002</v>
      </c>
      <c r="U1295" s="64" t="s">
        <v>13003</v>
      </c>
      <c r="V1295" s="65" t="s">
        <v>13004</v>
      </c>
      <c r="W1295" s="71" t="s">
        <v>13005</v>
      </c>
      <c r="X1295" s="72" t="s">
        <v>2982</v>
      </c>
      <c r="Y1295" s="61" t="s">
        <v>11347</v>
      </c>
      <c r="Z1295" s="73"/>
      <c r="AA1295" s="73"/>
      <c r="AB1295" s="73"/>
      <c r="AC1295" s="73"/>
      <c r="AD1295" s="73"/>
      <c r="AE1295" s="73"/>
      <c r="AF1295" s="73"/>
      <c r="AG1295" s="73"/>
      <c r="AH1295" s="73"/>
      <c r="AI1295" s="73"/>
      <c r="AJ1295" s="161"/>
      <c r="AK1295" s="76" t="s">
        <v>2108</v>
      </c>
      <c r="AL1295" s="83" t="s">
        <v>13006</v>
      </c>
      <c r="AM1295" s="71" t="s">
        <v>13007</v>
      </c>
      <c r="AN1295" s="84" t="s">
        <v>13008</v>
      </c>
      <c r="AO1295" s="71" t="s">
        <v>13009</v>
      </c>
      <c r="AP1295" s="161" t="str">
        <f>IMAGE("https://bellingcat-archive.nyc3.cdn.digitaloceanspaces.com/Ukraine_Witness_Datasheet/Worksheet/twitter__media_FM8bmviacAAfeZx.jpg")</f>
        <v/>
      </c>
      <c r="AQ1295" s="161"/>
      <c r="AR1295" s="161"/>
      <c r="AS1295" s="71" t="s">
        <v>13010</v>
      </c>
      <c r="AT1295" s="161"/>
      <c r="AU1295" s="89"/>
      <c r="AV1295" s="80" t="s">
        <v>88</v>
      </c>
      <c r="AW1295" s="81"/>
    </row>
    <row r="1296" ht="15.75" customHeight="1">
      <c r="A1296" s="204" t="s">
        <v>5520</v>
      </c>
      <c r="B1296" s="73"/>
      <c r="C1296" s="57" t="s">
        <v>12050</v>
      </c>
      <c r="D1296" s="104">
        <v>46.842401</v>
      </c>
      <c r="E1296" s="104">
        <v>35.37405</v>
      </c>
      <c r="F1296" s="79">
        <v>1.0</v>
      </c>
      <c r="G1296" s="84" t="s">
        <v>13011</v>
      </c>
      <c r="H1296" s="61" t="s">
        <v>5522</v>
      </c>
      <c r="I1296" s="75"/>
      <c r="J1296" s="71" t="s">
        <v>13012</v>
      </c>
      <c r="K1296" s="69"/>
      <c r="L1296" s="65" t="s">
        <v>3542</v>
      </c>
      <c r="M1296" s="74" t="s">
        <v>7947</v>
      </c>
      <c r="N1296" s="73"/>
      <c r="O1296" s="61" t="s">
        <v>7948</v>
      </c>
      <c r="P1296" s="67" t="str">
        <f t="shared" si="1"/>
        <v>46.842401, 35.37405</v>
      </c>
      <c r="Q1296" s="67" t="str">
        <f t="shared" si="2"/>
        <v>46.841794, 35.373161</v>
      </c>
      <c r="R1296" s="67">
        <f t="shared" si="3"/>
        <v>46.841794</v>
      </c>
      <c r="S1296" s="67">
        <f t="shared" si="4"/>
        <v>35.373161</v>
      </c>
      <c r="T1296" s="71" t="s">
        <v>13013</v>
      </c>
      <c r="U1296" s="69"/>
      <c r="V1296" s="169" t="s">
        <v>13014</v>
      </c>
      <c r="W1296" s="71" t="s">
        <v>811</v>
      </c>
      <c r="X1296" s="72" t="s">
        <v>2982</v>
      </c>
      <c r="Y1296" s="73"/>
      <c r="Z1296" s="73"/>
      <c r="AA1296" s="73"/>
      <c r="AB1296" s="73"/>
      <c r="AC1296" s="73"/>
      <c r="AD1296" s="73"/>
      <c r="AE1296" s="73"/>
      <c r="AF1296" s="73"/>
      <c r="AG1296" s="73"/>
      <c r="AH1296" s="73"/>
      <c r="AI1296" s="73"/>
      <c r="AJ1296" s="161"/>
      <c r="AK1296" s="76" t="s">
        <v>798</v>
      </c>
      <c r="AL1296" s="83" t="s">
        <v>13015</v>
      </c>
      <c r="AM1296" s="71" t="s">
        <v>13016</v>
      </c>
      <c r="AN1296" s="84" t="s">
        <v>13017</v>
      </c>
      <c r="AO1296" s="71" t="s">
        <v>13018</v>
      </c>
      <c r="AP1296" s="161" t="str">
        <f>IMAGE("https://bellingcat-archive.nyc3.cdn.digitaloceanspaces.com/Ukraine_Witness_Datasheet/Worksheet/youtube_dl_1499484926026125318/out7.jpg")</f>
        <v/>
      </c>
      <c r="AQ1296" s="84" t="s">
        <v>13019</v>
      </c>
      <c r="AR1296" s="71" t="s">
        <v>13020</v>
      </c>
      <c r="AS1296" s="71" t="s">
        <v>13021</v>
      </c>
      <c r="AT1296" s="71">
        <v>45.0</v>
      </c>
      <c r="AU1296" s="89"/>
      <c r="AV1296" s="80" t="s">
        <v>88</v>
      </c>
      <c r="AW1296" s="81"/>
    </row>
    <row r="1297" ht="15.75" customHeight="1">
      <c r="A1297" s="204" t="s">
        <v>5520</v>
      </c>
      <c r="B1297" s="73"/>
      <c r="C1297" s="57" t="s">
        <v>12050</v>
      </c>
      <c r="D1297" s="104">
        <v>47.4784653</v>
      </c>
      <c r="E1297" s="104">
        <v>34.6433389</v>
      </c>
      <c r="F1297" s="79">
        <v>3.0</v>
      </c>
      <c r="G1297" s="84" t="s">
        <v>13022</v>
      </c>
      <c r="H1297" s="61" t="s">
        <v>5522</v>
      </c>
      <c r="I1297" s="75"/>
      <c r="J1297" s="71" t="s">
        <v>13023</v>
      </c>
      <c r="K1297" s="114" t="s">
        <v>13024</v>
      </c>
      <c r="L1297" s="65" t="s">
        <v>3542</v>
      </c>
      <c r="M1297" s="74" t="s">
        <v>7947</v>
      </c>
      <c r="N1297" s="73"/>
      <c r="O1297" s="61" t="s">
        <v>12793</v>
      </c>
      <c r="P1297" s="67" t="str">
        <f t="shared" si="1"/>
        <v>47.4784653, 34.6433389</v>
      </c>
      <c r="Q1297" s="67" t="str">
        <f t="shared" si="2"/>
        <v>47.478115, 34.643239</v>
      </c>
      <c r="R1297" s="67">
        <f t="shared" si="3"/>
        <v>47.478115</v>
      </c>
      <c r="S1297" s="67">
        <f t="shared" si="4"/>
        <v>34.643239</v>
      </c>
      <c r="T1297" s="71" t="s">
        <v>13025</v>
      </c>
      <c r="U1297" s="69"/>
      <c r="V1297" s="65" t="s">
        <v>13026</v>
      </c>
      <c r="W1297" s="71" t="s">
        <v>9711</v>
      </c>
      <c r="X1297" s="72" t="s">
        <v>2982</v>
      </c>
      <c r="Y1297" s="73"/>
      <c r="Z1297" s="73"/>
      <c r="AA1297" s="73"/>
      <c r="AB1297" s="73"/>
      <c r="AC1297" s="73"/>
      <c r="AD1297" s="73"/>
      <c r="AE1297" s="73"/>
      <c r="AF1297" s="73"/>
      <c r="AG1297" s="73"/>
      <c r="AH1297" s="73"/>
      <c r="AI1297" s="73"/>
      <c r="AJ1297" s="161"/>
      <c r="AK1297" s="76" t="s">
        <v>798</v>
      </c>
      <c r="AL1297" s="83" t="s">
        <v>13027</v>
      </c>
      <c r="AM1297" s="71" t="s">
        <v>13028</v>
      </c>
      <c r="AN1297" s="84" t="s">
        <v>13029</v>
      </c>
      <c r="AO1297" s="71" t="s">
        <v>13030</v>
      </c>
      <c r="AP1297" s="161" t="str">
        <f>IMAGE("https://bellingcat-archive.nyc3.cdn.digitaloceanspaces.com/Ukraine_Witness_Datasheet/Worksheet/youtube_dl_1499423856540409865/out7.jpg")</f>
        <v/>
      </c>
      <c r="AQ1297" s="84" t="s">
        <v>13031</v>
      </c>
      <c r="AR1297" s="71" t="s">
        <v>13032</v>
      </c>
      <c r="AS1297" s="71" t="s">
        <v>13033</v>
      </c>
      <c r="AT1297" s="71">
        <v>12.2</v>
      </c>
      <c r="AU1297" s="89"/>
      <c r="AV1297" s="80" t="s">
        <v>88</v>
      </c>
      <c r="AW1297" s="81"/>
    </row>
    <row r="1298" ht="15.75" customHeight="1">
      <c r="A1298" s="204" t="s">
        <v>5520</v>
      </c>
      <c r="B1298" s="73"/>
      <c r="C1298" s="57" t="s">
        <v>12050</v>
      </c>
      <c r="D1298" s="104">
        <v>50.494372</v>
      </c>
      <c r="E1298" s="104">
        <v>31.185228</v>
      </c>
      <c r="F1298" s="79">
        <v>2.0</v>
      </c>
      <c r="G1298" s="84" t="s">
        <v>13034</v>
      </c>
      <c r="H1298" s="61" t="s">
        <v>5368</v>
      </c>
      <c r="I1298" s="75"/>
      <c r="J1298" s="71" t="s">
        <v>13035</v>
      </c>
      <c r="K1298" s="69"/>
      <c r="L1298" s="65" t="s">
        <v>3542</v>
      </c>
      <c r="M1298" s="61" t="s">
        <v>5827</v>
      </c>
      <c r="N1298" s="73"/>
      <c r="O1298" s="61" t="s">
        <v>13036</v>
      </c>
      <c r="P1298" s="67" t="str">
        <f t="shared" si="1"/>
        <v>50.494372, 31.185228</v>
      </c>
      <c r="Q1298" s="67" t="str">
        <f t="shared" si="2"/>
        <v>50.493625, 31.185339</v>
      </c>
      <c r="R1298" s="67">
        <f t="shared" si="3"/>
        <v>50.493625</v>
      </c>
      <c r="S1298" s="67">
        <f t="shared" si="4"/>
        <v>31.185339</v>
      </c>
      <c r="T1298" s="71" t="s">
        <v>13037</v>
      </c>
      <c r="U1298" s="64" t="s">
        <v>13038</v>
      </c>
      <c r="V1298" s="169" t="s">
        <v>13039</v>
      </c>
      <c r="W1298" s="71" t="s">
        <v>7571</v>
      </c>
      <c r="X1298" s="72" t="s">
        <v>2982</v>
      </c>
      <c r="Y1298" s="73"/>
      <c r="Z1298" s="73"/>
      <c r="AA1298" s="73"/>
      <c r="AB1298" s="73"/>
      <c r="AC1298" s="73"/>
      <c r="AD1298" s="73"/>
      <c r="AE1298" s="73"/>
      <c r="AF1298" s="73"/>
      <c r="AG1298" s="73"/>
      <c r="AH1298" s="73"/>
      <c r="AI1298" s="73"/>
      <c r="AJ1298" s="161"/>
      <c r="AK1298" s="76" t="s">
        <v>2108</v>
      </c>
      <c r="AL1298" s="83" t="s">
        <v>13040</v>
      </c>
      <c r="AM1298" s="71" t="s">
        <v>13041</v>
      </c>
      <c r="AN1298" s="84" t="s">
        <v>13042</v>
      </c>
      <c r="AO1298" s="71" t="s">
        <v>13043</v>
      </c>
      <c r="AP1298" s="161" t="str">
        <f>IMAGE("https://bellingcat-archive.nyc3.cdn.digitaloceanspaces.com/Ukraine_Witness_Datasheet/Worksheet/twitter__media_FM83x3tXMAU0hup.jpg")</f>
        <v/>
      </c>
      <c r="AQ1298" s="161"/>
      <c r="AR1298" s="161"/>
      <c r="AS1298" s="71" t="s">
        <v>13044</v>
      </c>
      <c r="AT1298" s="161"/>
      <c r="AU1298" s="89"/>
      <c r="AV1298" s="80" t="s">
        <v>88</v>
      </c>
      <c r="AW1298" s="81"/>
    </row>
    <row r="1299" ht="15.75" customHeight="1">
      <c r="A1299" s="72" t="s">
        <v>88</v>
      </c>
      <c r="B1299" s="73"/>
      <c r="C1299" s="57" t="s">
        <v>12050</v>
      </c>
      <c r="D1299" s="104">
        <v>50.645216</v>
      </c>
      <c r="E1299" s="74">
        <v>29.938786</v>
      </c>
      <c r="F1299" s="79">
        <v>2.0</v>
      </c>
      <c r="G1299" s="84" t="s">
        <v>13045</v>
      </c>
      <c r="H1299" s="61" t="s">
        <v>5368</v>
      </c>
      <c r="I1299" s="75"/>
      <c r="J1299" s="71" t="s">
        <v>13046</v>
      </c>
      <c r="K1299" s="69"/>
      <c r="L1299" s="65" t="s">
        <v>3542</v>
      </c>
      <c r="M1299" s="61" t="s">
        <v>5827</v>
      </c>
      <c r="N1299" s="73"/>
      <c r="O1299" s="92" t="s">
        <v>7832</v>
      </c>
      <c r="P1299" s="67" t="str">
        <f t="shared" si="1"/>
        <v>50.645216, 29.938786</v>
      </c>
      <c r="Q1299" s="67" t="str">
        <f t="shared" si="2"/>
        <v>50.645072, 29.939622</v>
      </c>
      <c r="R1299" s="67">
        <f t="shared" si="3"/>
        <v>50.645072</v>
      </c>
      <c r="S1299" s="67">
        <f t="shared" si="4"/>
        <v>29.939622</v>
      </c>
      <c r="T1299" s="161"/>
      <c r="U1299" s="69"/>
      <c r="V1299" s="169" t="s">
        <v>13047</v>
      </c>
      <c r="W1299" s="71" t="s">
        <v>7571</v>
      </c>
      <c r="X1299" s="72" t="s">
        <v>2982</v>
      </c>
      <c r="Y1299" s="61" t="s">
        <v>11347</v>
      </c>
      <c r="Z1299" s="73"/>
      <c r="AA1299" s="73"/>
      <c r="AB1299" s="73"/>
      <c r="AC1299" s="73"/>
      <c r="AD1299" s="73"/>
      <c r="AE1299" s="73"/>
      <c r="AF1299" s="73"/>
      <c r="AG1299" s="73"/>
      <c r="AH1299" s="73"/>
      <c r="AI1299" s="73"/>
      <c r="AJ1299" s="161"/>
      <c r="AK1299" s="76" t="s">
        <v>2108</v>
      </c>
      <c r="AL1299" s="83" t="s">
        <v>13048</v>
      </c>
      <c r="AM1299" s="71" t="s">
        <v>13049</v>
      </c>
      <c r="AN1299" s="84" t="s">
        <v>13050</v>
      </c>
      <c r="AO1299" s="71" t="s">
        <v>13051</v>
      </c>
      <c r="AP1299" s="161" t="str">
        <f>IMAGE("https://bellingcat-archive.nyc3.cdn.digitaloceanspaces.com/Ukraine_Witness_Datasheet/Worksheet/twitter__media_FM9GEfhWUAYwwKx.jpg")</f>
        <v/>
      </c>
      <c r="AQ1299" s="161"/>
      <c r="AR1299" s="161"/>
      <c r="AS1299" s="71" t="s">
        <v>13052</v>
      </c>
      <c r="AT1299" s="161"/>
      <c r="AU1299" s="89"/>
      <c r="AV1299" s="162"/>
      <c r="AW1299" s="81"/>
    </row>
    <row r="1300" ht="15.75" customHeight="1">
      <c r="A1300" s="439" t="s">
        <v>10913</v>
      </c>
      <c r="B1300" s="73"/>
      <c r="C1300" s="176"/>
      <c r="D1300" s="104">
        <v>46.6440922780622</v>
      </c>
      <c r="E1300" s="104">
        <v>32.5841996469834</v>
      </c>
      <c r="F1300" s="79">
        <v>1.0</v>
      </c>
      <c r="G1300" s="84" t="s">
        <v>13053</v>
      </c>
      <c r="H1300" s="61" t="s">
        <v>66</v>
      </c>
      <c r="I1300" s="75"/>
      <c r="J1300" s="71" t="s">
        <v>13054</v>
      </c>
      <c r="K1300" s="69"/>
      <c r="L1300" s="65" t="s">
        <v>3542</v>
      </c>
      <c r="M1300" s="61" t="s">
        <v>9021</v>
      </c>
      <c r="N1300" s="73"/>
      <c r="O1300" s="61" t="s">
        <v>7098</v>
      </c>
      <c r="P1300" s="67" t="str">
        <f t="shared" si="1"/>
        <v>46.6440922780622, 32.5841996469834</v>
      </c>
      <c r="Q1300" s="67" t="str">
        <f t="shared" si="2"/>
        <v>46.644088, 32.584769</v>
      </c>
      <c r="R1300" s="67">
        <f t="shared" si="3"/>
        <v>46.644088</v>
      </c>
      <c r="S1300" s="67">
        <f t="shared" si="4"/>
        <v>32.584769</v>
      </c>
      <c r="T1300" s="71" t="s">
        <v>13055</v>
      </c>
      <c r="U1300" s="69"/>
      <c r="V1300" s="65" t="s">
        <v>13056</v>
      </c>
      <c r="W1300" s="161"/>
      <c r="X1300" s="208"/>
      <c r="Y1300" s="73"/>
      <c r="Z1300" s="73"/>
      <c r="AA1300" s="73"/>
      <c r="AB1300" s="73"/>
      <c r="AC1300" s="73"/>
      <c r="AD1300" s="73"/>
      <c r="AE1300" s="73"/>
      <c r="AF1300" s="73"/>
      <c r="AG1300" s="73"/>
      <c r="AH1300" s="73"/>
      <c r="AI1300" s="73"/>
      <c r="AJ1300" s="161"/>
      <c r="AK1300" s="76" t="s">
        <v>6276</v>
      </c>
      <c r="AL1300" s="83" t="s">
        <v>13057</v>
      </c>
      <c r="AM1300" s="71" t="s">
        <v>13058</v>
      </c>
      <c r="AN1300" s="84" t="s">
        <v>13059</v>
      </c>
      <c r="AO1300" s="71" t="s">
        <v>13060</v>
      </c>
      <c r="AP1300" s="161" t="str">
        <f>IMAGE("https://bellingcat-archive.nyc3.cdn.digitaloceanspaces.com/Ukraine_Witness_Datasheet/Worksheet/telegram_e3507a3454/out20.jpg")</f>
        <v/>
      </c>
      <c r="AQ1300" s="84" t="s">
        <v>13061</v>
      </c>
      <c r="AR1300" s="84" t="s">
        <v>13053</v>
      </c>
      <c r="AS1300" s="71" t="s">
        <v>13062</v>
      </c>
      <c r="AT1300" s="71">
        <v>61.0</v>
      </c>
      <c r="AU1300" s="89"/>
      <c r="AV1300" s="162"/>
      <c r="AW1300" s="81"/>
    </row>
    <row r="1301" ht="15.75" customHeight="1">
      <c r="A1301" s="404" t="s">
        <v>12532</v>
      </c>
      <c r="B1301" s="73"/>
      <c r="C1301" s="57" t="s">
        <v>12959</v>
      </c>
      <c r="D1301" s="123">
        <v>47.4782934870523</v>
      </c>
      <c r="E1301" s="123">
        <v>34.6432917635984</v>
      </c>
      <c r="F1301" s="79">
        <v>2.0</v>
      </c>
      <c r="G1301" s="489" t="s">
        <v>13063</v>
      </c>
      <c r="H1301" s="61" t="s">
        <v>66</v>
      </c>
      <c r="I1301" s="75"/>
      <c r="J1301" s="71" t="s">
        <v>13064</v>
      </c>
      <c r="K1301" s="69"/>
      <c r="L1301" s="65" t="s">
        <v>3542</v>
      </c>
      <c r="M1301" s="74" t="s">
        <v>7947</v>
      </c>
      <c r="N1301" s="73"/>
      <c r="O1301" s="61" t="s">
        <v>12793</v>
      </c>
      <c r="P1301" s="67" t="str">
        <f t="shared" si="1"/>
        <v>47.4782934870523, 34.6432917635984</v>
      </c>
      <c r="Q1301" s="67" t="str">
        <f t="shared" si="2"/>
        <v>47.477964, 34.642348</v>
      </c>
      <c r="R1301" s="67">
        <f t="shared" si="3"/>
        <v>47.477964</v>
      </c>
      <c r="S1301" s="67">
        <f t="shared" si="4"/>
        <v>34.642348</v>
      </c>
      <c r="T1301" s="161"/>
      <c r="U1301" s="69"/>
      <c r="V1301" s="65" t="s">
        <v>13065</v>
      </c>
      <c r="W1301" s="161"/>
      <c r="X1301" s="208"/>
      <c r="Y1301" s="73"/>
      <c r="Z1301" s="73"/>
      <c r="AA1301" s="73"/>
      <c r="AB1301" s="73"/>
      <c r="AC1301" s="73"/>
      <c r="AD1301" s="73"/>
      <c r="AE1301" s="73"/>
      <c r="AF1301" s="73"/>
      <c r="AG1301" s="73"/>
      <c r="AH1301" s="73"/>
      <c r="AI1301" s="73"/>
      <c r="AJ1301" s="161"/>
      <c r="AK1301" s="76" t="s">
        <v>6276</v>
      </c>
      <c r="AL1301" s="83" t="s">
        <v>13066</v>
      </c>
      <c r="AM1301" s="71" t="s">
        <v>13067</v>
      </c>
      <c r="AN1301" s="84" t="s">
        <v>13068</v>
      </c>
      <c r="AO1301" s="71" t="s">
        <v>13069</v>
      </c>
      <c r="AP1301" s="161" t="str">
        <f>IMAGE("https://bellingcat-archive.nyc3.cdn.digitaloceanspaces.com/Ukraine_Witness_Datasheet/Worksheet/telegram_106bb7b9bb/out20.jpg")</f>
        <v/>
      </c>
      <c r="AQ1301" s="84" t="s">
        <v>13070</v>
      </c>
      <c r="AR1301" s="84" t="s">
        <v>13063</v>
      </c>
      <c r="AS1301" s="71" t="s">
        <v>13071</v>
      </c>
      <c r="AT1301" s="71">
        <v>105.0</v>
      </c>
      <c r="AU1301" s="89"/>
      <c r="AV1301" s="162"/>
      <c r="AW1301" s="81"/>
    </row>
    <row r="1302" ht="15.75" customHeight="1">
      <c r="A1302" s="208"/>
      <c r="B1302" s="73"/>
      <c r="C1302" s="176"/>
      <c r="D1302" s="121"/>
      <c r="E1302" s="121"/>
      <c r="F1302" s="79">
        <v>2.0</v>
      </c>
      <c r="G1302" s="84" t="s">
        <v>13072</v>
      </c>
      <c r="H1302" s="61" t="s">
        <v>5368</v>
      </c>
      <c r="I1302" s="75"/>
      <c r="J1302" s="71" t="s">
        <v>13073</v>
      </c>
      <c r="K1302" s="69"/>
      <c r="L1302" s="70"/>
      <c r="M1302" s="73"/>
      <c r="N1302" s="73"/>
      <c r="O1302" s="73"/>
      <c r="P1302" s="67" t="str">
        <f t="shared" si="1"/>
        <v/>
      </c>
      <c r="Q1302" s="67" t="str">
        <f t="shared" si="2"/>
        <v/>
      </c>
      <c r="R1302" s="67" t="str">
        <f t="shared" si="3"/>
        <v/>
      </c>
      <c r="S1302" s="67" t="str">
        <f t="shared" si="4"/>
        <v/>
      </c>
      <c r="T1302" s="161"/>
      <c r="U1302" s="69"/>
      <c r="V1302" s="65" t="s">
        <v>13074</v>
      </c>
      <c r="W1302" s="161"/>
      <c r="X1302" s="194"/>
      <c r="Y1302" s="73"/>
      <c r="Z1302" s="73"/>
      <c r="AA1302" s="73"/>
      <c r="AB1302" s="73"/>
      <c r="AC1302" s="73"/>
      <c r="AD1302" s="73"/>
      <c r="AE1302" s="73"/>
      <c r="AF1302" s="73"/>
      <c r="AG1302" s="73"/>
      <c r="AH1302" s="73"/>
      <c r="AI1302" s="73"/>
      <c r="AJ1302" s="161"/>
      <c r="AK1302" s="76" t="s">
        <v>2108</v>
      </c>
      <c r="AL1302" s="83" t="s">
        <v>13075</v>
      </c>
      <c r="AM1302" s="71" t="s">
        <v>13076</v>
      </c>
      <c r="AN1302" s="84" t="s">
        <v>13077</v>
      </c>
      <c r="AO1302" s="71" t="s">
        <v>13078</v>
      </c>
      <c r="AP1302" s="161" t="str">
        <f>IMAGE("https://bellingcat-archive.nyc3.cdn.digitaloceanspaces.com/Ukraine_Witness_Datasheet/Worksheet/twitter__media_FM_sbtIXIAM6U6m.jpg")</f>
        <v/>
      </c>
      <c r="AQ1302" s="161"/>
      <c r="AR1302" s="161"/>
      <c r="AS1302" s="71" t="s">
        <v>13079</v>
      </c>
      <c r="AT1302" s="161"/>
      <c r="AU1302" s="89"/>
      <c r="AV1302" s="162"/>
      <c r="AW1302" s="81"/>
    </row>
    <row r="1303" ht="15.75" customHeight="1">
      <c r="A1303" s="208"/>
      <c r="B1303" s="73"/>
      <c r="C1303" s="57" t="s">
        <v>12959</v>
      </c>
      <c r="D1303" s="121"/>
      <c r="E1303" s="121"/>
      <c r="F1303" s="79">
        <v>2.0</v>
      </c>
      <c r="G1303" s="84" t="s">
        <v>13080</v>
      </c>
      <c r="H1303" s="61" t="s">
        <v>5368</v>
      </c>
      <c r="I1303" s="75"/>
      <c r="J1303" s="71" t="s">
        <v>13081</v>
      </c>
      <c r="K1303" s="69"/>
      <c r="L1303" s="65" t="s">
        <v>3542</v>
      </c>
      <c r="M1303" s="74" t="s">
        <v>7947</v>
      </c>
      <c r="N1303" s="73"/>
      <c r="O1303" s="61" t="s">
        <v>12793</v>
      </c>
      <c r="P1303" s="67" t="str">
        <f t="shared" si="1"/>
        <v/>
      </c>
      <c r="Q1303" s="67" t="str">
        <f t="shared" si="2"/>
        <v/>
      </c>
      <c r="R1303" s="67" t="str">
        <f t="shared" si="3"/>
        <v/>
      </c>
      <c r="S1303" s="67" t="str">
        <f t="shared" si="4"/>
        <v/>
      </c>
      <c r="T1303" s="161"/>
      <c r="U1303" s="69"/>
      <c r="V1303" s="65" t="s">
        <v>13082</v>
      </c>
      <c r="W1303" s="71" t="s">
        <v>3601</v>
      </c>
      <c r="X1303" s="194"/>
      <c r="Y1303" s="61" t="s">
        <v>11347</v>
      </c>
      <c r="Z1303" s="73"/>
      <c r="AA1303" s="73"/>
      <c r="AB1303" s="73"/>
      <c r="AC1303" s="73"/>
      <c r="AD1303" s="73"/>
      <c r="AE1303" s="73"/>
      <c r="AF1303" s="73"/>
      <c r="AG1303" s="73"/>
      <c r="AH1303" s="73"/>
      <c r="AI1303" s="73"/>
      <c r="AJ1303" s="161"/>
      <c r="AK1303" s="76" t="s">
        <v>2108</v>
      </c>
      <c r="AL1303" s="83" t="s">
        <v>13083</v>
      </c>
      <c r="AM1303" s="71" t="s">
        <v>13084</v>
      </c>
      <c r="AN1303" s="84" t="s">
        <v>13085</v>
      </c>
      <c r="AO1303" s="71" t="s">
        <v>13086</v>
      </c>
      <c r="AP1303" s="161" t="str">
        <f>IMAGE("https://bellingcat-archive.nyc3.cdn.digitaloceanspaces.com/Ukraine_Witness_Datasheet/Worksheet/twitter__media_FM_rQA-XoAAeIS4.jpg")</f>
        <v/>
      </c>
      <c r="AQ1303" s="161"/>
      <c r="AR1303" s="161"/>
      <c r="AS1303" s="71" t="s">
        <v>13087</v>
      </c>
      <c r="AT1303" s="161"/>
      <c r="AU1303" s="89"/>
      <c r="AV1303" s="162"/>
      <c r="AW1303" s="81"/>
    </row>
    <row r="1304" ht="15.75" customHeight="1">
      <c r="A1304" s="204" t="s">
        <v>63</v>
      </c>
      <c r="B1304" s="73"/>
      <c r="C1304" s="57" t="s">
        <v>12959</v>
      </c>
      <c r="D1304" s="74">
        <v>50.251614</v>
      </c>
      <c r="E1304" s="74">
        <v>28.664007</v>
      </c>
      <c r="F1304" s="79">
        <v>2.0</v>
      </c>
      <c r="G1304" s="84" t="s">
        <v>13088</v>
      </c>
      <c r="H1304" s="61" t="s">
        <v>91</v>
      </c>
      <c r="I1304" s="75"/>
      <c r="J1304" s="71" t="s">
        <v>13089</v>
      </c>
      <c r="K1304" s="69"/>
      <c r="L1304" s="65" t="s">
        <v>5670</v>
      </c>
      <c r="M1304" s="61" t="s">
        <v>9200</v>
      </c>
      <c r="N1304" s="73"/>
      <c r="O1304" s="74" t="s">
        <v>8903</v>
      </c>
      <c r="P1304" s="67" t="str">
        <f t="shared" si="1"/>
        <v>50.251614, 28.664007</v>
      </c>
      <c r="Q1304" s="67" t="str">
        <f t="shared" si="2"/>
        <v>50.251579, 28.662738</v>
      </c>
      <c r="R1304" s="67">
        <f t="shared" si="3"/>
        <v>50.251579</v>
      </c>
      <c r="S1304" s="67">
        <f t="shared" si="4"/>
        <v>28.662738</v>
      </c>
      <c r="T1304" s="161"/>
      <c r="U1304" s="69"/>
      <c r="V1304" s="169" t="s">
        <v>13090</v>
      </c>
      <c r="W1304" s="71" t="s">
        <v>3601</v>
      </c>
      <c r="X1304" s="72" t="s">
        <v>5504</v>
      </c>
      <c r="Y1304" s="61" t="s">
        <v>11347</v>
      </c>
      <c r="Z1304" s="73"/>
      <c r="AA1304" s="73"/>
      <c r="AB1304" s="73"/>
      <c r="AC1304" s="73"/>
      <c r="AD1304" s="73"/>
      <c r="AE1304" s="73"/>
      <c r="AF1304" s="73"/>
      <c r="AG1304" s="73"/>
      <c r="AH1304" s="73"/>
      <c r="AI1304" s="73"/>
      <c r="AJ1304" s="161"/>
      <c r="AK1304" s="76" t="s">
        <v>2108</v>
      </c>
      <c r="AL1304" s="83" t="s">
        <v>13091</v>
      </c>
      <c r="AM1304" s="71" t="s">
        <v>13092</v>
      </c>
      <c r="AN1304" s="84" t="s">
        <v>13093</v>
      </c>
      <c r="AO1304" s="71" t="s">
        <v>13094</v>
      </c>
      <c r="AP1304" s="161" t="str">
        <f>IMAGE("https://bellingcat-archive.nyc3.cdn.digitaloceanspaces.com/Ukraine_Witness_Datasheet/Worksheet/twitter__media_FM_uKemWQAMt4Ix.jpg")</f>
        <v/>
      </c>
      <c r="AQ1304" s="161"/>
      <c r="AR1304" s="161"/>
      <c r="AS1304" s="71" t="s">
        <v>13095</v>
      </c>
      <c r="AT1304" s="161"/>
      <c r="AU1304" s="89"/>
      <c r="AV1304" s="80" t="s">
        <v>88</v>
      </c>
      <c r="AW1304" s="81"/>
    </row>
    <row r="1305" ht="15.75" customHeight="1">
      <c r="A1305" s="204" t="s">
        <v>63</v>
      </c>
      <c r="B1305" s="73"/>
      <c r="C1305" s="57" t="s">
        <v>12050</v>
      </c>
      <c r="D1305" s="74">
        <v>50.56547</v>
      </c>
      <c r="E1305" s="74">
        <v>30.270848</v>
      </c>
      <c r="F1305" s="79">
        <v>5.0</v>
      </c>
      <c r="G1305" s="84" t="s">
        <v>13096</v>
      </c>
      <c r="H1305" s="61" t="s">
        <v>5522</v>
      </c>
      <c r="I1305" s="75"/>
      <c r="J1305" s="71" t="s">
        <v>13097</v>
      </c>
      <c r="K1305" s="69"/>
      <c r="L1305" s="65" t="s">
        <v>5670</v>
      </c>
      <c r="M1305" s="61" t="s">
        <v>5827</v>
      </c>
      <c r="N1305" s="73"/>
      <c r="O1305" s="61" t="s">
        <v>5828</v>
      </c>
      <c r="P1305" s="67" t="str">
        <f t="shared" si="1"/>
        <v>50.56547, 30.270848</v>
      </c>
      <c r="Q1305" s="67" t="str">
        <f t="shared" si="2"/>
        <v>50.564739, 30.270474</v>
      </c>
      <c r="R1305" s="67">
        <f t="shared" si="3"/>
        <v>50.564739</v>
      </c>
      <c r="S1305" s="67">
        <f t="shared" si="4"/>
        <v>30.270474</v>
      </c>
      <c r="T1305" s="161"/>
      <c r="U1305" s="69"/>
      <c r="V1305" s="169" t="s">
        <v>13098</v>
      </c>
      <c r="W1305" s="71" t="s">
        <v>7571</v>
      </c>
      <c r="X1305" s="72" t="s">
        <v>5504</v>
      </c>
      <c r="Y1305" s="61" t="s">
        <v>5820</v>
      </c>
      <c r="Z1305" s="73"/>
      <c r="AA1305" s="73"/>
      <c r="AB1305" s="73"/>
      <c r="AC1305" s="73"/>
      <c r="AD1305" s="73"/>
      <c r="AE1305" s="73"/>
      <c r="AF1305" s="73"/>
      <c r="AG1305" s="73"/>
      <c r="AH1305" s="73"/>
      <c r="AI1305" s="73"/>
      <c r="AJ1305" s="161"/>
      <c r="AK1305" s="76" t="s">
        <v>798</v>
      </c>
      <c r="AL1305" s="83" t="s">
        <v>13099</v>
      </c>
      <c r="AM1305" s="71" t="s">
        <v>13100</v>
      </c>
      <c r="AN1305" s="84" t="s">
        <v>13101</v>
      </c>
      <c r="AO1305" s="71" t="s">
        <v>13102</v>
      </c>
      <c r="AP1305" s="161" t="str">
        <f>IMAGE("https://bellingcat-archive.nyc3.cdn.digitaloceanspaces.com/Ukraine_Witness_Datasheet/Worksheet/youtube_dl_1499675601346641922/out7.jpg")</f>
        <v/>
      </c>
      <c r="AQ1305" s="84" t="s">
        <v>13103</v>
      </c>
      <c r="AR1305" s="71" t="s">
        <v>13104</v>
      </c>
      <c r="AS1305" s="71" t="s">
        <v>13105</v>
      </c>
      <c r="AT1305" s="71">
        <v>45.6</v>
      </c>
      <c r="AU1305" s="89"/>
      <c r="AV1305" s="80" t="s">
        <v>88</v>
      </c>
      <c r="AW1305" s="81"/>
    </row>
    <row r="1306" ht="15.75" customHeight="1">
      <c r="A1306" s="208"/>
      <c r="B1306" s="73"/>
      <c r="C1306" s="57" t="s">
        <v>12959</v>
      </c>
      <c r="D1306" s="121"/>
      <c r="E1306" s="121"/>
      <c r="F1306" s="79">
        <v>2.0</v>
      </c>
      <c r="G1306" s="84" t="s">
        <v>13106</v>
      </c>
      <c r="H1306" s="61" t="s">
        <v>91</v>
      </c>
      <c r="I1306" s="75"/>
      <c r="J1306" s="71" t="s">
        <v>13107</v>
      </c>
      <c r="K1306" s="64" t="s">
        <v>13108</v>
      </c>
      <c r="L1306" s="65" t="s">
        <v>3542</v>
      </c>
      <c r="M1306" s="61" t="s">
        <v>11901</v>
      </c>
      <c r="N1306" s="73"/>
      <c r="O1306" s="61" t="s">
        <v>6109</v>
      </c>
      <c r="P1306" s="67" t="str">
        <f t="shared" si="1"/>
        <v/>
      </c>
      <c r="Q1306" s="67" t="str">
        <f t="shared" si="2"/>
        <v/>
      </c>
      <c r="R1306" s="67" t="str">
        <f t="shared" si="3"/>
        <v/>
      </c>
      <c r="S1306" s="67" t="str">
        <f t="shared" si="4"/>
        <v/>
      </c>
      <c r="T1306" s="161"/>
      <c r="U1306" s="69"/>
      <c r="V1306" s="65" t="s">
        <v>13109</v>
      </c>
      <c r="W1306" s="71" t="s">
        <v>3601</v>
      </c>
      <c r="X1306" s="194"/>
      <c r="Y1306" s="73"/>
      <c r="Z1306" s="73"/>
      <c r="AA1306" s="73"/>
      <c r="AB1306" s="73"/>
      <c r="AC1306" s="73"/>
      <c r="AD1306" s="73"/>
      <c r="AE1306" s="73"/>
      <c r="AF1306" s="73"/>
      <c r="AG1306" s="73"/>
      <c r="AH1306" s="73"/>
      <c r="AI1306" s="73"/>
      <c r="AJ1306" s="161"/>
      <c r="AK1306" s="76" t="s">
        <v>2108</v>
      </c>
      <c r="AL1306" s="83" t="s">
        <v>13110</v>
      </c>
      <c r="AM1306" s="71" t="s">
        <v>13111</v>
      </c>
      <c r="AN1306" s="84" t="s">
        <v>13112</v>
      </c>
      <c r="AO1306" s="71" t="s">
        <v>13113</v>
      </c>
      <c r="AP1306" s="161" t="str">
        <f>IMAGE("https://bellingcat-archive.nyc3.cdn.digitaloceanspaces.com/Ukraine_Witness_Datasheet/Worksheet/twitter__media_FM_hGECXIAM1gen.jpg")</f>
        <v/>
      </c>
      <c r="AQ1306" s="161"/>
      <c r="AR1306" s="161"/>
      <c r="AS1306" s="71" t="s">
        <v>13114</v>
      </c>
      <c r="AT1306" s="161"/>
      <c r="AU1306" s="89"/>
      <c r="AV1306" s="162"/>
      <c r="AW1306" s="81"/>
    </row>
    <row r="1307" ht="15.75" customHeight="1">
      <c r="A1307" s="208"/>
      <c r="B1307" s="73"/>
      <c r="C1307" s="176"/>
      <c r="D1307" s="121"/>
      <c r="E1307" s="121"/>
      <c r="F1307" s="89"/>
      <c r="G1307" s="84" t="s">
        <v>13115</v>
      </c>
      <c r="H1307" s="61" t="s">
        <v>91</v>
      </c>
      <c r="I1307" s="75"/>
      <c r="J1307" s="71" t="s">
        <v>13116</v>
      </c>
      <c r="K1307" s="69"/>
      <c r="L1307" s="70"/>
      <c r="M1307" s="73"/>
      <c r="N1307" s="73"/>
      <c r="O1307" s="73"/>
      <c r="P1307" s="67" t="str">
        <f t="shared" si="1"/>
        <v/>
      </c>
      <c r="Q1307" s="67" t="str">
        <f t="shared" si="2"/>
        <v/>
      </c>
      <c r="R1307" s="67" t="str">
        <f t="shared" si="3"/>
        <v/>
      </c>
      <c r="S1307" s="67" t="str">
        <f t="shared" si="4"/>
        <v/>
      </c>
      <c r="T1307" s="161"/>
      <c r="U1307" s="69"/>
      <c r="V1307" s="65" t="s">
        <v>13117</v>
      </c>
      <c r="W1307" s="161"/>
      <c r="X1307" s="194"/>
      <c r="Y1307" s="73"/>
      <c r="Z1307" s="73"/>
      <c r="AA1307" s="73"/>
      <c r="AB1307" s="73"/>
      <c r="AC1307" s="73"/>
      <c r="AD1307" s="73"/>
      <c r="AE1307" s="73"/>
      <c r="AF1307" s="73"/>
      <c r="AG1307" s="73"/>
      <c r="AH1307" s="73"/>
      <c r="AI1307" s="73"/>
      <c r="AJ1307" s="161"/>
      <c r="AK1307" s="76" t="s">
        <v>2108</v>
      </c>
      <c r="AL1307" s="83" t="s">
        <v>13118</v>
      </c>
      <c r="AM1307" s="71" t="s">
        <v>13119</v>
      </c>
      <c r="AN1307" s="84" t="s">
        <v>13120</v>
      </c>
      <c r="AO1307" s="71" t="s">
        <v>13121</v>
      </c>
      <c r="AP1307" s="161" t="str">
        <f>IMAGE("https://bellingcat-archive.nyc3.cdn.digitaloceanspaces.com/Ukraine_Witness_Datasheet/Worksheet/twitter__media_FM_yDGcWYAQ00WF.jpg")</f>
        <v/>
      </c>
      <c r="AQ1307" s="161"/>
      <c r="AR1307" s="161"/>
      <c r="AS1307" s="71" t="s">
        <v>13122</v>
      </c>
      <c r="AT1307" s="161"/>
      <c r="AU1307" s="89"/>
      <c r="AV1307" s="162"/>
      <c r="AW1307" s="81"/>
    </row>
    <row r="1308" ht="15.75" customHeight="1">
      <c r="A1308" s="374" t="s">
        <v>6463</v>
      </c>
      <c r="B1308" s="73"/>
      <c r="C1308" s="57" t="s">
        <v>12050</v>
      </c>
      <c r="D1308" s="121"/>
      <c r="E1308" s="121"/>
      <c r="F1308" s="89"/>
      <c r="G1308" s="130" t="s">
        <v>13123</v>
      </c>
      <c r="H1308" s="61" t="s">
        <v>66</v>
      </c>
      <c r="I1308" s="75"/>
      <c r="J1308" s="71" t="s">
        <v>13124</v>
      </c>
      <c r="K1308" s="69"/>
      <c r="L1308" s="70"/>
      <c r="M1308" s="73"/>
      <c r="N1308" s="73"/>
      <c r="O1308" s="73"/>
      <c r="P1308" s="67" t="str">
        <f t="shared" si="1"/>
        <v/>
      </c>
      <c r="Q1308" s="67" t="str">
        <f t="shared" si="2"/>
        <v/>
      </c>
      <c r="R1308" s="67" t="str">
        <f t="shared" si="3"/>
        <v/>
      </c>
      <c r="S1308" s="67" t="str">
        <f t="shared" si="4"/>
        <v/>
      </c>
      <c r="T1308" s="161"/>
      <c r="U1308" s="69"/>
      <c r="V1308" s="65" t="s">
        <v>13125</v>
      </c>
      <c r="W1308" s="161"/>
      <c r="X1308" s="194"/>
      <c r="Y1308" s="61" t="s">
        <v>2982</v>
      </c>
      <c r="Z1308" s="73"/>
      <c r="AA1308" s="73"/>
      <c r="AB1308" s="73"/>
      <c r="AC1308" s="73"/>
      <c r="AD1308" s="73"/>
      <c r="AE1308" s="73"/>
      <c r="AF1308" s="73"/>
      <c r="AG1308" s="73"/>
      <c r="AH1308" s="73"/>
      <c r="AI1308" s="73"/>
      <c r="AJ1308" s="161"/>
      <c r="AK1308" s="76" t="s">
        <v>798</v>
      </c>
      <c r="AL1308" s="83" t="s">
        <v>13126</v>
      </c>
      <c r="AM1308" s="71" t="s">
        <v>13127</v>
      </c>
      <c r="AN1308" s="84" t="s">
        <v>13128</v>
      </c>
      <c r="AO1308" s="71" t="s">
        <v>13129</v>
      </c>
      <c r="AP1308" s="161" t="str">
        <f>IMAGE("https://bellingcat-archive.nyc3.cdn.digitaloceanspaces.com/Ukraine_Witness_Datasheet/Worksheet/youtube_dl_7070602235977239809/out7.jpg")</f>
        <v/>
      </c>
      <c r="AQ1308" s="84" t="s">
        <v>13130</v>
      </c>
      <c r="AR1308" s="71" t="s">
        <v>13131</v>
      </c>
      <c r="AS1308" s="71" t="s">
        <v>13132</v>
      </c>
      <c r="AT1308" s="71">
        <v>30.0</v>
      </c>
      <c r="AU1308" s="89"/>
      <c r="AV1308" s="162"/>
      <c r="AW1308" s="81"/>
    </row>
    <row r="1309" ht="15.75" customHeight="1">
      <c r="A1309" s="208"/>
      <c r="B1309" s="73"/>
      <c r="C1309" s="176"/>
      <c r="D1309" s="121"/>
      <c r="E1309" s="121"/>
      <c r="F1309" s="89"/>
      <c r="G1309" s="84" t="s">
        <v>13133</v>
      </c>
      <c r="H1309" s="73"/>
      <c r="I1309" s="75"/>
      <c r="J1309" s="161"/>
      <c r="K1309" s="69"/>
      <c r="L1309" s="70"/>
      <c r="M1309" s="73"/>
      <c r="N1309" s="73"/>
      <c r="O1309" s="73"/>
      <c r="P1309" s="67" t="str">
        <f t="shared" si="1"/>
        <v/>
      </c>
      <c r="Q1309" s="67" t="str">
        <f t="shared" si="2"/>
        <v/>
      </c>
      <c r="R1309" s="67" t="str">
        <f t="shared" si="3"/>
        <v/>
      </c>
      <c r="S1309" s="67" t="str">
        <f t="shared" si="4"/>
        <v/>
      </c>
      <c r="T1309" s="161"/>
      <c r="U1309" s="69"/>
      <c r="V1309" s="65" t="s">
        <v>13134</v>
      </c>
      <c r="W1309" s="161"/>
      <c r="X1309" s="194"/>
      <c r="Y1309" s="73"/>
      <c r="Z1309" s="73"/>
      <c r="AA1309" s="73"/>
      <c r="AB1309" s="73"/>
      <c r="AC1309" s="73"/>
      <c r="AD1309" s="73"/>
      <c r="AE1309" s="73"/>
      <c r="AF1309" s="73"/>
      <c r="AG1309" s="73"/>
      <c r="AH1309" s="73"/>
      <c r="AI1309" s="73"/>
      <c r="AJ1309" s="161"/>
      <c r="AK1309" s="76" t="s">
        <v>798</v>
      </c>
      <c r="AL1309" s="83" t="s">
        <v>13135</v>
      </c>
      <c r="AM1309" s="71" t="s">
        <v>13136</v>
      </c>
      <c r="AN1309" s="84" t="s">
        <v>13137</v>
      </c>
      <c r="AO1309" s="71" t="s">
        <v>13138</v>
      </c>
      <c r="AP1309" s="161" t="str">
        <f>IMAGE("https://bellingcat-archive.nyc3.cdn.digitaloceanspaces.com/Ukraine_Witness_Datasheet/Worksheet/youtube_dl_1499676078616592386/out7.jpg")</f>
        <v/>
      </c>
      <c r="AQ1309" s="84" t="s">
        <v>13139</v>
      </c>
      <c r="AR1309" s="71" t="s">
        <v>13140</v>
      </c>
      <c r="AS1309" s="71" t="s">
        <v>13141</v>
      </c>
      <c r="AT1309" s="71">
        <v>13.141</v>
      </c>
      <c r="AU1309" s="89"/>
      <c r="AV1309" s="162"/>
      <c r="AW1309" s="81"/>
    </row>
    <row r="1310" ht="15.75" customHeight="1">
      <c r="A1310" s="208"/>
      <c r="B1310" s="73"/>
      <c r="C1310" s="176"/>
      <c r="D1310" s="121"/>
      <c r="E1310" s="121"/>
      <c r="F1310" s="89"/>
      <c r="G1310" s="84" t="s">
        <v>13142</v>
      </c>
      <c r="H1310" s="61" t="s">
        <v>91</v>
      </c>
      <c r="I1310" s="75"/>
      <c r="J1310" s="161"/>
      <c r="K1310" s="69"/>
      <c r="L1310" s="70"/>
      <c r="M1310" s="73"/>
      <c r="N1310" s="73"/>
      <c r="O1310" s="73"/>
      <c r="P1310" s="67" t="str">
        <f t="shared" si="1"/>
        <v/>
      </c>
      <c r="Q1310" s="67" t="str">
        <f t="shared" si="2"/>
        <v/>
      </c>
      <c r="R1310" s="67" t="str">
        <f t="shared" si="3"/>
        <v/>
      </c>
      <c r="S1310" s="67" t="str">
        <f t="shared" si="4"/>
        <v/>
      </c>
      <c r="T1310" s="161"/>
      <c r="U1310" s="69"/>
      <c r="V1310" s="65" t="s">
        <v>13143</v>
      </c>
      <c r="W1310" s="161"/>
      <c r="X1310" s="194"/>
      <c r="Y1310" s="61" t="s">
        <v>2982</v>
      </c>
      <c r="Z1310" s="61" t="s">
        <v>13144</v>
      </c>
      <c r="AA1310" s="73"/>
      <c r="AB1310" s="73"/>
      <c r="AC1310" s="73"/>
      <c r="AD1310" s="73"/>
      <c r="AE1310" s="73"/>
      <c r="AF1310" s="73"/>
      <c r="AG1310" s="73"/>
      <c r="AH1310" s="73"/>
      <c r="AI1310" s="73"/>
      <c r="AJ1310" s="161"/>
      <c r="AK1310" s="76" t="s">
        <v>2108</v>
      </c>
      <c r="AL1310" s="83" t="s">
        <v>13145</v>
      </c>
      <c r="AM1310" s="71" t="s">
        <v>13146</v>
      </c>
      <c r="AN1310" s="84" t="s">
        <v>13147</v>
      </c>
      <c r="AO1310" s="71" t="s">
        <v>13148</v>
      </c>
      <c r="AP1310" s="161" t="str">
        <f>IMAGE("https://bellingcat-archive.nyc3.cdn.digitaloceanspaces.com/Ukraine_Witness_Datasheet/Worksheet/twitter__media_FM_3GV7XEAEvmg4.jpg")</f>
        <v/>
      </c>
      <c r="AQ1310" s="161"/>
      <c r="AR1310" s="161"/>
      <c r="AS1310" s="71" t="s">
        <v>13149</v>
      </c>
      <c r="AT1310" s="161"/>
      <c r="AU1310" s="89"/>
      <c r="AV1310" s="162"/>
      <c r="AW1310" s="81"/>
    </row>
    <row r="1311" ht="15.75" customHeight="1">
      <c r="A1311" s="204" t="s">
        <v>63</v>
      </c>
      <c r="B1311" s="73"/>
      <c r="C1311" s="57" t="s">
        <v>12959</v>
      </c>
      <c r="D1311" s="74">
        <v>50.251614</v>
      </c>
      <c r="E1311" s="74">
        <v>28.664007</v>
      </c>
      <c r="F1311" s="79">
        <v>2.0</v>
      </c>
      <c r="G1311" s="84" t="s">
        <v>13150</v>
      </c>
      <c r="H1311" s="61" t="s">
        <v>91</v>
      </c>
      <c r="I1311" s="75"/>
      <c r="J1311" s="71" t="s">
        <v>13089</v>
      </c>
      <c r="K1311" s="69"/>
      <c r="L1311" s="65" t="s">
        <v>3542</v>
      </c>
      <c r="M1311" s="61" t="s">
        <v>9200</v>
      </c>
      <c r="N1311" s="314"/>
      <c r="O1311" s="92" t="s">
        <v>8903</v>
      </c>
      <c r="P1311" s="67" t="str">
        <f t="shared" si="1"/>
        <v>50.251614, 28.664007</v>
      </c>
      <c r="Q1311" s="67" t="str">
        <f t="shared" si="2"/>
        <v>50.251513, 28.664531</v>
      </c>
      <c r="R1311" s="67">
        <f t="shared" si="3"/>
        <v>50.251513</v>
      </c>
      <c r="S1311" s="67">
        <f t="shared" si="4"/>
        <v>28.664531</v>
      </c>
      <c r="T1311" s="161"/>
      <c r="U1311" s="69"/>
      <c r="V1311" s="169" t="s">
        <v>13151</v>
      </c>
      <c r="W1311" s="71" t="s">
        <v>3601</v>
      </c>
      <c r="X1311" s="72" t="s">
        <v>5504</v>
      </c>
      <c r="Y1311" s="61" t="s">
        <v>5820</v>
      </c>
      <c r="Z1311" s="73"/>
      <c r="AA1311" s="73"/>
      <c r="AB1311" s="73"/>
      <c r="AC1311" s="73"/>
      <c r="AD1311" s="73"/>
      <c r="AE1311" s="73"/>
      <c r="AF1311" s="73"/>
      <c r="AG1311" s="73"/>
      <c r="AH1311" s="73"/>
      <c r="AI1311" s="73"/>
      <c r="AJ1311" s="161"/>
      <c r="AK1311" s="76" t="s">
        <v>2108</v>
      </c>
      <c r="AL1311" s="83" t="s">
        <v>13152</v>
      </c>
      <c r="AM1311" s="71" t="s">
        <v>13153</v>
      </c>
      <c r="AN1311" s="84" t="s">
        <v>13154</v>
      </c>
      <c r="AO1311" s="71" t="s">
        <v>13155</v>
      </c>
      <c r="AP1311" s="161" t="str">
        <f>IMAGE("https://bellingcat-archive.nyc3.cdn.digitaloceanspaces.com/Ukraine_Witness_Datasheet/Worksheet/twitter__media_FM_pSdPX0AM2Ptn.jpg")</f>
        <v/>
      </c>
      <c r="AQ1311" s="161"/>
      <c r="AR1311" s="161"/>
      <c r="AS1311" s="71" t="s">
        <v>13156</v>
      </c>
      <c r="AT1311" s="161"/>
      <c r="AU1311" s="89"/>
      <c r="AV1311" s="80" t="s">
        <v>88</v>
      </c>
      <c r="AW1311" s="81"/>
    </row>
    <row r="1312" ht="15.75" customHeight="1">
      <c r="A1312" s="374" t="s">
        <v>6463</v>
      </c>
      <c r="B1312" s="73"/>
      <c r="C1312" s="57" t="s">
        <v>13157</v>
      </c>
      <c r="D1312" s="121"/>
      <c r="E1312" s="121"/>
      <c r="F1312" s="89"/>
      <c r="G1312" s="84" t="s">
        <v>13158</v>
      </c>
      <c r="H1312" s="61" t="s">
        <v>66</v>
      </c>
      <c r="I1312" s="75"/>
      <c r="J1312" s="71" t="s">
        <v>13159</v>
      </c>
      <c r="K1312" s="69"/>
      <c r="L1312" s="70"/>
      <c r="M1312" s="73"/>
      <c r="N1312" s="314"/>
      <c r="O1312" s="314"/>
      <c r="P1312" s="67" t="str">
        <f t="shared" si="1"/>
        <v/>
      </c>
      <c r="Q1312" s="67" t="str">
        <f t="shared" si="2"/>
        <v/>
      </c>
      <c r="R1312" s="67" t="str">
        <f t="shared" si="3"/>
        <v/>
      </c>
      <c r="S1312" s="67" t="str">
        <f t="shared" si="4"/>
        <v/>
      </c>
      <c r="T1312" s="161"/>
      <c r="U1312" s="69"/>
      <c r="V1312" s="65" t="s">
        <v>13160</v>
      </c>
      <c r="W1312" s="161"/>
      <c r="X1312" s="194"/>
      <c r="Y1312" s="61" t="s">
        <v>2982</v>
      </c>
      <c r="Z1312" s="73"/>
      <c r="AA1312" s="73"/>
      <c r="AB1312" s="73"/>
      <c r="AC1312" s="73"/>
      <c r="AD1312" s="73"/>
      <c r="AE1312" s="73"/>
      <c r="AF1312" s="73"/>
      <c r="AG1312" s="73"/>
      <c r="AH1312" s="73"/>
      <c r="AI1312" s="73"/>
      <c r="AJ1312" s="161"/>
      <c r="AK1312" s="76" t="s">
        <v>962</v>
      </c>
      <c r="AL1312" s="83" t="s">
        <v>13161</v>
      </c>
      <c r="AM1312" s="71" t="s">
        <v>13162</v>
      </c>
      <c r="AN1312" s="71" t="s">
        <v>13163</v>
      </c>
      <c r="AO1312" s="71" t="s">
        <v>13164</v>
      </c>
      <c r="AP1312" s="161" t="str">
        <f>IMAGE("https://bellingcat-archive.nyc3.cdn.digitaloceanspaces.com/Ukraine_Witness_Datasheet/Worksheet/tiktok_7069000165452942593/out7.jpg")</f>
        <v/>
      </c>
      <c r="AQ1312" s="84" t="s">
        <v>13165</v>
      </c>
      <c r="AR1312" s="161"/>
      <c r="AS1312" s="490">
        <v>44618.535405092596</v>
      </c>
      <c r="AT1312" s="71">
        <v>33.0</v>
      </c>
      <c r="AU1312" s="89"/>
      <c r="AV1312" s="162"/>
      <c r="AW1312" s="81"/>
    </row>
    <row r="1313" ht="15.75" customHeight="1">
      <c r="A1313" s="72" t="s">
        <v>6463</v>
      </c>
      <c r="B1313" s="73"/>
      <c r="C1313" s="57" t="s">
        <v>12959</v>
      </c>
      <c r="D1313" s="104">
        <v>47.507277</v>
      </c>
      <c r="E1313" s="104">
        <v>34.585048</v>
      </c>
      <c r="F1313" s="79">
        <v>1.0</v>
      </c>
      <c r="G1313" s="130" t="s">
        <v>13166</v>
      </c>
      <c r="H1313" s="61" t="s">
        <v>5368</v>
      </c>
      <c r="I1313" s="75"/>
      <c r="J1313" s="71" t="s">
        <v>13167</v>
      </c>
      <c r="K1313" s="69"/>
      <c r="L1313" s="65" t="s">
        <v>3542</v>
      </c>
      <c r="M1313" s="61" t="s">
        <v>6167</v>
      </c>
      <c r="N1313" s="314"/>
      <c r="O1313" s="93" t="s">
        <v>12793</v>
      </c>
      <c r="P1313" s="67" t="str">
        <f t="shared" si="1"/>
        <v>47.507277, 34.585048</v>
      </c>
      <c r="Q1313" s="67" t="str">
        <f t="shared" si="2"/>
        <v>47.507134, 34.584558</v>
      </c>
      <c r="R1313" s="67">
        <f t="shared" si="3"/>
        <v>47.507134</v>
      </c>
      <c r="S1313" s="67">
        <f t="shared" si="4"/>
        <v>34.584558</v>
      </c>
      <c r="T1313" s="71" t="s">
        <v>13168</v>
      </c>
      <c r="U1313" s="69"/>
      <c r="V1313" s="169" t="s">
        <v>13169</v>
      </c>
      <c r="W1313" s="71" t="s">
        <v>7695</v>
      </c>
      <c r="X1313" s="72" t="s">
        <v>5504</v>
      </c>
      <c r="Y1313" s="61" t="s">
        <v>11347</v>
      </c>
      <c r="Z1313" s="73"/>
      <c r="AA1313" s="73"/>
      <c r="AB1313" s="73"/>
      <c r="AC1313" s="73"/>
      <c r="AD1313" s="73"/>
      <c r="AE1313" s="73"/>
      <c r="AF1313" s="73"/>
      <c r="AG1313" s="73"/>
      <c r="AH1313" s="73"/>
      <c r="AI1313" s="73"/>
      <c r="AJ1313" s="161"/>
      <c r="AK1313" s="76" t="s">
        <v>6276</v>
      </c>
      <c r="AL1313" s="83" t="s">
        <v>13170</v>
      </c>
      <c r="AM1313" s="71" t="s">
        <v>13171</v>
      </c>
      <c r="AN1313" s="84" t="s">
        <v>13172</v>
      </c>
      <c r="AO1313" s="71" t="s">
        <v>13173</v>
      </c>
      <c r="AP1313" s="161"/>
      <c r="AQ1313" s="161"/>
      <c r="AR1313" s="161"/>
      <c r="AS1313" s="71" t="s">
        <v>13174</v>
      </c>
      <c r="AT1313" s="161"/>
      <c r="AU1313" s="89"/>
      <c r="AV1313" s="162"/>
      <c r="AW1313" s="81"/>
    </row>
    <row r="1314" ht="15.75" customHeight="1">
      <c r="A1314" s="204" t="s">
        <v>63</v>
      </c>
      <c r="B1314" s="73"/>
      <c r="C1314" s="57" t="s">
        <v>12959</v>
      </c>
      <c r="D1314" s="74">
        <v>50.251356</v>
      </c>
      <c r="E1314" s="74">
        <v>28.664005</v>
      </c>
      <c r="F1314" s="79">
        <v>2.0</v>
      </c>
      <c r="G1314" s="84" t="s">
        <v>13175</v>
      </c>
      <c r="H1314" s="61" t="s">
        <v>5522</v>
      </c>
      <c r="I1314" s="75"/>
      <c r="J1314" s="71" t="s">
        <v>13089</v>
      </c>
      <c r="K1314" s="69"/>
      <c r="L1314" s="65" t="s">
        <v>3542</v>
      </c>
      <c r="M1314" s="363" t="s">
        <v>9200</v>
      </c>
      <c r="N1314" s="314"/>
      <c r="O1314" s="93" t="s">
        <v>8903</v>
      </c>
      <c r="P1314" s="67" t="str">
        <f t="shared" si="1"/>
        <v>50.251356, 28.664005</v>
      </c>
      <c r="Q1314" s="67" t="str">
        <f t="shared" si="2"/>
        <v>50.250905, 28.664638</v>
      </c>
      <c r="R1314" s="67">
        <f t="shared" si="3"/>
        <v>50.250905</v>
      </c>
      <c r="S1314" s="67">
        <f t="shared" si="4"/>
        <v>28.664638</v>
      </c>
      <c r="T1314" s="161"/>
      <c r="U1314" s="69"/>
      <c r="V1314" s="169" t="s">
        <v>13176</v>
      </c>
      <c r="W1314" s="71" t="s">
        <v>3601</v>
      </c>
      <c r="X1314" s="72" t="s">
        <v>5504</v>
      </c>
      <c r="Y1314" s="61" t="s">
        <v>5820</v>
      </c>
      <c r="Z1314" s="73"/>
      <c r="AA1314" s="73"/>
      <c r="AB1314" s="73"/>
      <c r="AC1314" s="73"/>
      <c r="AD1314" s="73"/>
      <c r="AE1314" s="73"/>
      <c r="AF1314" s="73"/>
      <c r="AG1314" s="73"/>
      <c r="AH1314" s="73"/>
      <c r="AI1314" s="73"/>
      <c r="AJ1314" s="161"/>
      <c r="AK1314" s="76" t="s">
        <v>798</v>
      </c>
      <c r="AL1314" s="83" t="s">
        <v>13177</v>
      </c>
      <c r="AM1314" s="71" t="s">
        <v>13178</v>
      </c>
      <c r="AN1314" s="84" t="s">
        <v>13179</v>
      </c>
      <c r="AO1314" s="71" t="s">
        <v>13180</v>
      </c>
      <c r="AP1314" s="161" t="str">
        <f>IMAGE("https://bellingcat-archive.nyc3.cdn.digitaloceanspaces.com/Ukraine_Witness_Datasheet/Worksheet/youtube_dl_1499654589766946820/out7.jpg")</f>
        <v/>
      </c>
      <c r="AQ1314" s="84" t="s">
        <v>13181</v>
      </c>
      <c r="AR1314" s="71" t="s">
        <v>13182</v>
      </c>
      <c r="AS1314" s="71" t="s">
        <v>13183</v>
      </c>
      <c r="AT1314" s="71">
        <v>8.333</v>
      </c>
      <c r="AU1314" s="89"/>
      <c r="AV1314" s="80" t="s">
        <v>88</v>
      </c>
      <c r="AW1314" s="81"/>
    </row>
    <row r="1315" ht="15.75" customHeight="1">
      <c r="A1315" s="204" t="s">
        <v>63</v>
      </c>
      <c r="B1315" s="73"/>
      <c r="C1315" s="57" t="s">
        <v>12050</v>
      </c>
      <c r="D1315" s="74">
        <v>47.230155</v>
      </c>
      <c r="E1315" s="74">
        <v>38.876383</v>
      </c>
      <c r="F1315" s="79">
        <v>1.0</v>
      </c>
      <c r="G1315" s="84" t="s">
        <v>13184</v>
      </c>
      <c r="H1315" s="61" t="s">
        <v>5522</v>
      </c>
      <c r="I1315" s="75"/>
      <c r="J1315" s="71" t="s">
        <v>5858</v>
      </c>
      <c r="K1315" s="69"/>
      <c r="L1315" s="65" t="s">
        <v>79</v>
      </c>
      <c r="M1315" s="61" t="s">
        <v>5082</v>
      </c>
      <c r="N1315" s="314"/>
      <c r="O1315" s="92" t="s">
        <v>13185</v>
      </c>
      <c r="P1315" s="67" t="str">
        <f t="shared" si="1"/>
        <v>47.230155, 38.876383</v>
      </c>
      <c r="Q1315" s="67" t="str">
        <f t="shared" si="2"/>
        <v>47.229886, 38.877237</v>
      </c>
      <c r="R1315" s="67">
        <f t="shared" si="3"/>
        <v>47.229886</v>
      </c>
      <c r="S1315" s="67">
        <f t="shared" si="4"/>
        <v>38.877237</v>
      </c>
      <c r="T1315" s="161"/>
      <c r="U1315" s="69"/>
      <c r="V1315" s="169" t="s">
        <v>13186</v>
      </c>
      <c r="W1315" s="71" t="s">
        <v>6262</v>
      </c>
      <c r="X1315" s="72" t="s">
        <v>5504</v>
      </c>
      <c r="Y1315" s="61" t="s">
        <v>75</v>
      </c>
      <c r="Z1315" s="61" t="s">
        <v>13187</v>
      </c>
      <c r="AA1315" s="73"/>
      <c r="AB1315" s="73"/>
      <c r="AC1315" s="73"/>
      <c r="AD1315" s="73"/>
      <c r="AE1315" s="73"/>
      <c r="AF1315" s="73"/>
      <c r="AG1315" s="73"/>
      <c r="AH1315" s="73"/>
      <c r="AI1315" s="73"/>
      <c r="AJ1315" s="161"/>
      <c r="AK1315" s="76" t="s">
        <v>798</v>
      </c>
      <c r="AL1315" s="83" t="s">
        <v>13188</v>
      </c>
      <c r="AM1315" s="71" t="s">
        <v>13189</v>
      </c>
      <c r="AN1315" s="84" t="s">
        <v>13190</v>
      </c>
      <c r="AO1315" s="71" t="s">
        <v>13191</v>
      </c>
      <c r="AP1315" s="161" t="str">
        <f>IMAGE("https://bellingcat-archive.nyc3.cdn.digitaloceanspaces.com/Ukraine_Witness_Datasheet/Worksheet/youtube_dl_1499608984562515971/out7.jpg")</f>
        <v/>
      </c>
      <c r="AQ1315" s="84" t="s">
        <v>13192</v>
      </c>
      <c r="AR1315" s="71" t="s">
        <v>13193</v>
      </c>
      <c r="AS1315" s="71" t="s">
        <v>13194</v>
      </c>
      <c r="AT1315" s="71">
        <v>41.077</v>
      </c>
      <c r="AU1315" s="89"/>
      <c r="AV1315" s="162"/>
      <c r="AW1315" s="81"/>
    </row>
    <row r="1316" ht="15.75" customHeight="1">
      <c r="A1316" s="357" t="s">
        <v>63</v>
      </c>
      <c r="B1316" s="73"/>
      <c r="C1316" s="57" t="s">
        <v>12050</v>
      </c>
      <c r="D1316" s="74">
        <v>50.494433</v>
      </c>
      <c r="E1316" s="74">
        <v>31.185191</v>
      </c>
      <c r="F1316" s="79">
        <v>2.0</v>
      </c>
      <c r="G1316" s="84" t="s">
        <v>13195</v>
      </c>
      <c r="H1316" s="61" t="s">
        <v>91</v>
      </c>
      <c r="I1316" s="75"/>
      <c r="J1316" s="71" t="s">
        <v>13196</v>
      </c>
      <c r="K1316" s="88" t="s">
        <v>13197</v>
      </c>
      <c r="L1316" s="65" t="s">
        <v>3542</v>
      </c>
      <c r="M1316" s="149" t="s">
        <v>5827</v>
      </c>
      <c r="N1316" s="314"/>
      <c r="O1316" s="93" t="s">
        <v>13036</v>
      </c>
      <c r="P1316" s="67" t="str">
        <f t="shared" si="1"/>
        <v>50.494433, 31.185191</v>
      </c>
      <c r="Q1316" s="67" t="str">
        <f t="shared" si="2"/>
        <v>50.494263, 31.185812</v>
      </c>
      <c r="R1316" s="67">
        <f t="shared" si="3"/>
        <v>50.494263</v>
      </c>
      <c r="S1316" s="67">
        <f t="shared" si="4"/>
        <v>31.185812</v>
      </c>
      <c r="T1316" s="161"/>
      <c r="U1316" s="69"/>
      <c r="V1316" s="169" t="s">
        <v>13198</v>
      </c>
      <c r="W1316" s="71" t="s">
        <v>7571</v>
      </c>
      <c r="X1316" s="72" t="s">
        <v>5504</v>
      </c>
      <c r="Y1316" s="73"/>
      <c r="Z1316" s="73"/>
      <c r="AA1316" s="73"/>
      <c r="AB1316" s="73"/>
      <c r="AC1316" s="73"/>
      <c r="AD1316" s="73"/>
      <c r="AE1316" s="73"/>
      <c r="AF1316" s="73"/>
      <c r="AG1316" s="73"/>
      <c r="AH1316" s="73"/>
      <c r="AI1316" s="73"/>
      <c r="AJ1316" s="161"/>
      <c r="AK1316" s="76" t="s">
        <v>2108</v>
      </c>
      <c r="AL1316" s="83" t="s">
        <v>13199</v>
      </c>
      <c r="AM1316" s="71" t="s">
        <v>13200</v>
      </c>
      <c r="AN1316" s="84" t="s">
        <v>13201</v>
      </c>
      <c r="AO1316" s="71" t="s">
        <v>13202</v>
      </c>
      <c r="AP1316" s="161" t="str">
        <f>IMAGE("https://bellingcat-archive.nyc3.cdn.digitaloceanspaces.com/Ukraine_Witness_Datasheet/Worksheet/twitter__media_FM83x3tXMAU0hup.jpg")</f>
        <v/>
      </c>
      <c r="AQ1316" s="161"/>
      <c r="AR1316" s="161"/>
      <c r="AS1316" s="71" t="s">
        <v>13044</v>
      </c>
      <c r="AT1316" s="161"/>
      <c r="AU1316" s="89"/>
      <c r="AV1316" s="162"/>
      <c r="AW1316" s="81"/>
    </row>
    <row r="1317" ht="15.75" customHeight="1">
      <c r="A1317" s="204" t="s">
        <v>5820</v>
      </c>
      <c r="B1317" s="73"/>
      <c r="C1317" s="57" t="s">
        <v>12959</v>
      </c>
      <c r="D1317" s="104">
        <v>47.507270171051</v>
      </c>
      <c r="E1317" s="491">
        <v>34.5853129322966</v>
      </c>
      <c r="F1317" s="79">
        <v>3.0</v>
      </c>
      <c r="G1317" s="84" t="s">
        <v>13203</v>
      </c>
      <c r="H1317" s="61" t="s">
        <v>5522</v>
      </c>
      <c r="I1317" s="75"/>
      <c r="J1317" s="71" t="s">
        <v>13204</v>
      </c>
      <c r="K1317" s="69"/>
      <c r="L1317" s="65" t="s">
        <v>3542</v>
      </c>
      <c r="M1317" s="61" t="s">
        <v>6167</v>
      </c>
      <c r="N1317" s="314"/>
      <c r="O1317" s="91" t="s">
        <v>13205</v>
      </c>
      <c r="P1317" s="67" t="str">
        <f t="shared" si="1"/>
        <v>47.507270171051, 34.5853129322966</v>
      </c>
      <c r="Q1317" s="67" t="str">
        <f t="shared" si="2"/>
        <v>47.506944, 34.58451</v>
      </c>
      <c r="R1317" s="67">
        <f t="shared" si="3"/>
        <v>47.506944</v>
      </c>
      <c r="S1317" s="67">
        <f t="shared" si="4"/>
        <v>34.58451</v>
      </c>
      <c r="T1317" s="161"/>
      <c r="U1317" s="69"/>
      <c r="V1317" s="169" t="s">
        <v>13206</v>
      </c>
      <c r="W1317" s="492" t="s">
        <v>9711</v>
      </c>
      <c r="X1317" s="72" t="s">
        <v>5504</v>
      </c>
      <c r="Y1317" s="61" t="s">
        <v>5820</v>
      </c>
      <c r="Z1317" s="73"/>
      <c r="AA1317" s="73"/>
      <c r="AB1317" s="73"/>
      <c r="AC1317" s="73"/>
      <c r="AD1317" s="73"/>
      <c r="AE1317" s="73"/>
      <c r="AF1317" s="73"/>
      <c r="AG1317" s="73"/>
      <c r="AH1317" s="73"/>
      <c r="AI1317" s="73"/>
      <c r="AJ1317" s="161"/>
      <c r="AK1317" s="76" t="s">
        <v>6276</v>
      </c>
      <c r="AL1317" s="83" t="s">
        <v>13207</v>
      </c>
      <c r="AM1317" s="71" t="s">
        <v>13208</v>
      </c>
      <c r="AN1317" s="84" t="s">
        <v>13209</v>
      </c>
      <c r="AO1317" s="71" t="s">
        <v>13210</v>
      </c>
      <c r="AP1317" s="161" t="str">
        <f>IMAGE("https://bellingcat-archive.nyc3.cdn.digitaloceanspaces.com/Ukraine_Witness_Datasheet/Worksheet/telegram_c45af1fb49/out20.jpg")</f>
        <v/>
      </c>
      <c r="AQ1317" s="84" t="s">
        <v>13211</v>
      </c>
      <c r="AR1317" s="84" t="s">
        <v>13203</v>
      </c>
      <c r="AS1317" s="71" t="s">
        <v>13212</v>
      </c>
      <c r="AT1317" s="71">
        <v>87.0</v>
      </c>
      <c r="AU1317" s="89"/>
      <c r="AV1317" s="80" t="s">
        <v>88</v>
      </c>
      <c r="AW1317" s="81"/>
    </row>
    <row r="1318" ht="15.75" customHeight="1">
      <c r="A1318" s="204" t="s">
        <v>11075</v>
      </c>
      <c r="B1318" s="73"/>
      <c r="C1318" s="57" t="s">
        <v>12959</v>
      </c>
      <c r="D1318" s="74">
        <v>50.56547</v>
      </c>
      <c r="E1318" s="74">
        <v>30.270848</v>
      </c>
      <c r="F1318" s="79">
        <v>5.0</v>
      </c>
      <c r="G1318" s="84" t="s">
        <v>13213</v>
      </c>
      <c r="H1318" s="61" t="s">
        <v>5522</v>
      </c>
      <c r="I1318" s="75"/>
      <c r="J1318" s="71" t="s">
        <v>13214</v>
      </c>
      <c r="K1318" s="88" t="s">
        <v>13215</v>
      </c>
      <c r="L1318" s="65" t="s">
        <v>3542</v>
      </c>
      <c r="M1318" s="61" t="s">
        <v>5827</v>
      </c>
      <c r="N1318" s="314"/>
      <c r="O1318" s="93" t="s">
        <v>5828</v>
      </c>
      <c r="P1318" s="67" t="str">
        <f t="shared" si="1"/>
        <v>50.56547, 30.270848</v>
      </c>
      <c r="Q1318" s="67" t="str">
        <f t="shared" si="2"/>
        <v>50.565169, 30.26986</v>
      </c>
      <c r="R1318" s="67">
        <f t="shared" si="3"/>
        <v>50.565169</v>
      </c>
      <c r="S1318" s="67">
        <f t="shared" si="4"/>
        <v>30.26986</v>
      </c>
      <c r="T1318" s="161"/>
      <c r="U1318" s="69"/>
      <c r="V1318" s="169" t="s">
        <v>13216</v>
      </c>
      <c r="W1318" s="468" t="s">
        <v>7571</v>
      </c>
      <c r="X1318" s="72" t="s">
        <v>5504</v>
      </c>
      <c r="Y1318" s="61" t="s">
        <v>5820</v>
      </c>
      <c r="Z1318" s="73"/>
      <c r="AA1318" s="73"/>
      <c r="AB1318" s="73"/>
      <c r="AC1318" s="73"/>
      <c r="AD1318" s="73"/>
      <c r="AE1318" s="73"/>
      <c r="AF1318" s="73"/>
      <c r="AG1318" s="73"/>
      <c r="AH1318" s="73"/>
      <c r="AI1318" s="73"/>
      <c r="AJ1318" s="161"/>
      <c r="AK1318" s="76" t="s">
        <v>6276</v>
      </c>
      <c r="AL1318" s="83" t="s">
        <v>13217</v>
      </c>
      <c r="AM1318" s="71" t="s">
        <v>13218</v>
      </c>
      <c r="AN1318" s="84" t="s">
        <v>13219</v>
      </c>
      <c r="AO1318" s="71" t="s">
        <v>13220</v>
      </c>
      <c r="AP1318" s="161" t="str">
        <f>IMAGE("https://bellingcat-archive.nyc3.cdn.digitaloceanspaces.com/Ukraine_Witness_Datasheet/Worksheet/telegram_949e425d59/out7.jpg")</f>
        <v/>
      </c>
      <c r="AQ1318" s="84" t="s">
        <v>13221</v>
      </c>
      <c r="AR1318" s="84" t="s">
        <v>13213</v>
      </c>
      <c r="AS1318" s="71" t="s">
        <v>13222</v>
      </c>
      <c r="AT1318" s="71">
        <v>42.0</v>
      </c>
      <c r="AU1318" s="89"/>
      <c r="AV1318" s="162"/>
      <c r="AW1318" s="81"/>
    </row>
    <row r="1319" ht="15.75" customHeight="1">
      <c r="A1319" s="357" t="s">
        <v>63</v>
      </c>
      <c r="B1319" s="73"/>
      <c r="C1319" s="57" t="s">
        <v>12050</v>
      </c>
      <c r="D1319" s="74">
        <v>50.03805</v>
      </c>
      <c r="E1319" s="74">
        <v>36.368961</v>
      </c>
      <c r="F1319" s="79">
        <v>2.0</v>
      </c>
      <c r="G1319" s="84" t="s">
        <v>13223</v>
      </c>
      <c r="H1319" s="61" t="s">
        <v>91</v>
      </c>
      <c r="I1319" s="75"/>
      <c r="J1319" s="71" t="s">
        <v>12176</v>
      </c>
      <c r="K1319" s="88" t="s">
        <v>13224</v>
      </c>
      <c r="L1319" s="65" t="s">
        <v>3542</v>
      </c>
      <c r="M1319" s="61" t="s">
        <v>5590</v>
      </c>
      <c r="N1319" s="314"/>
      <c r="O1319" s="93" t="s">
        <v>5626</v>
      </c>
      <c r="P1319" s="67" t="str">
        <f t="shared" si="1"/>
        <v>50.03805, 36.368961</v>
      </c>
      <c r="Q1319" s="67" t="str">
        <f t="shared" si="2"/>
        <v>50.037694, 36.367892</v>
      </c>
      <c r="R1319" s="67">
        <f t="shared" si="3"/>
        <v>50.037694</v>
      </c>
      <c r="S1319" s="67">
        <f t="shared" si="4"/>
        <v>36.367892</v>
      </c>
      <c r="T1319" s="161"/>
      <c r="U1319" s="69"/>
      <c r="V1319" s="169" t="s">
        <v>13225</v>
      </c>
      <c r="W1319" s="71" t="s">
        <v>3601</v>
      </c>
      <c r="X1319" s="72" t="s">
        <v>5504</v>
      </c>
      <c r="Y1319" s="73"/>
      <c r="Z1319" s="73"/>
      <c r="AA1319" s="73"/>
      <c r="AB1319" s="73"/>
      <c r="AC1319" s="73"/>
      <c r="AD1319" s="73"/>
      <c r="AE1319" s="73"/>
      <c r="AF1319" s="73"/>
      <c r="AG1319" s="73"/>
      <c r="AH1319" s="73"/>
      <c r="AI1319" s="73"/>
      <c r="AJ1319" s="161"/>
      <c r="AK1319" s="76" t="s">
        <v>6276</v>
      </c>
      <c r="AL1319" s="83" t="s">
        <v>13226</v>
      </c>
      <c r="AM1319" s="71" t="s">
        <v>13227</v>
      </c>
      <c r="AN1319" s="84" t="s">
        <v>13228</v>
      </c>
      <c r="AO1319" s="71" t="s">
        <v>13229</v>
      </c>
      <c r="AP1319" s="161"/>
      <c r="AQ1319" s="161"/>
      <c r="AR1319" s="161"/>
      <c r="AS1319" s="71" t="s">
        <v>13230</v>
      </c>
      <c r="AT1319" s="161"/>
      <c r="AU1319" s="89"/>
      <c r="AV1319" s="162"/>
      <c r="AW1319" s="81"/>
    </row>
    <row r="1320" ht="15.75" customHeight="1">
      <c r="A1320" s="72" t="s">
        <v>6463</v>
      </c>
      <c r="B1320" s="73"/>
      <c r="C1320" s="57" t="s">
        <v>10973</v>
      </c>
      <c r="D1320" s="104">
        <v>50.4908954128472</v>
      </c>
      <c r="E1320" s="74">
        <v>30.2592986269515</v>
      </c>
      <c r="F1320" s="79">
        <v>2.0</v>
      </c>
      <c r="G1320" s="130" t="s">
        <v>13231</v>
      </c>
      <c r="H1320" s="61" t="s">
        <v>66</v>
      </c>
      <c r="I1320" s="75"/>
      <c r="J1320" s="71" t="s">
        <v>13232</v>
      </c>
      <c r="K1320" s="69"/>
      <c r="L1320" s="65" t="s">
        <v>3542</v>
      </c>
      <c r="M1320" s="61" t="s">
        <v>5827</v>
      </c>
      <c r="N1320" s="314"/>
      <c r="O1320" s="93" t="s">
        <v>7550</v>
      </c>
      <c r="P1320" s="67" t="str">
        <f t="shared" si="1"/>
        <v>50.4908954128472, 30.2592986269515</v>
      </c>
      <c r="Q1320" s="67" t="str">
        <f t="shared" si="2"/>
        <v>50.490509, 30.259465</v>
      </c>
      <c r="R1320" s="67">
        <f t="shared" si="3"/>
        <v>50.490509</v>
      </c>
      <c r="S1320" s="67">
        <f t="shared" si="4"/>
        <v>30.259465</v>
      </c>
      <c r="T1320" s="71" t="s">
        <v>13233</v>
      </c>
      <c r="U1320" s="69"/>
      <c r="V1320" s="169" t="s">
        <v>13234</v>
      </c>
      <c r="W1320" s="71" t="s">
        <v>6641</v>
      </c>
      <c r="X1320" s="72" t="s">
        <v>5504</v>
      </c>
      <c r="Y1320" s="61" t="s">
        <v>11347</v>
      </c>
      <c r="Z1320" s="73"/>
      <c r="AA1320" s="73"/>
      <c r="AB1320" s="73"/>
      <c r="AC1320" s="73"/>
      <c r="AD1320" s="73"/>
      <c r="AE1320" s="73"/>
      <c r="AF1320" s="73"/>
      <c r="AG1320" s="73"/>
      <c r="AH1320" s="73"/>
      <c r="AI1320" s="73"/>
      <c r="AJ1320" s="161"/>
      <c r="AK1320" s="76" t="s">
        <v>798</v>
      </c>
      <c r="AL1320" s="83" t="s">
        <v>13235</v>
      </c>
      <c r="AM1320" s="71" t="s">
        <v>13236</v>
      </c>
      <c r="AN1320" s="84" t="s">
        <v>13237</v>
      </c>
      <c r="AO1320" s="71" t="s">
        <v>13238</v>
      </c>
      <c r="AP1320" s="161" t="str">
        <f>IMAGE("https://bellingcat-archive.nyc3.cdn.digitaloceanspaces.com/Ukraine_Witness_Datasheet/Worksheet/youtube_dl_1499012433943437314/out7.jpg")</f>
        <v/>
      </c>
      <c r="AQ1320" s="84" t="s">
        <v>13239</v>
      </c>
      <c r="AR1320" s="71" t="s">
        <v>13240</v>
      </c>
      <c r="AS1320" s="71" t="s">
        <v>13241</v>
      </c>
      <c r="AT1320" s="71">
        <v>13.175</v>
      </c>
      <c r="AU1320" s="89"/>
      <c r="AV1320" s="162"/>
      <c r="AW1320" s="81"/>
    </row>
    <row r="1321" ht="15.75" customHeight="1">
      <c r="A1321" s="204" t="s">
        <v>63</v>
      </c>
      <c r="B1321" s="73"/>
      <c r="C1321" s="57" t="s">
        <v>12959</v>
      </c>
      <c r="D1321" s="74">
        <v>47.496899</v>
      </c>
      <c r="E1321" s="74">
        <v>34.648768</v>
      </c>
      <c r="F1321" s="79">
        <v>1.0</v>
      </c>
      <c r="G1321" s="84" t="s">
        <v>13242</v>
      </c>
      <c r="H1321" s="61" t="s">
        <v>5522</v>
      </c>
      <c r="I1321" s="75"/>
      <c r="J1321" s="71" t="s">
        <v>13243</v>
      </c>
      <c r="K1321" s="69"/>
      <c r="L1321" s="65" t="s">
        <v>3542</v>
      </c>
      <c r="M1321" s="310" t="s">
        <v>6167</v>
      </c>
      <c r="N1321" s="73"/>
      <c r="O1321" s="92" t="s">
        <v>12793</v>
      </c>
      <c r="P1321" s="67" t="str">
        <f t="shared" si="1"/>
        <v>47.496899, 34.648768</v>
      </c>
      <c r="Q1321" s="67" t="str">
        <f t="shared" si="2"/>
        <v>47.496618, 34.64956</v>
      </c>
      <c r="R1321" s="67">
        <f t="shared" si="3"/>
        <v>47.496618</v>
      </c>
      <c r="S1321" s="67">
        <f t="shared" si="4"/>
        <v>34.64956</v>
      </c>
      <c r="T1321" s="161"/>
      <c r="U1321" s="69"/>
      <c r="V1321" s="169" t="s">
        <v>13244</v>
      </c>
      <c r="W1321" s="71" t="s">
        <v>6262</v>
      </c>
      <c r="X1321" s="72" t="s">
        <v>5504</v>
      </c>
      <c r="Y1321" s="61" t="s">
        <v>75</v>
      </c>
      <c r="Z1321" s="61" t="s">
        <v>13187</v>
      </c>
      <c r="AA1321" s="73"/>
      <c r="AB1321" s="73"/>
      <c r="AC1321" s="73"/>
      <c r="AD1321" s="73"/>
      <c r="AE1321" s="73"/>
      <c r="AF1321" s="73"/>
      <c r="AG1321" s="73"/>
      <c r="AH1321" s="73"/>
      <c r="AI1321" s="73"/>
      <c r="AJ1321" s="161"/>
      <c r="AK1321" s="76" t="s">
        <v>798</v>
      </c>
      <c r="AL1321" s="83" t="s">
        <v>13245</v>
      </c>
      <c r="AM1321" s="71" t="s">
        <v>13246</v>
      </c>
      <c r="AN1321" s="84" t="s">
        <v>13247</v>
      </c>
      <c r="AO1321" s="71" t="s">
        <v>13248</v>
      </c>
      <c r="AP1321" s="161" t="str">
        <f>IMAGE("https://bellingcat-archive.nyc3.cdn.digitaloceanspaces.com/Ukraine_Witness_Datasheet/Worksheet/youtube_dl_1499693084237570052/out7.jpg")</f>
        <v/>
      </c>
      <c r="AQ1321" s="84" t="s">
        <v>13249</v>
      </c>
      <c r="AR1321" s="71" t="s">
        <v>13250</v>
      </c>
      <c r="AS1321" s="71" t="s">
        <v>13251</v>
      </c>
      <c r="AT1321" s="71">
        <v>36.333</v>
      </c>
      <c r="AU1321" s="89"/>
      <c r="AV1321" s="162"/>
      <c r="AW1321" s="81"/>
    </row>
    <row r="1322" ht="15.75" customHeight="1">
      <c r="A1322" s="204" t="s">
        <v>63</v>
      </c>
      <c r="B1322" s="73"/>
      <c r="C1322" s="57" t="s">
        <v>12959</v>
      </c>
      <c r="D1322" s="74">
        <v>47.505336</v>
      </c>
      <c r="E1322" s="74">
        <v>34.589316</v>
      </c>
      <c r="F1322" s="79">
        <v>1.0</v>
      </c>
      <c r="G1322" s="84" t="s">
        <v>13252</v>
      </c>
      <c r="H1322" s="61" t="s">
        <v>91</v>
      </c>
      <c r="I1322" s="75"/>
      <c r="J1322" s="71" t="s">
        <v>13253</v>
      </c>
      <c r="K1322" s="69"/>
      <c r="L1322" s="65" t="s">
        <v>3542</v>
      </c>
      <c r="M1322" s="310" t="s">
        <v>6167</v>
      </c>
      <c r="N1322" s="73"/>
      <c r="O1322" s="92" t="s">
        <v>12793</v>
      </c>
      <c r="P1322" s="67" t="str">
        <f t="shared" si="1"/>
        <v>47.505336, 34.589316</v>
      </c>
      <c r="Q1322" s="67" t="str">
        <f t="shared" si="2"/>
        <v>47.504981, 34.588916</v>
      </c>
      <c r="R1322" s="67">
        <f t="shared" si="3"/>
        <v>47.504981</v>
      </c>
      <c r="S1322" s="67">
        <f t="shared" si="4"/>
        <v>34.588916</v>
      </c>
      <c r="T1322" s="161"/>
      <c r="U1322" s="69"/>
      <c r="V1322" s="169" t="s">
        <v>13254</v>
      </c>
      <c r="W1322" s="71" t="s">
        <v>6262</v>
      </c>
      <c r="X1322" s="72" t="s">
        <v>5504</v>
      </c>
      <c r="Y1322" s="61" t="s">
        <v>5820</v>
      </c>
      <c r="Z1322" s="73"/>
      <c r="AA1322" s="73"/>
      <c r="AB1322" s="73"/>
      <c r="AC1322" s="73"/>
      <c r="AD1322" s="73"/>
      <c r="AE1322" s="73"/>
      <c r="AF1322" s="73"/>
      <c r="AG1322" s="73"/>
      <c r="AH1322" s="73"/>
      <c r="AI1322" s="73"/>
      <c r="AJ1322" s="161"/>
      <c r="AK1322" s="76" t="s">
        <v>2108</v>
      </c>
      <c r="AL1322" s="83" t="s">
        <v>13255</v>
      </c>
      <c r="AM1322" s="71" t="s">
        <v>13256</v>
      </c>
      <c r="AN1322" s="84" t="s">
        <v>13257</v>
      </c>
      <c r="AO1322" s="71" t="s">
        <v>13258</v>
      </c>
      <c r="AP1322" s="161" t="str">
        <f>IMAGE("https://bellingcat-archive.nyc3.cdn.digitaloceanspaces.com/Ukraine_Witness_Datasheet/Worksheet/twitter__media_FM_6awCWQAAKjM5.jpg")</f>
        <v/>
      </c>
      <c r="AQ1322" s="161"/>
      <c r="AR1322" s="161"/>
      <c r="AS1322" s="71" t="s">
        <v>13259</v>
      </c>
      <c r="AT1322" s="161"/>
      <c r="AU1322" s="89"/>
      <c r="AV1322" s="162"/>
      <c r="AW1322" s="81"/>
    </row>
    <row r="1323" ht="15.75" customHeight="1">
      <c r="A1323" s="204" t="s">
        <v>63</v>
      </c>
      <c r="B1323" s="73"/>
      <c r="C1323" s="57" t="s">
        <v>12050</v>
      </c>
      <c r="D1323" s="74">
        <v>47.506415</v>
      </c>
      <c r="E1323" s="74">
        <v>34.587317</v>
      </c>
      <c r="F1323" s="79">
        <v>2.0</v>
      </c>
      <c r="G1323" s="84" t="s">
        <v>13260</v>
      </c>
      <c r="H1323" s="61" t="s">
        <v>66</v>
      </c>
      <c r="I1323" s="75"/>
      <c r="J1323" s="71" t="s">
        <v>13261</v>
      </c>
      <c r="K1323" s="69"/>
      <c r="L1323" s="65" t="s">
        <v>3542</v>
      </c>
      <c r="M1323" s="310" t="s">
        <v>6167</v>
      </c>
      <c r="N1323" s="73"/>
      <c r="O1323" s="92" t="s">
        <v>12793</v>
      </c>
      <c r="P1323" s="67" t="str">
        <f t="shared" si="1"/>
        <v>47.506415, 34.587317</v>
      </c>
      <c r="Q1323" s="67" t="str">
        <f t="shared" si="2"/>
        <v>47.505992, 34.586923</v>
      </c>
      <c r="R1323" s="67">
        <f t="shared" si="3"/>
        <v>47.505992</v>
      </c>
      <c r="S1323" s="67">
        <f t="shared" si="4"/>
        <v>34.586923</v>
      </c>
      <c r="T1323" s="161"/>
      <c r="U1323" s="69"/>
      <c r="V1323" s="169" t="s">
        <v>13262</v>
      </c>
      <c r="W1323" s="71" t="s">
        <v>13263</v>
      </c>
      <c r="X1323" s="72" t="s">
        <v>5504</v>
      </c>
      <c r="Y1323" s="61" t="s">
        <v>5820</v>
      </c>
      <c r="Z1323" s="73"/>
      <c r="AA1323" s="73"/>
      <c r="AB1323" s="73"/>
      <c r="AC1323" s="73"/>
      <c r="AD1323" s="73"/>
      <c r="AE1323" s="73"/>
      <c r="AF1323" s="73"/>
      <c r="AG1323" s="73"/>
      <c r="AH1323" s="73"/>
      <c r="AI1323" s="73"/>
      <c r="AJ1323" s="161"/>
      <c r="AK1323" s="76" t="s">
        <v>798</v>
      </c>
      <c r="AL1323" s="83" t="s">
        <v>13264</v>
      </c>
      <c r="AM1323" s="71" t="s">
        <v>13265</v>
      </c>
      <c r="AN1323" s="84" t="s">
        <v>13266</v>
      </c>
      <c r="AO1323" s="71" t="s">
        <v>13267</v>
      </c>
      <c r="AP1323" s="161" t="str">
        <f>IMAGE("https://bellingcat-archive.nyc3.cdn.digitaloceanspaces.com/Ukraine_Witness_Datasheet/Worksheet/youtube_dl_1499542895954522113/out7.jpg")</f>
        <v/>
      </c>
      <c r="AQ1323" s="84" t="s">
        <v>13268</v>
      </c>
      <c r="AR1323" s="71" t="s">
        <v>13269</v>
      </c>
      <c r="AS1323" s="71" t="s">
        <v>13270</v>
      </c>
      <c r="AT1323" s="71">
        <v>20.025</v>
      </c>
      <c r="AU1323" s="89"/>
      <c r="AV1323" s="162"/>
      <c r="AW1323" s="81"/>
    </row>
    <row r="1324" ht="15.75" customHeight="1">
      <c r="A1324" s="208"/>
      <c r="B1324" s="73"/>
      <c r="C1324" s="176"/>
      <c r="D1324" s="121"/>
      <c r="E1324" s="121"/>
      <c r="F1324" s="89"/>
      <c r="G1324" s="84" t="s">
        <v>13271</v>
      </c>
      <c r="H1324" s="61" t="s">
        <v>5368</v>
      </c>
      <c r="I1324" s="75"/>
      <c r="J1324" s="161"/>
      <c r="K1324" s="69"/>
      <c r="L1324" s="70"/>
      <c r="M1324" s="73"/>
      <c r="N1324" s="73"/>
      <c r="O1324" s="73"/>
      <c r="P1324" s="67" t="str">
        <f t="shared" si="1"/>
        <v/>
      </c>
      <c r="Q1324" s="67" t="str">
        <f t="shared" si="2"/>
        <v/>
      </c>
      <c r="R1324" s="67" t="str">
        <f t="shared" si="3"/>
        <v/>
      </c>
      <c r="S1324" s="67" t="str">
        <f t="shared" si="4"/>
        <v/>
      </c>
      <c r="T1324" s="161"/>
      <c r="U1324" s="69"/>
      <c r="V1324" s="65" t="s">
        <v>13272</v>
      </c>
      <c r="W1324" s="161"/>
      <c r="X1324" s="194"/>
      <c r="Y1324" s="61" t="s">
        <v>75</v>
      </c>
      <c r="Z1324" s="61" t="s">
        <v>13273</v>
      </c>
      <c r="AA1324" s="73"/>
      <c r="AB1324" s="73"/>
      <c r="AC1324" s="73"/>
      <c r="AD1324" s="73"/>
      <c r="AE1324" s="73"/>
      <c r="AF1324" s="73"/>
      <c r="AG1324" s="73"/>
      <c r="AH1324" s="73"/>
      <c r="AI1324" s="73"/>
      <c r="AJ1324" s="161"/>
      <c r="AK1324" s="76" t="s">
        <v>2108</v>
      </c>
      <c r="AL1324" s="83" t="s">
        <v>13274</v>
      </c>
      <c r="AM1324" s="71" t="s">
        <v>13275</v>
      </c>
      <c r="AN1324" s="84" t="s">
        <v>13276</v>
      </c>
      <c r="AO1324" s="71" t="s">
        <v>13277</v>
      </c>
      <c r="AP1324" s="161" t="str">
        <f>IMAGE("https://bellingcat-archive.nyc3.cdn.digitaloceanspaces.com/Ukraine_Witness_Datasheet/Worksheet/twitter__media_FNAFARAXoAAJLeo.jpg")</f>
        <v/>
      </c>
      <c r="AQ1324" s="161"/>
      <c r="AR1324" s="161"/>
      <c r="AS1324" s="71" t="s">
        <v>13278</v>
      </c>
      <c r="AT1324" s="161"/>
      <c r="AU1324" s="89"/>
      <c r="AV1324" s="162"/>
      <c r="AW1324" s="81"/>
    </row>
    <row r="1325" ht="15.75" customHeight="1">
      <c r="A1325" s="208" t="s">
        <v>63</v>
      </c>
      <c r="B1325" s="73"/>
      <c r="C1325" s="57" t="s">
        <v>12959</v>
      </c>
      <c r="D1325" s="121"/>
      <c r="E1325" s="121"/>
      <c r="F1325" s="79">
        <v>2.0</v>
      </c>
      <c r="G1325" s="84" t="s">
        <v>13279</v>
      </c>
      <c r="H1325" s="73"/>
      <c r="I1325" s="75"/>
      <c r="J1325" s="161"/>
      <c r="K1325" s="69"/>
      <c r="L1325" s="70"/>
      <c r="M1325" s="73"/>
      <c r="N1325" s="73"/>
      <c r="O1325" s="73"/>
      <c r="P1325" s="67" t="str">
        <f t="shared" si="1"/>
        <v/>
      </c>
      <c r="Q1325" s="67" t="str">
        <f t="shared" si="2"/>
        <v/>
      </c>
      <c r="R1325" s="67" t="str">
        <f t="shared" si="3"/>
        <v/>
      </c>
      <c r="S1325" s="67" t="str">
        <f t="shared" si="4"/>
        <v/>
      </c>
      <c r="T1325" s="161"/>
      <c r="U1325" s="69"/>
      <c r="V1325" s="65" t="s">
        <v>13280</v>
      </c>
      <c r="W1325" s="161"/>
      <c r="X1325" s="194"/>
      <c r="Y1325" s="73"/>
      <c r="Z1325" s="73"/>
      <c r="AA1325" s="73"/>
      <c r="AB1325" s="73"/>
      <c r="AC1325" s="73"/>
      <c r="AD1325" s="73"/>
      <c r="AE1325" s="73"/>
      <c r="AF1325" s="73"/>
      <c r="AG1325" s="73"/>
      <c r="AH1325" s="73"/>
      <c r="AI1325" s="73"/>
      <c r="AJ1325" s="161"/>
      <c r="AK1325" s="76" t="s">
        <v>798</v>
      </c>
      <c r="AL1325" s="83" t="s">
        <v>13281</v>
      </c>
      <c r="AM1325" s="71" t="s">
        <v>13282</v>
      </c>
      <c r="AN1325" s="84" t="s">
        <v>13283</v>
      </c>
      <c r="AO1325" s="71" t="s">
        <v>13284</v>
      </c>
      <c r="AP1325" s="161" t="str">
        <f>IMAGE("https://bellingcat-archive.nyc3.cdn.digitaloceanspaces.com/Ukraine_Witness_Datasheet/Worksheet/youtube_dl_1499700120291581953/out20.jpg")</f>
        <v/>
      </c>
      <c r="AQ1325" s="84" t="s">
        <v>13285</v>
      </c>
      <c r="AR1325" s="71" t="s">
        <v>13286</v>
      </c>
      <c r="AS1325" s="71" t="s">
        <v>13287</v>
      </c>
      <c r="AT1325" s="71">
        <v>140.0</v>
      </c>
      <c r="AU1325" s="89"/>
      <c r="AV1325" s="162"/>
      <c r="AW1325" s="81"/>
    </row>
    <row r="1326" ht="15.75" customHeight="1">
      <c r="A1326" s="72" t="s">
        <v>6463</v>
      </c>
      <c r="B1326" s="73"/>
      <c r="C1326" s="57" t="s">
        <v>12959</v>
      </c>
      <c r="D1326" s="104">
        <v>47.4912447773703</v>
      </c>
      <c r="E1326" s="104">
        <v>34.6619752022748</v>
      </c>
      <c r="F1326" s="79">
        <v>1.0</v>
      </c>
      <c r="G1326" s="130" t="s">
        <v>13288</v>
      </c>
      <c r="H1326" s="61" t="s">
        <v>5368</v>
      </c>
      <c r="I1326" s="75"/>
      <c r="J1326" s="71" t="s">
        <v>13289</v>
      </c>
      <c r="K1326" s="69"/>
      <c r="L1326" s="65" t="s">
        <v>3542</v>
      </c>
      <c r="M1326" s="61" t="s">
        <v>6167</v>
      </c>
      <c r="N1326" s="73"/>
      <c r="O1326" s="61" t="s">
        <v>12793</v>
      </c>
      <c r="P1326" s="67" t="str">
        <f t="shared" si="1"/>
        <v>47.4912447773703, 34.6619752022748</v>
      </c>
      <c r="Q1326" s="67" t="str">
        <f t="shared" si="2"/>
        <v>47.490815, 34.662384</v>
      </c>
      <c r="R1326" s="67">
        <f t="shared" si="3"/>
        <v>47.490815</v>
      </c>
      <c r="S1326" s="67">
        <f t="shared" si="4"/>
        <v>34.662384</v>
      </c>
      <c r="T1326" s="71" t="s">
        <v>13290</v>
      </c>
      <c r="U1326" s="69"/>
      <c r="V1326" s="169" t="s">
        <v>13291</v>
      </c>
      <c r="W1326" s="71" t="s">
        <v>74</v>
      </c>
      <c r="X1326" s="72" t="s">
        <v>5504</v>
      </c>
      <c r="Y1326" s="61" t="s">
        <v>2982</v>
      </c>
      <c r="Z1326" s="61" t="s">
        <v>13292</v>
      </c>
      <c r="AA1326" s="73"/>
      <c r="AB1326" s="73"/>
      <c r="AC1326" s="73"/>
      <c r="AD1326" s="73"/>
      <c r="AE1326" s="73"/>
      <c r="AF1326" s="73"/>
      <c r="AG1326" s="73"/>
      <c r="AH1326" s="73"/>
      <c r="AI1326" s="73"/>
      <c r="AJ1326" s="161"/>
      <c r="AK1326" s="76" t="s">
        <v>6276</v>
      </c>
      <c r="AL1326" s="83" t="s">
        <v>13293</v>
      </c>
      <c r="AM1326" s="71" t="s">
        <v>13294</v>
      </c>
      <c r="AN1326" s="84" t="s">
        <v>13295</v>
      </c>
      <c r="AO1326" s="71" t="s">
        <v>13296</v>
      </c>
      <c r="AP1326" s="161" t="str">
        <f>IMAGE("https://bellingcat-archive.nyc3.cdn.digitaloceanspaces.com/Ukraine_Witness_Datasheet/Worksheet/telegram_4hbfrqm4bXlx7sUwGHJi6NhPsry8VLZ_yCjzTrtep6vQKH_3jDP-KvcwprajLzblh80Q4en8UL-CitQcY7zs-75f4NIByILtnyVM7TNWI775wGE-9CF1EtkLf3hAq70Q.jpg")</f>
        <v/>
      </c>
      <c r="AQ1326" s="161"/>
      <c r="AR1326" s="161"/>
      <c r="AS1326" s="71" t="s">
        <v>13297</v>
      </c>
      <c r="AT1326" s="161"/>
      <c r="AU1326" s="89"/>
      <c r="AV1326" s="162"/>
      <c r="AW1326" s="81"/>
    </row>
    <row r="1327" ht="15.75" customHeight="1">
      <c r="A1327" s="208"/>
      <c r="B1327" s="73"/>
      <c r="C1327" s="176"/>
      <c r="D1327" s="121"/>
      <c r="E1327" s="121"/>
      <c r="F1327" s="89"/>
      <c r="G1327" s="84" t="s">
        <v>13298</v>
      </c>
      <c r="H1327" s="73"/>
      <c r="I1327" s="75"/>
      <c r="J1327" s="161"/>
      <c r="K1327" s="69"/>
      <c r="L1327" s="70"/>
      <c r="M1327" s="73"/>
      <c r="N1327" s="73"/>
      <c r="O1327" s="73"/>
      <c r="P1327" s="67" t="str">
        <f t="shared" si="1"/>
        <v/>
      </c>
      <c r="Q1327" s="67" t="str">
        <f t="shared" si="2"/>
        <v/>
      </c>
      <c r="R1327" s="67" t="str">
        <f t="shared" si="3"/>
        <v/>
      </c>
      <c r="S1327" s="67" t="str">
        <f t="shared" si="4"/>
        <v/>
      </c>
      <c r="T1327" s="161"/>
      <c r="U1327" s="69"/>
      <c r="V1327" s="65" t="s">
        <v>13299</v>
      </c>
      <c r="W1327" s="161"/>
      <c r="X1327" s="194"/>
      <c r="Y1327" s="73"/>
      <c r="Z1327" s="73"/>
      <c r="AA1327" s="73"/>
      <c r="AB1327" s="73"/>
      <c r="AC1327" s="73"/>
      <c r="AD1327" s="73"/>
      <c r="AE1327" s="73"/>
      <c r="AF1327" s="73"/>
      <c r="AG1327" s="73"/>
      <c r="AH1327" s="73"/>
      <c r="AI1327" s="73"/>
      <c r="AJ1327" s="161"/>
      <c r="AK1327" s="76" t="s">
        <v>2108</v>
      </c>
      <c r="AL1327" s="83" t="s">
        <v>13300</v>
      </c>
      <c r="AM1327" s="71" t="s">
        <v>13301</v>
      </c>
      <c r="AN1327" s="84" t="s">
        <v>13302</v>
      </c>
      <c r="AO1327" s="71" t="s">
        <v>13303</v>
      </c>
      <c r="AP1327" s="161" t="str">
        <f>IMAGE("https://bellingcat-archive.nyc3.cdn.digitaloceanspaces.com/Ukraine_Witness_Datasheet/Worksheet/twitter__media_FM__yoZWUAA05Q5.jpg")</f>
        <v/>
      </c>
      <c r="AQ1327" s="161"/>
      <c r="AR1327" s="161"/>
      <c r="AS1327" s="71" t="s">
        <v>13304</v>
      </c>
      <c r="AT1327" s="161"/>
      <c r="AU1327" s="89"/>
      <c r="AV1327" s="162"/>
      <c r="AW1327" s="81"/>
    </row>
    <row r="1328" ht="15.75" customHeight="1">
      <c r="A1328" s="204" t="s">
        <v>10872</v>
      </c>
      <c r="B1328" s="73"/>
      <c r="C1328" s="57" t="s">
        <v>13305</v>
      </c>
      <c r="D1328" s="104">
        <v>50.493536</v>
      </c>
      <c r="E1328" s="104">
        <v>30.254257</v>
      </c>
      <c r="F1328" s="79">
        <v>2.0</v>
      </c>
      <c r="G1328" s="84" t="s">
        <v>13306</v>
      </c>
      <c r="H1328" s="61" t="s">
        <v>66</v>
      </c>
      <c r="I1328" s="75"/>
      <c r="J1328" s="71" t="s">
        <v>13307</v>
      </c>
      <c r="K1328" s="69"/>
      <c r="L1328" s="65" t="s">
        <v>3542</v>
      </c>
      <c r="M1328" s="61" t="s">
        <v>5827</v>
      </c>
      <c r="N1328" s="73"/>
      <c r="O1328" s="61" t="s">
        <v>7550</v>
      </c>
      <c r="P1328" s="67" t="str">
        <f t="shared" si="1"/>
        <v>50.493536, 30.254257</v>
      </c>
      <c r="Q1328" s="67" t="str">
        <f t="shared" si="2"/>
        <v>50.493045, 30.254134</v>
      </c>
      <c r="R1328" s="67">
        <f t="shared" si="3"/>
        <v>50.493045</v>
      </c>
      <c r="S1328" s="67">
        <f t="shared" si="4"/>
        <v>30.254134</v>
      </c>
      <c r="T1328" s="71" t="s">
        <v>13308</v>
      </c>
      <c r="U1328" s="69"/>
      <c r="V1328" s="65" t="s">
        <v>13309</v>
      </c>
      <c r="W1328" s="71" t="s">
        <v>13310</v>
      </c>
      <c r="X1328" s="72" t="s">
        <v>2982</v>
      </c>
      <c r="Y1328" s="61" t="s">
        <v>11347</v>
      </c>
      <c r="Z1328" s="73"/>
      <c r="AA1328" s="73"/>
      <c r="AB1328" s="73"/>
      <c r="AC1328" s="73"/>
      <c r="AD1328" s="73"/>
      <c r="AE1328" s="73"/>
      <c r="AF1328" s="73"/>
      <c r="AG1328" s="73"/>
      <c r="AH1328" s="73"/>
      <c r="AI1328" s="73"/>
      <c r="AJ1328" s="161"/>
      <c r="AK1328" s="76" t="s">
        <v>798</v>
      </c>
      <c r="AL1328" s="83" t="s">
        <v>13311</v>
      </c>
      <c r="AM1328" s="71" t="s">
        <v>13312</v>
      </c>
      <c r="AN1328" s="84" t="s">
        <v>13313</v>
      </c>
      <c r="AO1328" s="71" t="s">
        <v>13314</v>
      </c>
      <c r="AP1328" s="161" t="str">
        <f>IMAGE("https://bellingcat-archive.nyc3.cdn.digitaloceanspaces.com/Ukraine_Witness_Datasheet/Worksheet/youtube_dl_1499712171873222656/out7.jpg")</f>
        <v/>
      </c>
      <c r="AQ1328" s="84" t="s">
        <v>13315</v>
      </c>
      <c r="AR1328" s="71" t="s">
        <v>13316</v>
      </c>
      <c r="AS1328" s="71" t="s">
        <v>13317</v>
      </c>
      <c r="AT1328" s="71">
        <v>45.978</v>
      </c>
      <c r="AU1328" s="89"/>
      <c r="AV1328" s="80" t="s">
        <v>88</v>
      </c>
      <c r="AW1328" s="81"/>
    </row>
    <row r="1329" ht="15.75" customHeight="1">
      <c r="A1329" s="208"/>
      <c r="B1329" s="73"/>
      <c r="C1329" s="176"/>
      <c r="D1329" s="121"/>
      <c r="E1329" s="121"/>
      <c r="F1329" s="89"/>
      <c r="G1329" s="84" t="s">
        <v>13318</v>
      </c>
      <c r="H1329" s="73"/>
      <c r="I1329" s="75"/>
      <c r="J1329" s="161"/>
      <c r="K1329" s="69"/>
      <c r="L1329" s="70"/>
      <c r="M1329" s="73"/>
      <c r="N1329" s="73"/>
      <c r="O1329" s="73"/>
      <c r="P1329" s="67" t="str">
        <f t="shared" si="1"/>
        <v/>
      </c>
      <c r="Q1329" s="67" t="str">
        <f t="shared" si="2"/>
        <v/>
      </c>
      <c r="R1329" s="67" t="str">
        <f t="shared" si="3"/>
        <v/>
      </c>
      <c r="S1329" s="67" t="str">
        <f t="shared" si="4"/>
        <v/>
      </c>
      <c r="T1329" s="161"/>
      <c r="U1329" s="69"/>
      <c r="V1329" s="65" t="s">
        <v>13319</v>
      </c>
      <c r="W1329" s="161"/>
      <c r="X1329" s="194"/>
      <c r="Y1329" s="73"/>
      <c r="Z1329" s="73"/>
      <c r="AA1329" s="73"/>
      <c r="AB1329" s="73"/>
      <c r="AC1329" s="73"/>
      <c r="AD1329" s="73"/>
      <c r="AE1329" s="73"/>
      <c r="AF1329" s="73"/>
      <c r="AG1329" s="73"/>
      <c r="AH1329" s="73"/>
      <c r="AI1329" s="73"/>
      <c r="AJ1329" s="161"/>
      <c r="AK1329" s="76" t="s">
        <v>798</v>
      </c>
      <c r="AL1329" s="83" t="s">
        <v>13320</v>
      </c>
      <c r="AM1329" s="71" t="s">
        <v>13321</v>
      </c>
      <c r="AN1329" s="84" t="s">
        <v>13322</v>
      </c>
      <c r="AO1329" s="71" t="s">
        <v>13323</v>
      </c>
      <c r="AP1329" s="161" t="str">
        <f>IMAGE("https://bellingcat-archive.nyc3.cdn.digitaloceanspaces.com/Ukraine_Witness_Datasheet/Worksheet/youtube_dl_1499712419513630721/out7.jpg")</f>
        <v/>
      </c>
      <c r="AQ1329" s="84" t="s">
        <v>13324</v>
      </c>
      <c r="AR1329" s="71" t="s">
        <v>13325</v>
      </c>
      <c r="AS1329" s="71" t="s">
        <v>13326</v>
      </c>
      <c r="AT1329" s="71">
        <v>48.52</v>
      </c>
      <c r="AU1329" s="89"/>
      <c r="AV1329" s="162"/>
      <c r="AW1329" s="81"/>
    </row>
    <row r="1330" ht="15.75" customHeight="1">
      <c r="A1330" s="374" t="s">
        <v>6463</v>
      </c>
      <c r="B1330" s="73"/>
      <c r="C1330" s="57" t="s">
        <v>12959</v>
      </c>
      <c r="D1330" s="121"/>
      <c r="E1330" s="121"/>
      <c r="F1330" s="79">
        <v>5.0</v>
      </c>
      <c r="G1330" s="84" t="s">
        <v>13327</v>
      </c>
      <c r="H1330" s="61" t="s">
        <v>66</v>
      </c>
      <c r="I1330" s="75"/>
      <c r="J1330" s="71" t="s">
        <v>13328</v>
      </c>
      <c r="K1330" s="69"/>
      <c r="L1330" s="70"/>
      <c r="M1330" s="73"/>
      <c r="N1330" s="73"/>
      <c r="O1330" s="73"/>
      <c r="P1330" s="67" t="str">
        <f t="shared" si="1"/>
        <v/>
      </c>
      <c r="Q1330" s="67" t="str">
        <f t="shared" si="2"/>
        <v/>
      </c>
      <c r="R1330" s="67" t="str">
        <f t="shared" si="3"/>
        <v/>
      </c>
      <c r="S1330" s="67" t="str">
        <f t="shared" si="4"/>
        <v/>
      </c>
      <c r="T1330" s="161"/>
      <c r="U1330" s="69"/>
      <c r="V1330" s="65" t="s">
        <v>13329</v>
      </c>
      <c r="W1330" s="161"/>
      <c r="X1330" s="194"/>
      <c r="Y1330" s="73"/>
      <c r="Z1330" s="73"/>
      <c r="AA1330" s="73"/>
      <c r="AB1330" s="73"/>
      <c r="AC1330" s="73"/>
      <c r="AD1330" s="73"/>
      <c r="AE1330" s="73"/>
      <c r="AF1330" s="73"/>
      <c r="AG1330" s="73"/>
      <c r="AH1330" s="73"/>
      <c r="AI1330" s="73"/>
      <c r="AJ1330" s="161"/>
      <c r="AK1330" s="76" t="s">
        <v>6276</v>
      </c>
      <c r="AL1330" s="83" t="s">
        <v>13330</v>
      </c>
      <c r="AM1330" s="71" t="s">
        <v>13331</v>
      </c>
      <c r="AN1330" s="84" t="s">
        <v>13332</v>
      </c>
      <c r="AO1330" s="71" t="s">
        <v>13333</v>
      </c>
      <c r="AP1330" s="161" t="str">
        <f>IMAGE("https://bellingcat-archive.nyc3.cdn.digitaloceanspaces.com/Ukraine_Witness_Datasheet/Worksheet/telegram_aa9c1ae33c/out7.jpg")</f>
        <v/>
      </c>
      <c r="AQ1330" s="84" t="s">
        <v>13334</v>
      </c>
      <c r="AR1330" s="84" t="s">
        <v>13327</v>
      </c>
      <c r="AS1330" s="71" t="s">
        <v>13335</v>
      </c>
      <c r="AT1330" s="71">
        <v>28.0</v>
      </c>
      <c r="AU1330" s="89"/>
      <c r="AV1330" s="162"/>
      <c r="AW1330" s="81"/>
    </row>
    <row r="1331" ht="15.75" customHeight="1">
      <c r="A1331" s="72" t="s">
        <v>6463</v>
      </c>
      <c r="B1331" s="73"/>
      <c r="C1331" s="57" t="s">
        <v>12959</v>
      </c>
      <c r="D1331" s="104">
        <v>47.4912447773703</v>
      </c>
      <c r="E1331" s="104">
        <v>34.6619752022748</v>
      </c>
      <c r="F1331" s="79">
        <v>1.0</v>
      </c>
      <c r="G1331" s="130" t="s">
        <v>13336</v>
      </c>
      <c r="H1331" s="61" t="s">
        <v>66</v>
      </c>
      <c r="I1331" s="75"/>
      <c r="J1331" s="71" t="s">
        <v>13289</v>
      </c>
      <c r="K1331" s="69"/>
      <c r="L1331" s="65" t="s">
        <v>3542</v>
      </c>
      <c r="M1331" s="61" t="s">
        <v>6167</v>
      </c>
      <c r="N1331" s="73"/>
      <c r="O1331" s="61" t="s">
        <v>12793</v>
      </c>
      <c r="P1331" s="67" t="str">
        <f t="shared" si="1"/>
        <v>47.4912447773703, 34.6619752022748</v>
      </c>
      <c r="Q1331" s="67" t="str">
        <f t="shared" si="2"/>
        <v>47.491196, 34.663002</v>
      </c>
      <c r="R1331" s="67">
        <f t="shared" si="3"/>
        <v>47.491196</v>
      </c>
      <c r="S1331" s="67">
        <f t="shared" si="4"/>
        <v>34.663002</v>
      </c>
      <c r="T1331" s="71" t="s">
        <v>13290</v>
      </c>
      <c r="U1331" s="69"/>
      <c r="V1331" s="169" t="s">
        <v>13337</v>
      </c>
      <c r="W1331" s="71" t="s">
        <v>74</v>
      </c>
      <c r="X1331" s="72" t="s">
        <v>5504</v>
      </c>
      <c r="Y1331" s="61" t="s">
        <v>11347</v>
      </c>
      <c r="Z1331" s="73"/>
      <c r="AA1331" s="73"/>
      <c r="AB1331" s="73"/>
      <c r="AC1331" s="73"/>
      <c r="AD1331" s="73"/>
      <c r="AE1331" s="73"/>
      <c r="AF1331" s="73"/>
      <c r="AG1331" s="73"/>
      <c r="AH1331" s="73"/>
      <c r="AI1331" s="73"/>
      <c r="AJ1331" s="161"/>
      <c r="AK1331" s="76" t="s">
        <v>6276</v>
      </c>
      <c r="AL1331" s="83" t="s">
        <v>13338</v>
      </c>
      <c r="AM1331" s="71" t="s">
        <v>13339</v>
      </c>
      <c r="AN1331" s="84" t="s">
        <v>13340</v>
      </c>
      <c r="AO1331" s="71" t="s">
        <v>13341</v>
      </c>
      <c r="AP1331" s="161" t="str">
        <f>IMAGE("https://bellingcat-archive.nyc3.cdn.digitaloceanspaces.com/Ukraine_Witness_Datasheet/Worksheet/telegram_0314bee945/out7.jpg")</f>
        <v/>
      </c>
      <c r="AQ1331" s="84" t="s">
        <v>13342</v>
      </c>
      <c r="AR1331" s="84" t="s">
        <v>13336</v>
      </c>
      <c r="AS1331" s="71" t="s">
        <v>13343</v>
      </c>
      <c r="AT1331" s="71">
        <v>6.0</v>
      </c>
      <c r="AU1331" s="89"/>
      <c r="AV1331" s="162"/>
      <c r="AW1331" s="81"/>
    </row>
    <row r="1332" ht="15.75" customHeight="1">
      <c r="A1332" s="72" t="s">
        <v>6463</v>
      </c>
      <c r="B1332" s="73"/>
      <c r="C1332" s="57" t="s">
        <v>12959</v>
      </c>
      <c r="D1332" s="104">
        <v>50.5218802022213</v>
      </c>
      <c r="E1332" s="104">
        <v>30.248157182471</v>
      </c>
      <c r="F1332" s="79">
        <v>2.0</v>
      </c>
      <c r="G1332" s="130" t="s">
        <v>13344</v>
      </c>
      <c r="H1332" s="61" t="s">
        <v>66</v>
      </c>
      <c r="I1332" s="75"/>
      <c r="J1332" s="71" t="s">
        <v>13345</v>
      </c>
      <c r="K1332" s="69"/>
      <c r="L1332" s="65" t="s">
        <v>3542</v>
      </c>
      <c r="M1332" s="61" t="s">
        <v>5827</v>
      </c>
      <c r="N1332" s="73"/>
      <c r="O1332" s="61" t="s">
        <v>7550</v>
      </c>
      <c r="P1332" s="67" t="str">
        <f t="shared" si="1"/>
        <v>50.5218802022213, 30.248157182471</v>
      </c>
      <c r="Q1332" s="67" t="str">
        <f t="shared" si="2"/>
        <v>50.521591, 30.247846</v>
      </c>
      <c r="R1332" s="67">
        <f t="shared" si="3"/>
        <v>50.521591</v>
      </c>
      <c r="S1332" s="67">
        <f t="shared" si="4"/>
        <v>30.247846</v>
      </c>
      <c r="T1332" s="71" t="s">
        <v>13346</v>
      </c>
      <c r="U1332" s="69"/>
      <c r="V1332" s="169" t="s">
        <v>13347</v>
      </c>
      <c r="W1332" s="71" t="s">
        <v>10760</v>
      </c>
      <c r="X1332" s="229" t="s">
        <v>6054</v>
      </c>
      <c r="Y1332" s="61" t="s">
        <v>2982</v>
      </c>
      <c r="Z1332" s="61" t="s">
        <v>13348</v>
      </c>
      <c r="AA1332" s="73"/>
      <c r="AB1332" s="73"/>
      <c r="AC1332" s="73"/>
      <c r="AD1332" s="73"/>
      <c r="AE1332" s="73"/>
      <c r="AF1332" s="73"/>
      <c r="AG1332" s="73"/>
      <c r="AH1332" s="73"/>
      <c r="AI1332" s="73"/>
      <c r="AJ1332" s="161"/>
      <c r="AK1332" s="76" t="s">
        <v>6276</v>
      </c>
      <c r="AL1332" s="83" t="s">
        <v>13349</v>
      </c>
      <c r="AM1332" s="71" t="s">
        <v>13350</v>
      </c>
      <c r="AN1332" s="84" t="s">
        <v>13351</v>
      </c>
      <c r="AO1332" s="71" t="s">
        <v>13352</v>
      </c>
      <c r="AP1332" s="161" t="str">
        <f>IMAGE("https://bellingcat-archive.nyc3.cdn.digitaloceanspaces.com/Ukraine_Witness_Datasheet/Worksheet/telegram_d7ce4e53d3/out7.jpg")</f>
        <v/>
      </c>
      <c r="AQ1332" s="84" t="s">
        <v>13353</v>
      </c>
      <c r="AR1332" s="84" t="s">
        <v>13344</v>
      </c>
      <c r="AS1332" s="71" t="s">
        <v>13354</v>
      </c>
      <c r="AT1332" s="71">
        <v>18.0</v>
      </c>
      <c r="AU1332" s="89"/>
      <c r="AV1332" s="80" t="s">
        <v>3944</v>
      </c>
      <c r="AW1332" s="81"/>
    </row>
    <row r="1333" ht="15.75" customHeight="1">
      <c r="A1333" s="72" t="s">
        <v>6463</v>
      </c>
      <c r="B1333" s="73"/>
      <c r="C1333" s="57" t="s">
        <v>10973</v>
      </c>
      <c r="D1333" s="104">
        <v>50.4723364692518</v>
      </c>
      <c r="E1333" s="104">
        <v>30.4553989142025</v>
      </c>
      <c r="F1333" s="79">
        <v>2.0</v>
      </c>
      <c r="G1333" s="130" t="s">
        <v>13355</v>
      </c>
      <c r="H1333" s="61" t="s">
        <v>66</v>
      </c>
      <c r="I1333" s="75"/>
      <c r="J1333" s="71" t="s">
        <v>13356</v>
      </c>
      <c r="K1333" s="69"/>
      <c r="L1333" s="65" t="s">
        <v>3542</v>
      </c>
      <c r="M1333" s="61" t="s">
        <v>5827</v>
      </c>
      <c r="N1333" s="73"/>
      <c r="O1333" s="61" t="s">
        <v>6121</v>
      </c>
      <c r="P1333" s="67" t="str">
        <f t="shared" si="1"/>
        <v>50.4723364692518, 30.4553989142025</v>
      </c>
      <c r="Q1333" s="67" t="str">
        <f t="shared" si="2"/>
        <v>50.472332, 30.455926</v>
      </c>
      <c r="R1333" s="67">
        <f t="shared" si="3"/>
        <v>50.472332</v>
      </c>
      <c r="S1333" s="67">
        <f t="shared" si="4"/>
        <v>30.455926</v>
      </c>
      <c r="T1333" s="71" t="s">
        <v>13357</v>
      </c>
      <c r="U1333" s="69"/>
      <c r="V1333" s="169" t="s">
        <v>13358</v>
      </c>
      <c r="W1333" s="71" t="s">
        <v>6641</v>
      </c>
      <c r="X1333" s="72" t="s">
        <v>5504</v>
      </c>
      <c r="Y1333" s="61" t="s">
        <v>11347</v>
      </c>
      <c r="Z1333" s="73"/>
      <c r="AA1333" s="73"/>
      <c r="AB1333" s="73"/>
      <c r="AC1333" s="73"/>
      <c r="AD1333" s="73"/>
      <c r="AE1333" s="73"/>
      <c r="AF1333" s="73"/>
      <c r="AG1333" s="73"/>
      <c r="AH1333" s="73"/>
      <c r="AI1333" s="73"/>
      <c r="AJ1333" s="161"/>
      <c r="AK1333" s="76" t="s">
        <v>1261</v>
      </c>
      <c r="AL1333" s="83" t="s">
        <v>13359</v>
      </c>
      <c r="AM1333" s="71" t="s">
        <v>13360</v>
      </c>
      <c r="AN1333" s="84" t="s">
        <v>13361</v>
      </c>
      <c r="AO1333" s="161"/>
      <c r="AP1333" s="161"/>
      <c r="AQ1333" s="161"/>
      <c r="AR1333" s="71" t="s">
        <v>13362</v>
      </c>
      <c r="AS1333" s="161"/>
      <c r="AT1333" s="161"/>
      <c r="AU1333" s="89"/>
      <c r="AV1333" s="162"/>
      <c r="AW1333" s="81"/>
    </row>
    <row r="1334" ht="15.75" customHeight="1">
      <c r="A1334" s="72" t="s">
        <v>6463</v>
      </c>
      <c r="B1334" s="73"/>
      <c r="C1334" s="57" t="s">
        <v>12959</v>
      </c>
      <c r="D1334" s="104">
        <v>47.5024153691109</v>
      </c>
      <c r="E1334" s="104">
        <v>34.6530010985859</v>
      </c>
      <c r="F1334" s="79">
        <v>1.0</v>
      </c>
      <c r="G1334" s="130" t="s">
        <v>13363</v>
      </c>
      <c r="H1334" s="61" t="s">
        <v>66</v>
      </c>
      <c r="I1334" s="75"/>
      <c r="J1334" s="71" t="s">
        <v>13364</v>
      </c>
      <c r="K1334" s="69"/>
      <c r="L1334" s="65" t="s">
        <v>3542</v>
      </c>
      <c r="M1334" s="61" t="s">
        <v>6167</v>
      </c>
      <c r="N1334" s="73"/>
      <c r="O1334" s="61" t="s">
        <v>12793</v>
      </c>
      <c r="P1334" s="67" t="str">
        <f t="shared" si="1"/>
        <v>47.5024153691109, 34.6530010985859</v>
      </c>
      <c r="Q1334" s="67" t="str">
        <f t="shared" si="2"/>
        <v>47.501692, 34.65278</v>
      </c>
      <c r="R1334" s="67">
        <f t="shared" si="3"/>
        <v>47.501692</v>
      </c>
      <c r="S1334" s="67">
        <f t="shared" si="4"/>
        <v>34.65278</v>
      </c>
      <c r="T1334" s="71" t="s">
        <v>13365</v>
      </c>
      <c r="U1334" s="69"/>
      <c r="V1334" s="169" t="s">
        <v>13366</v>
      </c>
      <c r="W1334" s="71" t="s">
        <v>74</v>
      </c>
      <c r="X1334" s="72" t="s">
        <v>5504</v>
      </c>
      <c r="Y1334" s="61" t="s">
        <v>11347</v>
      </c>
      <c r="Z1334" s="73"/>
      <c r="AA1334" s="73"/>
      <c r="AB1334" s="73"/>
      <c r="AC1334" s="73"/>
      <c r="AD1334" s="73"/>
      <c r="AE1334" s="73"/>
      <c r="AF1334" s="73"/>
      <c r="AG1334" s="73"/>
      <c r="AH1334" s="73"/>
      <c r="AI1334" s="73"/>
      <c r="AJ1334" s="161"/>
      <c r="AK1334" s="76" t="s">
        <v>6276</v>
      </c>
      <c r="AL1334" s="83" t="s">
        <v>13367</v>
      </c>
      <c r="AM1334" s="71" t="s">
        <v>13368</v>
      </c>
      <c r="AN1334" s="84" t="s">
        <v>13369</v>
      </c>
      <c r="AO1334" s="71" t="s">
        <v>13370</v>
      </c>
      <c r="AP1334" s="161" t="str">
        <f>IMAGE("https://bellingcat-archive.nyc3.cdn.digitaloceanspaces.com/Ukraine_Witness_Datasheet/Worksheet/telegram_44031904e9/out7.jpg")</f>
        <v/>
      </c>
      <c r="AQ1334" s="84" t="s">
        <v>13371</v>
      </c>
      <c r="AR1334" s="84" t="s">
        <v>13363</v>
      </c>
      <c r="AS1334" s="71" t="s">
        <v>13372</v>
      </c>
      <c r="AT1334" s="71">
        <v>14.0</v>
      </c>
      <c r="AU1334" s="89"/>
      <c r="AV1334" s="162"/>
      <c r="AW1334" s="81"/>
    </row>
    <row r="1335" ht="15.75" customHeight="1">
      <c r="A1335" s="72" t="s">
        <v>6463</v>
      </c>
      <c r="B1335" s="73"/>
      <c r="C1335" s="57" t="s">
        <v>12959</v>
      </c>
      <c r="D1335" s="104">
        <v>47.5024153691109</v>
      </c>
      <c r="E1335" s="104">
        <v>34.6530010985859</v>
      </c>
      <c r="F1335" s="79">
        <v>1.0</v>
      </c>
      <c r="G1335" s="130" t="s">
        <v>13373</v>
      </c>
      <c r="H1335" s="61" t="s">
        <v>5368</v>
      </c>
      <c r="I1335" s="75"/>
      <c r="J1335" s="71" t="s">
        <v>13374</v>
      </c>
      <c r="K1335" s="69"/>
      <c r="L1335" s="65" t="s">
        <v>3542</v>
      </c>
      <c r="M1335" s="61" t="s">
        <v>6167</v>
      </c>
      <c r="N1335" s="73"/>
      <c r="O1335" s="61" t="s">
        <v>12793</v>
      </c>
      <c r="P1335" s="67" t="str">
        <f t="shared" si="1"/>
        <v>47.5024153691109, 34.6530010985859</v>
      </c>
      <c r="Q1335" s="67" t="str">
        <f t="shared" si="2"/>
        <v>47.502415, 34.653873</v>
      </c>
      <c r="R1335" s="67">
        <f t="shared" si="3"/>
        <v>47.502415</v>
      </c>
      <c r="S1335" s="67">
        <f t="shared" si="4"/>
        <v>34.653873</v>
      </c>
      <c r="T1335" s="71" t="s">
        <v>13365</v>
      </c>
      <c r="U1335" s="69"/>
      <c r="V1335" s="169" t="s">
        <v>13375</v>
      </c>
      <c r="W1335" s="71" t="s">
        <v>74</v>
      </c>
      <c r="X1335" s="72" t="s">
        <v>5504</v>
      </c>
      <c r="Y1335" s="61" t="s">
        <v>11347</v>
      </c>
      <c r="Z1335" s="73"/>
      <c r="AA1335" s="73"/>
      <c r="AB1335" s="73"/>
      <c r="AC1335" s="73"/>
      <c r="AD1335" s="73"/>
      <c r="AE1335" s="73"/>
      <c r="AF1335" s="73"/>
      <c r="AG1335" s="73"/>
      <c r="AH1335" s="73"/>
      <c r="AI1335" s="73"/>
      <c r="AJ1335" s="161"/>
      <c r="AK1335" s="76" t="s">
        <v>6276</v>
      </c>
      <c r="AL1335" s="83" t="s">
        <v>13376</v>
      </c>
      <c r="AM1335" s="71" t="s">
        <v>13377</v>
      </c>
      <c r="AN1335" s="84" t="s">
        <v>13378</v>
      </c>
      <c r="AO1335" s="71" t="s">
        <v>13379</v>
      </c>
      <c r="AP1335" s="161"/>
      <c r="AQ1335" s="161"/>
      <c r="AR1335" s="161"/>
      <c r="AS1335" s="71" t="s">
        <v>13380</v>
      </c>
      <c r="AT1335" s="161"/>
      <c r="AU1335" s="89"/>
      <c r="AV1335" s="162"/>
      <c r="AW1335" s="81"/>
    </row>
    <row r="1336" ht="15.75" customHeight="1">
      <c r="A1336" s="204" t="s">
        <v>63</v>
      </c>
      <c r="B1336" s="73"/>
      <c r="C1336" s="57" t="s">
        <v>12959</v>
      </c>
      <c r="D1336" s="74">
        <v>50.761286</v>
      </c>
      <c r="E1336" s="74">
        <v>30.348365</v>
      </c>
      <c r="F1336" s="79">
        <v>1.0</v>
      </c>
      <c r="G1336" s="84" t="s">
        <v>13381</v>
      </c>
      <c r="H1336" s="61" t="s">
        <v>66</v>
      </c>
      <c r="I1336" s="75"/>
      <c r="J1336" s="71" t="s">
        <v>13382</v>
      </c>
      <c r="K1336" s="69"/>
      <c r="L1336" s="65" t="s">
        <v>3542</v>
      </c>
      <c r="M1336" s="61" t="s">
        <v>5827</v>
      </c>
      <c r="N1336" s="73"/>
      <c r="O1336" s="149" t="s">
        <v>13383</v>
      </c>
      <c r="P1336" s="67" t="str">
        <f t="shared" si="1"/>
        <v>50.761286, 30.348365</v>
      </c>
      <c r="Q1336" s="67" t="str">
        <f t="shared" si="2"/>
        <v>50.761199, 30.347711</v>
      </c>
      <c r="R1336" s="67">
        <f t="shared" si="3"/>
        <v>50.761199</v>
      </c>
      <c r="S1336" s="67">
        <f t="shared" si="4"/>
        <v>30.347711</v>
      </c>
      <c r="T1336" s="161"/>
      <c r="U1336" s="69"/>
      <c r="V1336" s="169" t="s">
        <v>13384</v>
      </c>
      <c r="W1336" s="71" t="s">
        <v>9711</v>
      </c>
      <c r="X1336" s="72" t="s">
        <v>5504</v>
      </c>
      <c r="Y1336" s="61" t="s">
        <v>11347</v>
      </c>
      <c r="Z1336" s="73"/>
      <c r="AA1336" s="73"/>
      <c r="AB1336" s="73"/>
      <c r="AC1336" s="73"/>
      <c r="AD1336" s="73"/>
      <c r="AE1336" s="73"/>
      <c r="AF1336" s="73"/>
      <c r="AG1336" s="73"/>
      <c r="AH1336" s="73"/>
      <c r="AI1336" s="73"/>
      <c r="AJ1336" s="161"/>
      <c r="AK1336" s="76" t="s">
        <v>798</v>
      </c>
      <c r="AL1336" s="83" t="s">
        <v>13385</v>
      </c>
      <c r="AM1336" s="71" t="s">
        <v>13386</v>
      </c>
      <c r="AN1336" s="84" t="s">
        <v>13387</v>
      </c>
      <c r="AO1336" s="71" t="s">
        <v>13388</v>
      </c>
      <c r="AP1336" s="161" t="str">
        <f>IMAGE("https://bellingcat-archive.nyc3.cdn.digitaloceanspaces.com/Ukraine_Witness_Datasheet/Worksheet/youtube_dl_1499737718162608134/out7.jpg")</f>
        <v/>
      </c>
      <c r="AQ1336" s="84" t="s">
        <v>13389</v>
      </c>
      <c r="AR1336" s="71" t="s">
        <v>13390</v>
      </c>
      <c r="AS1336" s="71" t="s">
        <v>13391</v>
      </c>
      <c r="AT1336" s="71">
        <v>46.933</v>
      </c>
      <c r="AU1336" s="89"/>
      <c r="AV1336" s="162"/>
      <c r="AW1336" s="81"/>
    </row>
    <row r="1337" ht="15.75" customHeight="1">
      <c r="A1337" s="357" t="s">
        <v>63</v>
      </c>
      <c r="B1337" s="73"/>
      <c r="C1337" s="57" t="s">
        <v>12959</v>
      </c>
      <c r="D1337" s="74">
        <v>50.52077</v>
      </c>
      <c r="E1337" s="74">
        <v>30.20819</v>
      </c>
      <c r="F1337" s="79">
        <v>2.0</v>
      </c>
      <c r="G1337" s="84" t="s">
        <v>13392</v>
      </c>
      <c r="H1337" s="61" t="s">
        <v>66</v>
      </c>
      <c r="I1337" s="75"/>
      <c r="J1337" s="71" t="s">
        <v>13393</v>
      </c>
      <c r="K1337" s="69"/>
      <c r="L1337" s="65" t="s">
        <v>3542</v>
      </c>
      <c r="M1337" s="61" t="s">
        <v>5827</v>
      </c>
      <c r="N1337" s="73"/>
      <c r="O1337" s="61" t="s">
        <v>7550</v>
      </c>
      <c r="P1337" s="67" t="str">
        <f t="shared" si="1"/>
        <v>50.52077, 30.20819</v>
      </c>
      <c r="Q1337" s="67" t="str">
        <f t="shared" si="2"/>
        <v>50.52077, 30.208784</v>
      </c>
      <c r="R1337" s="67">
        <f t="shared" si="3"/>
        <v>50.52077</v>
      </c>
      <c r="S1337" s="67">
        <f t="shared" si="4"/>
        <v>30.208784</v>
      </c>
      <c r="T1337" s="161"/>
      <c r="U1337" s="69"/>
      <c r="V1337" s="169" t="s">
        <v>13394</v>
      </c>
      <c r="W1337" s="71" t="s">
        <v>6641</v>
      </c>
      <c r="X1337" s="72" t="s">
        <v>5504</v>
      </c>
      <c r="Y1337" s="61" t="s">
        <v>5820</v>
      </c>
      <c r="Z1337" s="73"/>
      <c r="AA1337" s="73"/>
      <c r="AB1337" s="73"/>
      <c r="AC1337" s="73"/>
      <c r="AD1337" s="73"/>
      <c r="AE1337" s="73"/>
      <c r="AF1337" s="73"/>
      <c r="AG1337" s="73"/>
      <c r="AH1337" s="73"/>
      <c r="AI1337" s="73"/>
      <c r="AJ1337" s="161"/>
      <c r="AK1337" s="76" t="s">
        <v>798</v>
      </c>
      <c r="AL1337" s="83" t="s">
        <v>13395</v>
      </c>
      <c r="AM1337" s="71" t="s">
        <v>13396</v>
      </c>
      <c r="AN1337" s="84" t="s">
        <v>13397</v>
      </c>
      <c r="AO1337" s="71" t="s">
        <v>13398</v>
      </c>
      <c r="AP1337" s="161" t="str">
        <f>IMAGE("https://bellingcat-archive.nyc3.cdn.digitaloceanspaces.com/Ukraine_Witness_Datasheet/Worksheet/youtube_dl_1499707927669743619/out7.jpg")</f>
        <v/>
      </c>
      <c r="AQ1337" s="84" t="s">
        <v>13399</v>
      </c>
      <c r="AR1337" s="71" t="s">
        <v>13400</v>
      </c>
      <c r="AS1337" s="71" t="s">
        <v>13401</v>
      </c>
      <c r="AT1337" s="71">
        <v>45.766</v>
      </c>
      <c r="AU1337" s="89"/>
      <c r="AV1337" s="162"/>
      <c r="AW1337" s="81"/>
    </row>
    <row r="1338" ht="15.75" customHeight="1">
      <c r="A1338" s="204" t="s">
        <v>63</v>
      </c>
      <c r="B1338" s="73"/>
      <c r="C1338" s="57" t="s">
        <v>12959</v>
      </c>
      <c r="D1338" s="74">
        <v>50.00411</v>
      </c>
      <c r="E1338" s="74">
        <v>36.237491</v>
      </c>
      <c r="F1338" s="79">
        <v>2.0</v>
      </c>
      <c r="G1338" s="84" t="s">
        <v>13402</v>
      </c>
      <c r="H1338" s="61" t="s">
        <v>91</v>
      </c>
      <c r="I1338" s="75"/>
      <c r="J1338" s="71" t="s">
        <v>13403</v>
      </c>
      <c r="K1338" s="69"/>
      <c r="L1338" s="65" t="s">
        <v>3542</v>
      </c>
      <c r="M1338" s="61" t="s">
        <v>5590</v>
      </c>
      <c r="N1338" s="73"/>
      <c r="O1338" s="61" t="s">
        <v>5591</v>
      </c>
      <c r="P1338" s="67" t="str">
        <f t="shared" si="1"/>
        <v>50.00411, 36.237491</v>
      </c>
      <c r="Q1338" s="67" t="str">
        <f t="shared" si="2"/>
        <v>50.003832, 36.236867</v>
      </c>
      <c r="R1338" s="67">
        <f t="shared" si="3"/>
        <v>50.003832</v>
      </c>
      <c r="S1338" s="67">
        <f t="shared" si="4"/>
        <v>36.236867</v>
      </c>
      <c r="T1338" s="161"/>
      <c r="U1338" s="69"/>
      <c r="V1338" s="169" t="s">
        <v>13404</v>
      </c>
      <c r="W1338" s="71" t="s">
        <v>6641</v>
      </c>
      <c r="X1338" s="72" t="s">
        <v>5504</v>
      </c>
      <c r="Y1338" s="61" t="s">
        <v>5820</v>
      </c>
      <c r="Z1338" s="73"/>
      <c r="AA1338" s="73"/>
      <c r="AB1338" s="73"/>
      <c r="AC1338" s="73"/>
      <c r="AD1338" s="73"/>
      <c r="AE1338" s="73"/>
      <c r="AF1338" s="73"/>
      <c r="AG1338" s="73"/>
      <c r="AH1338" s="73"/>
      <c r="AI1338" s="73"/>
      <c r="AJ1338" s="161"/>
      <c r="AK1338" s="76" t="s">
        <v>2108</v>
      </c>
      <c r="AL1338" s="83" t="s">
        <v>13405</v>
      </c>
      <c r="AM1338" s="71" t="s">
        <v>13406</v>
      </c>
      <c r="AN1338" s="84" t="s">
        <v>13407</v>
      </c>
      <c r="AO1338" s="71" t="s">
        <v>13408</v>
      </c>
      <c r="AP1338" s="161" t="str">
        <f>IMAGE("https://bellingcat-archive.nyc3.cdn.digitaloceanspaces.com/Ukraine_Witness_Datasheet/Worksheet/twitter__media_FNAL4B3XsAAPSMw.jpg")</f>
        <v/>
      </c>
      <c r="AQ1338" s="161"/>
      <c r="AR1338" s="161"/>
      <c r="AS1338" s="71" t="s">
        <v>13409</v>
      </c>
      <c r="AT1338" s="161"/>
      <c r="AU1338" s="89"/>
      <c r="AV1338" s="162"/>
      <c r="AW1338" s="81"/>
    </row>
    <row r="1339" ht="15.75" customHeight="1">
      <c r="A1339" s="72" t="s">
        <v>6463</v>
      </c>
      <c r="B1339" s="73"/>
      <c r="C1339" s="57" t="s">
        <v>12050</v>
      </c>
      <c r="D1339" s="104">
        <v>50.4400890980845</v>
      </c>
      <c r="E1339" s="104">
        <v>30.2953578994001</v>
      </c>
      <c r="F1339" s="79">
        <v>3.0</v>
      </c>
      <c r="G1339" s="84" t="s">
        <v>13410</v>
      </c>
      <c r="H1339" s="61" t="s">
        <v>66</v>
      </c>
      <c r="I1339" s="75"/>
      <c r="J1339" s="71" t="s">
        <v>13411</v>
      </c>
      <c r="K1339" s="69"/>
      <c r="L1339" s="65" t="s">
        <v>3542</v>
      </c>
      <c r="M1339" s="61" t="s">
        <v>5827</v>
      </c>
      <c r="N1339" s="73"/>
      <c r="O1339" s="61" t="s">
        <v>12713</v>
      </c>
      <c r="P1339" s="67" t="str">
        <f t="shared" si="1"/>
        <v>50.4400890980845, 30.2953578994001</v>
      </c>
      <c r="Q1339" s="67" t="str">
        <f t="shared" si="2"/>
        <v>50.440088, 30.296597</v>
      </c>
      <c r="R1339" s="67">
        <f t="shared" si="3"/>
        <v>50.440088</v>
      </c>
      <c r="S1339" s="67">
        <f t="shared" si="4"/>
        <v>30.296597</v>
      </c>
      <c r="T1339" s="71" t="s">
        <v>13412</v>
      </c>
      <c r="U1339" s="69"/>
      <c r="V1339" s="169" t="s">
        <v>13413</v>
      </c>
      <c r="W1339" s="71" t="s">
        <v>6641</v>
      </c>
      <c r="X1339" s="72" t="s">
        <v>5504</v>
      </c>
      <c r="Y1339" s="61" t="s">
        <v>11347</v>
      </c>
      <c r="Z1339" s="73"/>
      <c r="AA1339" s="73"/>
      <c r="AB1339" s="73"/>
      <c r="AC1339" s="73"/>
      <c r="AD1339" s="73"/>
      <c r="AE1339" s="73"/>
      <c r="AF1339" s="73"/>
      <c r="AG1339" s="73"/>
      <c r="AH1339" s="73"/>
      <c r="AI1339" s="73"/>
      <c r="AJ1339" s="161"/>
      <c r="AK1339" s="76" t="s">
        <v>6276</v>
      </c>
      <c r="AL1339" s="83" t="s">
        <v>13414</v>
      </c>
      <c r="AM1339" s="71" t="s">
        <v>13415</v>
      </c>
      <c r="AN1339" s="84" t="s">
        <v>13416</v>
      </c>
      <c r="AO1339" s="71" t="s">
        <v>13417</v>
      </c>
      <c r="AP1339" s="161" t="str">
        <f>IMAGE("https://bellingcat-archive.nyc3.cdn.digitaloceanspaces.com/Ukraine_Witness_Datasheet/Worksheet/telegram_bf305d70d2/out7.jpg")</f>
        <v/>
      </c>
      <c r="AQ1339" s="84" t="s">
        <v>13418</v>
      </c>
      <c r="AR1339" s="84" t="s">
        <v>13410</v>
      </c>
      <c r="AS1339" s="161"/>
      <c r="AT1339" s="71">
        <v>47.0</v>
      </c>
      <c r="AU1339" s="89"/>
      <c r="AV1339" s="162"/>
      <c r="AW1339" s="81"/>
    </row>
    <row r="1340" ht="15.75" customHeight="1">
      <c r="A1340" s="374" t="s">
        <v>6463</v>
      </c>
      <c r="B1340" s="73"/>
      <c r="C1340" s="57" t="s">
        <v>12050</v>
      </c>
      <c r="D1340" s="121"/>
      <c r="E1340" s="121"/>
      <c r="F1340" s="79">
        <v>3.0</v>
      </c>
      <c r="G1340" s="130" t="s">
        <v>13419</v>
      </c>
      <c r="H1340" s="61" t="s">
        <v>66</v>
      </c>
      <c r="I1340" s="75"/>
      <c r="J1340" s="71" t="s">
        <v>12713</v>
      </c>
      <c r="K1340" s="69"/>
      <c r="L1340" s="70"/>
      <c r="M1340" s="73"/>
      <c r="N1340" s="73"/>
      <c r="O1340" s="73"/>
      <c r="P1340" s="67" t="str">
        <f t="shared" si="1"/>
        <v/>
      </c>
      <c r="Q1340" s="67" t="str">
        <f t="shared" si="2"/>
        <v/>
      </c>
      <c r="R1340" s="67" t="str">
        <f t="shared" si="3"/>
        <v/>
      </c>
      <c r="S1340" s="67" t="str">
        <f t="shared" si="4"/>
        <v/>
      </c>
      <c r="T1340" s="161"/>
      <c r="U1340" s="69"/>
      <c r="V1340" s="65" t="s">
        <v>13420</v>
      </c>
      <c r="W1340" s="161"/>
      <c r="X1340" s="194"/>
      <c r="Y1340" s="61" t="s">
        <v>11347</v>
      </c>
      <c r="Z1340" s="73"/>
      <c r="AA1340" s="73"/>
      <c r="AB1340" s="73"/>
      <c r="AC1340" s="73"/>
      <c r="AD1340" s="73"/>
      <c r="AE1340" s="73"/>
      <c r="AF1340" s="73"/>
      <c r="AG1340" s="73"/>
      <c r="AH1340" s="73"/>
      <c r="AI1340" s="73"/>
      <c r="AJ1340" s="161"/>
      <c r="AK1340" s="76" t="s">
        <v>798</v>
      </c>
      <c r="AL1340" s="83" t="s">
        <v>13421</v>
      </c>
      <c r="AM1340" s="71" t="s">
        <v>13422</v>
      </c>
      <c r="AN1340" s="84" t="s">
        <v>13423</v>
      </c>
      <c r="AO1340" s="71" t="s">
        <v>13424</v>
      </c>
      <c r="AP1340" s="161" t="str">
        <f>IMAGE("https://bellingcat-archive.nyc3.cdn.digitaloceanspaces.com/Ukraine_Witness_Datasheet/Worksheet/youtube_dl_1499387467564212228/out7.jpg")</f>
        <v/>
      </c>
      <c r="AQ1340" s="84" t="s">
        <v>13425</v>
      </c>
      <c r="AR1340" s="71" t="s">
        <v>13426</v>
      </c>
      <c r="AS1340" s="71" t="s">
        <v>13427</v>
      </c>
      <c r="AT1340" s="71">
        <v>4.263</v>
      </c>
      <c r="AU1340" s="89"/>
      <c r="AV1340" s="162"/>
      <c r="AW1340" s="81"/>
    </row>
    <row r="1341" ht="15.75" customHeight="1">
      <c r="A1341" s="374" t="s">
        <v>6463</v>
      </c>
      <c r="B1341" s="73"/>
      <c r="C1341" s="57" t="s">
        <v>12050</v>
      </c>
      <c r="D1341" s="121"/>
      <c r="E1341" s="121"/>
      <c r="F1341" s="79">
        <v>2.0</v>
      </c>
      <c r="G1341" s="130" t="s">
        <v>13428</v>
      </c>
      <c r="H1341" s="61" t="s">
        <v>5368</v>
      </c>
      <c r="I1341" s="75"/>
      <c r="J1341" s="71" t="s">
        <v>12713</v>
      </c>
      <c r="K1341" s="69"/>
      <c r="L1341" s="70"/>
      <c r="M1341" s="73"/>
      <c r="N1341" s="73"/>
      <c r="O1341" s="73"/>
      <c r="P1341" s="67" t="str">
        <f t="shared" si="1"/>
        <v/>
      </c>
      <c r="Q1341" s="67" t="str">
        <f t="shared" si="2"/>
        <v/>
      </c>
      <c r="R1341" s="67" t="str">
        <f t="shared" si="3"/>
        <v/>
      </c>
      <c r="S1341" s="67" t="str">
        <f t="shared" si="4"/>
        <v/>
      </c>
      <c r="T1341" s="161"/>
      <c r="U1341" s="69"/>
      <c r="V1341" s="65" t="s">
        <v>13429</v>
      </c>
      <c r="W1341" s="161"/>
      <c r="X1341" s="194"/>
      <c r="Y1341" s="73"/>
      <c r="Z1341" s="73"/>
      <c r="AA1341" s="73"/>
      <c r="AB1341" s="73"/>
      <c r="AC1341" s="73"/>
      <c r="AD1341" s="73"/>
      <c r="AE1341" s="73"/>
      <c r="AF1341" s="73"/>
      <c r="AG1341" s="73"/>
      <c r="AH1341" s="73"/>
      <c r="AI1341" s="73"/>
      <c r="AJ1341" s="161"/>
      <c r="AK1341" s="76" t="s">
        <v>2108</v>
      </c>
      <c r="AL1341" s="83" t="s">
        <v>13430</v>
      </c>
      <c r="AM1341" s="71" t="s">
        <v>13431</v>
      </c>
      <c r="AN1341" s="84" t="s">
        <v>13432</v>
      </c>
      <c r="AO1341" s="71" t="s">
        <v>13433</v>
      </c>
      <c r="AP1341" s="161" t="str">
        <f>IMAGE("https://bellingcat-archive.nyc3.cdn.digitaloceanspaces.com/Ukraine_Witness_Datasheet/Worksheet/twitter__media_FM8Qp3fXEAcFck1.jpg")</f>
        <v/>
      </c>
      <c r="AQ1341" s="161"/>
      <c r="AR1341" s="161"/>
      <c r="AS1341" s="71" t="s">
        <v>13434</v>
      </c>
      <c r="AT1341" s="161"/>
      <c r="AU1341" s="89"/>
      <c r="AV1341" s="162"/>
      <c r="AW1341" s="81"/>
    </row>
    <row r="1342" ht="15.75" customHeight="1">
      <c r="A1342" s="72" t="s">
        <v>5457</v>
      </c>
      <c r="B1342" s="73"/>
      <c r="C1342" s="57" t="s">
        <v>12050</v>
      </c>
      <c r="D1342" s="104">
        <v>50.57439</v>
      </c>
      <c r="E1342" s="104">
        <v>30.26429</v>
      </c>
      <c r="F1342" s="79">
        <v>3.0</v>
      </c>
      <c r="G1342" s="130" t="s">
        <v>13435</v>
      </c>
      <c r="H1342" s="61" t="s">
        <v>66</v>
      </c>
      <c r="I1342" s="75"/>
      <c r="J1342" s="71" t="s">
        <v>13436</v>
      </c>
      <c r="K1342" s="69"/>
      <c r="L1342" s="65" t="s">
        <v>3542</v>
      </c>
      <c r="M1342" s="61" t="s">
        <v>5827</v>
      </c>
      <c r="N1342" s="73"/>
      <c r="O1342" s="61" t="s">
        <v>5828</v>
      </c>
      <c r="P1342" s="67" t="str">
        <f t="shared" si="1"/>
        <v>50.57439, 30.26429</v>
      </c>
      <c r="Q1342" s="67" t="str">
        <f t="shared" si="2"/>
        <v>50.574207, 30.265462</v>
      </c>
      <c r="R1342" s="67">
        <f t="shared" si="3"/>
        <v>50.574207</v>
      </c>
      <c r="S1342" s="67">
        <f t="shared" si="4"/>
        <v>30.265462</v>
      </c>
      <c r="T1342" s="161"/>
      <c r="U1342" s="69"/>
      <c r="V1342" s="169" t="s">
        <v>13437</v>
      </c>
      <c r="W1342" s="71" t="s">
        <v>6641</v>
      </c>
      <c r="X1342" s="72" t="s">
        <v>5504</v>
      </c>
      <c r="Y1342" s="61" t="s">
        <v>2982</v>
      </c>
      <c r="Z1342" s="61" t="s">
        <v>13187</v>
      </c>
      <c r="AA1342" s="73"/>
      <c r="AB1342" s="73"/>
      <c r="AC1342" s="73"/>
      <c r="AD1342" s="73"/>
      <c r="AE1342" s="73"/>
      <c r="AF1342" s="73"/>
      <c r="AG1342" s="73"/>
      <c r="AH1342" s="73"/>
      <c r="AI1342" s="73"/>
      <c r="AJ1342" s="161"/>
      <c r="AK1342" s="76" t="s">
        <v>798</v>
      </c>
      <c r="AL1342" s="83" t="s">
        <v>13438</v>
      </c>
      <c r="AM1342" s="71" t="s">
        <v>13439</v>
      </c>
      <c r="AN1342" s="84" t="s">
        <v>13440</v>
      </c>
      <c r="AO1342" s="71" t="s">
        <v>13441</v>
      </c>
      <c r="AP1342" s="161" t="str">
        <f>IMAGE("https://bellingcat-archive.nyc3.cdn.digitaloceanspaces.com/Ukraine_Witness_Datasheet/Worksheet/youtube_dl_1499745823835529228/out7.jpg")</f>
        <v/>
      </c>
      <c r="AQ1342" s="84" t="s">
        <v>13442</v>
      </c>
      <c r="AR1342" s="71" t="s">
        <v>13443</v>
      </c>
      <c r="AS1342" s="71" t="s">
        <v>13444</v>
      </c>
      <c r="AT1342" s="71">
        <v>32.066</v>
      </c>
      <c r="AU1342" s="89"/>
      <c r="AV1342" s="162"/>
      <c r="AW1342" s="81"/>
    </row>
    <row r="1343" ht="15.75" customHeight="1">
      <c r="A1343" s="72" t="s">
        <v>11075</v>
      </c>
      <c r="B1343" s="73"/>
      <c r="C1343" s="57" t="s">
        <v>12959</v>
      </c>
      <c r="D1343" s="104">
        <v>46.64468</v>
      </c>
      <c r="E1343" s="104">
        <v>32.615768</v>
      </c>
      <c r="F1343" s="79">
        <v>1.0</v>
      </c>
      <c r="G1343" s="130" t="s">
        <v>13445</v>
      </c>
      <c r="H1343" s="104" t="s">
        <v>5522</v>
      </c>
      <c r="I1343" s="218"/>
      <c r="J1343" s="71" t="s">
        <v>13446</v>
      </c>
      <c r="K1343" s="69"/>
      <c r="L1343" s="65" t="s">
        <v>3542</v>
      </c>
      <c r="M1343" s="61" t="s">
        <v>13447</v>
      </c>
      <c r="N1343" s="73"/>
      <c r="O1343" s="61" t="s">
        <v>13448</v>
      </c>
      <c r="P1343" s="67" t="str">
        <f t="shared" si="1"/>
        <v>46.64468, 32.615768</v>
      </c>
      <c r="Q1343" s="67" t="str">
        <f t="shared" si="2"/>
        <v>46.644631, 32.616799</v>
      </c>
      <c r="R1343" s="67">
        <f t="shared" si="3"/>
        <v>46.644631</v>
      </c>
      <c r="S1343" s="67">
        <f t="shared" si="4"/>
        <v>32.616799</v>
      </c>
      <c r="T1343" s="161"/>
      <c r="U1343" s="69"/>
      <c r="V1343" s="65" t="s">
        <v>13449</v>
      </c>
      <c r="W1343" s="71" t="s">
        <v>74</v>
      </c>
      <c r="X1343" s="72" t="s">
        <v>5504</v>
      </c>
      <c r="Y1343" s="61" t="s">
        <v>5820</v>
      </c>
      <c r="Z1343" s="73"/>
      <c r="AA1343" s="73"/>
      <c r="AB1343" s="73"/>
      <c r="AC1343" s="73"/>
      <c r="AD1343" s="73"/>
      <c r="AE1343" s="73"/>
      <c r="AF1343" s="73"/>
      <c r="AG1343" s="73"/>
      <c r="AH1343" s="73"/>
      <c r="AI1343" s="73"/>
      <c r="AJ1343" s="161"/>
      <c r="AK1343" s="76" t="s">
        <v>6276</v>
      </c>
      <c r="AL1343" s="83" t="s">
        <v>13450</v>
      </c>
      <c r="AM1343" s="71" t="s">
        <v>13451</v>
      </c>
      <c r="AN1343" s="84" t="s">
        <v>13452</v>
      </c>
      <c r="AO1343" s="71" t="s">
        <v>13453</v>
      </c>
      <c r="AP1343" s="161"/>
      <c r="AQ1343" s="161"/>
      <c r="AR1343" s="161"/>
      <c r="AS1343" s="161"/>
      <c r="AT1343" s="161"/>
      <c r="AU1343" s="89"/>
      <c r="AV1343" s="80" t="s">
        <v>63</v>
      </c>
      <c r="AW1343" s="203"/>
    </row>
    <row r="1344" ht="15.75" customHeight="1">
      <c r="A1344" s="72" t="s">
        <v>11075</v>
      </c>
      <c r="B1344" s="73"/>
      <c r="C1344" s="57" t="s">
        <v>12959</v>
      </c>
      <c r="D1344" s="74">
        <v>46.640147</v>
      </c>
      <c r="E1344" s="74">
        <v>32.614206</v>
      </c>
      <c r="F1344" s="79">
        <v>1.0</v>
      </c>
      <c r="G1344" s="84" t="s">
        <v>13454</v>
      </c>
      <c r="H1344" s="61" t="s">
        <v>5522</v>
      </c>
      <c r="I1344" s="75"/>
      <c r="J1344" s="71" t="s">
        <v>13455</v>
      </c>
      <c r="K1344" s="69"/>
      <c r="L1344" s="65" t="s">
        <v>3542</v>
      </c>
      <c r="M1344" s="61" t="s">
        <v>13447</v>
      </c>
      <c r="N1344" s="73"/>
      <c r="O1344" s="61" t="s">
        <v>13448</v>
      </c>
      <c r="P1344" s="67" t="str">
        <f t="shared" si="1"/>
        <v>46.640147, 32.614206</v>
      </c>
      <c r="Q1344" s="67" t="str">
        <f t="shared" si="2"/>
        <v>46.63951, 32.614268</v>
      </c>
      <c r="R1344" s="67">
        <f t="shared" si="3"/>
        <v>46.63951</v>
      </c>
      <c r="S1344" s="67">
        <f t="shared" si="4"/>
        <v>32.614268</v>
      </c>
      <c r="T1344" s="161"/>
      <c r="U1344" s="69"/>
      <c r="V1344" s="65" t="s">
        <v>13456</v>
      </c>
      <c r="W1344" s="227" t="s">
        <v>811</v>
      </c>
      <c r="X1344" s="72" t="s">
        <v>5504</v>
      </c>
      <c r="Y1344" s="61" t="s">
        <v>5820</v>
      </c>
      <c r="Z1344" s="73"/>
      <c r="AA1344" s="73"/>
      <c r="AB1344" s="73"/>
      <c r="AC1344" s="73"/>
      <c r="AD1344" s="73"/>
      <c r="AE1344" s="73"/>
      <c r="AF1344" s="73"/>
      <c r="AG1344" s="73"/>
      <c r="AH1344" s="73"/>
      <c r="AI1344" s="73"/>
      <c r="AJ1344" s="161"/>
      <c r="AK1344" s="76" t="s">
        <v>6276</v>
      </c>
      <c r="AL1344" s="83" t="s">
        <v>13457</v>
      </c>
      <c r="AM1344" s="71" t="s">
        <v>13458</v>
      </c>
      <c r="AN1344" s="84" t="s">
        <v>13459</v>
      </c>
      <c r="AO1344" s="71" t="s">
        <v>13460</v>
      </c>
      <c r="AP1344" s="161" t="str">
        <f>IMAGE("https://bellingcat-archive.nyc3.cdn.digitaloceanspaces.com/Ukraine_Witness_Datasheet/Worksheet/telegram_da54f45a38/out7.jpg")</f>
        <v/>
      </c>
      <c r="AQ1344" s="84" t="s">
        <v>13461</v>
      </c>
      <c r="AR1344" s="84" t="s">
        <v>13454</v>
      </c>
      <c r="AS1344" s="71" t="s">
        <v>13462</v>
      </c>
      <c r="AT1344" s="71">
        <v>14.0</v>
      </c>
      <c r="AU1344" s="89"/>
      <c r="AV1344" s="80" t="s">
        <v>63</v>
      </c>
      <c r="AW1344" s="81"/>
    </row>
    <row r="1345" ht="15.75" customHeight="1">
      <c r="A1345" s="204" t="s">
        <v>11075</v>
      </c>
      <c r="B1345" s="73"/>
      <c r="C1345" s="57" t="s">
        <v>12959</v>
      </c>
      <c r="D1345" s="104">
        <v>50.574412</v>
      </c>
      <c r="E1345" s="104">
        <v>30.264221</v>
      </c>
      <c r="F1345" s="79">
        <v>4.0</v>
      </c>
      <c r="G1345" s="84" t="s">
        <v>13463</v>
      </c>
      <c r="H1345" s="61" t="s">
        <v>5522</v>
      </c>
      <c r="I1345" s="75"/>
      <c r="J1345" s="71" t="s">
        <v>13464</v>
      </c>
      <c r="K1345" s="69"/>
      <c r="L1345" s="65" t="s">
        <v>3542</v>
      </c>
      <c r="M1345" s="61" t="s">
        <v>5827</v>
      </c>
      <c r="N1345" s="73"/>
      <c r="O1345" s="61" t="s">
        <v>5828</v>
      </c>
      <c r="P1345" s="67" t="str">
        <f t="shared" si="1"/>
        <v>50.574412, 30.264221</v>
      </c>
      <c r="Q1345" s="67" t="str">
        <f t="shared" si="2"/>
        <v>50.574251, 30.265275</v>
      </c>
      <c r="R1345" s="67">
        <f t="shared" si="3"/>
        <v>50.574251</v>
      </c>
      <c r="S1345" s="67">
        <f t="shared" si="4"/>
        <v>30.265275</v>
      </c>
      <c r="T1345" s="161"/>
      <c r="U1345" s="69"/>
      <c r="V1345" s="169" t="s">
        <v>13465</v>
      </c>
      <c r="W1345" s="71" t="s">
        <v>6641</v>
      </c>
      <c r="X1345" s="229" t="s">
        <v>6054</v>
      </c>
      <c r="Y1345" s="61" t="s">
        <v>75</v>
      </c>
      <c r="Z1345" s="61" t="s">
        <v>13187</v>
      </c>
      <c r="AA1345" s="73"/>
      <c r="AB1345" s="73"/>
      <c r="AC1345" s="73"/>
      <c r="AD1345" s="73"/>
      <c r="AE1345" s="73"/>
      <c r="AF1345" s="73"/>
      <c r="AG1345" s="73"/>
      <c r="AH1345" s="73"/>
      <c r="AI1345" s="73"/>
      <c r="AJ1345" s="161"/>
      <c r="AK1345" s="76" t="s">
        <v>6276</v>
      </c>
      <c r="AL1345" s="83" t="s">
        <v>13466</v>
      </c>
      <c r="AM1345" s="71" t="s">
        <v>13467</v>
      </c>
      <c r="AN1345" s="84" t="s">
        <v>13468</v>
      </c>
      <c r="AO1345" s="71" t="s">
        <v>13469</v>
      </c>
      <c r="AP1345" s="161" t="str">
        <f>IMAGE("https://bellingcat-archive.nyc3.cdn.digitaloceanspaces.com/Ukraine_Witness_Datasheet/Worksheet/telegram_f6f73132f2/out7.jpg")</f>
        <v/>
      </c>
      <c r="AQ1345" s="84" t="s">
        <v>13470</v>
      </c>
      <c r="AR1345" s="84" t="s">
        <v>13463</v>
      </c>
      <c r="AS1345" s="71" t="s">
        <v>13471</v>
      </c>
      <c r="AT1345" s="71">
        <v>31.0</v>
      </c>
      <c r="AU1345" s="89"/>
      <c r="AV1345" s="80" t="s">
        <v>88</v>
      </c>
      <c r="AW1345" s="81"/>
    </row>
    <row r="1346" ht="15.75" customHeight="1">
      <c r="A1346" s="72" t="s">
        <v>6463</v>
      </c>
      <c r="B1346" s="73"/>
      <c r="C1346" s="57" t="s">
        <v>12050</v>
      </c>
      <c r="D1346" s="104">
        <v>50.6429430791651</v>
      </c>
      <c r="E1346" s="104">
        <v>29.9340701652038</v>
      </c>
      <c r="F1346" s="79">
        <v>4.0</v>
      </c>
      <c r="G1346" s="130" t="s">
        <v>13472</v>
      </c>
      <c r="H1346" s="61" t="s">
        <v>66</v>
      </c>
      <c r="I1346" s="75"/>
      <c r="J1346" s="71" t="s">
        <v>13473</v>
      </c>
      <c r="K1346" s="69"/>
      <c r="L1346" s="65" t="s">
        <v>3542</v>
      </c>
      <c r="M1346" s="61" t="s">
        <v>5827</v>
      </c>
      <c r="N1346" s="73"/>
      <c r="O1346" s="61" t="s">
        <v>7832</v>
      </c>
      <c r="P1346" s="67" t="str">
        <f t="shared" si="1"/>
        <v>50.6429430791651, 29.9340701652038</v>
      </c>
      <c r="Q1346" s="67" t="str">
        <f t="shared" si="2"/>
        <v>50.642451, 29.934242</v>
      </c>
      <c r="R1346" s="67">
        <f t="shared" si="3"/>
        <v>50.642451</v>
      </c>
      <c r="S1346" s="67">
        <f t="shared" si="4"/>
        <v>29.934242</v>
      </c>
      <c r="T1346" s="161"/>
      <c r="U1346" s="69"/>
      <c r="V1346" s="169" t="s">
        <v>13474</v>
      </c>
      <c r="W1346" s="71" t="s">
        <v>6641</v>
      </c>
      <c r="X1346" s="72" t="s">
        <v>2982</v>
      </c>
      <c r="Y1346" s="61" t="s">
        <v>11347</v>
      </c>
      <c r="Z1346" s="73"/>
      <c r="AA1346" s="73"/>
      <c r="AB1346" s="73"/>
      <c r="AC1346" s="73"/>
      <c r="AD1346" s="73"/>
      <c r="AE1346" s="73"/>
      <c r="AF1346" s="73"/>
      <c r="AG1346" s="73"/>
      <c r="AH1346" s="73"/>
      <c r="AI1346" s="73"/>
      <c r="AJ1346" s="161"/>
      <c r="AK1346" s="76" t="s">
        <v>6276</v>
      </c>
      <c r="AL1346" s="83" t="s">
        <v>13475</v>
      </c>
      <c r="AM1346" s="71" t="s">
        <v>13476</v>
      </c>
      <c r="AN1346" s="84" t="s">
        <v>13477</v>
      </c>
      <c r="AO1346" s="71" t="s">
        <v>13478</v>
      </c>
      <c r="AP1346" s="161" t="str">
        <f>IMAGE("https://bellingcat-archive.nyc3.cdn.digitaloceanspaces.com/Ukraine_Witness_Datasheet/Worksheet/telegram_d6b627e7e1/out7.jpg")</f>
        <v/>
      </c>
      <c r="AQ1346" s="84" t="s">
        <v>13479</v>
      </c>
      <c r="AR1346" s="84" t="s">
        <v>13472</v>
      </c>
      <c r="AS1346" s="71" t="s">
        <v>13480</v>
      </c>
      <c r="AT1346" s="71">
        <v>47.0</v>
      </c>
      <c r="AU1346" s="89"/>
      <c r="AV1346" s="80" t="s">
        <v>3944</v>
      </c>
      <c r="AW1346" s="81"/>
    </row>
    <row r="1347" ht="15.75" customHeight="1">
      <c r="A1347" s="374" t="s">
        <v>6463</v>
      </c>
      <c r="B1347" s="73"/>
      <c r="C1347" s="176"/>
      <c r="D1347" s="121"/>
      <c r="E1347" s="121"/>
      <c r="F1347" s="89"/>
      <c r="G1347" s="161"/>
      <c r="H1347" s="73"/>
      <c r="I1347" s="75"/>
      <c r="J1347" s="161"/>
      <c r="K1347" s="69"/>
      <c r="L1347" s="70"/>
      <c r="M1347" s="73"/>
      <c r="N1347" s="73"/>
      <c r="O1347" s="73"/>
      <c r="P1347" s="67" t="str">
        <f t="shared" si="1"/>
        <v/>
      </c>
      <c r="Q1347" s="67" t="str">
        <f t="shared" si="2"/>
        <v/>
      </c>
      <c r="R1347" s="67" t="str">
        <f t="shared" si="3"/>
        <v/>
      </c>
      <c r="S1347" s="67" t="str">
        <f t="shared" si="4"/>
        <v/>
      </c>
      <c r="T1347" s="161"/>
      <c r="U1347" s="69"/>
      <c r="V1347" s="65" t="s">
        <v>13481</v>
      </c>
      <c r="W1347" s="161"/>
      <c r="X1347" s="208"/>
      <c r="Y1347" s="73"/>
      <c r="Z1347" s="73"/>
      <c r="AA1347" s="73"/>
      <c r="AB1347" s="73"/>
      <c r="AC1347" s="73"/>
      <c r="AD1347" s="73"/>
      <c r="AE1347" s="73"/>
      <c r="AF1347" s="73"/>
      <c r="AG1347" s="73"/>
      <c r="AH1347" s="73"/>
      <c r="AI1347" s="73"/>
      <c r="AJ1347" s="161"/>
      <c r="AK1347" s="236"/>
      <c r="AL1347" s="269"/>
      <c r="AM1347" s="161"/>
      <c r="AN1347" s="161"/>
      <c r="AO1347" s="161"/>
      <c r="AP1347" s="161"/>
      <c r="AQ1347" s="161"/>
      <c r="AR1347" s="161"/>
      <c r="AS1347" s="161"/>
      <c r="AT1347" s="161"/>
      <c r="AU1347" s="89"/>
      <c r="AV1347" s="162"/>
      <c r="AW1347" s="81"/>
    </row>
    <row r="1348" ht="15.75" customHeight="1">
      <c r="A1348" s="357" t="s">
        <v>7968</v>
      </c>
      <c r="B1348" s="73"/>
      <c r="C1348" s="57" t="s">
        <v>12959</v>
      </c>
      <c r="D1348" s="104">
        <v>46.752191</v>
      </c>
      <c r="E1348" s="104">
        <v>29.97423</v>
      </c>
      <c r="F1348" s="79">
        <v>2.0</v>
      </c>
      <c r="G1348" s="130" t="s">
        <v>13482</v>
      </c>
      <c r="H1348" s="61" t="s">
        <v>66</v>
      </c>
      <c r="I1348" s="75"/>
      <c r="J1348" s="71" t="s">
        <v>13483</v>
      </c>
      <c r="K1348" s="131" t="s">
        <v>13484</v>
      </c>
      <c r="L1348" s="65" t="s">
        <v>5670</v>
      </c>
      <c r="M1348" s="61" t="s">
        <v>5559</v>
      </c>
      <c r="N1348" s="73"/>
      <c r="O1348" s="61" t="s">
        <v>13485</v>
      </c>
      <c r="P1348" s="67" t="str">
        <f t="shared" si="1"/>
        <v>46.752191, 29.97423</v>
      </c>
      <c r="Q1348" s="67" t="str">
        <f t="shared" si="2"/>
        <v>46.752108, 29.973541</v>
      </c>
      <c r="R1348" s="67">
        <f t="shared" si="3"/>
        <v>46.752108</v>
      </c>
      <c r="S1348" s="67">
        <f t="shared" si="4"/>
        <v>29.973541</v>
      </c>
      <c r="T1348" s="161"/>
      <c r="U1348" s="69"/>
      <c r="V1348" s="169" t="s">
        <v>13486</v>
      </c>
      <c r="W1348" s="71" t="s">
        <v>6641</v>
      </c>
      <c r="X1348" s="72" t="s">
        <v>2982</v>
      </c>
      <c r="Y1348" s="73"/>
      <c r="Z1348" s="73"/>
      <c r="AA1348" s="73"/>
      <c r="AB1348" s="73"/>
      <c r="AC1348" s="73"/>
      <c r="AD1348" s="73"/>
      <c r="AE1348" s="73"/>
      <c r="AF1348" s="73"/>
      <c r="AG1348" s="73"/>
      <c r="AH1348" s="73"/>
      <c r="AI1348" s="73"/>
      <c r="AJ1348" s="161"/>
      <c r="AK1348" s="76" t="s">
        <v>798</v>
      </c>
      <c r="AL1348" s="83" t="s">
        <v>13487</v>
      </c>
      <c r="AM1348" s="71" t="s">
        <v>13488</v>
      </c>
      <c r="AN1348" s="84" t="s">
        <v>13489</v>
      </c>
      <c r="AO1348" s="71" t="s">
        <v>13490</v>
      </c>
      <c r="AP1348" s="161" t="str">
        <f>IMAGE("https://bellingcat-archive.nyc3.cdn.digitaloceanspaces.com/Ukraine_Witness_Datasheet/Worksheet/youtube_dl_1499787486758936577/out7.jpg")</f>
        <v/>
      </c>
      <c r="AQ1348" s="84" t="s">
        <v>13491</v>
      </c>
      <c r="AR1348" s="71" t="s">
        <v>13492</v>
      </c>
      <c r="AS1348" s="71" t="s">
        <v>13493</v>
      </c>
      <c r="AT1348" s="71">
        <v>11.701</v>
      </c>
      <c r="AU1348" s="89"/>
      <c r="AV1348" s="80" t="s">
        <v>3944</v>
      </c>
      <c r="AW1348" s="81"/>
    </row>
    <row r="1349" ht="15.75" customHeight="1">
      <c r="A1349" s="204" t="s">
        <v>88</v>
      </c>
      <c r="B1349" s="73"/>
      <c r="C1349" s="57" t="s">
        <v>12959</v>
      </c>
      <c r="D1349" s="104">
        <v>50.532586</v>
      </c>
      <c r="E1349" s="74">
        <v>30.196063</v>
      </c>
      <c r="F1349" s="79">
        <v>1.0</v>
      </c>
      <c r="G1349" s="84" t="s">
        <v>13494</v>
      </c>
      <c r="H1349" s="61" t="s">
        <v>5522</v>
      </c>
      <c r="I1349" s="75"/>
      <c r="J1349" s="71" t="s">
        <v>13495</v>
      </c>
      <c r="K1349" s="69"/>
      <c r="L1349" s="65" t="s">
        <v>5670</v>
      </c>
      <c r="M1349" s="61" t="s">
        <v>5827</v>
      </c>
      <c r="N1349" s="73"/>
      <c r="O1349" s="61" t="s">
        <v>5868</v>
      </c>
      <c r="P1349" s="67" t="str">
        <f t="shared" si="1"/>
        <v>50.532586, 30.196063</v>
      </c>
      <c r="Q1349" s="67" t="str">
        <f t="shared" si="2"/>
        <v>50.531873, 30.196559</v>
      </c>
      <c r="R1349" s="67">
        <f t="shared" si="3"/>
        <v>50.531873</v>
      </c>
      <c r="S1349" s="67">
        <f t="shared" si="4"/>
        <v>30.196559</v>
      </c>
      <c r="T1349" s="161"/>
      <c r="U1349" s="69"/>
      <c r="V1349" s="169" t="s">
        <v>13496</v>
      </c>
      <c r="W1349" s="71" t="s">
        <v>74</v>
      </c>
      <c r="X1349" s="72" t="s">
        <v>2982</v>
      </c>
      <c r="Y1349" s="61" t="s">
        <v>11347</v>
      </c>
      <c r="Z1349" s="73"/>
      <c r="AA1349" s="73"/>
      <c r="AB1349" s="73"/>
      <c r="AC1349" s="73"/>
      <c r="AD1349" s="73"/>
      <c r="AE1349" s="73"/>
      <c r="AF1349" s="73"/>
      <c r="AG1349" s="73"/>
      <c r="AH1349" s="73"/>
      <c r="AI1349" s="73"/>
      <c r="AJ1349" s="161"/>
      <c r="AK1349" s="76" t="s">
        <v>798</v>
      </c>
      <c r="AL1349" s="83" t="s">
        <v>13497</v>
      </c>
      <c r="AM1349" s="71" t="s">
        <v>13498</v>
      </c>
      <c r="AN1349" s="84" t="s">
        <v>13499</v>
      </c>
      <c r="AO1349" s="71" t="s">
        <v>13500</v>
      </c>
      <c r="AP1349" s="161" t="str">
        <f>IMAGE("https://bellingcat-archive.nyc3.cdn.digitaloceanspaces.com/Ukraine_Witness_Datasheet/Worksheet/youtube_dl_1499820585035173894/out20.jpg")</f>
        <v/>
      </c>
      <c r="AQ1349" s="84" t="s">
        <v>13501</v>
      </c>
      <c r="AR1349" s="71" t="s">
        <v>13502</v>
      </c>
      <c r="AS1349" s="71" t="s">
        <v>13503</v>
      </c>
      <c r="AT1349" s="71">
        <v>86.784</v>
      </c>
      <c r="AU1349" s="89"/>
      <c r="AV1349" s="80" t="s">
        <v>3944</v>
      </c>
      <c r="AW1349" s="81"/>
    </row>
    <row r="1350" ht="15.75" customHeight="1">
      <c r="A1350" s="493" t="s">
        <v>88</v>
      </c>
      <c r="B1350" s="73"/>
      <c r="C1350" s="57" t="s">
        <v>12959</v>
      </c>
      <c r="D1350" s="104">
        <v>50.573313</v>
      </c>
      <c r="E1350" s="104">
        <v>30.266408</v>
      </c>
      <c r="F1350" s="79">
        <v>2.0</v>
      </c>
      <c r="G1350" s="130" t="s">
        <v>13504</v>
      </c>
      <c r="H1350" s="61" t="s">
        <v>13505</v>
      </c>
      <c r="I1350" s="75"/>
      <c r="J1350" s="71" t="s">
        <v>13506</v>
      </c>
      <c r="K1350" s="131" t="s">
        <v>13504</v>
      </c>
      <c r="L1350" s="65" t="s">
        <v>5670</v>
      </c>
      <c r="M1350" s="61" t="s">
        <v>5827</v>
      </c>
      <c r="N1350" s="73"/>
      <c r="O1350" s="61" t="s">
        <v>5828</v>
      </c>
      <c r="P1350" s="67" t="str">
        <f t="shared" si="1"/>
        <v>50.573313, 30.266408</v>
      </c>
      <c r="Q1350" s="67" t="str">
        <f t="shared" si="2"/>
        <v>50.5732, 30.267283</v>
      </c>
      <c r="R1350" s="67">
        <f t="shared" si="3"/>
        <v>50.5732</v>
      </c>
      <c r="S1350" s="67">
        <f t="shared" si="4"/>
        <v>30.267283</v>
      </c>
      <c r="T1350" s="161"/>
      <c r="U1350" s="69"/>
      <c r="V1350" s="65" t="s">
        <v>13507</v>
      </c>
      <c r="W1350" s="71" t="s">
        <v>74</v>
      </c>
      <c r="X1350" s="72" t="s">
        <v>2982</v>
      </c>
      <c r="Y1350" s="61" t="s">
        <v>11347</v>
      </c>
      <c r="Z1350" s="73"/>
      <c r="AA1350" s="73"/>
      <c r="AB1350" s="73"/>
      <c r="AC1350" s="73"/>
      <c r="AD1350" s="73"/>
      <c r="AE1350" s="73"/>
      <c r="AF1350" s="73"/>
      <c r="AG1350" s="73"/>
      <c r="AH1350" s="73"/>
      <c r="AI1350" s="73"/>
      <c r="AJ1350" s="161"/>
      <c r="AK1350" s="76" t="s">
        <v>2108</v>
      </c>
      <c r="AL1350" s="83" t="s">
        <v>13508</v>
      </c>
      <c r="AM1350" s="71" t="s">
        <v>13509</v>
      </c>
      <c r="AN1350" s="84" t="s">
        <v>13510</v>
      </c>
      <c r="AO1350" s="71" t="s">
        <v>13511</v>
      </c>
      <c r="AP1350" s="161" t="str">
        <f>IMAGE("https://bellingcat-archive.nyc3.cdn.digitaloceanspaces.com/Ukraine_Witness_Datasheet/Worksheet/twitter__media_FNCLxnmXEAUyurv.jpg")</f>
        <v/>
      </c>
      <c r="AQ1350" s="161"/>
      <c r="AR1350" s="161"/>
      <c r="AS1350" s="71" t="s">
        <v>13512</v>
      </c>
      <c r="AT1350" s="75"/>
      <c r="AU1350" s="89"/>
      <c r="AV1350" s="80" t="s">
        <v>3944</v>
      </c>
      <c r="AW1350" s="81"/>
    </row>
    <row r="1351" ht="15.75" customHeight="1">
      <c r="A1351" s="204" t="s">
        <v>63</v>
      </c>
      <c r="B1351" s="73"/>
      <c r="C1351" s="57" t="s">
        <v>12050</v>
      </c>
      <c r="D1351" s="74">
        <v>50.565559</v>
      </c>
      <c r="E1351" s="74">
        <v>30.270714</v>
      </c>
      <c r="F1351" s="79">
        <v>5.0</v>
      </c>
      <c r="G1351" s="84" t="s">
        <v>13513</v>
      </c>
      <c r="H1351" s="61" t="s">
        <v>13505</v>
      </c>
      <c r="I1351" s="75"/>
      <c r="J1351" s="71" t="s">
        <v>13514</v>
      </c>
      <c r="K1351" s="69"/>
      <c r="L1351" s="65" t="s">
        <v>5670</v>
      </c>
      <c r="M1351" s="61" t="s">
        <v>5827</v>
      </c>
      <c r="N1351" s="73"/>
      <c r="O1351" s="61" t="s">
        <v>5828</v>
      </c>
      <c r="P1351" s="300" t="s">
        <v>13515</v>
      </c>
      <c r="Q1351" s="67" t="str">
        <f t="shared" si="2"/>
        <v>50.565159, 30.27036</v>
      </c>
      <c r="R1351" s="67">
        <f t="shared" si="3"/>
        <v>50.565159</v>
      </c>
      <c r="S1351" s="67">
        <f t="shared" si="4"/>
        <v>30.27036</v>
      </c>
      <c r="T1351" s="161"/>
      <c r="U1351" s="69"/>
      <c r="V1351" s="65" t="s">
        <v>13516</v>
      </c>
      <c r="W1351" s="468" t="s">
        <v>7571</v>
      </c>
      <c r="X1351" s="72" t="s">
        <v>2982</v>
      </c>
      <c r="Y1351" s="73"/>
      <c r="Z1351" s="73"/>
      <c r="AA1351" s="73"/>
      <c r="AB1351" s="73"/>
      <c r="AC1351" s="73"/>
      <c r="AD1351" s="73"/>
      <c r="AE1351" s="73"/>
      <c r="AF1351" s="73"/>
      <c r="AG1351" s="73"/>
      <c r="AH1351" s="73"/>
      <c r="AI1351" s="73"/>
      <c r="AJ1351" s="161"/>
      <c r="AK1351" s="76" t="s">
        <v>2108</v>
      </c>
      <c r="AL1351" s="83" t="s">
        <v>13517</v>
      </c>
      <c r="AM1351" s="71" t="s">
        <v>13518</v>
      </c>
      <c r="AN1351" s="84" t="s">
        <v>13519</v>
      </c>
      <c r="AO1351" s="71" t="s">
        <v>13520</v>
      </c>
      <c r="AP1351" s="161" t="str">
        <f>IMAGE("https://bellingcat-archive.nyc3.cdn.digitaloceanspaces.com/Ukraine_Witness_Datasheet/Worksheet/twitter__media_FM_7edoXMAAejlg.jpg")</f>
        <v/>
      </c>
      <c r="AQ1351" s="161"/>
      <c r="AR1351" s="161"/>
      <c r="AS1351" s="71" t="s">
        <v>13521</v>
      </c>
      <c r="AT1351" s="75"/>
      <c r="AU1351" s="79" t="s">
        <v>63</v>
      </c>
      <c r="AV1351" s="80" t="s">
        <v>88</v>
      </c>
      <c r="AW1351" s="81"/>
    </row>
    <row r="1352" ht="15.75" customHeight="1">
      <c r="A1352" s="357" t="s">
        <v>63</v>
      </c>
      <c r="B1352" s="73"/>
      <c r="C1352" s="57" t="s">
        <v>12959</v>
      </c>
      <c r="D1352" s="74">
        <v>47.6019</v>
      </c>
      <c r="E1352" s="74">
        <v>37.5151</v>
      </c>
      <c r="F1352" s="79">
        <v>2.0</v>
      </c>
      <c r="G1352" s="84" t="s">
        <v>13522</v>
      </c>
      <c r="H1352" s="61" t="s">
        <v>5522</v>
      </c>
      <c r="I1352" s="75"/>
      <c r="J1352" s="71" t="s">
        <v>13523</v>
      </c>
      <c r="K1352" s="88" t="s">
        <v>13524</v>
      </c>
      <c r="L1352" s="65" t="s">
        <v>5670</v>
      </c>
      <c r="M1352" s="61" t="s">
        <v>5750</v>
      </c>
      <c r="N1352" s="73"/>
      <c r="O1352" s="92" t="s">
        <v>7142</v>
      </c>
      <c r="P1352" s="67" t="str">
        <f t="shared" ref="P1352:P1547" si="8">IF(ISBLANK(D1352), "", CONCATENATE(D1352,", ", E1352))</f>
        <v>47.6019, 37.5151</v>
      </c>
      <c r="Q1352" s="67" t="str">
        <f t="shared" si="2"/>
        <v>47.601649, 37.514506</v>
      </c>
      <c r="R1352" s="67">
        <f t="shared" si="3"/>
        <v>47.601649</v>
      </c>
      <c r="S1352" s="67">
        <f t="shared" si="4"/>
        <v>37.514506</v>
      </c>
      <c r="T1352" s="161"/>
      <c r="U1352" s="69"/>
      <c r="V1352" s="169" t="s">
        <v>13525</v>
      </c>
      <c r="W1352" s="71" t="s">
        <v>74</v>
      </c>
      <c r="X1352" s="72" t="s">
        <v>2982</v>
      </c>
      <c r="Y1352" s="73"/>
      <c r="Z1352" s="73"/>
      <c r="AA1352" s="73"/>
      <c r="AB1352" s="73"/>
      <c r="AC1352" s="73"/>
      <c r="AD1352" s="73"/>
      <c r="AE1352" s="73"/>
      <c r="AF1352" s="73"/>
      <c r="AG1352" s="73"/>
      <c r="AH1352" s="73"/>
      <c r="AI1352" s="73"/>
      <c r="AJ1352" s="161"/>
      <c r="AK1352" s="76" t="s">
        <v>798</v>
      </c>
      <c r="AL1352" s="83" t="s">
        <v>13526</v>
      </c>
      <c r="AM1352" s="71" t="s">
        <v>13527</v>
      </c>
      <c r="AN1352" s="84" t="s">
        <v>13528</v>
      </c>
      <c r="AO1352" s="71" t="s">
        <v>13529</v>
      </c>
      <c r="AP1352" s="161" t="str">
        <f>IMAGE("https://bellingcat-archive.nyc3.cdn.digitaloceanspaces.com/Ukraine_Witness_Datasheet/Worksheet/youtube_dl_1499794198328922114/out20.jpg")</f>
        <v/>
      </c>
      <c r="AQ1352" s="84" t="s">
        <v>13530</v>
      </c>
      <c r="AR1352" s="71" t="s">
        <v>13531</v>
      </c>
      <c r="AS1352" s="71" t="s">
        <v>13532</v>
      </c>
      <c r="AT1352" s="62">
        <v>137.79</v>
      </c>
      <c r="AU1352" s="79" t="s">
        <v>362</v>
      </c>
      <c r="AV1352" s="80" t="s">
        <v>63</v>
      </c>
      <c r="AW1352" s="81"/>
    </row>
    <row r="1353" ht="15.75" customHeight="1">
      <c r="A1353" s="204" t="s">
        <v>63</v>
      </c>
      <c r="B1353" s="73"/>
      <c r="C1353" s="57" t="s">
        <v>12959</v>
      </c>
      <c r="D1353" s="74">
        <v>50.466462</v>
      </c>
      <c r="E1353" s="74">
        <v>34.953915</v>
      </c>
      <c r="F1353" s="79">
        <v>1.0</v>
      </c>
      <c r="G1353" s="317" t="s">
        <v>13533</v>
      </c>
      <c r="H1353" s="61" t="s">
        <v>12612</v>
      </c>
      <c r="I1353" s="75"/>
      <c r="J1353" s="71" t="s">
        <v>13534</v>
      </c>
      <c r="K1353" s="69"/>
      <c r="L1353" s="65" t="s">
        <v>5670</v>
      </c>
      <c r="M1353" s="61" t="s">
        <v>5978</v>
      </c>
      <c r="N1353" s="73"/>
      <c r="O1353" s="92" t="s">
        <v>9238</v>
      </c>
      <c r="P1353" s="67" t="str">
        <f t="shared" si="8"/>
        <v>50.466462, 34.953915</v>
      </c>
      <c r="Q1353" s="67" t="str">
        <f t="shared" si="2"/>
        <v>50.466168, 34.954837</v>
      </c>
      <c r="R1353" s="67">
        <f t="shared" si="3"/>
        <v>50.466168</v>
      </c>
      <c r="S1353" s="67">
        <f t="shared" si="4"/>
        <v>34.954837</v>
      </c>
      <c r="T1353" s="161"/>
      <c r="U1353" s="64" t="s">
        <v>13535</v>
      </c>
      <c r="V1353" s="65" t="s">
        <v>13536</v>
      </c>
      <c r="W1353" s="71" t="s">
        <v>74</v>
      </c>
      <c r="X1353" s="72" t="s">
        <v>2982</v>
      </c>
      <c r="Y1353" s="73"/>
      <c r="Z1353" s="73"/>
      <c r="AA1353" s="73"/>
      <c r="AB1353" s="73"/>
      <c r="AC1353" s="73"/>
      <c r="AD1353" s="73"/>
      <c r="AE1353" s="73"/>
      <c r="AF1353" s="73"/>
      <c r="AG1353" s="73"/>
      <c r="AH1353" s="73"/>
      <c r="AI1353" s="73"/>
      <c r="AJ1353" s="161"/>
      <c r="AK1353" s="76" t="s">
        <v>2108</v>
      </c>
      <c r="AL1353" s="83" t="s">
        <v>13537</v>
      </c>
      <c r="AM1353" s="71" t="s">
        <v>13538</v>
      </c>
      <c r="AN1353" s="84" t="s">
        <v>13539</v>
      </c>
      <c r="AO1353" s="71" t="s">
        <v>13540</v>
      </c>
      <c r="AP1353" s="161" t="str">
        <f>IMAGE("https://bellingcat-archive.nyc3.cdn.digitaloceanspaces.com/Ukraine_Witness_Datasheet/Worksheet/twitter__media_FNCONa0XMAEMOWJ.jpg")</f>
        <v/>
      </c>
      <c r="AQ1353" s="161"/>
      <c r="AR1353" s="161"/>
      <c r="AS1353" s="71" t="s">
        <v>13541</v>
      </c>
      <c r="AT1353" s="75"/>
      <c r="AU1353" s="79" t="s">
        <v>63</v>
      </c>
      <c r="AV1353" s="80" t="s">
        <v>88</v>
      </c>
      <c r="AW1353" s="81"/>
    </row>
    <row r="1354" ht="15.75" customHeight="1">
      <c r="A1354" s="72" t="s">
        <v>88</v>
      </c>
      <c r="B1354" s="73"/>
      <c r="C1354" s="57" t="s">
        <v>13542</v>
      </c>
      <c r="D1354" s="300">
        <v>46.691165</v>
      </c>
      <c r="E1354" s="300">
        <v>32.545054</v>
      </c>
      <c r="F1354" s="79">
        <v>1.0</v>
      </c>
      <c r="G1354" s="317" t="s">
        <v>13543</v>
      </c>
      <c r="H1354" s="61" t="s">
        <v>5522</v>
      </c>
      <c r="I1354" s="75"/>
      <c r="J1354" s="71" t="s">
        <v>13544</v>
      </c>
      <c r="K1354" s="69"/>
      <c r="L1354" s="65" t="s">
        <v>5670</v>
      </c>
      <c r="M1354" s="61" t="s">
        <v>5702</v>
      </c>
      <c r="N1354" s="73"/>
      <c r="O1354" s="92" t="s">
        <v>13545</v>
      </c>
      <c r="P1354" s="67" t="str">
        <f t="shared" si="8"/>
        <v>46.691165, 32.545054</v>
      </c>
      <c r="Q1354" s="67" t="str">
        <f t="shared" si="2"/>
        <v>46.690661, 32.545732</v>
      </c>
      <c r="R1354" s="67">
        <f t="shared" si="3"/>
        <v>46.690661</v>
      </c>
      <c r="S1354" s="67">
        <f t="shared" si="4"/>
        <v>32.545732</v>
      </c>
      <c r="T1354" s="161"/>
      <c r="U1354" s="69"/>
      <c r="V1354" s="169" t="s">
        <v>13546</v>
      </c>
      <c r="W1354" s="71" t="s">
        <v>74</v>
      </c>
      <c r="X1354" s="72" t="s">
        <v>2982</v>
      </c>
      <c r="Y1354" s="61" t="s">
        <v>11347</v>
      </c>
      <c r="Z1354" s="73"/>
      <c r="AA1354" s="73"/>
      <c r="AB1354" s="73"/>
      <c r="AC1354" s="73"/>
      <c r="AD1354" s="73"/>
      <c r="AE1354" s="73"/>
      <c r="AF1354" s="73"/>
      <c r="AG1354" s="73"/>
      <c r="AH1354" s="73"/>
      <c r="AI1354" s="73"/>
      <c r="AJ1354" s="161"/>
      <c r="AK1354" s="76" t="s">
        <v>798</v>
      </c>
      <c r="AL1354" s="83" t="s">
        <v>13547</v>
      </c>
      <c r="AM1354" s="71" t="s">
        <v>13548</v>
      </c>
      <c r="AN1354" s="84" t="s">
        <v>13549</v>
      </c>
      <c r="AO1354" s="71" t="s">
        <v>13550</v>
      </c>
      <c r="AP1354" s="161" t="str">
        <f>IMAGE("https://bellingcat-archive.nyc3.cdn.digitaloceanspaces.com/Ukraine_Witness_Datasheet/Worksheet/youtube_dl_1499967573735227402/out7.jpg")</f>
        <v/>
      </c>
      <c r="AQ1354" s="84" t="s">
        <v>13551</v>
      </c>
      <c r="AR1354" s="71" t="s">
        <v>13552</v>
      </c>
      <c r="AS1354" s="71" t="s">
        <v>13553</v>
      </c>
      <c r="AT1354" s="62">
        <v>16.232</v>
      </c>
      <c r="AU1354" s="89"/>
      <c r="AV1354" s="80" t="s">
        <v>3944</v>
      </c>
      <c r="AW1354" s="81"/>
    </row>
    <row r="1355" ht="15.75" customHeight="1">
      <c r="A1355" s="354" t="s">
        <v>9566</v>
      </c>
      <c r="B1355" s="73"/>
      <c r="C1355" s="57" t="s">
        <v>12050</v>
      </c>
      <c r="D1355" s="241" t="s">
        <v>13554</v>
      </c>
      <c r="E1355" s="241" t="s">
        <v>13555</v>
      </c>
      <c r="F1355" s="89"/>
      <c r="G1355" s="317" t="s">
        <v>13556</v>
      </c>
      <c r="H1355" s="73"/>
      <c r="I1355" s="494" t="s">
        <v>13557</v>
      </c>
      <c r="J1355" s="476" t="s">
        <v>13558</v>
      </c>
      <c r="K1355" s="69"/>
      <c r="L1355" s="65" t="s">
        <v>5670</v>
      </c>
      <c r="M1355" s="158" t="s">
        <v>5880</v>
      </c>
      <c r="N1355" s="73"/>
      <c r="O1355" s="61" t="s">
        <v>8524</v>
      </c>
      <c r="P1355" s="67" t="str">
        <f t="shared" si="8"/>
        <v>51.500056, 31.27828</v>
      </c>
      <c r="Q1355" s="67" t="str">
        <f t="shared" si="2"/>
        <v>51.499784, 31.277599</v>
      </c>
      <c r="R1355" s="67">
        <f t="shared" si="3"/>
        <v>51.499784</v>
      </c>
      <c r="S1355" s="67">
        <f t="shared" si="4"/>
        <v>31.277599</v>
      </c>
      <c r="T1355" s="161"/>
      <c r="U1355" s="69"/>
      <c r="V1355" s="169" t="s">
        <v>13559</v>
      </c>
      <c r="W1355" s="161"/>
      <c r="X1355" s="17" t="s">
        <v>9</v>
      </c>
      <c r="Y1355" s="216" t="s">
        <v>5820</v>
      </c>
      <c r="Z1355" s="73"/>
      <c r="AA1355" s="73"/>
      <c r="AB1355" s="73"/>
      <c r="AC1355" s="73"/>
      <c r="AD1355" s="73"/>
      <c r="AE1355" s="73"/>
      <c r="AF1355" s="73"/>
      <c r="AG1355" s="73"/>
      <c r="AH1355" s="73"/>
      <c r="AI1355" s="73"/>
      <c r="AJ1355" s="161"/>
      <c r="AK1355" s="76" t="s">
        <v>6276</v>
      </c>
      <c r="AL1355" s="83" t="s">
        <v>13560</v>
      </c>
      <c r="AM1355" s="71" t="s">
        <v>13561</v>
      </c>
      <c r="AN1355" s="84" t="s">
        <v>13562</v>
      </c>
      <c r="AO1355" s="71" t="s">
        <v>13563</v>
      </c>
      <c r="AP1355" s="161" t="str">
        <f>IMAGE("https://bellingcat-archive.nyc3.cdn.digitaloceanspaces.com/Ukraine_Witness_Datasheet/Worksheet/telegram_6b19088f23/out7.jpg")</f>
        <v/>
      </c>
      <c r="AQ1355" s="84" t="s">
        <v>13564</v>
      </c>
      <c r="AR1355" s="84" t="s">
        <v>13556</v>
      </c>
      <c r="AS1355" s="71" t="s">
        <v>13565</v>
      </c>
      <c r="AT1355" s="62">
        <v>49.0</v>
      </c>
      <c r="AU1355" s="89"/>
      <c r="AV1355" s="162"/>
      <c r="AW1355" s="81"/>
    </row>
    <row r="1356" ht="15.75" customHeight="1">
      <c r="A1356" s="357" t="s">
        <v>5457</v>
      </c>
      <c r="B1356" s="73"/>
      <c r="C1356" s="57" t="s">
        <v>12050</v>
      </c>
      <c r="D1356" s="104">
        <v>51.5001631</v>
      </c>
      <c r="E1356" s="104">
        <v>31.2789432</v>
      </c>
      <c r="F1356" s="79">
        <v>3.0</v>
      </c>
      <c r="G1356" s="60" t="s">
        <v>13566</v>
      </c>
      <c r="H1356" s="73"/>
      <c r="I1356" s="494" t="s">
        <v>13557</v>
      </c>
      <c r="J1356" s="71" t="s">
        <v>13567</v>
      </c>
      <c r="K1356" s="88" t="s">
        <v>12229</v>
      </c>
      <c r="L1356" s="65" t="s">
        <v>3542</v>
      </c>
      <c r="M1356" s="61" t="s">
        <v>5880</v>
      </c>
      <c r="N1356" s="61"/>
      <c r="O1356" s="61" t="s">
        <v>8524</v>
      </c>
      <c r="P1356" s="67" t="str">
        <f t="shared" si="8"/>
        <v>51.5001631, 31.2789432</v>
      </c>
      <c r="Q1356" s="67" t="str">
        <f t="shared" si="2"/>
        <v>51.499357, 31.279112</v>
      </c>
      <c r="R1356" s="67">
        <f t="shared" si="3"/>
        <v>51.499357</v>
      </c>
      <c r="S1356" s="67">
        <f t="shared" si="4"/>
        <v>31.279112</v>
      </c>
      <c r="T1356" s="161"/>
      <c r="U1356" s="69"/>
      <c r="V1356" s="169" t="s">
        <v>13568</v>
      </c>
      <c r="W1356" s="71" t="s">
        <v>6641</v>
      </c>
      <c r="X1356" s="72" t="s">
        <v>2982</v>
      </c>
      <c r="Y1356" s="61" t="s">
        <v>5820</v>
      </c>
      <c r="Z1356" s="73"/>
      <c r="AA1356" s="73"/>
      <c r="AB1356" s="73"/>
      <c r="AC1356" s="73"/>
      <c r="AD1356" s="73"/>
      <c r="AE1356" s="73"/>
      <c r="AF1356" s="73"/>
      <c r="AG1356" s="73"/>
      <c r="AH1356" s="73"/>
      <c r="AI1356" s="73"/>
      <c r="AJ1356" s="161"/>
      <c r="AK1356" s="76" t="s">
        <v>798</v>
      </c>
      <c r="AL1356" s="83" t="s">
        <v>13569</v>
      </c>
      <c r="AM1356" s="71" t="s">
        <v>13570</v>
      </c>
      <c r="AN1356" s="84" t="s">
        <v>13571</v>
      </c>
      <c r="AO1356" s="71" t="s">
        <v>13572</v>
      </c>
      <c r="AP1356" s="161" t="str">
        <f>IMAGE("https://bellingcat-archive.nyc3.cdn.digitaloceanspaces.com/Ukraine_Witness_Datasheet/Worksheet/youtube_dl_1499355556045328386/out7.jpg")</f>
        <v/>
      </c>
      <c r="AQ1356" s="84" t="s">
        <v>13573</v>
      </c>
      <c r="AR1356" s="71" t="s">
        <v>13574</v>
      </c>
      <c r="AS1356" s="71" t="s">
        <v>13575</v>
      </c>
      <c r="AT1356" s="62">
        <v>12.666</v>
      </c>
      <c r="AU1356" s="79" t="s">
        <v>362</v>
      </c>
      <c r="AV1356" s="80" t="s">
        <v>63</v>
      </c>
      <c r="AW1356" s="81"/>
    </row>
    <row r="1357" ht="15.75" customHeight="1">
      <c r="A1357" s="208" t="s">
        <v>12532</v>
      </c>
      <c r="B1357" s="73"/>
      <c r="C1357" s="57" t="s">
        <v>12050</v>
      </c>
      <c r="D1357" s="104">
        <v>51.500469</v>
      </c>
      <c r="E1357" s="104">
        <v>31.278444</v>
      </c>
      <c r="F1357" s="79">
        <v>5.0</v>
      </c>
      <c r="G1357" s="317" t="s">
        <v>13576</v>
      </c>
      <c r="H1357" s="73"/>
      <c r="I1357" s="494" t="s">
        <v>13557</v>
      </c>
      <c r="J1357" s="71" t="s">
        <v>13577</v>
      </c>
      <c r="K1357" s="69"/>
      <c r="L1357" s="65" t="s">
        <v>3542</v>
      </c>
      <c r="M1357" s="61" t="s">
        <v>5880</v>
      </c>
      <c r="N1357" s="61"/>
      <c r="O1357" s="61" t="s">
        <v>8524</v>
      </c>
      <c r="P1357" s="67" t="str">
        <f t="shared" si="8"/>
        <v>51.500469, 31.278444</v>
      </c>
      <c r="Q1357" s="67" t="str">
        <f t="shared" si="2"/>
        <v>51.500089, 31.277737</v>
      </c>
      <c r="R1357" s="67">
        <f t="shared" si="3"/>
        <v>51.500089</v>
      </c>
      <c r="S1357" s="67">
        <f t="shared" si="4"/>
        <v>31.277737</v>
      </c>
      <c r="T1357" s="161"/>
      <c r="U1357" s="69"/>
      <c r="V1357" s="65" t="s">
        <v>13578</v>
      </c>
      <c r="W1357" s="71" t="s">
        <v>8546</v>
      </c>
      <c r="X1357" s="194"/>
      <c r="Y1357" s="216" t="s">
        <v>5820</v>
      </c>
      <c r="Z1357" s="73"/>
      <c r="AA1357" s="73"/>
      <c r="AB1357" s="73"/>
      <c r="AC1357" s="73"/>
      <c r="AD1357" s="73"/>
      <c r="AE1357" s="73"/>
      <c r="AF1357" s="73"/>
      <c r="AG1357" s="73"/>
      <c r="AH1357" s="73"/>
      <c r="AI1357" s="73"/>
      <c r="AJ1357" s="161"/>
      <c r="AK1357" s="76" t="s">
        <v>798</v>
      </c>
      <c r="AL1357" s="83" t="s">
        <v>13579</v>
      </c>
      <c r="AM1357" s="71" t="s">
        <v>13580</v>
      </c>
      <c r="AN1357" s="84" t="s">
        <v>13581</v>
      </c>
      <c r="AO1357" s="71" t="s">
        <v>13582</v>
      </c>
      <c r="AP1357" s="161" t="str">
        <f>IMAGE("https://bellingcat-archive.nyc3.cdn.digitaloceanspaces.com/Ukraine_Witness_Datasheet/Worksheet/youtube_dl_1499455753282899974/out7.jpg")</f>
        <v/>
      </c>
      <c r="AQ1357" s="84" t="s">
        <v>13583</v>
      </c>
      <c r="AR1357" s="71" t="s">
        <v>13584</v>
      </c>
      <c r="AS1357" s="71" t="s">
        <v>13585</v>
      </c>
      <c r="AT1357" s="62">
        <v>45.0</v>
      </c>
      <c r="AU1357" s="89"/>
      <c r="AV1357" s="162"/>
      <c r="AW1357" s="81"/>
    </row>
    <row r="1358" ht="15.75" customHeight="1">
      <c r="A1358" s="72" t="s">
        <v>5457</v>
      </c>
      <c r="B1358" s="73"/>
      <c r="C1358" s="57" t="s">
        <v>12050</v>
      </c>
      <c r="D1358" s="104">
        <v>51.500469</v>
      </c>
      <c r="E1358" s="104">
        <v>31.278444</v>
      </c>
      <c r="F1358" s="79">
        <v>3.0</v>
      </c>
      <c r="G1358" s="317" t="s">
        <v>13586</v>
      </c>
      <c r="H1358" s="73"/>
      <c r="I1358" s="494" t="s">
        <v>13557</v>
      </c>
      <c r="J1358" s="71" t="s">
        <v>13567</v>
      </c>
      <c r="K1358" s="69"/>
      <c r="L1358" s="65" t="s">
        <v>3542</v>
      </c>
      <c r="M1358" s="61" t="s">
        <v>5880</v>
      </c>
      <c r="N1358" s="61"/>
      <c r="O1358" s="61" t="s">
        <v>8524</v>
      </c>
      <c r="P1358" s="67" t="str">
        <f t="shared" si="8"/>
        <v>51.500469, 31.278444</v>
      </c>
      <c r="Q1358" s="67" t="str">
        <f t="shared" si="2"/>
        <v>51.499995, 31.278568</v>
      </c>
      <c r="R1358" s="67">
        <f t="shared" si="3"/>
        <v>51.499995</v>
      </c>
      <c r="S1358" s="67">
        <f t="shared" si="4"/>
        <v>31.278568</v>
      </c>
      <c r="T1358" s="161"/>
      <c r="U1358" s="69"/>
      <c r="V1358" s="65" t="s">
        <v>13587</v>
      </c>
      <c r="W1358" s="71" t="s">
        <v>6641</v>
      </c>
      <c r="X1358" s="72" t="s">
        <v>2982</v>
      </c>
      <c r="Y1358" s="216" t="s">
        <v>5820</v>
      </c>
      <c r="Z1358" s="73"/>
      <c r="AA1358" s="73"/>
      <c r="AB1358" s="73"/>
      <c r="AC1358" s="73"/>
      <c r="AD1358" s="73"/>
      <c r="AE1358" s="73"/>
      <c r="AF1358" s="73"/>
      <c r="AG1358" s="73"/>
      <c r="AH1358" s="73"/>
      <c r="AI1358" s="73"/>
      <c r="AJ1358" s="161"/>
      <c r="AK1358" s="76" t="s">
        <v>2108</v>
      </c>
      <c r="AL1358" s="83" t="s">
        <v>13588</v>
      </c>
      <c r="AM1358" s="71" t="s">
        <v>13589</v>
      </c>
      <c r="AN1358" s="84" t="s">
        <v>13590</v>
      </c>
      <c r="AO1358" s="71" t="s">
        <v>13591</v>
      </c>
      <c r="AP1358" s="161" t="str">
        <f>IMAGE("https://bellingcat-archive.nyc3.cdn.digitaloceanspaces.com/Ukraine_Witness_Datasheet/Worksheet/twitter__media_FM68iGTWQAMugOy.jpg")</f>
        <v/>
      </c>
      <c r="AQ1358" s="161"/>
      <c r="AR1358" s="161"/>
      <c r="AS1358" s="71" t="s">
        <v>13592</v>
      </c>
      <c r="AT1358" s="75"/>
      <c r="AU1358" s="89"/>
      <c r="AV1358" s="80" t="s">
        <v>63</v>
      </c>
      <c r="AW1358" s="81"/>
    </row>
    <row r="1359" ht="15.75" customHeight="1">
      <c r="A1359" s="208" t="s">
        <v>12532</v>
      </c>
      <c r="B1359" s="73"/>
      <c r="C1359" s="57" t="s">
        <v>12050</v>
      </c>
      <c r="D1359" s="104">
        <v>51.49909</v>
      </c>
      <c r="E1359" s="104">
        <v>31.277315</v>
      </c>
      <c r="F1359" s="79">
        <v>3.0</v>
      </c>
      <c r="G1359" s="317" t="s">
        <v>13593</v>
      </c>
      <c r="H1359" s="73"/>
      <c r="I1359" s="494" t="s">
        <v>13557</v>
      </c>
      <c r="J1359" s="71" t="s">
        <v>13594</v>
      </c>
      <c r="K1359" s="69"/>
      <c r="L1359" s="65" t="s">
        <v>3542</v>
      </c>
      <c r="M1359" s="61" t="s">
        <v>5880</v>
      </c>
      <c r="N1359" s="61"/>
      <c r="O1359" s="61" t="s">
        <v>8524</v>
      </c>
      <c r="P1359" s="67" t="str">
        <f t="shared" si="8"/>
        <v>51.49909, 31.277315</v>
      </c>
      <c r="Q1359" s="67" t="str">
        <f t="shared" si="2"/>
        <v>51.498972, 31.27807</v>
      </c>
      <c r="R1359" s="67">
        <f t="shared" si="3"/>
        <v>51.498972</v>
      </c>
      <c r="S1359" s="67">
        <f t="shared" si="4"/>
        <v>31.27807</v>
      </c>
      <c r="T1359" s="161"/>
      <c r="U1359" s="69"/>
      <c r="V1359" s="169" t="s">
        <v>13595</v>
      </c>
      <c r="W1359" s="71" t="s">
        <v>9711</v>
      </c>
      <c r="X1359" s="194"/>
      <c r="Y1359" s="216" t="s">
        <v>5820</v>
      </c>
      <c r="Z1359" s="73"/>
      <c r="AA1359" s="73"/>
      <c r="AB1359" s="73"/>
      <c r="AC1359" s="73"/>
      <c r="AD1359" s="73"/>
      <c r="AE1359" s="73"/>
      <c r="AF1359" s="73"/>
      <c r="AG1359" s="73"/>
      <c r="AH1359" s="73"/>
      <c r="AI1359" s="73"/>
      <c r="AJ1359" s="161"/>
      <c r="AK1359" s="76" t="s">
        <v>798</v>
      </c>
      <c r="AL1359" s="83" t="s">
        <v>13596</v>
      </c>
      <c r="AM1359" s="71" t="s">
        <v>13597</v>
      </c>
      <c r="AN1359" s="84" t="s">
        <v>13598</v>
      </c>
      <c r="AO1359" s="71" t="s">
        <v>13599</v>
      </c>
      <c r="AP1359" s="161" t="str">
        <f>IMAGE("https://bellingcat-archive.nyc3.cdn.digitaloceanspaces.com/Ukraine_Witness_Datasheet/Worksheet/youtube_dl_1499349949158416384/out7.jpg")</f>
        <v/>
      </c>
      <c r="AQ1359" s="84" t="s">
        <v>13600</v>
      </c>
      <c r="AR1359" s="71" t="s">
        <v>13601</v>
      </c>
      <c r="AS1359" s="71" t="s">
        <v>13602</v>
      </c>
      <c r="AT1359" s="62">
        <v>38.335</v>
      </c>
      <c r="AU1359" s="89"/>
      <c r="AV1359" s="162"/>
      <c r="AW1359" s="81"/>
    </row>
    <row r="1360" ht="15.75" customHeight="1">
      <c r="A1360" s="208" t="s">
        <v>12532</v>
      </c>
      <c r="B1360" s="73"/>
      <c r="C1360" s="57" t="s">
        <v>12050</v>
      </c>
      <c r="D1360" s="104">
        <v>51.500469</v>
      </c>
      <c r="E1360" s="104">
        <v>31.278444</v>
      </c>
      <c r="F1360" s="79">
        <v>3.0</v>
      </c>
      <c r="G1360" s="317" t="s">
        <v>13603</v>
      </c>
      <c r="H1360" s="73"/>
      <c r="I1360" s="494" t="s">
        <v>13557</v>
      </c>
      <c r="J1360" s="476" t="s">
        <v>13558</v>
      </c>
      <c r="K1360" s="69"/>
      <c r="L1360" s="70"/>
      <c r="M1360" s="73"/>
      <c r="N1360" s="73"/>
      <c r="O1360" s="73"/>
      <c r="P1360" s="67" t="str">
        <f t="shared" si="8"/>
        <v>51.500469, 31.278444</v>
      </c>
      <c r="Q1360" s="67" t="str">
        <f t="shared" si="2"/>
        <v>51.499828, 31.279137</v>
      </c>
      <c r="R1360" s="67">
        <f t="shared" si="3"/>
        <v>51.499828</v>
      </c>
      <c r="S1360" s="67">
        <f t="shared" si="4"/>
        <v>31.279137</v>
      </c>
      <c r="T1360" s="161"/>
      <c r="U1360" s="69"/>
      <c r="V1360" s="65" t="s">
        <v>13604</v>
      </c>
      <c r="W1360" s="161"/>
      <c r="X1360" s="194"/>
      <c r="Y1360" s="216" t="s">
        <v>5820</v>
      </c>
      <c r="Z1360" s="73"/>
      <c r="AA1360" s="73"/>
      <c r="AB1360" s="73"/>
      <c r="AC1360" s="73"/>
      <c r="AD1360" s="73"/>
      <c r="AE1360" s="73"/>
      <c r="AF1360" s="73"/>
      <c r="AG1360" s="73"/>
      <c r="AH1360" s="73"/>
      <c r="AI1360" s="73"/>
      <c r="AJ1360" s="161"/>
      <c r="AK1360" s="76" t="s">
        <v>2108</v>
      </c>
      <c r="AL1360" s="83" t="s">
        <v>13605</v>
      </c>
      <c r="AM1360" s="71" t="s">
        <v>13606</v>
      </c>
      <c r="AN1360" s="84" t="s">
        <v>13607</v>
      </c>
      <c r="AO1360" s="71" t="s">
        <v>13608</v>
      </c>
      <c r="AP1360" s="161" t="str">
        <f>IMAGE("https://bellingcat-archive.nyc3.cdn.digitaloceanspaces.com/Ukraine_Witness_Datasheet/Worksheet/twitter__media_FNAbd_GXMAIoqvQ.jpg")</f>
        <v/>
      </c>
      <c r="AQ1360" s="161"/>
      <c r="AR1360" s="161"/>
      <c r="AS1360" s="71" t="s">
        <v>13609</v>
      </c>
      <c r="AT1360" s="75"/>
      <c r="AU1360" s="89"/>
      <c r="AV1360" s="162"/>
      <c r="AW1360" s="81"/>
    </row>
    <row r="1361" ht="15.75" customHeight="1">
      <c r="A1361" s="373" t="s">
        <v>6924</v>
      </c>
      <c r="B1361" s="73"/>
      <c r="C1361" s="57" t="s">
        <v>12959</v>
      </c>
      <c r="D1361" s="241"/>
      <c r="E1361" s="241"/>
      <c r="F1361" s="89"/>
      <c r="G1361" s="317" t="s">
        <v>13610</v>
      </c>
      <c r="H1361" s="73"/>
      <c r="I1361" s="494" t="s">
        <v>13611</v>
      </c>
      <c r="J1361" s="476" t="s">
        <v>13612</v>
      </c>
      <c r="K1361" s="69"/>
      <c r="L1361" s="70"/>
      <c r="M1361" s="73"/>
      <c r="N1361" s="73"/>
      <c r="O1361" s="73"/>
      <c r="P1361" s="67" t="str">
        <f t="shared" si="8"/>
        <v/>
      </c>
      <c r="Q1361" s="67" t="str">
        <f t="shared" si="2"/>
        <v/>
      </c>
      <c r="R1361" s="67" t="str">
        <f t="shared" si="3"/>
        <v/>
      </c>
      <c r="S1361" s="67" t="str">
        <f t="shared" si="4"/>
        <v/>
      </c>
      <c r="T1361" s="161"/>
      <c r="U1361" s="69"/>
      <c r="V1361" s="65" t="s">
        <v>13613</v>
      </c>
      <c r="W1361" s="161"/>
      <c r="X1361" s="194"/>
      <c r="Y1361" s="216" t="s">
        <v>5820</v>
      </c>
      <c r="Z1361" s="73"/>
      <c r="AA1361" s="73"/>
      <c r="AB1361" s="73"/>
      <c r="AC1361" s="73"/>
      <c r="AD1361" s="73"/>
      <c r="AE1361" s="73"/>
      <c r="AF1361" s="73"/>
      <c r="AG1361" s="73"/>
      <c r="AH1361" s="73"/>
      <c r="AI1361" s="73"/>
      <c r="AJ1361" s="161"/>
      <c r="AK1361" s="76" t="s">
        <v>6276</v>
      </c>
      <c r="AL1361" s="83" t="s">
        <v>13614</v>
      </c>
      <c r="AM1361" s="71" t="s">
        <v>13615</v>
      </c>
      <c r="AN1361" s="84" t="s">
        <v>13616</v>
      </c>
      <c r="AO1361" s="71" t="s">
        <v>13617</v>
      </c>
      <c r="AP1361" s="161" t="str">
        <f>IMAGE("https://bellingcat-archive.nyc3.cdn.digitaloceanspaces.com/Ukraine_Witness_Datasheet/Worksheet/telegram_vwNmaHm23kBw5bUUpDpvr5THNkrZYdGz5e1Ku4wdvMv281iKvPs5PRpGBajLSWUqdSwU6gm2kwJqHTN-kG1T1THdv5Rh-yAyxHuyAdkutnj-n8q_dBGsNEMGZDySip3w.jpg")</f>
        <v/>
      </c>
      <c r="AQ1361" s="161"/>
      <c r="AR1361" s="161"/>
      <c r="AS1361" s="71" t="s">
        <v>13618</v>
      </c>
      <c r="AT1361" s="75"/>
      <c r="AU1361" s="89"/>
      <c r="AV1361" s="162"/>
      <c r="AW1361" s="81"/>
    </row>
    <row r="1362" ht="15.75" customHeight="1">
      <c r="A1362" s="373" t="s">
        <v>6924</v>
      </c>
      <c r="B1362" s="73"/>
      <c r="C1362" s="57" t="s">
        <v>12959</v>
      </c>
      <c r="D1362" s="260"/>
      <c r="E1362" s="260"/>
      <c r="F1362" s="89"/>
      <c r="G1362" s="60" t="s">
        <v>13619</v>
      </c>
      <c r="H1362" s="73"/>
      <c r="I1362" s="494" t="s">
        <v>13611</v>
      </c>
      <c r="J1362" s="476" t="s">
        <v>13612</v>
      </c>
      <c r="K1362" s="69"/>
      <c r="L1362" s="70"/>
      <c r="M1362" s="73"/>
      <c r="N1362" s="73"/>
      <c r="O1362" s="73"/>
      <c r="P1362" s="67" t="str">
        <f t="shared" si="8"/>
        <v/>
      </c>
      <c r="Q1362" s="67" t="str">
        <f t="shared" si="2"/>
        <v/>
      </c>
      <c r="R1362" s="67" t="str">
        <f t="shared" si="3"/>
        <v/>
      </c>
      <c r="S1362" s="67" t="str">
        <f t="shared" si="4"/>
        <v/>
      </c>
      <c r="T1362" s="161"/>
      <c r="U1362" s="69"/>
      <c r="V1362" s="169" t="s">
        <v>13620</v>
      </c>
      <c r="W1362" s="161"/>
      <c r="X1362" s="194"/>
      <c r="Y1362" s="216" t="s">
        <v>5820</v>
      </c>
      <c r="Z1362" s="73"/>
      <c r="AA1362" s="73"/>
      <c r="AB1362" s="73"/>
      <c r="AC1362" s="73"/>
      <c r="AD1362" s="73"/>
      <c r="AE1362" s="73"/>
      <c r="AF1362" s="73"/>
      <c r="AG1362" s="73"/>
      <c r="AH1362" s="73"/>
      <c r="AI1362" s="73"/>
      <c r="AJ1362" s="161"/>
      <c r="AK1362" s="76" t="s">
        <v>1261</v>
      </c>
      <c r="AL1362" s="83" t="s">
        <v>13621</v>
      </c>
      <c r="AM1362" s="71" t="s">
        <v>13622</v>
      </c>
      <c r="AN1362" s="84" t="s">
        <v>13623</v>
      </c>
      <c r="AO1362" s="161"/>
      <c r="AP1362" s="161"/>
      <c r="AQ1362" s="161"/>
      <c r="AR1362" s="71" t="s">
        <v>2228</v>
      </c>
      <c r="AS1362" s="161"/>
      <c r="AT1362" s="75"/>
      <c r="AU1362" s="89"/>
      <c r="AV1362" s="162"/>
      <c r="AW1362" s="81"/>
    </row>
    <row r="1363" ht="15.75" customHeight="1">
      <c r="A1363" s="373" t="s">
        <v>6924</v>
      </c>
      <c r="B1363" s="73"/>
      <c r="C1363" s="57" t="s">
        <v>12959</v>
      </c>
      <c r="D1363" s="260"/>
      <c r="E1363" s="260"/>
      <c r="F1363" s="89"/>
      <c r="G1363" s="317" t="s">
        <v>13624</v>
      </c>
      <c r="H1363" s="73"/>
      <c r="I1363" s="494" t="s">
        <v>13611</v>
      </c>
      <c r="J1363" s="476" t="s">
        <v>13612</v>
      </c>
      <c r="K1363" s="69"/>
      <c r="L1363" s="70"/>
      <c r="M1363" s="73"/>
      <c r="N1363" s="73"/>
      <c r="O1363" s="73"/>
      <c r="P1363" s="67" t="str">
        <f t="shared" si="8"/>
        <v/>
      </c>
      <c r="Q1363" s="67" t="str">
        <f t="shared" si="2"/>
        <v/>
      </c>
      <c r="R1363" s="67" t="str">
        <f t="shared" si="3"/>
        <v/>
      </c>
      <c r="S1363" s="67" t="str">
        <f t="shared" si="4"/>
        <v/>
      </c>
      <c r="T1363" s="161"/>
      <c r="U1363" s="69"/>
      <c r="V1363" s="169" t="s">
        <v>13625</v>
      </c>
      <c r="W1363" s="161"/>
      <c r="X1363" s="194"/>
      <c r="Y1363" s="216" t="s">
        <v>5820</v>
      </c>
      <c r="Z1363" s="73"/>
      <c r="AA1363" s="73"/>
      <c r="AB1363" s="73"/>
      <c r="AC1363" s="73"/>
      <c r="AD1363" s="73"/>
      <c r="AE1363" s="73"/>
      <c r="AF1363" s="73"/>
      <c r="AG1363" s="73"/>
      <c r="AH1363" s="73"/>
      <c r="AI1363" s="73"/>
      <c r="AJ1363" s="161"/>
      <c r="AK1363" s="76" t="s">
        <v>798</v>
      </c>
      <c r="AL1363" s="83" t="s">
        <v>13626</v>
      </c>
      <c r="AM1363" s="71" t="s">
        <v>13627</v>
      </c>
      <c r="AN1363" s="84" t="s">
        <v>13628</v>
      </c>
      <c r="AO1363" s="71" t="s">
        <v>13629</v>
      </c>
      <c r="AP1363" s="161" t="str">
        <f>IMAGE("https://bellingcat-archive.nyc3.cdn.digitaloceanspaces.com/Ukraine_Witness_Datasheet/Worksheet/youtube_dl_287010830206212/out7.jpg")</f>
        <v/>
      </c>
      <c r="AQ1363" s="84" t="s">
        <v>13630</v>
      </c>
      <c r="AR1363" s="71" t="s">
        <v>13631</v>
      </c>
      <c r="AS1363" s="71" t="s">
        <v>13632</v>
      </c>
      <c r="AT1363" s="62">
        <v>38.266</v>
      </c>
      <c r="AU1363" s="89"/>
      <c r="AV1363" s="162"/>
      <c r="AW1363" s="81"/>
    </row>
    <row r="1364" ht="15.75" customHeight="1">
      <c r="A1364" s="373" t="s">
        <v>6924</v>
      </c>
      <c r="B1364" s="73"/>
      <c r="C1364" s="57" t="s">
        <v>12959</v>
      </c>
      <c r="D1364" s="260"/>
      <c r="E1364" s="260"/>
      <c r="F1364" s="89"/>
      <c r="G1364" s="317" t="s">
        <v>13633</v>
      </c>
      <c r="H1364" s="73"/>
      <c r="I1364" s="494" t="s">
        <v>13611</v>
      </c>
      <c r="J1364" s="476" t="s">
        <v>13612</v>
      </c>
      <c r="K1364" s="69"/>
      <c r="L1364" s="70"/>
      <c r="M1364" s="73"/>
      <c r="N1364" s="73"/>
      <c r="O1364" s="73"/>
      <c r="P1364" s="67" t="str">
        <f t="shared" si="8"/>
        <v/>
      </c>
      <c r="Q1364" s="67" t="str">
        <f t="shared" si="2"/>
        <v/>
      </c>
      <c r="R1364" s="67" t="str">
        <f t="shared" si="3"/>
        <v/>
      </c>
      <c r="S1364" s="67" t="str">
        <f t="shared" si="4"/>
        <v/>
      </c>
      <c r="T1364" s="161"/>
      <c r="U1364" s="69"/>
      <c r="V1364" s="65" t="s">
        <v>13634</v>
      </c>
      <c r="W1364" s="161"/>
      <c r="X1364" s="194"/>
      <c r="Y1364" s="216" t="s">
        <v>5820</v>
      </c>
      <c r="Z1364" s="73"/>
      <c r="AA1364" s="73"/>
      <c r="AB1364" s="73"/>
      <c r="AC1364" s="73"/>
      <c r="AD1364" s="73"/>
      <c r="AE1364" s="73"/>
      <c r="AF1364" s="73"/>
      <c r="AG1364" s="73"/>
      <c r="AH1364" s="73"/>
      <c r="AI1364" s="73"/>
      <c r="AJ1364" s="161"/>
      <c r="AK1364" s="76" t="s">
        <v>1261</v>
      </c>
      <c r="AL1364" s="83" t="s">
        <v>13635</v>
      </c>
      <c r="AM1364" s="71" t="s">
        <v>13636</v>
      </c>
      <c r="AN1364" s="84" t="s">
        <v>13637</v>
      </c>
      <c r="AO1364" s="161"/>
      <c r="AP1364" s="161"/>
      <c r="AQ1364" s="161"/>
      <c r="AR1364" s="71" t="s">
        <v>2228</v>
      </c>
      <c r="AS1364" s="161"/>
      <c r="AT1364" s="75"/>
      <c r="AU1364" s="89"/>
      <c r="AV1364" s="162"/>
      <c r="AW1364" s="81"/>
    </row>
    <row r="1365" ht="15.75" customHeight="1">
      <c r="A1365" s="373" t="s">
        <v>6924</v>
      </c>
      <c r="B1365" s="73"/>
      <c r="C1365" s="57" t="s">
        <v>12959</v>
      </c>
      <c r="D1365" s="260"/>
      <c r="E1365" s="260"/>
      <c r="F1365" s="89"/>
      <c r="G1365" s="317" t="s">
        <v>13638</v>
      </c>
      <c r="H1365" s="73"/>
      <c r="I1365" s="494" t="s">
        <v>13611</v>
      </c>
      <c r="J1365" s="476" t="s">
        <v>13612</v>
      </c>
      <c r="K1365" s="69"/>
      <c r="L1365" s="70"/>
      <c r="M1365" s="73"/>
      <c r="N1365" s="73"/>
      <c r="O1365" s="73"/>
      <c r="P1365" s="67" t="str">
        <f t="shared" si="8"/>
        <v/>
      </c>
      <c r="Q1365" s="67" t="str">
        <f t="shared" si="2"/>
        <v/>
      </c>
      <c r="R1365" s="67" t="str">
        <f t="shared" si="3"/>
        <v/>
      </c>
      <c r="S1365" s="67" t="str">
        <f t="shared" si="4"/>
        <v/>
      </c>
      <c r="T1365" s="161"/>
      <c r="U1365" s="69"/>
      <c r="V1365" s="169" t="s">
        <v>13639</v>
      </c>
      <c r="W1365" s="161"/>
      <c r="X1365" s="194"/>
      <c r="Y1365" s="216" t="s">
        <v>5820</v>
      </c>
      <c r="Z1365" s="73"/>
      <c r="AA1365" s="73"/>
      <c r="AB1365" s="73"/>
      <c r="AC1365" s="73"/>
      <c r="AD1365" s="73"/>
      <c r="AE1365" s="73"/>
      <c r="AF1365" s="73"/>
      <c r="AG1365" s="73"/>
      <c r="AH1365" s="73"/>
      <c r="AI1365" s="73"/>
      <c r="AJ1365" s="161"/>
      <c r="AK1365" s="76" t="s">
        <v>1261</v>
      </c>
      <c r="AL1365" s="83" t="s">
        <v>13640</v>
      </c>
      <c r="AM1365" s="71" t="s">
        <v>13641</v>
      </c>
      <c r="AN1365" s="84" t="s">
        <v>13642</v>
      </c>
      <c r="AO1365" s="161"/>
      <c r="AP1365" s="161"/>
      <c r="AQ1365" s="161"/>
      <c r="AR1365" s="71" t="s">
        <v>2228</v>
      </c>
      <c r="AS1365" s="161"/>
      <c r="AT1365" s="75"/>
      <c r="AU1365" s="89"/>
      <c r="AV1365" s="162"/>
      <c r="AW1365" s="81"/>
    </row>
    <row r="1366" ht="15.75" customHeight="1">
      <c r="A1366" s="208" t="s">
        <v>12532</v>
      </c>
      <c r="B1366" s="73"/>
      <c r="C1366" s="57" t="s">
        <v>9941</v>
      </c>
      <c r="D1366" s="104">
        <v>47.110145</v>
      </c>
      <c r="E1366" s="104">
        <v>37.552951</v>
      </c>
      <c r="F1366" s="79">
        <v>3.0</v>
      </c>
      <c r="G1366" s="60" t="s">
        <v>13643</v>
      </c>
      <c r="H1366" s="73"/>
      <c r="I1366" s="495" t="s">
        <v>13644</v>
      </c>
      <c r="J1366" s="71" t="s">
        <v>13645</v>
      </c>
      <c r="K1366" s="69"/>
      <c r="L1366" s="65" t="s">
        <v>3542</v>
      </c>
      <c r="M1366" s="61" t="s">
        <v>5750</v>
      </c>
      <c r="N1366" s="73"/>
      <c r="O1366" s="61" t="s">
        <v>6109</v>
      </c>
      <c r="P1366" s="67" t="str">
        <f t="shared" si="8"/>
        <v>47.110145, 37.552951</v>
      </c>
      <c r="Q1366" s="67" t="str">
        <f t="shared" si="2"/>
        <v>47.109748, 37.551956</v>
      </c>
      <c r="R1366" s="67">
        <f t="shared" si="3"/>
        <v>47.109748</v>
      </c>
      <c r="S1366" s="67">
        <f t="shared" si="4"/>
        <v>37.551956</v>
      </c>
      <c r="T1366" s="161"/>
      <c r="U1366" s="69"/>
      <c r="V1366" s="169" t="s">
        <v>13646</v>
      </c>
      <c r="W1366" s="161"/>
      <c r="X1366" s="208"/>
      <c r="Y1366" s="216" t="s">
        <v>5820</v>
      </c>
      <c r="Z1366" s="73"/>
      <c r="AA1366" s="73"/>
      <c r="AB1366" s="73"/>
      <c r="AC1366" s="73"/>
      <c r="AD1366" s="73"/>
      <c r="AE1366" s="73"/>
      <c r="AF1366" s="73"/>
      <c r="AG1366" s="73"/>
      <c r="AH1366" s="73"/>
      <c r="AI1366" s="73"/>
      <c r="AJ1366" s="161"/>
      <c r="AK1366" s="76" t="s">
        <v>13647</v>
      </c>
      <c r="AL1366" s="269"/>
      <c r="AM1366" s="161"/>
      <c r="AN1366" s="161"/>
      <c r="AO1366" s="161"/>
      <c r="AP1366" s="161"/>
      <c r="AQ1366" s="161"/>
      <c r="AR1366" s="161"/>
      <c r="AS1366" s="161"/>
      <c r="AT1366" s="75"/>
      <c r="AU1366" s="89"/>
      <c r="AV1366" s="162"/>
      <c r="AW1366" s="81"/>
    </row>
    <row r="1367" ht="15.75" customHeight="1">
      <c r="A1367" s="208" t="s">
        <v>12532</v>
      </c>
      <c r="B1367" s="73"/>
      <c r="C1367" s="57" t="s">
        <v>9941</v>
      </c>
      <c r="D1367" s="74">
        <v>47.112148</v>
      </c>
      <c r="E1367" s="74">
        <v>37.553096</v>
      </c>
      <c r="F1367" s="79">
        <v>2.0</v>
      </c>
      <c r="G1367" s="60" t="s">
        <v>13648</v>
      </c>
      <c r="H1367" s="73"/>
      <c r="I1367" s="495" t="s">
        <v>13644</v>
      </c>
      <c r="J1367" s="476" t="s">
        <v>13649</v>
      </c>
      <c r="K1367" s="69"/>
      <c r="L1367" s="70"/>
      <c r="M1367" s="73"/>
      <c r="N1367" s="73"/>
      <c r="O1367" s="73"/>
      <c r="P1367" s="67" t="str">
        <f t="shared" si="8"/>
        <v>47.112148, 37.553096</v>
      </c>
      <c r="Q1367" s="67" t="str">
        <f t="shared" si="2"/>
        <v>47.112096, 37.553689</v>
      </c>
      <c r="R1367" s="67">
        <f t="shared" si="3"/>
        <v>47.112096</v>
      </c>
      <c r="S1367" s="67">
        <f t="shared" si="4"/>
        <v>37.553689</v>
      </c>
      <c r="T1367" s="161"/>
      <c r="U1367" s="69"/>
      <c r="V1367" s="65" t="s">
        <v>13650</v>
      </c>
      <c r="W1367" s="161"/>
      <c r="X1367" s="194"/>
      <c r="Y1367" s="216" t="s">
        <v>5820</v>
      </c>
      <c r="Z1367" s="73"/>
      <c r="AA1367" s="73"/>
      <c r="AB1367" s="73"/>
      <c r="AC1367" s="73"/>
      <c r="AD1367" s="73"/>
      <c r="AE1367" s="73"/>
      <c r="AF1367" s="73"/>
      <c r="AG1367" s="73"/>
      <c r="AH1367" s="73"/>
      <c r="AI1367" s="73"/>
      <c r="AJ1367" s="161"/>
      <c r="AK1367" s="76" t="s">
        <v>13647</v>
      </c>
      <c r="AL1367" s="269"/>
      <c r="AM1367" s="161"/>
      <c r="AN1367" s="161"/>
      <c r="AO1367" s="161"/>
      <c r="AP1367" s="161"/>
      <c r="AQ1367" s="161"/>
      <c r="AR1367" s="161"/>
      <c r="AS1367" s="161"/>
      <c r="AT1367" s="75"/>
      <c r="AU1367" s="89"/>
      <c r="AV1367" s="162"/>
      <c r="AW1367" s="81"/>
    </row>
    <row r="1368" ht="15.75" customHeight="1">
      <c r="A1368" s="208" t="s">
        <v>12532</v>
      </c>
      <c r="B1368" s="73"/>
      <c r="C1368" s="57" t="s">
        <v>9941</v>
      </c>
      <c r="D1368" s="74">
        <v>47.112148</v>
      </c>
      <c r="E1368" s="74">
        <v>37.553096</v>
      </c>
      <c r="F1368" s="79">
        <v>2.0</v>
      </c>
      <c r="G1368" s="317" t="s">
        <v>13651</v>
      </c>
      <c r="H1368" s="73"/>
      <c r="I1368" s="495" t="s">
        <v>13644</v>
      </c>
      <c r="J1368" s="476" t="s">
        <v>13649</v>
      </c>
      <c r="K1368" s="69"/>
      <c r="L1368" s="70"/>
      <c r="M1368" s="73"/>
      <c r="N1368" s="73"/>
      <c r="O1368" s="73"/>
      <c r="P1368" s="67" t="str">
        <f t="shared" si="8"/>
        <v>47.112148, 37.553096</v>
      </c>
      <c r="Q1368" s="67" t="str">
        <f t="shared" si="2"/>
        <v>47.112076, 37.552515</v>
      </c>
      <c r="R1368" s="67">
        <f t="shared" si="3"/>
        <v>47.112076</v>
      </c>
      <c r="S1368" s="67">
        <f t="shared" si="4"/>
        <v>37.552515</v>
      </c>
      <c r="T1368" s="161"/>
      <c r="U1368" s="69"/>
      <c r="V1368" s="65" t="s">
        <v>13652</v>
      </c>
      <c r="W1368" s="161"/>
      <c r="X1368" s="194"/>
      <c r="Y1368" s="216" t="s">
        <v>5820</v>
      </c>
      <c r="Z1368" s="73"/>
      <c r="AA1368" s="73"/>
      <c r="AB1368" s="73"/>
      <c r="AC1368" s="73"/>
      <c r="AD1368" s="73"/>
      <c r="AE1368" s="73"/>
      <c r="AF1368" s="73"/>
      <c r="AG1368" s="73"/>
      <c r="AH1368" s="73"/>
      <c r="AI1368" s="73"/>
      <c r="AJ1368" s="161"/>
      <c r="AK1368" s="76" t="s">
        <v>1261</v>
      </c>
      <c r="AL1368" s="83" t="s">
        <v>13653</v>
      </c>
      <c r="AM1368" s="71" t="s">
        <v>13654</v>
      </c>
      <c r="AN1368" s="84" t="s">
        <v>13655</v>
      </c>
      <c r="AO1368" s="161"/>
      <c r="AP1368" s="161"/>
      <c r="AQ1368" s="161"/>
      <c r="AR1368" s="71" t="s">
        <v>2228</v>
      </c>
      <c r="AS1368" s="161"/>
      <c r="AT1368" s="75"/>
      <c r="AU1368" s="89"/>
      <c r="AV1368" s="162"/>
      <c r="AW1368" s="81"/>
    </row>
    <row r="1369" ht="15.75" customHeight="1">
      <c r="A1369" s="208" t="s">
        <v>12532</v>
      </c>
      <c r="B1369" s="73"/>
      <c r="C1369" s="57" t="s">
        <v>9941</v>
      </c>
      <c r="D1369" s="74">
        <v>47.112148</v>
      </c>
      <c r="E1369" s="74">
        <v>37.553096</v>
      </c>
      <c r="F1369" s="79">
        <v>2.0</v>
      </c>
      <c r="G1369" s="60" t="s">
        <v>13656</v>
      </c>
      <c r="H1369" s="73"/>
      <c r="I1369" s="495" t="s">
        <v>13644</v>
      </c>
      <c r="J1369" s="476" t="s">
        <v>13649</v>
      </c>
      <c r="K1369" s="69"/>
      <c r="L1369" s="70"/>
      <c r="M1369" s="73"/>
      <c r="N1369" s="73"/>
      <c r="O1369" s="73"/>
      <c r="P1369" s="67" t="str">
        <f t="shared" si="8"/>
        <v>47.112148, 37.553096</v>
      </c>
      <c r="Q1369" s="67" t="str">
        <f t="shared" si="2"/>
        <v>47.111733, 37.55419</v>
      </c>
      <c r="R1369" s="67">
        <f t="shared" si="3"/>
        <v>47.111733</v>
      </c>
      <c r="S1369" s="67">
        <f t="shared" si="4"/>
        <v>37.55419</v>
      </c>
      <c r="T1369" s="161"/>
      <c r="U1369" s="69"/>
      <c r="V1369" s="169" t="s">
        <v>13657</v>
      </c>
      <c r="W1369" s="161"/>
      <c r="X1369" s="194"/>
      <c r="Y1369" s="216" t="s">
        <v>5820</v>
      </c>
      <c r="Z1369" s="73"/>
      <c r="AA1369" s="73"/>
      <c r="AB1369" s="73"/>
      <c r="AC1369" s="73"/>
      <c r="AD1369" s="73"/>
      <c r="AE1369" s="73"/>
      <c r="AF1369" s="73"/>
      <c r="AG1369" s="73"/>
      <c r="AH1369" s="73"/>
      <c r="AI1369" s="73"/>
      <c r="AJ1369" s="161"/>
      <c r="AK1369" s="76" t="s">
        <v>6276</v>
      </c>
      <c r="AL1369" s="83" t="s">
        <v>13658</v>
      </c>
      <c r="AM1369" s="71" t="s">
        <v>13659</v>
      </c>
      <c r="AN1369" s="84" t="s">
        <v>13660</v>
      </c>
      <c r="AO1369" s="71" t="s">
        <v>13661</v>
      </c>
      <c r="AP1369" s="161" t="str">
        <f>IMAGE("https://bellingcat-archive.nyc3.cdn.digitaloceanspaces.com/Ukraine_Witness_Datasheet/Worksheet/telegram_pvIVYwiM0vNSMbOxzb0iKOd0HSwumPDsrumKeDWhDi6P9RMQImLq8ZsuO8X6TpFd_-Gf9nyocgPi0F8XX-oMfjJenseFx0AsM4mvQbjApsxTsYzTLmPw24hkANkv6XGw.jpg")</f>
        <v/>
      </c>
      <c r="AQ1369" s="161"/>
      <c r="AR1369" s="161"/>
      <c r="AS1369" s="71" t="s">
        <v>13662</v>
      </c>
      <c r="AT1369" s="75"/>
      <c r="AU1369" s="89"/>
      <c r="AV1369" s="162"/>
      <c r="AW1369" s="81"/>
    </row>
    <row r="1370" ht="15.75" customHeight="1">
      <c r="A1370" s="208" t="s">
        <v>12532</v>
      </c>
      <c r="B1370" s="73"/>
      <c r="C1370" s="57" t="s">
        <v>9941</v>
      </c>
      <c r="D1370" s="74">
        <v>47.112148</v>
      </c>
      <c r="E1370" s="74">
        <v>37.553096</v>
      </c>
      <c r="F1370" s="79">
        <v>2.0</v>
      </c>
      <c r="G1370" s="60" t="s">
        <v>13663</v>
      </c>
      <c r="H1370" s="73"/>
      <c r="I1370" s="495" t="s">
        <v>13644</v>
      </c>
      <c r="J1370" s="476" t="s">
        <v>13649</v>
      </c>
      <c r="K1370" s="69"/>
      <c r="L1370" s="70"/>
      <c r="M1370" s="73"/>
      <c r="N1370" s="73"/>
      <c r="O1370" s="73"/>
      <c r="P1370" s="67" t="str">
        <f t="shared" si="8"/>
        <v>47.112148, 37.553096</v>
      </c>
      <c r="Q1370" s="67" t="str">
        <f t="shared" si="2"/>
        <v>47.111422, 37.553657</v>
      </c>
      <c r="R1370" s="67">
        <f t="shared" si="3"/>
        <v>47.111422</v>
      </c>
      <c r="S1370" s="67">
        <f t="shared" si="4"/>
        <v>37.553657</v>
      </c>
      <c r="T1370" s="161"/>
      <c r="U1370" s="69"/>
      <c r="V1370" s="65" t="s">
        <v>13664</v>
      </c>
      <c r="W1370" s="161"/>
      <c r="X1370" s="194"/>
      <c r="Y1370" s="216" t="s">
        <v>5820</v>
      </c>
      <c r="Z1370" s="73"/>
      <c r="AA1370" s="73"/>
      <c r="AB1370" s="73"/>
      <c r="AC1370" s="73"/>
      <c r="AD1370" s="73"/>
      <c r="AE1370" s="73"/>
      <c r="AF1370" s="73"/>
      <c r="AG1370" s="73"/>
      <c r="AH1370" s="73"/>
      <c r="AI1370" s="73"/>
      <c r="AJ1370" s="161"/>
      <c r="AK1370" s="76" t="s">
        <v>6276</v>
      </c>
      <c r="AL1370" s="83" t="s">
        <v>13665</v>
      </c>
      <c r="AM1370" s="71" t="s">
        <v>13666</v>
      </c>
      <c r="AN1370" s="84" t="s">
        <v>13667</v>
      </c>
      <c r="AO1370" s="71" t="s">
        <v>13668</v>
      </c>
      <c r="AP1370" s="161" t="str">
        <f>IMAGE("https://bellingcat-archive.nyc3.cdn.digitaloceanspaces.com/Ukraine_Witness_Datasheet/Worksheet/telegram_F8xdI8DmkEwtJgksqrgUPZqeiGztY4BmGVC3QBPUP2WbDQ_mZ7hildWNI2axDmPpRSIvRrnRujhh1rCP_f-UP9G1id-J5ceEMMC9eq7CgOtxS3LCkDnTHXek2mjklZXg.jpg")</f>
        <v/>
      </c>
      <c r="AQ1370" s="161"/>
      <c r="AR1370" s="161"/>
      <c r="AS1370" s="71" t="s">
        <v>13669</v>
      </c>
      <c r="AT1370" s="75"/>
      <c r="AU1370" s="89"/>
      <c r="AV1370" s="162"/>
      <c r="AW1370" s="81"/>
    </row>
    <row r="1371" ht="15.75" customHeight="1">
      <c r="A1371" s="354" t="s">
        <v>13670</v>
      </c>
      <c r="B1371" s="73"/>
      <c r="C1371" s="57" t="s">
        <v>9941</v>
      </c>
      <c r="D1371" s="241" t="s">
        <v>13671</v>
      </c>
      <c r="E1371" s="241" t="s">
        <v>13672</v>
      </c>
      <c r="F1371" s="89"/>
      <c r="G1371" s="317" t="s">
        <v>13673</v>
      </c>
      <c r="H1371" s="73"/>
      <c r="I1371" s="495" t="s">
        <v>13644</v>
      </c>
      <c r="J1371" s="476" t="s">
        <v>13649</v>
      </c>
      <c r="K1371" s="69"/>
      <c r="L1371" s="65" t="s">
        <v>5670</v>
      </c>
      <c r="M1371" s="93" t="s">
        <v>5750</v>
      </c>
      <c r="N1371" s="73"/>
      <c r="O1371" s="328" t="s">
        <v>6109</v>
      </c>
      <c r="P1371" s="67" t="str">
        <f t="shared" si="8"/>
        <v>47.110111, 37.553005</v>
      </c>
      <c r="Q1371" s="67" t="str">
        <f t="shared" si="2"/>
        <v>47.109946, 37.553565</v>
      </c>
      <c r="R1371" s="67">
        <f t="shared" si="3"/>
        <v>47.109946</v>
      </c>
      <c r="S1371" s="67">
        <f t="shared" si="4"/>
        <v>37.553565</v>
      </c>
      <c r="T1371" s="161"/>
      <c r="U1371" s="69"/>
      <c r="V1371" s="169" t="s">
        <v>13674</v>
      </c>
      <c r="W1371" s="161"/>
      <c r="X1371" s="17" t="s">
        <v>9</v>
      </c>
      <c r="Y1371" s="216" t="s">
        <v>5820</v>
      </c>
      <c r="Z1371" s="73"/>
      <c r="AA1371" s="73"/>
      <c r="AB1371" s="73"/>
      <c r="AC1371" s="73"/>
      <c r="AD1371" s="73"/>
      <c r="AE1371" s="73"/>
      <c r="AF1371" s="73"/>
      <c r="AG1371" s="73"/>
      <c r="AH1371" s="73"/>
      <c r="AI1371" s="73"/>
      <c r="AJ1371" s="161"/>
      <c r="AK1371" s="76" t="s">
        <v>1261</v>
      </c>
      <c r="AL1371" s="83" t="s">
        <v>13675</v>
      </c>
      <c r="AM1371" s="71" t="s">
        <v>13676</v>
      </c>
      <c r="AN1371" s="84" t="s">
        <v>13677</v>
      </c>
      <c r="AO1371" s="161"/>
      <c r="AP1371" s="161"/>
      <c r="AQ1371" s="161"/>
      <c r="AR1371" s="71" t="s">
        <v>2228</v>
      </c>
      <c r="AS1371" s="161"/>
      <c r="AT1371" s="75"/>
      <c r="AU1371" s="89"/>
      <c r="AV1371" s="162"/>
      <c r="AW1371" s="81"/>
    </row>
    <row r="1372" ht="15.75" customHeight="1">
      <c r="A1372" s="373" t="s">
        <v>6924</v>
      </c>
      <c r="B1372" s="73"/>
      <c r="C1372" s="57" t="s">
        <v>8024</v>
      </c>
      <c r="D1372" s="260"/>
      <c r="E1372" s="260"/>
      <c r="F1372" s="89"/>
      <c r="G1372" s="317" t="s">
        <v>13678</v>
      </c>
      <c r="H1372" s="73"/>
      <c r="I1372" s="62" t="s">
        <v>8751</v>
      </c>
      <c r="J1372" s="476" t="s">
        <v>13679</v>
      </c>
      <c r="K1372" s="69"/>
      <c r="L1372" s="70"/>
      <c r="M1372" s="73"/>
      <c r="N1372" s="73"/>
      <c r="O1372" s="73"/>
      <c r="P1372" s="67" t="str">
        <f t="shared" si="8"/>
        <v/>
      </c>
      <c r="Q1372" s="67" t="str">
        <f t="shared" si="2"/>
        <v/>
      </c>
      <c r="R1372" s="67" t="str">
        <f t="shared" si="3"/>
        <v/>
      </c>
      <c r="S1372" s="67" t="str">
        <f t="shared" si="4"/>
        <v/>
      </c>
      <c r="T1372" s="161"/>
      <c r="U1372" s="69"/>
      <c r="V1372" s="169" t="s">
        <v>13680</v>
      </c>
      <c r="W1372" s="161"/>
      <c r="X1372" s="194"/>
      <c r="Y1372" s="252"/>
      <c r="Z1372" s="73"/>
      <c r="AA1372" s="73"/>
      <c r="AB1372" s="73"/>
      <c r="AC1372" s="73"/>
      <c r="AD1372" s="73"/>
      <c r="AE1372" s="73"/>
      <c r="AF1372" s="73"/>
      <c r="AG1372" s="73"/>
      <c r="AH1372" s="73"/>
      <c r="AI1372" s="73"/>
      <c r="AJ1372" s="161"/>
      <c r="AK1372" s="76" t="s">
        <v>1261</v>
      </c>
      <c r="AL1372" s="83" t="s">
        <v>13681</v>
      </c>
      <c r="AM1372" s="71" t="s">
        <v>13682</v>
      </c>
      <c r="AN1372" s="84" t="s">
        <v>13683</v>
      </c>
      <c r="AO1372" s="161"/>
      <c r="AP1372" s="161"/>
      <c r="AQ1372" s="161"/>
      <c r="AR1372" s="71" t="s">
        <v>13684</v>
      </c>
      <c r="AS1372" s="161"/>
      <c r="AT1372" s="75"/>
      <c r="AU1372" s="89"/>
      <c r="AV1372" s="162"/>
      <c r="AW1372" s="81"/>
    </row>
    <row r="1373" ht="15.75" customHeight="1">
      <c r="A1373" s="477" t="s">
        <v>12532</v>
      </c>
      <c r="B1373" s="73"/>
      <c r="C1373" s="57" t="s">
        <v>9028</v>
      </c>
      <c r="D1373" s="241" t="s">
        <v>9635</v>
      </c>
      <c r="E1373" s="241" t="s">
        <v>9636</v>
      </c>
      <c r="F1373" s="79">
        <v>4.0</v>
      </c>
      <c r="G1373" s="496" t="s">
        <v>13685</v>
      </c>
      <c r="H1373" s="121"/>
      <c r="I1373" s="251" t="s">
        <v>9407</v>
      </c>
      <c r="J1373" s="476" t="s">
        <v>13686</v>
      </c>
      <c r="K1373" s="69"/>
      <c r="L1373" s="70"/>
      <c r="M1373" s="73"/>
      <c r="N1373" s="73"/>
      <c r="O1373" s="73"/>
      <c r="P1373" s="67" t="str">
        <f t="shared" si="8"/>
        <v>50.032896, 36.236884</v>
      </c>
      <c r="Q1373" s="67" t="str">
        <f t="shared" si="2"/>
        <v>50.032769, 36.238014</v>
      </c>
      <c r="R1373" s="67">
        <f t="shared" si="3"/>
        <v>50.032769</v>
      </c>
      <c r="S1373" s="67">
        <f t="shared" si="4"/>
        <v>36.238014</v>
      </c>
      <c r="T1373" s="161"/>
      <c r="U1373" s="69"/>
      <c r="V1373" s="169" t="s">
        <v>13687</v>
      </c>
      <c r="W1373" s="161"/>
      <c r="X1373" s="208"/>
      <c r="Y1373" s="216" t="s">
        <v>5820</v>
      </c>
      <c r="Z1373" s="73"/>
      <c r="AA1373" s="73"/>
      <c r="AB1373" s="73"/>
      <c r="AC1373" s="73"/>
      <c r="AD1373" s="73"/>
      <c r="AE1373" s="73"/>
      <c r="AF1373" s="73"/>
      <c r="AG1373" s="73"/>
      <c r="AH1373" s="73"/>
      <c r="AI1373" s="73"/>
      <c r="AJ1373" s="161"/>
      <c r="AK1373" s="76" t="s">
        <v>6276</v>
      </c>
      <c r="AL1373" s="83" t="s">
        <v>13688</v>
      </c>
      <c r="AM1373" s="71" t="s">
        <v>13689</v>
      </c>
      <c r="AN1373" s="84" t="s">
        <v>13690</v>
      </c>
      <c r="AO1373" s="71" t="s">
        <v>10497</v>
      </c>
      <c r="AP1373" s="161" t="str">
        <f>IMAGE("https://bellingcat-archive.nyc3.cdn.digitaloceanspaces.com/Ukraine_Witness_Datasheet/Worksheet/telegram_3b85770531/out7.jpg")</f>
        <v/>
      </c>
      <c r="AQ1373" s="84" t="s">
        <v>13691</v>
      </c>
      <c r="AR1373" s="84" t="s">
        <v>13685</v>
      </c>
      <c r="AS1373" s="71" t="s">
        <v>13692</v>
      </c>
      <c r="AT1373" s="62">
        <v>36.0</v>
      </c>
      <c r="AU1373" s="89"/>
      <c r="AV1373" s="162"/>
      <c r="AW1373" s="81"/>
    </row>
    <row r="1374" ht="15.75" customHeight="1">
      <c r="A1374" s="354" t="s">
        <v>9566</v>
      </c>
      <c r="B1374" s="73"/>
      <c r="C1374" s="57" t="s">
        <v>8024</v>
      </c>
      <c r="D1374" s="241" t="s">
        <v>9685</v>
      </c>
      <c r="E1374" s="241" t="s">
        <v>9686</v>
      </c>
      <c r="F1374" s="89"/>
      <c r="G1374" s="317" t="s">
        <v>13693</v>
      </c>
      <c r="H1374" s="73"/>
      <c r="I1374" s="62" t="s">
        <v>9688</v>
      </c>
      <c r="J1374" s="476" t="s">
        <v>13694</v>
      </c>
      <c r="K1374" s="69"/>
      <c r="L1374" s="65" t="s">
        <v>5670</v>
      </c>
      <c r="M1374" s="61" t="s">
        <v>5827</v>
      </c>
      <c r="N1374" s="73"/>
      <c r="O1374" s="61" t="s">
        <v>8817</v>
      </c>
      <c r="P1374" s="67" t="str">
        <f t="shared" si="8"/>
        <v>50.925932, 29.877105</v>
      </c>
      <c r="Q1374" s="67" t="str">
        <f t="shared" si="2"/>
        <v>50.925241, 29.877206</v>
      </c>
      <c r="R1374" s="67">
        <f t="shared" si="3"/>
        <v>50.925241</v>
      </c>
      <c r="S1374" s="67">
        <f t="shared" si="4"/>
        <v>29.877206</v>
      </c>
      <c r="T1374" s="161"/>
      <c r="U1374" s="69"/>
      <c r="V1374" s="65" t="s">
        <v>13695</v>
      </c>
      <c r="W1374" s="161"/>
      <c r="X1374" s="17" t="s">
        <v>9</v>
      </c>
      <c r="Y1374" s="216" t="s">
        <v>5820</v>
      </c>
      <c r="Z1374" s="73"/>
      <c r="AA1374" s="73"/>
      <c r="AB1374" s="73"/>
      <c r="AC1374" s="73"/>
      <c r="AD1374" s="73"/>
      <c r="AE1374" s="73"/>
      <c r="AF1374" s="73"/>
      <c r="AG1374" s="73"/>
      <c r="AH1374" s="73"/>
      <c r="AI1374" s="73"/>
      <c r="AJ1374" s="161"/>
      <c r="AK1374" s="76" t="s">
        <v>798</v>
      </c>
      <c r="AL1374" s="83" t="s">
        <v>13696</v>
      </c>
      <c r="AM1374" s="71" t="s">
        <v>13697</v>
      </c>
      <c r="AN1374" s="84" t="s">
        <v>13698</v>
      </c>
      <c r="AO1374" s="71" t="s">
        <v>13699</v>
      </c>
      <c r="AP1374" s="161" t="str">
        <f>IMAGE("https://bellingcat-archive.nyc3.cdn.digitaloceanspaces.com/Ukraine_Witness_Datasheet/Worksheet/youtube_dl_1499494506344890374/out20.jpg")</f>
        <v/>
      </c>
      <c r="AQ1374" s="84" t="s">
        <v>13700</v>
      </c>
      <c r="AR1374" s="71" t="s">
        <v>13701</v>
      </c>
      <c r="AS1374" s="71" t="s">
        <v>13702</v>
      </c>
      <c r="AT1374" s="62">
        <v>267.818</v>
      </c>
      <c r="AU1374" s="89"/>
      <c r="AV1374" s="162"/>
      <c r="AW1374" s="81"/>
    </row>
    <row r="1375" ht="15.75" customHeight="1">
      <c r="A1375" s="354" t="s">
        <v>9897</v>
      </c>
      <c r="B1375" s="73"/>
      <c r="C1375" s="57" t="s">
        <v>9028</v>
      </c>
      <c r="D1375" s="241" t="s">
        <v>9898</v>
      </c>
      <c r="E1375" s="497" t="s">
        <v>9899</v>
      </c>
      <c r="F1375" s="89"/>
      <c r="G1375" s="317" t="s">
        <v>13703</v>
      </c>
      <c r="H1375" s="73"/>
      <c r="I1375" s="62" t="s">
        <v>9901</v>
      </c>
      <c r="J1375" s="476" t="s">
        <v>13704</v>
      </c>
      <c r="K1375" s="69"/>
      <c r="L1375" s="65" t="s">
        <v>5670</v>
      </c>
      <c r="M1375" s="158" t="s">
        <v>5880</v>
      </c>
      <c r="N1375" s="73"/>
      <c r="O1375" s="61" t="s">
        <v>8524</v>
      </c>
      <c r="P1375" s="67" t="str">
        <f t="shared" si="8"/>
        <v>51.466667, 31.216667</v>
      </c>
      <c r="Q1375" s="67" t="str">
        <f t="shared" si="2"/>
        <v>51.466593, 31.217517</v>
      </c>
      <c r="R1375" s="67">
        <f t="shared" si="3"/>
        <v>51.466593</v>
      </c>
      <c r="S1375" s="67">
        <f t="shared" si="4"/>
        <v>31.217517</v>
      </c>
      <c r="T1375" s="161"/>
      <c r="U1375" s="69"/>
      <c r="V1375" s="65" t="s">
        <v>13705</v>
      </c>
      <c r="W1375" s="161"/>
      <c r="X1375" s="17" t="s">
        <v>9</v>
      </c>
      <c r="Y1375" s="216" t="s">
        <v>5820</v>
      </c>
      <c r="Z1375" s="73"/>
      <c r="AA1375" s="73"/>
      <c r="AB1375" s="73"/>
      <c r="AC1375" s="73"/>
      <c r="AD1375" s="73"/>
      <c r="AE1375" s="73"/>
      <c r="AF1375" s="73"/>
      <c r="AG1375" s="73"/>
      <c r="AH1375" s="73"/>
      <c r="AI1375" s="73"/>
      <c r="AJ1375" s="161"/>
      <c r="AK1375" s="76" t="s">
        <v>1261</v>
      </c>
      <c r="AL1375" s="83" t="s">
        <v>13706</v>
      </c>
      <c r="AM1375" s="71" t="s">
        <v>13707</v>
      </c>
      <c r="AN1375" s="84" t="s">
        <v>13708</v>
      </c>
      <c r="AO1375" s="161"/>
      <c r="AP1375" s="161"/>
      <c r="AQ1375" s="161"/>
      <c r="AR1375" s="71" t="s">
        <v>2228</v>
      </c>
      <c r="AS1375" s="161"/>
      <c r="AT1375" s="75"/>
      <c r="AU1375" s="89"/>
      <c r="AV1375" s="162"/>
      <c r="AW1375" s="81"/>
    </row>
    <row r="1376" ht="15.75" customHeight="1">
      <c r="A1376" s="204" t="s">
        <v>8023</v>
      </c>
      <c r="B1376" s="73"/>
      <c r="C1376" s="57" t="s">
        <v>13542</v>
      </c>
      <c r="D1376" s="104">
        <v>50.0042029291073</v>
      </c>
      <c r="E1376" s="104">
        <v>36.2362426027168</v>
      </c>
      <c r="F1376" s="79">
        <v>3.0</v>
      </c>
      <c r="G1376" s="317" t="s">
        <v>13709</v>
      </c>
      <c r="H1376" s="73"/>
      <c r="I1376" s="62" t="s">
        <v>10310</v>
      </c>
      <c r="J1376" s="71" t="s">
        <v>13710</v>
      </c>
      <c r="K1376" s="69"/>
      <c r="L1376" s="65" t="s">
        <v>3542</v>
      </c>
      <c r="M1376" s="61" t="s">
        <v>5590</v>
      </c>
      <c r="N1376" s="73"/>
      <c r="O1376" s="61" t="s">
        <v>5626</v>
      </c>
      <c r="P1376" s="67" t="str">
        <f t="shared" si="8"/>
        <v>50.0042029291073, 36.2362426027168</v>
      </c>
      <c r="Q1376" s="67" t="str">
        <f t="shared" si="2"/>
        <v>50.003742, 36.236443</v>
      </c>
      <c r="R1376" s="67">
        <f t="shared" si="3"/>
        <v>50.003742</v>
      </c>
      <c r="S1376" s="67">
        <f t="shared" si="4"/>
        <v>36.236443</v>
      </c>
      <c r="T1376" s="71" t="s">
        <v>13711</v>
      </c>
      <c r="U1376" s="69"/>
      <c r="V1376" s="169" t="s">
        <v>13712</v>
      </c>
      <c r="W1376" s="71" t="s">
        <v>6641</v>
      </c>
      <c r="X1376" s="72" t="s">
        <v>5504</v>
      </c>
      <c r="Y1376" s="61" t="s">
        <v>13713</v>
      </c>
      <c r="Z1376" s="61" t="s">
        <v>13714</v>
      </c>
      <c r="AA1376" s="73"/>
      <c r="AB1376" s="73"/>
      <c r="AC1376" s="73"/>
      <c r="AD1376" s="73"/>
      <c r="AE1376" s="73"/>
      <c r="AF1376" s="73"/>
      <c r="AG1376" s="73"/>
      <c r="AH1376" s="73"/>
      <c r="AI1376" s="73"/>
      <c r="AJ1376" s="161"/>
      <c r="AK1376" s="76" t="s">
        <v>798</v>
      </c>
      <c r="AL1376" s="83" t="s">
        <v>13715</v>
      </c>
      <c r="AM1376" s="71" t="s">
        <v>13716</v>
      </c>
      <c r="AN1376" s="84" t="s">
        <v>13717</v>
      </c>
      <c r="AO1376" s="71" t="s">
        <v>13718</v>
      </c>
      <c r="AP1376" s="161" t="str">
        <f>IMAGE("https://bellingcat-archive.nyc3.cdn.digitaloceanspaces.com/Ukraine_Witness_Datasheet/Worksheet/youtube_dl_1498560544931987466/out7.jpg")</f>
        <v/>
      </c>
      <c r="AQ1376" s="84" t="s">
        <v>13719</v>
      </c>
      <c r="AR1376" s="71" t="s">
        <v>13720</v>
      </c>
      <c r="AS1376" s="71" t="s">
        <v>13721</v>
      </c>
      <c r="AT1376" s="62">
        <v>19.503</v>
      </c>
      <c r="AU1376" s="89"/>
      <c r="AV1376" s="80" t="s">
        <v>88</v>
      </c>
      <c r="AW1376" s="81"/>
    </row>
    <row r="1377" ht="15.75" customHeight="1">
      <c r="A1377" s="354" t="s">
        <v>7092</v>
      </c>
      <c r="B1377" s="73"/>
      <c r="C1377" s="57" t="s">
        <v>9941</v>
      </c>
      <c r="D1377" s="241" t="s">
        <v>13722</v>
      </c>
      <c r="E1377" s="241" t="s">
        <v>13723</v>
      </c>
      <c r="F1377" s="89"/>
      <c r="G1377" s="317" t="s">
        <v>13724</v>
      </c>
      <c r="H1377" s="73"/>
      <c r="I1377" s="62" t="s">
        <v>10310</v>
      </c>
      <c r="J1377" s="476" t="s">
        <v>10346</v>
      </c>
      <c r="K1377" s="69"/>
      <c r="L1377" s="65" t="s">
        <v>5670</v>
      </c>
      <c r="M1377" s="61" t="s">
        <v>5590</v>
      </c>
      <c r="N1377" s="73"/>
      <c r="O1377" s="61" t="s">
        <v>5591</v>
      </c>
      <c r="P1377" s="67" t="str">
        <f t="shared" si="8"/>
        <v>50.004, 36.23609</v>
      </c>
      <c r="Q1377" s="67" t="str">
        <f t="shared" si="2"/>
        <v>50.003683, 36.236677</v>
      </c>
      <c r="R1377" s="67">
        <f t="shared" si="3"/>
        <v>50.003683</v>
      </c>
      <c r="S1377" s="67">
        <f t="shared" si="4"/>
        <v>36.236677</v>
      </c>
      <c r="T1377" s="161"/>
      <c r="U1377" s="69"/>
      <c r="V1377" s="169" t="s">
        <v>13725</v>
      </c>
      <c r="W1377" s="161"/>
      <c r="X1377" s="17" t="s">
        <v>9</v>
      </c>
      <c r="Y1377" s="216" t="s">
        <v>5820</v>
      </c>
      <c r="Z1377" s="73"/>
      <c r="AA1377" s="73"/>
      <c r="AB1377" s="73"/>
      <c r="AC1377" s="73"/>
      <c r="AD1377" s="73"/>
      <c r="AE1377" s="73"/>
      <c r="AF1377" s="73"/>
      <c r="AG1377" s="73"/>
      <c r="AH1377" s="73"/>
      <c r="AI1377" s="73"/>
      <c r="AJ1377" s="161"/>
      <c r="AK1377" s="76" t="s">
        <v>798</v>
      </c>
      <c r="AL1377" s="83" t="s">
        <v>13726</v>
      </c>
      <c r="AM1377" s="71" t="s">
        <v>13727</v>
      </c>
      <c r="AN1377" s="84" t="s">
        <v>13728</v>
      </c>
      <c r="AO1377" s="71" t="s">
        <v>13729</v>
      </c>
      <c r="AP1377" s="161" t="str">
        <f>IMAGE("https://bellingcat-archive.nyc3.cdn.digitaloceanspaces.com/Ukraine_Witness_Datasheet/Worksheet/youtube_dl_3151539225101332/out7.jpg")</f>
        <v/>
      </c>
      <c r="AQ1377" s="84" t="s">
        <v>13730</v>
      </c>
      <c r="AR1377" s="71" t="s">
        <v>13731</v>
      </c>
      <c r="AS1377" s="71" t="s">
        <v>13732</v>
      </c>
      <c r="AT1377" s="62">
        <v>31.485</v>
      </c>
      <c r="AU1377" s="89"/>
      <c r="AV1377" s="162"/>
      <c r="AW1377" s="81"/>
    </row>
    <row r="1378" ht="15.75" customHeight="1">
      <c r="A1378" s="354" t="s">
        <v>7092</v>
      </c>
      <c r="B1378" s="73"/>
      <c r="C1378" s="57" t="s">
        <v>9941</v>
      </c>
      <c r="D1378" s="241" t="s">
        <v>13722</v>
      </c>
      <c r="E1378" s="241" t="s">
        <v>13723</v>
      </c>
      <c r="F1378" s="89"/>
      <c r="G1378" s="317" t="s">
        <v>13733</v>
      </c>
      <c r="H1378" s="73"/>
      <c r="I1378" s="62" t="s">
        <v>10310</v>
      </c>
      <c r="J1378" s="476" t="s">
        <v>13734</v>
      </c>
      <c r="K1378" s="69"/>
      <c r="L1378" s="65" t="s">
        <v>5670</v>
      </c>
      <c r="M1378" s="61" t="s">
        <v>5590</v>
      </c>
      <c r="N1378" s="73"/>
      <c r="O1378" s="61" t="s">
        <v>5591</v>
      </c>
      <c r="P1378" s="67" t="str">
        <f t="shared" si="8"/>
        <v>50.004, 36.23609</v>
      </c>
      <c r="Q1378" s="67" t="str">
        <f t="shared" si="2"/>
        <v>50.003771, 36.237127</v>
      </c>
      <c r="R1378" s="67">
        <f t="shared" si="3"/>
        <v>50.003771</v>
      </c>
      <c r="S1378" s="67">
        <f t="shared" si="4"/>
        <v>36.237127</v>
      </c>
      <c r="T1378" s="161"/>
      <c r="U1378" s="69"/>
      <c r="V1378" s="169" t="s">
        <v>13735</v>
      </c>
      <c r="W1378" s="161"/>
      <c r="X1378" s="17" t="s">
        <v>9</v>
      </c>
      <c r="Y1378" s="216" t="s">
        <v>5820</v>
      </c>
      <c r="Z1378" s="73"/>
      <c r="AA1378" s="73"/>
      <c r="AB1378" s="73"/>
      <c r="AC1378" s="73"/>
      <c r="AD1378" s="73"/>
      <c r="AE1378" s="73"/>
      <c r="AF1378" s="73"/>
      <c r="AG1378" s="73"/>
      <c r="AH1378" s="73"/>
      <c r="AI1378" s="73"/>
      <c r="AJ1378" s="161"/>
      <c r="AK1378" s="76" t="s">
        <v>1261</v>
      </c>
      <c r="AL1378" s="83" t="s">
        <v>13736</v>
      </c>
      <c r="AM1378" s="71" t="s">
        <v>13737</v>
      </c>
      <c r="AN1378" s="84" t="s">
        <v>13738</v>
      </c>
      <c r="AO1378" s="161"/>
      <c r="AP1378" s="161"/>
      <c r="AQ1378" s="161"/>
      <c r="AR1378" s="71" t="s">
        <v>2228</v>
      </c>
      <c r="AS1378" s="161"/>
      <c r="AT1378" s="75"/>
      <c r="AU1378" s="89"/>
      <c r="AV1378" s="80"/>
      <c r="AW1378" s="81"/>
    </row>
    <row r="1379" ht="15.75" customHeight="1">
      <c r="A1379" s="204" t="s">
        <v>8023</v>
      </c>
      <c r="B1379" s="73"/>
      <c r="C1379" s="57" t="s">
        <v>13542</v>
      </c>
      <c r="D1379" s="104">
        <v>50.004202658832</v>
      </c>
      <c r="E1379" s="104">
        <v>36.2358546466011</v>
      </c>
      <c r="F1379" s="79">
        <v>3.0</v>
      </c>
      <c r="G1379" s="317" t="s">
        <v>13739</v>
      </c>
      <c r="H1379" s="73"/>
      <c r="I1379" s="62" t="s">
        <v>10310</v>
      </c>
      <c r="J1379" s="71" t="s">
        <v>13740</v>
      </c>
      <c r="K1379" s="69"/>
      <c r="L1379" s="65" t="s">
        <v>3542</v>
      </c>
      <c r="M1379" s="61" t="s">
        <v>5590</v>
      </c>
      <c r="N1379" s="73"/>
      <c r="O1379" s="61" t="s">
        <v>5626</v>
      </c>
      <c r="P1379" s="67" t="str">
        <f t="shared" si="8"/>
        <v>50.004202658832, 36.2358546466011</v>
      </c>
      <c r="Q1379" s="67" t="str">
        <f t="shared" si="2"/>
        <v>50.003613, 36.235184</v>
      </c>
      <c r="R1379" s="67">
        <f t="shared" si="3"/>
        <v>50.003613</v>
      </c>
      <c r="S1379" s="67">
        <f t="shared" si="4"/>
        <v>36.235184</v>
      </c>
      <c r="T1379" s="71" t="s">
        <v>13741</v>
      </c>
      <c r="U1379" s="69"/>
      <c r="V1379" s="65" t="s">
        <v>13742</v>
      </c>
      <c r="W1379" s="71" t="s">
        <v>6641</v>
      </c>
      <c r="X1379" s="72" t="s">
        <v>5504</v>
      </c>
      <c r="Y1379" s="216" t="s">
        <v>5820</v>
      </c>
      <c r="Z1379" s="73"/>
      <c r="AA1379" s="73"/>
      <c r="AB1379" s="73"/>
      <c r="AC1379" s="73"/>
      <c r="AD1379" s="73"/>
      <c r="AE1379" s="73"/>
      <c r="AF1379" s="73"/>
      <c r="AG1379" s="73"/>
      <c r="AH1379" s="73"/>
      <c r="AI1379" s="73"/>
      <c r="AJ1379" s="161"/>
      <c r="AK1379" s="76" t="s">
        <v>1261</v>
      </c>
      <c r="AL1379" s="83" t="s">
        <v>13743</v>
      </c>
      <c r="AM1379" s="71" t="s">
        <v>13744</v>
      </c>
      <c r="AN1379" s="84" t="s">
        <v>13745</v>
      </c>
      <c r="AO1379" s="161"/>
      <c r="AP1379" s="161"/>
      <c r="AQ1379" s="161"/>
      <c r="AR1379" s="71" t="s">
        <v>2228</v>
      </c>
      <c r="AS1379" s="161"/>
      <c r="AT1379" s="75"/>
      <c r="AU1379" s="89"/>
      <c r="AV1379" s="80" t="s">
        <v>88</v>
      </c>
      <c r="AW1379" s="81"/>
    </row>
    <row r="1380" ht="15.75" customHeight="1">
      <c r="A1380" s="204" t="s">
        <v>8023</v>
      </c>
      <c r="B1380" s="73"/>
      <c r="C1380" s="57" t="s">
        <v>13542</v>
      </c>
      <c r="D1380" s="104">
        <v>50.0040505934486</v>
      </c>
      <c r="E1380" s="104">
        <v>36.2360483676851</v>
      </c>
      <c r="F1380" s="79">
        <v>3.0</v>
      </c>
      <c r="G1380" s="317" t="s">
        <v>13746</v>
      </c>
      <c r="H1380" s="73"/>
      <c r="I1380" s="62" t="s">
        <v>10310</v>
      </c>
      <c r="J1380" s="71" t="s">
        <v>13747</v>
      </c>
      <c r="K1380" s="69"/>
      <c r="L1380" s="65" t="s">
        <v>3542</v>
      </c>
      <c r="M1380" s="61" t="s">
        <v>5590</v>
      </c>
      <c r="N1380" s="73"/>
      <c r="O1380" s="61" t="s">
        <v>5626</v>
      </c>
      <c r="P1380" s="67" t="str">
        <f t="shared" si="8"/>
        <v>50.0040505934486, 36.2360483676851</v>
      </c>
      <c r="Q1380" s="67" t="str">
        <f t="shared" si="2"/>
        <v>50.003516, 36.235565</v>
      </c>
      <c r="R1380" s="67">
        <f t="shared" si="3"/>
        <v>50.003516</v>
      </c>
      <c r="S1380" s="67">
        <f t="shared" si="4"/>
        <v>36.235565</v>
      </c>
      <c r="T1380" s="71" t="s">
        <v>13748</v>
      </c>
      <c r="U1380" s="69"/>
      <c r="V1380" s="65" t="s">
        <v>13749</v>
      </c>
      <c r="W1380" s="71" t="s">
        <v>6641</v>
      </c>
      <c r="X1380" s="72" t="s">
        <v>5504</v>
      </c>
      <c r="Y1380" s="216" t="s">
        <v>5820</v>
      </c>
      <c r="Z1380" s="73"/>
      <c r="AA1380" s="73"/>
      <c r="AB1380" s="73"/>
      <c r="AC1380" s="73"/>
      <c r="AD1380" s="73"/>
      <c r="AE1380" s="73"/>
      <c r="AF1380" s="73"/>
      <c r="AG1380" s="73"/>
      <c r="AH1380" s="73"/>
      <c r="AI1380" s="73"/>
      <c r="AJ1380" s="161"/>
      <c r="AK1380" s="76" t="s">
        <v>1261</v>
      </c>
      <c r="AL1380" s="83" t="s">
        <v>13750</v>
      </c>
      <c r="AM1380" s="71" t="s">
        <v>13751</v>
      </c>
      <c r="AN1380" s="84" t="s">
        <v>13752</v>
      </c>
      <c r="AO1380" s="161"/>
      <c r="AP1380" s="161"/>
      <c r="AQ1380" s="161"/>
      <c r="AR1380" s="71" t="s">
        <v>2228</v>
      </c>
      <c r="AS1380" s="161"/>
      <c r="AT1380" s="75"/>
      <c r="AU1380" s="89"/>
      <c r="AV1380" s="80" t="s">
        <v>88</v>
      </c>
      <c r="AW1380" s="81"/>
    </row>
    <row r="1381" ht="15.75" customHeight="1">
      <c r="A1381" s="204" t="s">
        <v>8023</v>
      </c>
      <c r="B1381" s="73"/>
      <c r="C1381" s="57" t="s">
        <v>13542</v>
      </c>
      <c r="D1381" s="104">
        <v>50.0042670539409</v>
      </c>
      <c r="E1381" s="104">
        <v>36.2363058249718</v>
      </c>
      <c r="F1381" s="79">
        <v>4.0</v>
      </c>
      <c r="G1381" s="317" t="s">
        <v>13753</v>
      </c>
      <c r="H1381" s="73"/>
      <c r="I1381" s="62" t="s">
        <v>10310</v>
      </c>
      <c r="J1381" s="71" t="s">
        <v>13754</v>
      </c>
      <c r="K1381" s="69"/>
      <c r="L1381" s="65" t="s">
        <v>3542</v>
      </c>
      <c r="M1381" s="61" t="s">
        <v>5590</v>
      </c>
      <c r="N1381" s="73"/>
      <c r="O1381" s="61" t="s">
        <v>5626</v>
      </c>
      <c r="P1381" s="67" t="str">
        <f t="shared" si="8"/>
        <v>50.0042670539409, 36.2363058249718</v>
      </c>
      <c r="Q1381" s="67" t="str">
        <f t="shared" si="2"/>
        <v>50.003845, 36.236001</v>
      </c>
      <c r="R1381" s="67">
        <f t="shared" si="3"/>
        <v>50.003845</v>
      </c>
      <c r="S1381" s="67">
        <f t="shared" si="4"/>
        <v>36.236001</v>
      </c>
      <c r="T1381" s="71" t="s">
        <v>13755</v>
      </c>
      <c r="U1381" s="69"/>
      <c r="V1381" s="169" t="s">
        <v>13756</v>
      </c>
      <c r="W1381" s="71" t="s">
        <v>6641</v>
      </c>
      <c r="X1381" s="72" t="s">
        <v>5504</v>
      </c>
      <c r="Y1381" s="216" t="s">
        <v>5820</v>
      </c>
      <c r="Z1381" s="73"/>
      <c r="AA1381" s="73"/>
      <c r="AB1381" s="73"/>
      <c r="AC1381" s="73"/>
      <c r="AD1381" s="73"/>
      <c r="AE1381" s="73"/>
      <c r="AF1381" s="73"/>
      <c r="AG1381" s="73"/>
      <c r="AH1381" s="73"/>
      <c r="AI1381" s="73"/>
      <c r="AJ1381" s="161"/>
      <c r="AK1381" s="76" t="s">
        <v>798</v>
      </c>
      <c r="AL1381" s="83" t="s">
        <v>13726</v>
      </c>
      <c r="AM1381" s="71" t="s">
        <v>13757</v>
      </c>
      <c r="AN1381" s="84" t="s">
        <v>13758</v>
      </c>
      <c r="AO1381" s="71" t="s">
        <v>13759</v>
      </c>
      <c r="AP1381" s="161" t="str">
        <f>IMAGE("https://bellingcat-archive.nyc3.cdn.digitaloceanspaces.com/Ukraine_Witness_Datasheet/Worksheet/youtube_dl_3151539225101332/out3.jpg")</f>
        <v/>
      </c>
      <c r="AQ1381" s="84" t="s">
        <v>13730</v>
      </c>
      <c r="AR1381" s="71" t="s">
        <v>13731</v>
      </c>
      <c r="AS1381" s="161"/>
      <c r="AT1381" s="75"/>
      <c r="AU1381" s="89"/>
      <c r="AV1381" s="80" t="s">
        <v>88</v>
      </c>
      <c r="AW1381" s="81"/>
    </row>
    <row r="1382" ht="15.75" customHeight="1">
      <c r="A1382" s="204" t="s">
        <v>8023</v>
      </c>
      <c r="B1382" s="73"/>
      <c r="C1382" s="57" t="s">
        <v>13542</v>
      </c>
      <c r="D1382" s="104">
        <v>50.004022424492</v>
      </c>
      <c r="E1382" s="104">
        <v>36.2354187367082</v>
      </c>
      <c r="F1382" s="79">
        <v>3.0</v>
      </c>
      <c r="G1382" s="317" t="s">
        <v>13760</v>
      </c>
      <c r="H1382" s="73"/>
      <c r="I1382" s="62" t="s">
        <v>10310</v>
      </c>
      <c r="J1382" s="71" t="s">
        <v>13761</v>
      </c>
      <c r="K1382" s="69"/>
      <c r="L1382" s="65" t="s">
        <v>3542</v>
      </c>
      <c r="M1382" s="61" t="s">
        <v>5590</v>
      </c>
      <c r="N1382" s="73"/>
      <c r="O1382" s="61" t="s">
        <v>5626</v>
      </c>
      <c r="P1382" s="67" t="str">
        <f t="shared" si="8"/>
        <v>50.004022424492, 36.2354187367082</v>
      </c>
      <c r="Q1382" s="67" t="str">
        <f t="shared" si="2"/>
        <v>50.003762, 36.235787</v>
      </c>
      <c r="R1382" s="67">
        <f t="shared" si="3"/>
        <v>50.003762</v>
      </c>
      <c r="S1382" s="67">
        <f t="shared" si="4"/>
        <v>36.235787</v>
      </c>
      <c r="T1382" s="71" t="s">
        <v>13762</v>
      </c>
      <c r="U1382" s="69"/>
      <c r="V1382" s="65" t="s">
        <v>13763</v>
      </c>
      <c r="W1382" s="71" t="s">
        <v>6641</v>
      </c>
      <c r="X1382" s="72" t="s">
        <v>5504</v>
      </c>
      <c r="Y1382" s="216" t="s">
        <v>5820</v>
      </c>
      <c r="Z1382" s="73"/>
      <c r="AA1382" s="73"/>
      <c r="AB1382" s="73"/>
      <c r="AC1382" s="73"/>
      <c r="AD1382" s="73"/>
      <c r="AE1382" s="73"/>
      <c r="AF1382" s="73"/>
      <c r="AG1382" s="73"/>
      <c r="AH1382" s="73"/>
      <c r="AI1382" s="73"/>
      <c r="AJ1382" s="161"/>
      <c r="AK1382" s="76" t="s">
        <v>1261</v>
      </c>
      <c r="AL1382" s="83" t="s">
        <v>13764</v>
      </c>
      <c r="AM1382" s="71" t="s">
        <v>13765</v>
      </c>
      <c r="AN1382" s="84" t="s">
        <v>13766</v>
      </c>
      <c r="AO1382" s="161"/>
      <c r="AP1382" s="161"/>
      <c r="AQ1382" s="161"/>
      <c r="AR1382" s="71" t="s">
        <v>2228</v>
      </c>
      <c r="AS1382" s="161"/>
      <c r="AT1382" s="75"/>
      <c r="AU1382" s="89"/>
      <c r="AV1382" s="80" t="s">
        <v>88</v>
      </c>
      <c r="AW1382" s="81"/>
    </row>
    <row r="1383" ht="15.75" customHeight="1">
      <c r="A1383" s="204" t="s">
        <v>8023</v>
      </c>
      <c r="B1383" s="73"/>
      <c r="C1383" s="57" t="s">
        <v>13542</v>
      </c>
      <c r="D1383" s="104">
        <v>50.003992967652</v>
      </c>
      <c r="E1383" s="104">
        <v>36.2355907539447</v>
      </c>
      <c r="F1383" s="79">
        <v>3.0</v>
      </c>
      <c r="G1383" s="317" t="s">
        <v>13767</v>
      </c>
      <c r="H1383" s="73"/>
      <c r="I1383" s="62" t="s">
        <v>10310</v>
      </c>
      <c r="J1383" s="71" t="s">
        <v>13768</v>
      </c>
      <c r="K1383" s="69"/>
      <c r="L1383" s="65" t="s">
        <v>3542</v>
      </c>
      <c r="M1383" s="61" t="s">
        <v>5590</v>
      </c>
      <c r="N1383" s="73"/>
      <c r="O1383" s="61" t="s">
        <v>5626</v>
      </c>
      <c r="P1383" s="67" t="str">
        <f t="shared" si="8"/>
        <v>50.003992967652, 36.2355907539447</v>
      </c>
      <c r="Q1383" s="67" t="str">
        <f t="shared" si="2"/>
        <v>50.003803, 36.236088</v>
      </c>
      <c r="R1383" s="67">
        <f t="shared" si="3"/>
        <v>50.003803</v>
      </c>
      <c r="S1383" s="67">
        <f t="shared" si="4"/>
        <v>36.236088</v>
      </c>
      <c r="T1383" s="71" t="s">
        <v>13769</v>
      </c>
      <c r="U1383" s="69"/>
      <c r="V1383" s="65" t="s">
        <v>13770</v>
      </c>
      <c r="W1383" s="71" t="s">
        <v>6641</v>
      </c>
      <c r="X1383" s="72" t="s">
        <v>5504</v>
      </c>
      <c r="Y1383" s="216" t="s">
        <v>5820</v>
      </c>
      <c r="Z1383" s="73"/>
      <c r="AA1383" s="73"/>
      <c r="AB1383" s="73"/>
      <c r="AC1383" s="73"/>
      <c r="AD1383" s="73"/>
      <c r="AE1383" s="73"/>
      <c r="AF1383" s="73"/>
      <c r="AG1383" s="73"/>
      <c r="AH1383" s="73"/>
      <c r="AI1383" s="73"/>
      <c r="AJ1383" s="161"/>
      <c r="AK1383" s="76" t="s">
        <v>798</v>
      </c>
      <c r="AL1383" s="83" t="s">
        <v>13771</v>
      </c>
      <c r="AM1383" s="71" t="s">
        <v>13772</v>
      </c>
      <c r="AN1383" s="84" t="s">
        <v>13773</v>
      </c>
      <c r="AO1383" s="71" t="s">
        <v>13774</v>
      </c>
      <c r="AP1383" s="161" t="str">
        <f>IMAGE("https://bellingcat-archive.nyc3.cdn.digitaloceanspaces.com/Ukraine_Witness_Datasheet/Worksheet/youtube_dl_694009415075055/out3.jpg")</f>
        <v/>
      </c>
      <c r="AQ1383" s="84" t="s">
        <v>13775</v>
      </c>
      <c r="AR1383" s="71" t="s">
        <v>13776</v>
      </c>
      <c r="AS1383" s="161"/>
      <c r="AT1383" s="75"/>
      <c r="AU1383" s="89"/>
      <c r="AV1383" s="80" t="s">
        <v>88</v>
      </c>
      <c r="AW1383" s="81"/>
    </row>
    <row r="1384" ht="15.75" customHeight="1">
      <c r="A1384" s="204" t="s">
        <v>8023</v>
      </c>
      <c r="B1384" s="73"/>
      <c r="C1384" s="57" t="s">
        <v>13542</v>
      </c>
      <c r="D1384" s="104">
        <v>50.003992967652</v>
      </c>
      <c r="E1384" s="104">
        <v>36.2355907539447</v>
      </c>
      <c r="F1384" s="79">
        <v>3.0</v>
      </c>
      <c r="G1384" s="317" t="s">
        <v>13777</v>
      </c>
      <c r="H1384" s="73"/>
      <c r="I1384" s="62" t="s">
        <v>10310</v>
      </c>
      <c r="J1384" s="71" t="s">
        <v>13768</v>
      </c>
      <c r="K1384" s="69"/>
      <c r="L1384" s="65" t="s">
        <v>3542</v>
      </c>
      <c r="M1384" s="61" t="s">
        <v>5590</v>
      </c>
      <c r="N1384" s="73"/>
      <c r="O1384" s="61" t="s">
        <v>5626</v>
      </c>
      <c r="P1384" s="67" t="str">
        <f t="shared" si="8"/>
        <v>50.003992967652, 36.2355907539447</v>
      </c>
      <c r="Q1384" s="67" t="str">
        <f t="shared" si="2"/>
        <v>50.003984, 36.236532</v>
      </c>
      <c r="R1384" s="67">
        <f t="shared" si="3"/>
        <v>50.003984</v>
      </c>
      <c r="S1384" s="67">
        <f t="shared" si="4"/>
        <v>36.236532</v>
      </c>
      <c r="T1384" s="71" t="s">
        <v>13769</v>
      </c>
      <c r="U1384" s="69"/>
      <c r="V1384" s="169" t="s">
        <v>13778</v>
      </c>
      <c r="W1384" s="71" t="s">
        <v>6641</v>
      </c>
      <c r="X1384" s="72" t="s">
        <v>5504</v>
      </c>
      <c r="Y1384" s="216" t="s">
        <v>5820</v>
      </c>
      <c r="Z1384" s="73"/>
      <c r="AA1384" s="73"/>
      <c r="AB1384" s="73"/>
      <c r="AC1384" s="73"/>
      <c r="AD1384" s="73"/>
      <c r="AE1384" s="73"/>
      <c r="AF1384" s="73"/>
      <c r="AG1384" s="73"/>
      <c r="AH1384" s="73"/>
      <c r="AI1384" s="73"/>
      <c r="AJ1384" s="161"/>
      <c r="AK1384" s="76" t="s">
        <v>798</v>
      </c>
      <c r="AL1384" s="83" t="s">
        <v>13779</v>
      </c>
      <c r="AM1384" s="71" t="s">
        <v>13780</v>
      </c>
      <c r="AN1384" s="84" t="s">
        <v>13781</v>
      </c>
      <c r="AO1384" s="71" t="s">
        <v>13782</v>
      </c>
      <c r="AP1384" s="161" t="str">
        <f>IMAGE("https://bellingcat-archive.nyc3.cdn.digitaloceanspaces.com/Ukraine_Witness_Datasheet/Worksheet/youtube_dl_720735669307600/out7.jpg")</f>
        <v/>
      </c>
      <c r="AQ1384" s="84" t="s">
        <v>13783</v>
      </c>
      <c r="AR1384" s="71" t="s">
        <v>13784</v>
      </c>
      <c r="AS1384" s="161"/>
      <c r="AT1384" s="75"/>
      <c r="AU1384" s="89"/>
      <c r="AV1384" s="80" t="s">
        <v>88</v>
      </c>
      <c r="AW1384" s="81"/>
    </row>
    <row r="1385" ht="15.75" customHeight="1">
      <c r="A1385" s="354" t="s">
        <v>7092</v>
      </c>
      <c r="B1385" s="73"/>
      <c r="C1385" s="57" t="s">
        <v>9941</v>
      </c>
      <c r="D1385" s="241" t="s">
        <v>13722</v>
      </c>
      <c r="E1385" s="241" t="s">
        <v>13723</v>
      </c>
      <c r="F1385" s="89"/>
      <c r="G1385" s="317" t="s">
        <v>13785</v>
      </c>
      <c r="H1385" s="73"/>
      <c r="I1385" s="62" t="s">
        <v>10310</v>
      </c>
      <c r="J1385" s="476" t="s">
        <v>10346</v>
      </c>
      <c r="K1385" s="69"/>
      <c r="L1385" s="65" t="s">
        <v>5670</v>
      </c>
      <c r="M1385" s="61" t="s">
        <v>5590</v>
      </c>
      <c r="N1385" s="73"/>
      <c r="O1385" s="61" t="s">
        <v>5591</v>
      </c>
      <c r="P1385" s="67" t="str">
        <f t="shared" si="8"/>
        <v>50.004, 36.23609</v>
      </c>
      <c r="Q1385" s="67" t="str">
        <f t="shared" si="2"/>
        <v>50.003338, 36.236345</v>
      </c>
      <c r="R1385" s="67">
        <f t="shared" si="3"/>
        <v>50.003338</v>
      </c>
      <c r="S1385" s="67">
        <f t="shared" si="4"/>
        <v>36.236345</v>
      </c>
      <c r="T1385" s="161"/>
      <c r="U1385" s="69"/>
      <c r="V1385" s="169" t="s">
        <v>13786</v>
      </c>
      <c r="W1385" s="161"/>
      <c r="X1385" s="17" t="s">
        <v>9</v>
      </c>
      <c r="Y1385" s="216" t="s">
        <v>5820</v>
      </c>
      <c r="Z1385" s="73"/>
      <c r="AA1385" s="73"/>
      <c r="AB1385" s="73"/>
      <c r="AC1385" s="73"/>
      <c r="AD1385" s="73"/>
      <c r="AE1385" s="73"/>
      <c r="AF1385" s="73"/>
      <c r="AG1385" s="73"/>
      <c r="AH1385" s="73"/>
      <c r="AI1385" s="73"/>
      <c r="AJ1385" s="161"/>
      <c r="AK1385" s="76" t="s">
        <v>1261</v>
      </c>
      <c r="AL1385" s="83" t="s">
        <v>13787</v>
      </c>
      <c r="AM1385" s="71" t="s">
        <v>13788</v>
      </c>
      <c r="AN1385" s="84" t="s">
        <v>13789</v>
      </c>
      <c r="AO1385" s="161"/>
      <c r="AP1385" s="161"/>
      <c r="AQ1385" s="161"/>
      <c r="AR1385" s="71" t="s">
        <v>2228</v>
      </c>
      <c r="AS1385" s="161"/>
      <c r="AT1385" s="75"/>
      <c r="AU1385" s="89"/>
      <c r="AV1385" s="162"/>
      <c r="AW1385" s="81"/>
    </row>
    <row r="1386" ht="15.75" customHeight="1">
      <c r="A1386" s="354" t="s">
        <v>7092</v>
      </c>
      <c r="B1386" s="73"/>
      <c r="C1386" s="57" t="s">
        <v>9941</v>
      </c>
      <c r="D1386" s="241" t="s">
        <v>13722</v>
      </c>
      <c r="E1386" s="241" t="s">
        <v>13723</v>
      </c>
      <c r="F1386" s="89"/>
      <c r="G1386" s="317" t="s">
        <v>13790</v>
      </c>
      <c r="H1386" s="73"/>
      <c r="I1386" s="62" t="s">
        <v>10310</v>
      </c>
      <c r="J1386" s="476" t="s">
        <v>10346</v>
      </c>
      <c r="K1386" s="69"/>
      <c r="L1386" s="65" t="s">
        <v>5670</v>
      </c>
      <c r="M1386" s="61" t="s">
        <v>5590</v>
      </c>
      <c r="N1386" s="73"/>
      <c r="O1386" s="61" t="s">
        <v>5591</v>
      </c>
      <c r="P1386" s="67" t="str">
        <f t="shared" si="8"/>
        <v>50.004, 36.23609</v>
      </c>
      <c r="Q1386" s="67" t="str">
        <f t="shared" si="2"/>
        <v>50.003889, 36.237032</v>
      </c>
      <c r="R1386" s="67">
        <f t="shared" si="3"/>
        <v>50.003889</v>
      </c>
      <c r="S1386" s="67">
        <f t="shared" si="4"/>
        <v>36.237032</v>
      </c>
      <c r="T1386" s="161"/>
      <c r="U1386" s="69"/>
      <c r="V1386" s="65" t="s">
        <v>13791</v>
      </c>
      <c r="W1386" s="161"/>
      <c r="X1386" s="17" t="s">
        <v>9</v>
      </c>
      <c r="Y1386" s="216" t="s">
        <v>5820</v>
      </c>
      <c r="Z1386" s="73"/>
      <c r="AA1386" s="73"/>
      <c r="AB1386" s="73"/>
      <c r="AC1386" s="73"/>
      <c r="AD1386" s="73"/>
      <c r="AE1386" s="73"/>
      <c r="AF1386" s="73"/>
      <c r="AG1386" s="73"/>
      <c r="AH1386" s="73"/>
      <c r="AI1386" s="73"/>
      <c r="AJ1386" s="161"/>
      <c r="AK1386" s="76" t="s">
        <v>1261</v>
      </c>
      <c r="AL1386" s="83" t="s">
        <v>13792</v>
      </c>
      <c r="AM1386" s="71" t="s">
        <v>13793</v>
      </c>
      <c r="AN1386" s="84" t="s">
        <v>13794</v>
      </c>
      <c r="AO1386" s="161"/>
      <c r="AP1386" s="161"/>
      <c r="AQ1386" s="161"/>
      <c r="AR1386" s="71" t="s">
        <v>2228</v>
      </c>
      <c r="AS1386" s="161"/>
      <c r="AT1386" s="75"/>
      <c r="AU1386" s="89"/>
      <c r="AV1386" s="162"/>
      <c r="AW1386" s="81"/>
    </row>
    <row r="1387" ht="15.75" customHeight="1">
      <c r="A1387" s="204" t="s">
        <v>8023</v>
      </c>
      <c r="B1387" s="73"/>
      <c r="C1387" s="57" t="s">
        <v>13542</v>
      </c>
      <c r="D1387" s="104">
        <v>50.0045515233941</v>
      </c>
      <c r="E1387" s="104">
        <v>36.2358857969205</v>
      </c>
      <c r="F1387" s="79">
        <v>3.0</v>
      </c>
      <c r="G1387" s="317" t="s">
        <v>13795</v>
      </c>
      <c r="H1387" s="73"/>
      <c r="I1387" s="62" t="s">
        <v>10310</v>
      </c>
      <c r="J1387" s="71" t="s">
        <v>13796</v>
      </c>
      <c r="K1387" s="69"/>
      <c r="L1387" s="65" t="s">
        <v>3542</v>
      </c>
      <c r="M1387" s="61" t="s">
        <v>5590</v>
      </c>
      <c r="N1387" s="73"/>
      <c r="O1387" s="61" t="s">
        <v>5626</v>
      </c>
      <c r="P1387" s="67" t="str">
        <f t="shared" si="8"/>
        <v>50.0045515233941, 36.2358857969205</v>
      </c>
      <c r="Q1387" s="67" t="str">
        <f t="shared" si="2"/>
        <v>50.00398, 36.235731</v>
      </c>
      <c r="R1387" s="67">
        <f t="shared" si="3"/>
        <v>50.00398</v>
      </c>
      <c r="S1387" s="67">
        <f t="shared" si="4"/>
        <v>36.235731</v>
      </c>
      <c r="T1387" s="71" t="s">
        <v>13797</v>
      </c>
      <c r="U1387" s="69"/>
      <c r="V1387" s="65" t="s">
        <v>13798</v>
      </c>
      <c r="W1387" s="71" t="s">
        <v>6641</v>
      </c>
      <c r="X1387" s="72" t="s">
        <v>5504</v>
      </c>
      <c r="Y1387" s="216" t="s">
        <v>5820</v>
      </c>
      <c r="Z1387" s="73"/>
      <c r="AA1387" s="73"/>
      <c r="AB1387" s="73"/>
      <c r="AC1387" s="73"/>
      <c r="AD1387" s="73"/>
      <c r="AE1387" s="73"/>
      <c r="AF1387" s="73"/>
      <c r="AG1387" s="73"/>
      <c r="AH1387" s="73"/>
      <c r="AI1387" s="73"/>
      <c r="AJ1387" s="161"/>
      <c r="AK1387" s="76" t="s">
        <v>798</v>
      </c>
      <c r="AL1387" s="83" t="s">
        <v>13799</v>
      </c>
      <c r="AM1387" s="71" t="s">
        <v>13800</v>
      </c>
      <c r="AN1387" s="84" t="s">
        <v>13801</v>
      </c>
      <c r="AO1387" s="71" t="s">
        <v>13802</v>
      </c>
      <c r="AP1387" s="161" t="str">
        <f>IMAGE("https://bellingcat-archive.nyc3.cdn.digitaloceanspaces.com/Ukraine_Witness_Datasheet/Worksheet/youtube_dl_1498549712869371906/out7.jpg")</f>
        <v/>
      </c>
      <c r="AQ1387" s="84" t="s">
        <v>13803</v>
      </c>
      <c r="AR1387" s="71" t="s">
        <v>13804</v>
      </c>
      <c r="AS1387" s="71" t="s">
        <v>13805</v>
      </c>
      <c r="AT1387" s="62">
        <v>21.966</v>
      </c>
      <c r="AU1387" s="89"/>
      <c r="AV1387" s="80" t="s">
        <v>88</v>
      </c>
      <c r="AW1387" s="81"/>
    </row>
    <row r="1388" ht="15.75" customHeight="1">
      <c r="A1388" s="208" t="s">
        <v>12532</v>
      </c>
      <c r="B1388" s="73"/>
      <c r="C1388" s="57" t="s">
        <v>9941</v>
      </c>
      <c r="D1388" s="241" t="s">
        <v>13722</v>
      </c>
      <c r="E1388" s="241" t="s">
        <v>13723</v>
      </c>
      <c r="F1388" s="89"/>
      <c r="G1388" s="317" t="s">
        <v>13806</v>
      </c>
      <c r="H1388" s="73"/>
      <c r="I1388" s="62" t="s">
        <v>10310</v>
      </c>
      <c r="J1388" s="476" t="s">
        <v>10346</v>
      </c>
      <c r="K1388" s="69"/>
      <c r="L1388" s="70"/>
      <c r="M1388" s="73"/>
      <c r="N1388" s="73"/>
      <c r="O1388" s="73"/>
      <c r="P1388" s="67" t="str">
        <f t="shared" si="8"/>
        <v>50.004, 36.23609</v>
      </c>
      <c r="Q1388" s="67" t="str">
        <f t="shared" si="2"/>
        <v>50.003413, 36.235898</v>
      </c>
      <c r="R1388" s="67">
        <f t="shared" si="3"/>
        <v>50.003413</v>
      </c>
      <c r="S1388" s="67">
        <f t="shared" si="4"/>
        <v>36.235898</v>
      </c>
      <c r="T1388" s="161"/>
      <c r="U1388" s="69"/>
      <c r="V1388" s="65" t="s">
        <v>13807</v>
      </c>
      <c r="W1388" s="161"/>
      <c r="X1388" s="194"/>
      <c r="Y1388" s="216" t="s">
        <v>5820</v>
      </c>
      <c r="Z1388" s="73"/>
      <c r="AA1388" s="73"/>
      <c r="AB1388" s="73"/>
      <c r="AC1388" s="73"/>
      <c r="AD1388" s="73"/>
      <c r="AE1388" s="73"/>
      <c r="AF1388" s="73"/>
      <c r="AG1388" s="73"/>
      <c r="AH1388" s="73"/>
      <c r="AI1388" s="73"/>
      <c r="AJ1388" s="161"/>
      <c r="AK1388" s="76" t="s">
        <v>798</v>
      </c>
      <c r="AL1388" s="83" t="s">
        <v>13808</v>
      </c>
      <c r="AM1388" s="71" t="s">
        <v>13809</v>
      </c>
      <c r="AN1388" s="84" t="s">
        <v>13810</v>
      </c>
      <c r="AO1388" s="71" t="s">
        <v>13811</v>
      </c>
      <c r="AP1388" s="161" t="str">
        <f>IMAGE("https://bellingcat-archive.nyc3.cdn.digitaloceanspaces.com/Ukraine_Witness_Datasheet/Worksheet/youtube_dl_1498544825062375434/out7.jpg")</f>
        <v/>
      </c>
      <c r="AQ1388" s="84" t="s">
        <v>13812</v>
      </c>
      <c r="AR1388" s="71" t="s">
        <v>13813</v>
      </c>
      <c r="AS1388" s="71" t="s">
        <v>13814</v>
      </c>
      <c r="AT1388" s="62">
        <v>31.438</v>
      </c>
      <c r="AU1388" s="89"/>
      <c r="AV1388" s="162"/>
      <c r="AW1388" s="81"/>
    </row>
    <row r="1389" ht="15.75" customHeight="1">
      <c r="A1389" s="204" t="s">
        <v>8023</v>
      </c>
      <c r="B1389" s="73"/>
      <c r="C1389" s="57" t="s">
        <v>13542</v>
      </c>
      <c r="D1389" s="104">
        <v>50.003827468408</v>
      </c>
      <c r="E1389" s="104">
        <v>36.2360681871237</v>
      </c>
      <c r="F1389" s="79">
        <v>3.0</v>
      </c>
      <c r="G1389" s="317" t="s">
        <v>13815</v>
      </c>
      <c r="H1389" s="73"/>
      <c r="I1389" s="62" t="s">
        <v>10310</v>
      </c>
      <c r="J1389" s="71" t="s">
        <v>13796</v>
      </c>
      <c r="K1389" s="69"/>
      <c r="L1389" s="65" t="s">
        <v>3542</v>
      </c>
      <c r="M1389" s="61" t="s">
        <v>5590</v>
      </c>
      <c r="N1389" s="73"/>
      <c r="O1389" s="61" t="s">
        <v>5626</v>
      </c>
      <c r="P1389" s="67" t="str">
        <f t="shared" si="8"/>
        <v>50.003827468408, 36.2360681871237</v>
      </c>
      <c r="Q1389" s="67" t="str">
        <f t="shared" si="2"/>
        <v>50.003243, 36.235272</v>
      </c>
      <c r="R1389" s="67">
        <f t="shared" si="3"/>
        <v>50.003243</v>
      </c>
      <c r="S1389" s="67">
        <f t="shared" si="4"/>
        <v>36.235272</v>
      </c>
      <c r="T1389" s="71" t="s">
        <v>13816</v>
      </c>
      <c r="U1389" s="69"/>
      <c r="V1389" s="169" t="s">
        <v>13817</v>
      </c>
      <c r="W1389" s="71" t="s">
        <v>6641</v>
      </c>
      <c r="X1389" s="72" t="s">
        <v>5504</v>
      </c>
      <c r="Y1389" s="216" t="s">
        <v>5820</v>
      </c>
      <c r="Z1389" s="73"/>
      <c r="AA1389" s="73"/>
      <c r="AB1389" s="73"/>
      <c r="AC1389" s="73"/>
      <c r="AD1389" s="73"/>
      <c r="AE1389" s="73"/>
      <c r="AF1389" s="73"/>
      <c r="AG1389" s="73"/>
      <c r="AH1389" s="73"/>
      <c r="AI1389" s="73"/>
      <c r="AJ1389" s="161"/>
      <c r="AK1389" s="76" t="s">
        <v>798</v>
      </c>
      <c r="AL1389" s="83" t="s">
        <v>13818</v>
      </c>
      <c r="AM1389" s="71" t="s">
        <v>13819</v>
      </c>
      <c r="AN1389" s="84" t="s">
        <v>13820</v>
      </c>
      <c r="AO1389" s="71" t="s">
        <v>13821</v>
      </c>
      <c r="AP1389" s="161" t="str">
        <f>IMAGE("https://bellingcat-archive.nyc3.cdn.digitaloceanspaces.com/Ukraine_Witness_Datasheet/Worksheet/youtube_dl_1498605869755510786/out7.jpg")</f>
        <v/>
      </c>
      <c r="AQ1389" s="84" t="s">
        <v>13822</v>
      </c>
      <c r="AR1389" s="71" t="s">
        <v>13823</v>
      </c>
      <c r="AS1389" s="71" t="s">
        <v>13824</v>
      </c>
      <c r="AT1389" s="62">
        <v>10.533</v>
      </c>
      <c r="AU1389" s="89"/>
      <c r="AV1389" s="162"/>
      <c r="AW1389" s="81"/>
    </row>
    <row r="1390" ht="15.75" customHeight="1">
      <c r="A1390" s="208" t="s">
        <v>12532</v>
      </c>
      <c r="B1390" s="73"/>
      <c r="C1390" s="57" t="s">
        <v>9941</v>
      </c>
      <c r="D1390" s="241" t="s">
        <v>13722</v>
      </c>
      <c r="E1390" s="241" t="s">
        <v>13723</v>
      </c>
      <c r="F1390" s="89"/>
      <c r="G1390" s="317" t="s">
        <v>13825</v>
      </c>
      <c r="H1390" s="73"/>
      <c r="I1390" s="62" t="s">
        <v>10310</v>
      </c>
      <c r="J1390" s="476" t="s">
        <v>10346</v>
      </c>
      <c r="K1390" s="69"/>
      <c r="L1390" s="70"/>
      <c r="M1390" s="73"/>
      <c r="N1390" s="73"/>
      <c r="O1390" s="73"/>
      <c r="P1390" s="67" t="str">
        <f t="shared" si="8"/>
        <v>50.004, 36.23609</v>
      </c>
      <c r="Q1390" s="67" t="str">
        <f t="shared" si="2"/>
        <v>50.003407, 36.235434</v>
      </c>
      <c r="R1390" s="67">
        <f t="shared" si="3"/>
        <v>50.003407</v>
      </c>
      <c r="S1390" s="67">
        <f t="shared" si="4"/>
        <v>36.235434</v>
      </c>
      <c r="T1390" s="161"/>
      <c r="U1390" s="69"/>
      <c r="V1390" s="65" t="s">
        <v>13826</v>
      </c>
      <c r="W1390" s="161"/>
      <c r="X1390" s="194"/>
      <c r="Y1390" s="216" t="s">
        <v>5820</v>
      </c>
      <c r="Z1390" s="73"/>
      <c r="AA1390" s="73"/>
      <c r="AB1390" s="73"/>
      <c r="AC1390" s="73"/>
      <c r="AD1390" s="73"/>
      <c r="AE1390" s="73"/>
      <c r="AF1390" s="73"/>
      <c r="AG1390" s="73"/>
      <c r="AH1390" s="73"/>
      <c r="AI1390" s="73"/>
      <c r="AJ1390" s="161"/>
      <c r="AK1390" s="76" t="s">
        <v>798</v>
      </c>
      <c r="AL1390" s="83" t="s">
        <v>13827</v>
      </c>
      <c r="AM1390" s="71" t="s">
        <v>13828</v>
      </c>
      <c r="AN1390" s="84" t="s">
        <v>13829</v>
      </c>
      <c r="AO1390" s="71" t="s">
        <v>13830</v>
      </c>
      <c r="AP1390" s="161" t="str">
        <f>IMAGE("https://bellingcat-archive.nyc3.cdn.digitaloceanspaces.com/Ukraine_Witness_Datasheet/Worksheet/youtube_dl_1498603231202664449/out7.jpg")</f>
        <v/>
      </c>
      <c r="AQ1390" s="84" t="s">
        <v>13831</v>
      </c>
      <c r="AR1390" s="71" t="s">
        <v>13832</v>
      </c>
      <c r="AS1390" s="71" t="s">
        <v>13833</v>
      </c>
      <c r="AT1390" s="62">
        <v>30.966</v>
      </c>
      <c r="AU1390" s="89"/>
      <c r="AV1390" s="162"/>
      <c r="AW1390" s="81"/>
    </row>
    <row r="1391" ht="15.75" customHeight="1">
      <c r="A1391" s="204" t="s">
        <v>8023</v>
      </c>
      <c r="B1391" s="73"/>
      <c r="C1391" s="57" t="s">
        <v>13542</v>
      </c>
      <c r="D1391" s="104">
        <v>50.0041412269076</v>
      </c>
      <c r="E1391" s="104">
        <v>36.2353761772351</v>
      </c>
      <c r="F1391" s="79">
        <v>3.0</v>
      </c>
      <c r="G1391" s="317" t="s">
        <v>13834</v>
      </c>
      <c r="H1391" s="73"/>
      <c r="I1391" s="62" t="s">
        <v>10310</v>
      </c>
      <c r="J1391" s="71" t="s">
        <v>13796</v>
      </c>
      <c r="K1391" s="69"/>
      <c r="L1391" s="65" t="s">
        <v>3542</v>
      </c>
      <c r="M1391" s="61" t="s">
        <v>5590</v>
      </c>
      <c r="N1391" s="73"/>
      <c r="O1391" s="61" t="s">
        <v>5626</v>
      </c>
      <c r="P1391" s="67" t="str">
        <f t="shared" si="8"/>
        <v>50.0041412269076, 36.2353761772351</v>
      </c>
      <c r="Q1391" s="67" t="str">
        <f t="shared" si="2"/>
        <v>50.00395, 36.236123</v>
      </c>
      <c r="R1391" s="67">
        <f t="shared" si="3"/>
        <v>50.00395</v>
      </c>
      <c r="S1391" s="67">
        <f t="shared" si="4"/>
        <v>36.236123</v>
      </c>
      <c r="T1391" s="71" t="s">
        <v>13835</v>
      </c>
      <c r="U1391" s="69"/>
      <c r="V1391" s="65" t="s">
        <v>13836</v>
      </c>
      <c r="W1391" s="71" t="s">
        <v>6641</v>
      </c>
      <c r="X1391" s="72" t="s">
        <v>5504</v>
      </c>
      <c r="Y1391" s="216" t="s">
        <v>5820</v>
      </c>
      <c r="Z1391" s="73"/>
      <c r="AA1391" s="73"/>
      <c r="AB1391" s="73"/>
      <c r="AC1391" s="73"/>
      <c r="AD1391" s="73"/>
      <c r="AE1391" s="73"/>
      <c r="AF1391" s="73"/>
      <c r="AG1391" s="73"/>
      <c r="AH1391" s="73"/>
      <c r="AI1391" s="73"/>
      <c r="AJ1391" s="161"/>
      <c r="AK1391" s="76" t="s">
        <v>798</v>
      </c>
      <c r="AL1391" s="83" t="s">
        <v>13837</v>
      </c>
      <c r="AM1391" s="71" t="s">
        <v>13838</v>
      </c>
      <c r="AN1391" s="84" t="s">
        <v>13839</v>
      </c>
      <c r="AO1391" s="71" t="s">
        <v>13840</v>
      </c>
      <c r="AP1391" s="161" t="str">
        <f>IMAGE("https://bellingcat-archive.nyc3.cdn.digitaloceanspaces.com/Ukraine_Witness_Datasheet/Worksheet/youtube_dl_1498607642037858304/out20.jpg")</f>
        <v/>
      </c>
      <c r="AQ1391" s="84" t="s">
        <v>13841</v>
      </c>
      <c r="AR1391" s="498" t="s">
        <v>13842</v>
      </c>
      <c r="AS1391" s="71" t="s">
        <v>13843</v>
      </c>
      <c r="AT1391" s="62">
        <v>69.027</v>
      </c>
      <c r="AU1391" s="89"/>
      <c r="AV1391" s="162"/>
      <c r="AW1391" s="81"/>
    </row>
    <row r="1392" ht="15.75" customHeight="1">
      <c r="A1392" s="373" t="s">
        <v>6924</v>
      </c>
      <c r="B1392" s="73"/>
      <c r="C1392" s="57" t="s">
        <v>9941</v>
      </c>
      <c r="D1392" s="241" t="s">
        <v>10166</v>
      </c>
      <c r="E1392" s="241" t="s">
        <v>10167</v>
      </c>
      <c r="F1392" s="89"/>
      <c r="G1392" s="317" t="s">
        <v>13844</v>
      </c>
      <c r="H1392" s="73"/>
      <c r="I1392" s="62" t="s">
        <v>10169</v>
      </c>
      <c r="J1392" s="476" t="s">
        <v>13845</v>
      </c>
      <c r="K1392" s="69"/>
      <c r="L1392" s="70"/>
      <c r="M1392" s="73"/>
      <c r="N1392" s="73"/>
      <c r="O1392" s="73"/>
      <c r="P1392" s="67" t="str">
        <f t="shared" si="8"/>
        <v>47.112148, 37.553096</v>
      </c>
      <c r="Q1392" s="67" t="str">
        <f t="shared" si="2"/>
        <v>47.111436, 37.552653</v>
      </c>
      <c r="R1392" s="67">
        <f t="shared" si="3"/>
        <v>47.111436</v>
      </c>
      <c r="S1392" s="67">
        <f t="shared" si="4"/>
        <v>37.552653</v>
      </c>
      <c r="T1392" s="161"/>
      <c r="U1392" s="69"/>
      <c r="V1392" s="169" t="s">
        <v>13846</v>
      </c>
      <c r="W1392" s="161"/>
      <c r="X1392" s="194"/>
      <c r="Y1392" s="252"/>
      <c r="Z1392" s="73"/>
      <c r="AA1392" s="73"/>
      <c r="AB1392" s="73"/>
      <c r="AC1392" s="73"/>
      <c r="AD1392" s="73"/>
      <c r="AE1392" s="73"/>
      <c r="AF1392" s="73"/>
      <c r="AG1392" s="73"/>
      <c r="AH1392" s="73"/>
      <c r="AI1392" s="73"/>
      <c r="AJ1392" s="161"/>
      <c r="AK1392" s="76" t="s">
        <v>6276</v>
      </c>
      <c r="AL1392" s="83" t="s">
        <v>13847</v>
      </c>
      <c r="AM1392" s="71" t="s">
        <v>13848</v>
      </c>
      <c r="AN1392" s="84" t="s">
        <v>13849</v>
      </c>
      <c r="AO1392" s="71" t="s">
        <v>13850</v>
      </c>
      <c r="AP1392" s="161" t="str">
        <f>IMAGE("https://bellingcat-archive.nyc3.cdn.digitaloceanspaces.com/Ukraine_Witness_Datasheet/Worksheet/telegram_cHcRgfrHtSfIC_0oyJ1P8nxvXSEqc07MZ4qtWlotmVc-q9wkIcDTYvll7hk0R2ZAOULnlV5O_2_Oz_upc27yQmnMj0vWgwq0QS4VftfTHfrQBDl_NYAO_fyHiFps604g.jpg")</f>
        <v/>
      </c>
      <c r="AQ1392" s="161"/>
      <c r="AR1392" s="161"/>
      <c r="AS1392" s="71" t="s">
        <v>13851</v>
      </c>
      <c r="AT1392" s="75"/>
      <c r="AU1392" s="89"/>
      <c r="AV1392" s="162"/>
      <c r="AW1392" s="81"/>
    </row>
    <row r="1393" ht="15.75" customHeight="1">
      <c r="A1393" s="208" t="s">
        <v>13852</v>
      </c>
      <c r="B1393" s="73"/>
      <c r="C1393" s="57" t="s">
        <v>13542</v>
      </c>
      <c r="D1393" s="104">
        <v>46.6514851763526</v>
      </c>
      <c r="E1393" s="104">
        <v>32.5954369934497</v>
      </c>
      <c r="F1393" s="79">
        <v>1.0</v>
      </c>
      <c r="G1393" s="317" t="s">
        <v>13853</v>
      </c>
      <c r="H1393" s="73"/>
      <c r="I1393" s="62" t="s">
        <v>13854</v>
      </c>
      <c r="J1393" s="71" t="s">
        <v>13855</v>
      </c>
      <c r="K1393" s="69"/>
      <c r="L1393" s="65" t="s">
        <v>3542</v>
      </c>
      <c r="M1393" s="61" t="s">
        <v>5702</v>
      </c>
      <c r="N1393" s="73"/>
      <c r="O1393" s="61" t="s">
        <v>7098</v>
      </c>
      <c r="P1393" s="67" t="str">
        <f t="shared" si="8"/>
        <v>46.6514851763526, 32.5954369934497</v>
      </c>
      <c r="Q1393" s="67" t="str">
        <f t="shared" si="2"/>
        <v>46.651275, 32.594688</v>
      </c>
      <c r="R1393" s="67">
        <f t="shared" si="3"/>
        <v>46.651275</v>
      </c>
      <c r="S1393" s="67">
        <f t="shared" si="4"/>
        <v>32.594688</v>
      </c>
      <c r="T1393" s="71" t="s">
        <v>13856</v>
      </c>
      <c r="U1393" s="69"/>
      <c r="V1393" s="169" t="s">
        <v>13857</v>
      </c>
      <c r="W1393" s="71" t="s">
        <v>74</v>
      </c>
      <c r="X1393" s="208"/>
      <c r="Y1393" s="93" t="s">
        <v>551</v>
      </c>
      <c r="Z1393" s="61" t="s">
        <v>10035</v>
      </c>
      <c r="AA1393" s="73"/>
      <c r="AB1393" s="73"/>
      <c r="AC1393" s="73"/>
      <c r="AD1393" s="73"/>
      <c r="AE1393" s="73"/>
      <c r="AF1393" s="73"/>
      <c r="AG1393" s="73"/>
      <c r="AH1393" s="73"/>
      <c r="AI1393" s="73"/>
      <c r="AJ1393" s="161"/>
      <c r="AK1393" s="76" t="s">
        <v>798</v>
      </c>
      <c r="AL1393" s="83" t="s">
        <v>13858</v>
      </c>
      <c r="AM1393" s="71" t="s">
        <v>13859</v>
      </c>
      <c r="AN1393" s="84" t="s">
        <v>13860</v>
      </c>
      <c r="AO1393" s="71" t="s">
        <v>13861</v>
      </c>
      <c r="AP1393" s="161" t="str">
        <f>IMAGE("https://bellingcat-archive.nyc3.cdn.digitaloceanspaces.com/Ukraine_Witness_Datasheet/Worksheet/youtube_dl_1498654294807035905/out7.jpg")</f>
        <v/>
      </c>
      <c r="AQ1393" s="84" t="s">
        <v>13862</v>
      </c>
      <c r="AR1393" s="71" t="s">
        <v>13863</v>
      </c>
      <c r="AS1393" s="71" t="s">
        <v>13864</v>
      </c>
      <c r="AT1393" s="62">
        <v>44.968</v>
      </c>
      <c r="AU1393" s="89"/>
      <c r="AV1393" s="162"/>
      <c r="AW1393" s="81"/>
    </row>
    <row r="1394" ht="15.75" customHeight="1">
      <c r="A1394" s="354" t="s">
        <v>9897</v>
      </c>
      <c r="B1394" s="73"/>
      <c r="C1394" s="57" t="s">
        <v>9028</v>
      </c>
      <c r="D1394" s="241" t="s">
        <v>12112</v>
      </c>
      <c r="E1394" s="241" t="s">
        <v>12113</v>
      </c>
      <c r="F1394" s="79">
        <v>5.0</v>
      </c>
      <c r="G1394" s="317" t="s">
        <v>13865</v>
      </c>
      <c r="H1394" s="73"/>
      <c r="I1394" s="62" t="s">
        <v>12115</v>
      </c>
      <c r="J1394" s="71" t="s">
        <v>13866</v>
      </c>
      <c r="K1394" s="69"/>
      <c r="L1394" s="65" t="s">
        <v>5670</v>
      </c>
      <c r="M1394" s="93" t="s">
        <v>5750</v>
      </c>
      <c r="N1394" s="73"/>
      <c r="O1394" s="328" t="s">
        <v>6109</v>
      </c>
      <c r="P1394" s="67" t="str">
        <f t="shared" si="8"/>
        <v>47.11104583270716, 37.51277008</v>
      </c>
      <c r="Q1394" s="67" t="str">
        <f t="shared" si="2"/>
        <v>47.110608, 37.512751</v>
      </c>
      <c r="R1394" s="67">
        <f t="shared" si="3"/>
        <v>47.110608</v>
      </c>
      <c r="S1394" s="67">
        <f t="shared" si="4"/>
        <v>37.512751</v>
      </c>
      <c r="T1394" s="161"/>
      <c r="U1394" s="69"/>
      <c r="V1394" s="65" t="s">
        <v>13867</v>
      </c>
      <c r="W1394" s="161"/>
      <c r="X1394" s="17" t="s">
        <v>9</v>
      </c>
      <c r="Y1394" s="216" t="s">
        <v>5820</v>
      </c>
      <c r="Z1394" s="73"/>
      <c r="AA1394" s="73"/>
      <c r="AB1394" s="73"/>
      <c r="AC1394" s="73"/>
      <c r="AD1394" s="73"/>
      <c r="AE1394" s="73"/>
      <c r="AF1394" s="73"/>
      <c r="AG1394" s="73"/>
      <c r="AH1394" s="73"/>
      <c r="AI1394" s="73"/>
      <c r="AJ1394" s="161"/>
      <c r="AK1394" s="76" t="s">
        <v>2108</v>
      </c>
      <c r="AL1394" s="83" t="s">
        <v>13868</v>
      </c>
      <c r="AM1394" s="71" t="s">
        <v>13869</v>
      </c>
      <c r="AN1394" s="84" t="s">
        <v>13870</v>
      </c>
      <c r="AO1394" s="71" t="s">
        <v>13871</v>
      </c>
      <c r="AP1394" s="161" t="str">
        <f>IMAGE("https://bellingcat-archive.nyc3.cdn.digitaloceanspaces.com/Ukraine_Witness_Datasheet/Worksheet/twitter__media_FMnsV5sXoAYpzNn.jpg")</f>
        <v/>
      </c>
      <c r="AQ1394" s="161"/>
      <c r="AR1394" s="161"/>
      <c r="AS1394" s="71" t="s">
        <v>13872</v>
      </c>
      <c r="AT1394" s="75"/>
      <c r="AU1394" s="89"/>
      <c r="AV1394" s="162"/>
      <c r="AW1394" s="81"/>
    </row>
    <row r="1395" ht="15.75" customHeight="1">
      <c r="A1395" s="208"/>
      <c r="B1395" s="73"/>
      <c r="C1395" s="176"/>
      <c r="D1395" s="121"/>
      <c r="E1395" s="121"/>
      <c r="F1395" s="79">
        <v>5.0</v>
      </c>
      <c r="G1395" s="317" t="s">
        <v>13873</v>
      </c>
      <c r="H1395" s="73"/>
      <c r="I1395" s="62" t="s">
        <v>11997</v>
      </c>
      <c r="J1395" s="71" t="s">
        <v>13874</v>
      </c>
      <c r="K1395" s="69"/>
      <c r="L1395" s="70"/>
      <c r="M1395" s="73"/>
      <c r="N1395" s="73"/>
      <c r="O1395" s="73"/>
      <c r="P1395" s="67" t="str">
        <f t="shared" si="8"/>
        <v/>
      </c>
      <c r="Q1395" s="67" t="str">
        <f t="shared" si="2"/>
        <v/>
      </c>
      <c r="R1395" s="67" t="str">
        <f t="shared" si="3"/>
        <v/>
      </c>
      <c r="S1395" s="67" t="str">
        <f t="shared" si="4"/>
        <v/>
      </c>
      <c r="T1395" s="161"/>
      <c r="U1395" s="69"/>
      <c r="V1395" s="169" t="s">
        <v>13875</v>
      </c>
      <c r="W1395" s="161"/>
      <c r="X1395" s="194"/>
      <c r="Y1395" s="73"/>
      <c r="Z1395" s="73"/>
      <c r="AA1395" s="73"/>
      <c r="AB1395" s="73"/>
      <c r="AC1395" s="73"/>
      <c r="AD1395" s="73"/>
      <c r="AE1395" s="73"/>
      <c r="AF1395" s="73"/>
      <c r="AG1395" s="73"/>
      <c r="AH1395" s="73"/>
      <c r="AI1395" s="73"/>
      <c r="AJ1395" s="161"/>
      <c r="AK1395" s="76" t="s">
        <v>930</v>
      </c>
      <c r="AL1395" s="83" t="s">
        <v>12628</v>
      </c>
      <c r="AM1395" s="71" t="s">
        <v>13876</v>
      </c>
      <c r="AN1395" s="84" t="s">
        <v>13877</v>
      </c>
      <c r="AO1395" s="71" t="s">
        <v>12631</v>
      </c>
      <c r="AP1395" s="161" t="str">
        <f>IMAGE("https://bellingcat-archive.nyc3.cdn.digitaloceanspaces.com/Ukraine_Witness_Datasheet/Worksheet/youtube_dl_1499051939333644300/out7.jpg")</f>
        <v/>
      </c>
      <c r="AQ1395" s="84" t="s">
        <v>12632</v>
      </c>
      <c r="AR1395" s="71" t="s">
        <v>12633</v>
      </c>
      <c r="AS1395" s="71" t="s">
        <v>12634</v>
      </c>
      <c r="AT1395" s="62">
        <v>31.055</v>
      </c>
      <c r="AU1395" s="89"/>
      <c r="AV1395" s="162"/>
      <c r="AW1395" s="81"/>
    </row>
    <row r="1396" ht="15.75" customHeight="1">
      <c r="A1396" s="354" t="s">
        <v>7092</v>
      </c>
      <c r="B1396" s="73"/>
      <c r="C1396" s="57" t="s">
        <v>9941</v>
      </c>
      <c r="D1396" s="241" t="s">
        <v>13878</v>
      </c>
      <c r="E1396" s="241" t="s">
        <v>13879</v>
      </c>
      <c r="F1396" s="89"/>
      <c r="G1396" s="317" t="s">
        <v>13880</v>
      </c>
      <c r="H1396" s="73"/>
      <c r="I1396" s="62" t="s">
        <v>13881</v>
      </c>
      <c r="J1396" s="476" t="s">
        <v>13882</v>
      </c>
      <c r="K1396" s="69"/>
      <c r="L1396" s="65" t="s">
        <v>5670</v>
      </c>
      <c r="M1396" s="61" t="s">
        <v>5590</v>
      </c>
      <c r="N1396" s="73"/>
      <c r="O1396" s="61" t="s">
        <v>5591</v>
      </c>
      <c r="P1396" s="67" t="str">
        <f t="shared" si="8"/>
        <v>50.02616176, 36.25862712</v>
      </c>
      <c r="Q1396" s="67" t="str">
        <f t="shared" si="2"/>
        <v>50.025688, 36.25855</v>
      </c>
      <c r="R1396" s="67">
        <f t="shared" si="3"/>
        <v>50.025688</v>
      </c>
      <c r="S1396" s="67">
        <f t="shared" si="4"/>
        <v>36.25855</v>
      </c>
      <c r="T1396" s="161"/>
      <c r="U1396" s="69"/>
      <c r="V1396" s="169" t="s">
        <v>13883</v>
      </c>
      <c r="W1396" s="161"/>
      <c r="X1396" s="17" t="s">
        <v>9</v>
      </c>
      <c r="Y1396" s="216" t="s">
        <v>5820</v>
      </c>
      <c r="Z1396" s="73"/>
      <c r="AA1396" s="73"/>
      <c r="AB1396" s="73"/>
      <c r="AC1396" s="73"/>
      <c r="AD1396" s="73"/>
      <c r="AE1396" s="73"/>
      <c r="AF1396" s="73"/>
      <c r="AG1396" s="73"/>
      <c r="AH1396" s="73"/>
      <c r="AI1396" s="73"/>
      <c r="AJ1396" s="161"/>
      <c r="AK1396" s="76" t="s">
        <v>6276</v>
      </c>
      <c r="AL1396" s="83" t="s">
        <v>13884</v>
      </c>
      <c r="AM1396" s="71" t="s">
        <v>13885</v>
      </c>
      <c r="AN1396" s="84" t="s">
        <v>13886</v>
      </c>
      <c r="AO1396" s="71" t="s">
        <v>13887</v>
      </c>
      <c r="AP1396" s="161" t="str">
        <f>IMAGE("https://bellingcat-archive.nyc3.cdn.digitaloceanspaces.com/Ukraine_Witness_Datasheet/Worksheet/telegram_b545e1b819/out7.jpg")</f>
        <v/>
      </c>
      <c r="AQ1396" s="84" t="s">
        <v>13888</v>
      </c>
      <c r="AR1396" s="84" t="s">
        <v>13880</v>
      </c>
      <c r="AS1396" s="71" t="s">
        <v>13889</v>
      </c>
      <c r="AT1396" s="62">
        <v>12.0</v>
      </c>
      <c r="AU1396" s="89"/>
      <c r="AV1396" s="162"/>
      <c r="AW1396" s="81"/>
    </row>
    <row r="1397" ht="15.75" customHeight="1">
      <c r="A1397" s="204" t="s">
        <v>8023</v>
      </c>
      <c r="B1397" s="73"/>
      <c r="C1397" s="57" t="s">
        <v>13542</v>
      </c>
      <c r="D1397" s="104">
        <v>50.6430899425795</v>
      </c>
      <c r="E1397" s="104">
        <v>29.9329738836349</v>
      </c>
      <c r="F1397" s="79">
        <v>3.0</v>
      </c>
      <c r="G1397" s="317" t="s">
        <v>13890</v>
      </c>
      <c r="H1397" s="73"/>
      <c r="I1397" s="62" t="s">
        <v>13891</v>
      </c>
      <c r="J1397" s="71" t="s">
        <v>13892</v>
      </c>
      <c r="K1397" s="69"/>
      <c r="L1397" s="65" t="s">
        <v>3542</v>
      </c>
      <c r="M1397" s="61" t="s">
        <v>5827</v>
      </c>
      <c r="N1397" s="73"/>
      <c r="O1397" s="61" t="s">
        <v>7832</v>
      </c>
      <c r="P1397" s="67" t="str">
        <f t="shared" si="8"/>
        <v>50.6430899425795, 29.9329738836349</v>
      </c>
      <c r="Q1397" s="67" t="str">
        <f t="shared" si="2"/>
        <v>50.642576, 29.933907</v>
      </c>
      <c r="R1397" s="67">
        <f t="shared" si="3"/>
        <v>50.642576</v>
      </c>
      <c r="S1397" s="67">
        <f t="shared" si="4"/>
        <v>29.933907</v>
      </c>
      <c r="T1397" s="71" t="s">
        <v>13893</v>
      </c>
      <c r="U1397" s="69"/>
      <c r="V1397" s="65" t="s">
        <v>13894</v>
      </c>
      <c r="W1397" s="71" t="s">
        <v>6641</v>
      </c>
      <c r="X1397" s="72" t="s">
        <v>5504</v>
      </c>
      <c r="Y1397" s="216" t="s">
        <v>5820</v>
      </c>
      <c r="Z1397" s="73"/>
      <c r="AA1397" s="73"/>
      <c r="AB1397" s="73"/>
      <c r="AC1397" s="73"/>
      <c r="AD1397" s="73"/>
      <c r="AE1397" s="73"/>
      <c r="AF1397" s="73"/>
      <c r="AG1397" s="73"/>
      <c r="AH1397" s="73"/>
      <c r="AI1397" s="73"/>
      <c r="AJ1397" s="161"/>
      <c r="AK1397" s="76" t="s">
        <v>798</v>
      </c>
      <c r="AL1397" s="83" t="s">
        <v>13895</v>
      </c>
      <c r="AM1397" s="71" t="s">
        <v>13896</v>
      </c>
      <c r="AN1397" s="84" t="s">
        <v>13897</v>
      </c>
      <c r="AO1397" s="71" t="s">
        <v>13898</v>
      </c>
      <c r="AP1397" s="161" t="str">
        <f>IMAGE("https://bellingcat-archive.nyc3.cdn.digitaloceanspaces.com/Ukraine_Witness_Datasheet/Worksheet/youtube_dl_hVgp4yrUIJw/out7.jpg")</f>
        <v/>
      </c>
      <c r="AQ1397" s="84" t="s">
        <v>13899</v>
      </c>
      <c r="AR1397" s="71" t="s">
        <v>13900</v>
      </c>
      <c r="AS1397" s="71" t="s">
        <v>11526</v>
      </c>
      <c r="AT1397" s="62">
        <v>54.0</v>
      </c>
      <c r="AU1397" s="89"/>
      <c r="AV1397" s="162"/>
      <c r="AW1397" s="81"/>
    </row>
    <row r="1398" ht="15.75" customHeight="1">
      <c r="A1398" s="208" t="s">
        <v>12532</v>
      </c>
      <c r="B1398" s="73"/>
      <c r="C1398" s="57" t="s">
        <v>9941</v>
      </c>
      <c r="D1398" s="241" t="s">
        <v>13901</v>
      </c>
      <c r="E1398" s="241" t="s">
        <v>13902</v>
      </c>
      <c r="F1398" s="89"/>
      <c r="G1398" s="317" t="s">
        <v>13903</v>
      </c>
      <c r="H1398" s="73"/>
      <c r="I1398" s="62" t="s">
        <v>13891</v>
      </c>
      <c r="J1398" s="476" t="s">
        <v>13904</v>
      </c>
      <c r="K1398" s="69"/>
      <c r="L1398" s="70"/>
      <c r="M1398" s="73"/>
      <c r="N1398" s="73"/>
      <c r="O1398" s="73"/>
      <c r="P1398" s="67" t="str">
        <f t="shared" si="8"/>
        <v>50.64195834, 29.92848437</v>
      </c>
      <c r="Q1398" s="67" t="str">
        <f t="shared" si="2"/>
        <v>50.641734, 29.927592</v>
      </c>
      <c r="R1398" s="67">
        <f t="shared" si="3"/>
        <v>50.641734</v>
      </c>
      <c r="S1398" s="67">
        <f t="shared" si="4"/>
        <v>29.927592</v>
      </c>
      <c r="T1398" s="161"/>
      <c r="U1398" s="69"/>
      <c r="V1398" s="65" t="s">
        <v>13905</v>
      </c>
      <c r="W1398" s="161"/>
      <c r="X1398" s="194"/>
      <c r="Y1398" s="216" t="s">
        <v>5820</v>
      </c>
      <c r="Z1398" s="73"/>
      <c r="AA1398" s="73"/>
      <c r="AB1398" s="73"/>
      <c r="AC1398" s="73"/>
      <c r="AD1398" s="73"/>
      <c r="AE1398" s="73"/>
      <c r="AF1398" s="73"/>
      <c r="AG1398" s="73"/>
      <c r="AH1398" s="73"/>
      <c r="AI1398" s="73"/>
      <c r="AJ1398" s="161"/>
      <c r="AK1398" s="76" t="s">
        <v>798</v>
      </c>
      <c r="AL1398" s="83" t="s">
        <v>13906</v>
      </c>
      <c r="AM1398" s="71" t="s">
        <v>13907</v>
      </c>
      <c r="AN1398" s="84" t="s">
        <v>13908</v>
      </c>
      <c r="AO1398" s="71" t="s">
        <v>10790</v>
      </c>
      <c r="AP1398" s="161" t="str">
        <f>IMAGE("https://bellingcat-archive.nyc3.cdn.digitaloceanspaces.com/Ukraine_Witness_Datasheet/Worksheet/youtube_dl_1498702380271083520/out7.jpg")</f>
        <v/>
      </c>
      <c r="AQ1398" s="84" t="s">
        <v>13909</v>
      </c>
      <c r="AR1398" s="71" t="s">
        <v>13910</v>
      </c>
      <c r="AS1398" s="71" t="s">
        <v>13911</v>
      </c>
      <c r="AT1398" s="62">
        <v>54.357</v>
      </c>
      <c r="AU1398" s="89"/>
      <c r="AV1398" s="162"/>
      <c r="AW1398" s="81"/>
    </row>
    <row r="1399" ht="15.75" customHeight="1">
      <c r="A1399" s="373" t="s">
        <v>6924</v>
      </c>
      <c r="B1399" s="73"/>
      <c r="C1399" s="57" t="s">
        <v>9941</v>
      </c>
      <c r="D1399" s="260"/>
      <c r="E1399" s="260"/>
      <c r="F1399" s="89"/>
      <c r="G1399" s="317" t="s">
        <v>13912</v>
      </c>
      <c r="H1399" s="73"/>
      <c r="I1399" s="62" t="s">
        <v>13913</v>
      </c>
      <c r="J1399" s="476" t="s">
        <v>13914</v>
      </c>
      <c r="K1399" s="69"/>
      <c r="L1399" s="70"/>
      <c r="M1399" s="73"/>
      <c r="N1399" s="73"/>
      <c r="O1399" s="73"/>
      <c r="P1399" s="67" t="str">
        <f t="shared" si="8"/>
        <v/>
      </c>
      <c r="Q1399" s="67" t="str">
        <f t="shared" si="2"/>
        <v/>
      </c>
      <c r="R1399" s="67" t="str">
        <f t="shared" si="3"/>
        <v/>
      </c>
      <c r="S1399" s="67" t="str">
        <f t="shared" si="4"/>
        <v/>
      </c>
      <c r="T1399" s="161"/>
      <c r="U1399" s="69"/>
      <c r="V1399" s="169" t="s">
        <v>13915</v>
      </c>
      <c r="W1399" s="161"/>
      <c r="X1399" s="194"/>
      <c r="Y1399" s="216" t="s">
        <v>5820</v>
      </c>
      <c r="Z1399" s="73"/>
      <c r="AA1399" s="73"/>
      <c r="AB1399" s="73"/>
      <c r="AC1399" s="73"/>
      <c r="AD1399" s="73"/>
      <c r="AE1399" s="73"/>
      <c r="AF1399" s="73"/>
      <c r="AG1399" s="73"/>
      <c r="AH1399" s="73"/>
      <c r="AI1399" s="73"/>
      <c r="AJ1399" s="161"/>
      <c r="AK1399" s="76" t="s">
        <v>798</v>
      </c>
      <c r="AL1399" s="83" t="s">
        <v>13916</v>
      </c>
      <c r="AM1399" s="71" t="s">
        <v>13917</v>
      </c>
      <c r="AN1399" s="84" t="s">
        <v>13918</v>
      </c>
      <c r="AO1399" s="71" t="s">
        <v>13919</v>
      </c>
      <c r="AP1399" s="161" t="str">
        <f>IMAGE("https://bellingcat-archive.nyc3.cdn.digitaloceanspaces.com/Ukraine_Witness_Datasheet/Worksheet/youtube_dl_1498720233598734337/out7.jpg")</f>
        <v/>
      </c>
      <c r="AQ1399" s="84" t="s">
        <v>13920</v>
      </c>
      <c r="AR1399" s="71" t="s">
        <v>13921</v>
      </c>
      <c r="AS1399" s="71" t="s">
        <v>13922</v>
      </c>
      <c r="AT1399" s="62">
        <v>26.733</v>
      </c>
      <c r="AU1399" s="89"/>
      <c r="AV1399" s="162"/>
      <c r="AW1399" s="81"/>
    </row>
    <row r="1400" ht="15.75" customHeight="1">
      <c r="A1400" s="354" t="s">
        <v>7092</v>
      </c>
      <c r="B1400" s="73"/>
      <c r="C1400" s="57" t="s">
        <v>10973</v>
      </c>
      <c r="D1400" s="241" t="s">
        <v>13923</v>
      </c>
      <c r="E1400" s="241" t="s">
        <v>13924</v>
      </c>
      <c r="F1400" s="89"/>
      <c r="G1400" s="317" t="s">
        <v>13925</v>
      </c>
      <c r="H1400" s="73"/>
      <c r="I1400" s="62" t="s">
        <v>13926</v>
      </c>
      <c r="J1400" s="476" t="s">
        <v>13927</v>
      </c>
      <c r="K1400" s="69"/>
      <c r="L1400" s="70"/>
      <c r="M1400" s="73"/>
      <c r="N1400" s="73"/>
      <c r="O1400" s="73"/>
      <c r="P1400" s="67" t="str">
        <f t="shared" si="8"/>
        <v>50.541962, 30.26439</v>
      </c>
      <c r="Q1400" s="67" t="str">
        <f t="shared" si="2"/>
        <v>50.541493, 30.263673</v>
      </c>
      <c r="R1400" s="67">
        <f t="shared" si="3"/>
        <v>50.541493</v>
      </c>
      <c r="S1400" s="67">
        <f t="shared" si="4"/>
        <v>30.263673</v>
      </c>
      <c r="T1400" s="161"/>
      <c r="U1400" s="69"/>
      <c r="V1400" s="65" t="s">
        <v>13928</v>
      </c>
      <c r="W1400" s="161"/>
      <c r="X1400" s="17" t="s">
        <v>9</v>
      </c>
      <c r="Y1400" s="216" t="s">
        <v>5820</v>
      </c>
      <c r="Z1400" s="73"/>
      <c r="AA1400" s="73"/>
      <c r="AB1400" s="73"/>
      <c r="AC1400" s="73"/>
      <c r="AD1400" s="73"/>
      <c r="AE1400" s="73"/>
      <c r="AF1400" s="73"/>
      <c r="AG1400" s="73"/>
      <c r="AH1400" s="73"/>
      <c r="AI1400" s="73"/>
      <c r="AJ1400" s="161"/>
      <c r="AK1400" s="76" t="s">
        <v>6276</v>
      </c>
      <c r="AL1400" s="83" t="s">
        <v>13929</v>
      </c>
      <c r="AM1400" s="71" t="s">
        <v>13930</v>
      </c>
      <c r="AN1400" s="84" t="s">
        <v>13931</v>
      </c>
      <c r="AO1400" s="71" t="s">
        <v>13932</v>
      </c>
      <c r="AP1400" s="161"/>
      <c r="AQ1400" s="161"/>
      <c r="AR1400" s="161"/>
      <c r="AS1400" s="161"/>
      <c r="AT1400" s="75"/>
      <c r="AU1400" s="89"/>
      <c r="AV1400" s="162"/>
      <c r="AW1400" s="81"/>
    </row>
    <row r="1401" ht="15.75" customHeight="1">
      <c r="A1401" s="208" t="s">
        <v>12532</v>
      </c>
      <c r="B1401" s="73"/>
      <c r="C1401" s="57" t="s">
        <v>10973</v>
      </c>
      <c r="D1401" s="241" t="s">
        <v>13923</v>
      </c>
      <c r="E1401" s="241" t="s">
        <v>13924</v>
      </c>
      <c r="F1401" s="89"/>
      <c r="G1401" s="317" t="s">
        <v>13933</v>
      </c>
      <c r="H1401" s="73"/>
      <c r="I1401" s="62" t="s">
        <v>13926</v>
      </c>
      <c r="J1401" s="476" t="s">
        <v>13927</v>
      </c>
      <c r="K1401" s="69"/>
      <c r="L1401" s="70"/>
      <c r="M1401" s="73"/>
      <c r="N1401" s="73"/>
      <c r="O1401" s="73"/>
      <c r="P1401" s="67" t="str">
        <f t="shared" si="8"/>
        <v>50.541962, 30.26439</v>
      </c>
      <c r="Q1401" s="67" t="str">
        <f t="shared" si="2"/>
        <v>50.541557, 30.26498</v>
      </c>
      <c r="R1401" s="67">
        <f t="shared" si="3"/>
        <v>50.541557</v>
      </c>
      <c r="S1401" s="67">
        <f t="shared" si="4"/>
        <v>30.26498</v>
      </c>
      <c r="T1401" s="161"/>
      <c r="U1401" s="69"/>
      <c r="V1401" s="169" t="s">
        <v>13934</v>
      </c>
      <c r="W1401" s="161"/>
      <c r="X1401" s="194"/>
      <c r="Y1401" s="216" t="s">
        <v>5820</v>
      </c>
      <c r="Z1401" s="73"/>
      <c r="AA1401" s="73"/>
      <c r="AB1401" s="73"/>
      <c r="AC1401" s="73"/>
      <c r="AD1401" s="73"/>
      <c r="AE1401" s="73"/>
      <c r="AF1401" s="73"/>
      <c r="AG1401" s="73"/>
      <c r="AH1401" s="73"/>
      <c r="AI1401" s="73"/>
      <c r="AJ1401" s="161"/>
      <c r="AK1401" s="76" t="s">
        <v>798</v>
      </c>
      <c r="AL1401" s="83" t="s">
        <v>13935</v>
      </c>
      <c r="AM1401" s="71" t="s">
        <v>13936</v>
      </c>
      <c r="AN1401" s="84" t="s">
        <v>13937</v>
      </c>
      <c r="AO1401" s="71" t="s">
        <v>13938</v>
      </c>
      <c r="AP1401" s="161" t="str">
        <f>IMAGE("https://bellingcat-archive.nyc3.cdn.digitaloceanspaces.com/Ukraine_Witness_Datasheet/Worksheet/youtube_dl_1498924276128305154/out7.jpg")</f>
        <v/>
      </c>
      <c r="AQ1401" s="84" t="s">
        <v>13939</v>
      </c>
      <c r="AR1401" s="71" t="s">
        <v>13940</v>
      </c>
      <c r="AS1401" s="71" t="s">
        <v>13941</v>
      </c>
      <c r="AT1401" s="62">
        <v>6.244</v>
      </c>
      <c r="AU1401" s="89"/>
      <c r="AV1401" s="162"/>
      <c r="AW1401" s="81"/>
    </row>
    <row r="1402" ht="15.75" customHeight="1">
      <c r="A1402" s="204" t="s">
        <v>8023</v>
      </c>
      <c r="B1402" s="73"/>
      <c r="C1402" s="57" t="s">
        <v>13542</v>
      </c>
      <c r="D1402" s="104">
        <v>50.4713511171885</v>
      </c>
      <c r="E1402" s="104">
        <v>30.4534136788881</v>
      </c>
      <c r="F1402" s="79">
        <v>2.0</v>
      </c>
      <c r="G1402" s="317" t="s">
        <v>13942</v>
      </c>
      <c r="H1402" s="73"/>
      <c r="I1402" s="62" t="s">
        <v>12306</v>
      </c>
      <c r="J1402" s="71" t="s">
        <v>13943</v>
      </c>
      <c r="K1402" s="69"/>
      <c r="L1402" s="65" t="s">
        <v>3542</v>
      </c>
      <c r="M1402" s="73"/>
      <c r="N1402" s="73"/>
      <c r="O1402" s="61" t="s">
        <v>6121</v>
      </c>
      <c r="P1402" s="67" t="str">
        <f t="shared" si="8"/>
        <v>50.4713511171885, 30.4534136788881</v>
      </c>
      <c r="Q1402" s="67" t="str">
        <f t="shared" si="2"/>
        <v>50.470622, 30.454037</v>
      </c>
      <c r="R1402" s="67">
        <f t="shared" si="3"/>
        <v>50.470622</v>
      </c>
      <c r="S1402" s="67">
        <f t="shared" si="4"/>
        <v>30.454037</v>
      </c>
      <c r="T1402" s="71" t="s">
        <v>13944</v>
      </c>
      <c r="U1402" s="69"/>
      <c r="V1402" s="169" t="s">
        <v>13945</v>
      </c>
      <c r="W1402" s="71" t="s">
        <v>6641</v>
      </c>
      <c r="X1402" s="72" t="s">
        <v>5504</v>
      </c>
      <c r="Y1402" s="216" t="s">
        <v>5820</v>
      </c>
      <c r="Z1402" s="73"/>
      <c r="AA1402" s="73"/>
      <c r="AB1402" s="73"/>
      <c r="AC1402" s="73"/>
      <c r="AD1402" s="73"/>
      <c r="AE1402" s="73"/>
      <c r="AF1402" s="73"/>
      <c r="AG1402" s="73"/>
      <c r="AH1402" s="73"/>
      <c r="AI1402" s="73"/>
      <c r="AJ1402" s="161"/>
      <c r="AK1402" s="76" t="s">
        <v>1261</v>
      </c>
      <c r="AL1402" s="83" t="s">
        <v>13946</v>
      </c>
      <c r="AM1402" s="71" t="s">
        <v>13947</v>
      </c>
      <c r="AN1402" s="84" t="s">
        <v>13948</v>
      </c>
      <c r="AO1402" s="161"/>
      <c r="AP1402" s="161"/>
      <c r="AQ1402" s="161"/>
      <c r="AR1402" s="71" t="s">
        <v>2228</v>
      </c>
      <c r="AS1402" s="161"/>
      <c r="AT1402" s="75"/>
      <c r="AU1402" s="89"/>
      <c r="AV1402" s="162"/>
      <c r="AW1402" s="81"/>
    </row>
    <row r="1403" ht="15.75" customHeight="1">
      <c r="A1403" s="17" t="s">
        <v>13949</v>
      </c>
      <c r="B1403" s="73"/>
      <c r="C1403" s="57" t="s">
        <v>9941</v>
      </c>
      <c r="D1403" s="74">
        <v>50.470733</v>
      </c>
      <c r="E1403" s="74">
        <v>30.452437</v>
      </c>
      <c r="F1403" s="312">
        <v>1.0</v>
      </c>
      <c r="G1403" s="317" t="s">
        <v>13950</v>
      </c>
      <c r="H1403" s="73"/>
      <c r="I1403" s="62" t="s">
        <v>12306</v>
      </c>
      <c r="J1403" s="476" t="s">
        <v>12307</v>
      </c>
      <c r="K1403" s="69"/>
      <c r="L1403" s="70"/>
      <c r="M1403" s="73"/>
      <c r="N1403" s="73"/>
      <c r="O1403" s="73"/>
      <c r="P1403" s="67" t="str">
        <f t="shared" si="8"/>
        <v>50.470733, 30.452437</v>
      </c>
      <c r="Q1403" s="67" t="str">
        <f t="shared" si="2"/>
        <v>50.470203, 30.452048</v>
      </c>
      <c r="R1403" s="67">
        <f t="shared" si="3"/>
        <v>50.470203</v>
      </c>
      <c r="S1403" s="67">
        <f t="shared" si="4"/>
        <v>30.452048</v>
      </c>
      <c r="T1403" s="161"/>
      <c r="U1403" s="69"/>
      <c r="V1403" s="169" t="s">
        <v>13951</v>
      </c>
      <c r="W1403" s="161"/>
      <c r="X1403" s="17" t="s">
        <v>9</v>
      </c>
      <c r="Y1403" s="216" t="s">
        <v>5820</v>
      </c>
      <c r="Z1403" s="73"/>
      <c r="AA1403" s="73"/>
      <c r="AB1403" s="73"/>
      <c r="AC1403" s="73"/>
      <c r="AD1403" s="73"/>
      <c r="AE1403" s="73"/>
      <c r="AF1403" s="73"/>
      <c r="AG1403" s="73"/>
      <c r="AH1403" s="73"/>
      <c r="AI1403" s="73"/>
      <c r="AJ1403" s="161"/>
      <c r="AK1403" s="76" t="s">
        <v>6276</v>
      </c>
      <c r="AL1403" s="83" t="s">
        <v>13952</v>
      </c>
      <c r="AM1403" s="71" t="s">
        <v>13953</v>
      </c>
      <c r="AN1403" s="84" t="s">
        <v>13954</v>
      </c>
      <c r="AO1403" s="71" t="s">
        <v>13955</v>
      </c>
      <c r="AP1403" s="161" t="str">
        <f>IMAGE("https://bellingcat-archive.nyc3.cdn.digitaloceanspaces.com/Ukraine_Witness_Datasheet/Worksheet/telegram_fb9ddffa7c/out7.jpg")</f>
        <v/>
      </c>
      <c r="AQ1403" s="84" t="s">
        <v>13956</v>
      </c>
      <c r="AR1403" s="84" t="s">
        <v>13950</v>
      </c>
      <c r="AS1403" s="71" t="s">
        <v>13957</v>
      </c>
      <c r="AT1403" s="62">
        <v>5.0</v>
      </c>
      <c r="AU1403" s="89"/>
      <c r="AV1403" s="162"/>
      <c r="AW1403" s="81"/>
    </row>
    <row r="1404" ht="15.75" customHeight="1">
      <c r="A1404" s="354" t="s">
        <v>7092</v>
      </c>
      <c r="B1404" s="73"/>
      <c r="C1404" s="57" t="s">
        <v>10973</v>
      </c>
      <c r="D1404" s="241" t="s">
        <v>13958</v>
      </c>
      <c r="E1404" s="241" t="s">
        <v>13959</v>
      </c>
      <c r="F1404" s="89"/>
      <c r="G1404" s="317" t="s">
        <v>13960</v>
      </c>
      <c r="H1404" s="73"/>
      <c r="I1404" s="62" t="s">
        <v>12326</v>
      </c>
      <c r="J1404" s="476" t="s">
        <v>12327</v>
      </c>
      <c r="K1404" s="69"/>
      <c r="L1404" s="65" t="s">
        <v>5670</v>
      </c>
      <c r="M1404" s="61" t="s">
        <v>5590</v>
      </c>
      <c r="N1404" s="73"/>
      <c r="O1404" s="61" t="s">
        <v>5591</v>
      </c>
      <c r="P1404" s="67" t="str">
        <f t="shared" si="8"/>
        <v>49.99929, 36.23671</v>
      </c>
      <c r="Q1404" s="67" t="str">
        <f t="shared" si="2"/>
        <v>49.999085, 36.236171</v>
      </c>
      <c r="R1404" s="67">
        <f t="shared" si="3"/>
        <v>49.999085</v>
      </c>
      <c r="S1404" s="67">
        <f t="shared" si="4"/>
        <v>36.236171</v>
      </c>
      <c r="T1404" s="161"/>
      <c r="U1404" s="69"/>
      <c r="V1404" s="65" t="s">
        <v>13961</v>
      </c>
      <c r="W1404" s="161"/>
      <c r="X1404" s="17" t="s">
        <v>9</v>
      </c>
      <c r="Y1404" s="216" t="s">
        <v>5820</v>
      </c>
      <c r="Z1404" s="73"/>
      <c r="AA1404" s="73"/>
      <c r="AB1404" s="73"/>
      <c r="AC1404" s="73"/>
      <c r="AD1404" s="73"/>
      <c r="AE1404" s="73"/>
      <c r="AF1404" s="73"/>
      <c r="AG1404" s="73"/>
      <c r="AH1404" s="73"/>
      <c r="AI1404" s="73"/>
      <c r="AJ1404" s="161"/>
      <c r="AK1404" s="76" t="s">
        <v>6276</v>
      </c>
      <c r="AL1404" s="83" t="s">
        <v>13962</v>
      </c>
      <c r="AM1404" s="71" t="s">
        <v>13963</v>
      </c>
      <c r="AN1404" s="84" t="s">
        <v>13964</v>
      </c>
      <c r="AO1404" s="71" t="s">
        <v>13965</v>
      </c>
      <c r="AP1404" s="161" t="str">
        <f>IMAGE("https://bellingcat-archive.nyc3.cdn.digitaloceanspaces.com/Ukraine_Witness_Datasheet/Worksheet/telegram_1744a888fb/out7.jpg")</f>
        <v/>
      </c>
      <c r="AQ1404" s="84" t="s">
        <v>13966</v>
      </c>
      <c r="AR1404" s="84" t="s">
        <v>13960</v>
      </c>
      <c r="AS1404" s="71" t="s">
        <v>13967</v>
      </c>
      <c r="AT1404" s="62">
        <v>37.0</v>
      </c>
      <c r="AU1404" s="89"/>
      <c r="AV1404" s="162"/>
      <c r="AW1404" s="81"/>
    </row>
    <row r="1405" ht="15.75" customHeight="1">
      <c r="A1405" s="354" t="s">
        <v>7092</v>
      </c>
      <c r="B1405" s="73"/>
      <c r="C1405" s="57" t="s">
        <v>10973</v>
      </c>
      <c r="D1405" s="241" t="s">
        <v>13958</v>
      </c>
      <c r="E1405" s="241" t="s">
        <v>13959</v>
      </c>
      <c r="F1405" s="89"/>
      <c r="G1405" s="317" t="s">
        <v>13968</v>
      </c>
      <c r="H1405" s="73"/>
      <c r="I1405" s="62" t="s">
        <v>12326</v>
      </c>
      <c r="J1405" s="476" t="s">
        <v>12327</v>
      </c>
      <c r="K1405" s="69"/>
      <c r="L1405" s="65" t="s">
        <v>5670</v>
      </c>
      <c r="M1405" s="61" t="s">
        <v>5590</v>
      </c>
      <c r="N1405" s="73"/>
      <c r="O1405" s="61" t="s">
        <v>5591</v>
      </c>
      <c r="P1405" s="67" t="str">
        <f t="shared" si="8"/>
        <v>49.99929, 36.23671</v>
      </c>
      <c r="Q1405" s="67" t="str">
        <f t="shared" si="2"/>
        <v>49.998889, 36.236603</v>
      </c>
      <c r="R1405" s="67">
        <f t="shared" si="3"/>
        <v>49.998889</v>
      </c>
      <c r="S1405" s="67">
        <f t="shared" si="4"/>
        <v>36.236603</v>
      </c>
      <c r="T1405" s="161"/>
      <c r="U1405" s="69"/>
      <c r="V1405" s="65" t="s">
        <v>13969</v>
      </c>
      <c r="W1405" s="161"/>
      <c r="X1405" s="17" t="s">
        <v>9</v>
      </c>
      <c r="Y1405" s="216" t="s">
        <v>5820</v>
      </c>
      <c r="Z1405" s="73"/>
      <c r="AA1405" s="73"/>
      <c r="AB1405" s="73"/>
      <c r="AC1405" s="73"/>
      <c r="AD1405" s="73"/>
      <c r="AE1405" s="73"/>
      <c r="AF1405" s="73"/>
      <c r="AG1405" s="73"/>
      <c r="AH1405" s="73"/>
      <c r="AI1405" s="73"/>
      <c r="AJ1405" s="161"/>
      <c r="AK1405" s="76" t="s">
        <v>6276</v>
      </c>
      <c r="AL1405" s="83" t="s">
        <v>13970</v>
      </c>
      <c r="AM1405" s="71" t="s">
        <v>13971</v>
      </c>
      <c r="AN1405" s="84" t="s">
        <v>13972</v>
      </c>
      <c r="AO1405" s="71" t="s">
        <v>13973</v>
      </c>
      <c r="AP1405" s="161" t="str">
        <f>IMAGE("https://bellingcat-archive.nyc3.cdn.digitaloceanspaces.com/Ukraine_Witness_Datasheet/Worksheet/telegram_B0i4K7YmYIPxhB47Ea2ZC33glkbNRa6AX0To0E3JzoCXAgE0WgIx21OdWkVqqMbvywZNAIjGREL4ncNHhj1_bY72jLFHtbiAf72Vgr1TzA4o8PLGzeed7PX1hkXTLF5w.jpg")</f>
        <v/>
      </c>
      <c r="AQ1405" s="161"/>
      <c r="AR1405" s="161"/>
      <c r="AS1405" s="71" t="s">
        <v>13974</v>
      </c>
      <c r="AT1405" s="75"/>
      <c r="AU1405" s="89"/>
      <c r="AV1405" s="162"/>
      <c r="AW1405" s="81"/>
    </row>
    <row r="1406" ht="15.75" customHeight="1">
      <c r="A1406" s="204" t="s">
        <v>8023</v>
      </c>
      <c r="B1406" s="73"/>
      <c r="C1406" s="57" t="s">
        <v>13542</v>
      </c>
      <c r="D1406" s="104">
        <v>49.9992695913446</v>
      </c>
      <c r="E1406" s="104">
        <v>36.2368273405184</v>
      </c>
      <c r="F1406" s="79">
        <v>3.0</v>
      </c>
      <c r="G1406" s="317" t="s">
        <v>13975</v>
      </c>
      <c r="H1406" s="73"/>
      <c r="I1406" s="62" t="s">
        <v>12326</v>
      </c>
      <c r="J1406" s="71" t="s">
        <v>13976</v>
      </c>
      <c r="K1406" s="69"/>
      <c r="L1406" s="65" t="s">
        <v>3542</v>
      </c>
      <c r="M1406" s="61" t="s">
        <v>5590</v>
      </c>
      <c r="N1406" s="73"/>
      <c r="O1406" s="61" t="s">
        <v>5626</v>
      </c>
      <c r="P1406" s="67" t="str">
        <f t="shared" si="8"/>
        <v>49.9992695913446, 36.2368273405184</v>
      </c>
      <c r="Q1406" s="67" t="str">
        <f t="shared" si="2"/>
        <v>49.998607, 36.236951</v>
      </c>
      <c r="R1406" s="67">
        <f t="shared" si="3"/>
        <v>49.998607</v>
      </c>
      <c r="S1406" s="67">
        <f t="shared" si="4"/>
        <v>36.236951</v>
      </c>
      <c r="T1406" s="71" t="s">
        <v>13977</v>
      </c>
      <c r="U1406" s="69"/>
      <c r="V1406" s="169" t="s">
        <v>13978</v>
      </c>
      <c r="W1406" s="71" t="s">
        <v>5904</v>
      </c>
      <c r="X1406" s="72" t="s">
        <v>5504</v>
      </c>
      <c r="Y1406" s="93" t="s">
        <v>2542</v>
      </c>
      <c r="Z1406" s="61" t="s">
        <v>10035</v>
      </c>
      <c r="AA1406" s="73"/>
      <c r="AB1406" s="73"/>
      <c r="AC1406" s="73"/>
      <c r="AD1406" s="73"/>
      <c r="AE1406" s="73"/>
      <c r="AF1406" s="73"/>
      <c r="AG1406" s="73"/>
      <c r="AH1406" s="73"/>
      <c r="AI1406" s="73"/>
      <c r="AJ1406" s="161"/>
      <c r="AK1406" s="76" t="s">
        <v>798</v>
      </c>
      <c r="AL1406" s="83" t="s">
        <v>13979</v>
      </c>
      <c r="AM1406" s="71" t="s">
        <v>13980</v>
      </c>
      <c r="AN1406" s="84" t="s">
        <v>13981</v>
      </c>
      <c r="AO1406" s="71" t="s">
        <v>13982</v>
      </c>
      <c r="AP1406" s="161" t="str">
        <f>IMAGE("https://bellingcat-archive.nyc3.cdn.digitaloceanspaces.com/Ukraine_Witness_Datasheet/Worksheet/youtube_dl_1499375631653556224/out7.jpg")</f>
        <v/>
      </c>
      <c r="AQ1406" s="84" t="s">
        <v>13983</v>
      </c>
      <c r="AR1406" s="71" t="s">
        <v>13984</v>
      </c>
      <c r="AS1406" s="71" t="s">
        <v>13985</v>
      </c>
      <c r="AT1406" s="62">
        <v>18.333</v>
      </c>
      <c r="AU1406" s="89"/>
      <c r="AV1406" s="162"/>
      <c r="AW1406" s="81"/>
    </row>
    <row r="1407" ht="15.75" customHeight="1">
      <c r="A1407" s="204" t="s">
        <v>8023</v>
      </c>
      <c r="B1407" s="73"/>
      <c r="C1407" s="57" t="s">
        <v>13542</v>
      </c>
      <c r="D1407" s="104">
        <v>49.999205355558</v>
      </c>
      <c r="E1407" s="104">
        <v>36.2357663710667</v>
      </c>
      <c r="F1407" s="79">
        <v>1.0</v>
      </c>
      <c r="G1407" s="499" t="s">
        <v>13986</v>
      </c>
      <c r="H1407" s="73"/>
      <c r="I1407" s="62" t="s">
        <v>12326</v>
      </c>
      <c r="J1407" s="71" t="s">
        <v>13987</v>
      </c>
      <c r="K1407" s="69"/>
      <c r="L1407" s="65" t="s">
        <v>3542</v>
      </c>
      <c r="M1407" s="61" t="s">
        <v>5590</v>
      </c>
      <c r="N1407" s="73"/>
      <c r="O1407" s="61" t="s">
        <v>5626</v>
      </c>
      <c r="P1407" s="67" t="str">
        <f t="shared" si="8"/>
        <v>49.999205355558, 36.2357663710667</v>
      </c>
      <c r="Q1407" s="67" t="str">
        <f t="shared" si="2"/>
        <v>49.998737, 36.236728</v>
      </c>
      <c r="R1407" s="67">
        <f t="shared" si="3"/>
        <v>49.998737</v>
      </c>
      <c r="S1407" s="67">
        <f t="shared" si="4"/>
        <v>36.236728</v>
      </c>
      <c r="T1407" s="71" t="s">
        <v>13988</v>
      </c>
      <c r="U1407" s="69"/>
      <c r="V1407" s="169" t="s">
        <v>13989</v>
      </c>
      <c r="W1407" s="71" t="s">
        <v>6641</v>
      </c>
      <c r="X1407" s="72" t="s">
        <v>5504</v>
      </c>
      <c r="Y1407" s="73"/>
      <c r="Z1407" s="73"/>
      <c r="AA1407" s="73"/>
      <c r="AB1407" s="73"/>
      <c r="AC1407" s="73"/>
      <c r="AD1407" s="73"/>
      <c r="AE1407" s="73"/>
      <c r="AF1407" s="73"/>
      <c r="AG1407" s="73"/>
      <c r="AH1407" s="73"/>
      <c r="AI1407" s="73"/>
      <c r="AJ1407" s="161"/>
      <c r="AK1407" s="76" t="s">
        <v>930</v>
      </c>
      <c r="AL1407" s="83" t="s">
        <v>11023</v>
      </c>
      <c r="AM1407" s="71" t="s">
        <v>13990</v>
      </c>
      <c r="AN1407" s="84" t="s">
        <v>13991</v>
      </c>
      <c r="AO1407" s="71" t="s">
        <v>11026</v>
      </c>
      <c r="AP1407" s="161" t="str">
        <f>IMAGE("https://bellingcat-archive.nyc3.cdn.digitaloceanspaces.com/Ukraine_Witness_Datasheet/Worksheet/youtube_dl_1498914132225048576/out7.jpg")</f>
        <v/>
      </c>
      <c r="AQ1407" s="84" t="s">
        <v>11027</v>
      </c>
      <c r="AR1407" s="71" t="s">
        <v>11028</v>
      </c>
      <c r="AS1407" s="71" t="s">
        <v>11029</v>
      </c>
      <c r="AT1407" s="62">
        <v>37.633</v>
      </c>
      <c r="AU1407" s="89"/>
      <c r="AV1407" s="162"/>
      <c r="AW1407" s="81"/>
    </row>
    <row r="1408" ht="15.75" customHeight="1">
      <c r="A1408" s="354" t="s">
        <v>7092</v>
      </c>
      <c r="B1408" s="73"/>
      <c r="C1408" s="57" t="s">
        <v>10973</v>
      </c>
      <c r="D1408" s="241" t="s">
        <v>13958</v>
      </c>
      <c r="E1408" s="241" t="s">
        <v>13959</v>
      </c>
      <c r="F1408" s="89"/>
      <c r="G1408" s="317" t="s">
        <v>13992</v>
      </c>
      <c r="H1408" s="73"/>
      <c r="I1408" s="62" t="s">
        <v>12326</v>
      </c>
      <c r="J1408" s="476" t="s">
        <v>12378</v>
      </c>
      <c r="K1408" s="69"/>
      <c r="L1408" s="65" t="s">
        <v>5670</v>
      </c>
      <c r="M1408" s="61" t="s">
        <v>5590</v>
      </c>
      <c r="N1408" s="73"/>
      <c r="O1408" s="61" t="s">
        <v>5591</v>
      </c>
      <c r="P1408" s="67" t="str">
        <f t="shared" si="8"/>
        <v>49.99929, 36.23671</v>
      </c>
      <c r="Q1408" s="67" t="str">
        <f t="shared" si="2"/>
        <v>49.998916, 36.236838</v>
      </c>
      <c r="R1408" s="67">
        <f t="shared" si="3"/>
        <v>49.998916</v>
      </c>
      <c r="S1408" s="67">
        <f t="shared" si="4"/>
        <v>36.236838</v>
      </c>
      <c r="T1408" s="161"/>
      <c r="U1408" s="69"/>
      <c r="V1408" s="169" t="s">
        <v>13993</v>
      </c>
      <c r="W1408" s="161"/>
      <c r="X1408" s="17" t="s">
        <v>9</v>
      </c>
      <c r="Y1408" s="216" t="s">
        <v>5820</v>
      </c>
      <c r="Z1408" s="73"/>
      <c r="AA1408" s="73"/>
      <c r="AB1408" s="73"/>
      <c r="AC1408" s="73"/>
      <c r="AD1408" s="73"/>
      <c r="AE1408" s="73"/>
      <c r="AF1408" s="73"/>
      <c r="AG1408" s="73"/>
      <c r="AH1408" s="73"/>
      <c r="AI1408" s="73"/>
      <c r="AJ1408" s="161"/>
      <c r="AK1408" s="76" t="s">
        <v>6276</v>
      </c>
      <c r="AL1408" s="83" t="s">
        <v>13994</v>
      </c>
      <c r="AM1408" s="71" t="s">
        <v>13995</v>
      </c>
      <c r="AN1408" s="71" t="s">
        <v>13996</v>
      </c>
      <c r="AO1408" s="71" t="s">
        <v>13997</v>
      </c>
      <c r="AP1408" s="161" t="str">
        <f>IMAGE("https://bellingcat-archive.nyc3.cdn.digitaloceanspaces.com/Ukraine_Witness_Datasheet/Worksheet/telegram_f326895ad0/out7.jpg")</f>
        <v/>
      </c>
      <c r="AQ1408" s="84" t="s">
        <v>13998</v>
      </c>
      <c r="AR1408" s="84" t="s">
        <v>13992</v>
      </c>
      <c r="AS1408" s="71" t="s">
        <v>13999</v>
      </c>
      <c r="AT1408" s="62">
        <v>37.0</v>
      </c>
      <c r="AU1408" s="89"/>
      <c r="AV1408" s="162"/>
      <c r="AW1408" s="81"/>
    </row>
    <row r="1409" ht="15.75" customHeight="1">
      <c r="A1409" s="204" t="s">
        <v>8023</v>
      </c>
      <c r="B1409" s="73"/>
      <c r="C1409" s="57" t="s">
        <v>13542</v>
      </c>
      <c r="D1409" s="104">
        <v>49.9991381148627</v>
      </c>
      <c r="E1409" s="104">
        <v>36.235854884238</v>
      </c>
      <c r="F1409" s="79">
        <v>2.0</v>
      </c>
      <c r="G1409" s="317" t="s">
        <v>14000</v>
      </c>
      <c r="H1409" s="73"/>
      <c r="I1409" s="62" t="s">
        <v>12326</v>
      </c>
      <c r="J1409" s="71" t="s">
        <v>14001</v>
      </c>
      <c r="K1409" s="69"/>
      <c r="L1409" s="65" t="s">
        <v>3542</v>
      </c>
      <c r="M1409" s="61" t="s">
        <v>5590</v>
      </c>
      <c r="N1409" s="73"/>
      <c r="O1409" s="61" t="s">
        <v>5626</v>
      </c>
      <c r="P1409" s="67" t="str">
        <f t="shared" si="8"/>
        <v>49.9991381148627, 36.235854884238</v>
      </c>
      <c r="Q1409" s="67" t="str">
        <f t="shared" si="2"/>
        <v>49.998819, 36.235209</v>
      </c>
      <c r="R1409" s="67">
        <f t="shared" si="3"/>
        <v>49.998819</v>
      </c>
      <c r="S1409" s="67">
        <f t="shared" si="4"/>
        <v>36.235209</v>
      </c>
      <c r="T1409" s="71" t="s">
        <v>14002</v>
      </c>
      <c r="U1409" s="69"/>
      <c r="V1409" s="65" t="s">
        <v>14003</v>
      </c>
      <c r="W1409" s="71" t="s">
        <v>6641</v>
      </c>
      <c r="X1409" s="72" t="s">
        <v>5504</v>
      </c>
      <c r="Y1409" s="216" t="s">
        <v>5820</v>
      </c>
      <c r="Z1409" s="73"/>
      <c r="AA1409" s="73"/>
      <c r="AB1409" s="73"/>
      <c r="AC1409" s="73"/>
      <c r="AD1409" s="73"/>
      <c r="AE1409" s="73"/>
      <c r="AF1409" s="73"/>
      <c r="AG1409" s="73"/>
      <c r="AH1409" s="73"/>
      <c r="AI1409" s="73"/>
      <c r="AJ1409" s="161"/>
      <c r="AK1409" s="76" t="s">
        <v>798</v>
      </c>
      <c r="AL1409" s="83" t="s">
        <v>14004</v>
      </c>
      <c r="AM1409" s="71" t="s">
        <v>14005</v>
      </c>
      <c r="AN1409" s="84" t="s">
        <v>14006</v>
      </c>
      <c r="AO1409" s="71" t="s">
        <v>14007</v>
      </c>
      <c r="AP1409" s="161" t="str">
        <f>IMAGE("https://bellingcat-archive.nyc3.cdn.digitaloceanspaces.com/Ukraine_Witness_Datasheet/Worksheet/youtube_dl_1498945600754274304/out20.jpg")</f>
        <v/>
      </c>
      <c r="AQ1409" s="84" t="s">
        <v>14008</v>
      </c>
      <c r="AR1409" s="71" t="s">
        <v>14009</v>
      </c>
      <c r="AS1409" s="71" t="s">
        <v>14010</v>
      </c>
      <c r="AT1409" s="62">
        <v>87.991</v>
      </c>
      <c r="AU1409" s="89"/>
      <c r="AV1409" s="162"/>
      <c r="AW1409" s="81"/>
    </row>
    <row r="1410" ht="15.75" customHeight="1">
      <c r="A1410" s="204" t="s">
        <v>8023</v>
      </c>
      <c r="B1410" s="73"/>
      <c r="C1410" s="57" t="s">
        <v>13542</v>
      </c>
      <c r="D1410" s="104">
        <v>47.4782255842628</v>
      </c>
      <c r="E1410" s="104">
        <v>34.6436087451534</v>
      </c>
      <c r="F1410" s="79">
        <v>1.0</v>
      </c>
      <c r="G1410" s="317" t="s">
        <v>14011</v>
      </c>
      <c r="H1410" s="73"/>
      <c r="I1410" s="62" t="s">
        <v>12501</v>
      </c>
      <c r="J1410" s="71" t="s">
        <v>14012</v>
      </c>
      <c r="K1410" s="69"/>
      <c r="L1410" s="65" t="s">
        <v>3542</v>
      </c>
      <c r="M1410" s="61" t="s">
        <v>6167</v>
      </c>
      <c r="O1410" s="61" t="s">
        <v>12793</v>
      </c>
      <c r="P1410" s="67" t="str">
        <f t="shared" si="8"/>
        <v>47.4782255842628, 34.6436087451534</v>
      </c>
      <c r="Q1410" s="67" t="str">
        <f t="shared" si="2"/>
        <v>47.478181, 34.643088</v>
      </c>
      <c r="R1410" s="67">
        <f t="shared" si="3"/>
        <v>47.478181</v>
      </c>
      <c r="S1410" s="67">
        <f t="shared" si="4"/>
        <v>34.643088</v>
      </c>
      <c r="T1410" s="71" t="s">
        <v>14013</v>
      </c>
      <c r="U1410" s="69"/>
      <c r="V1410" s="65" t="s">
        <v>14014</v>
      </c>
      <c r="W1410" s="71" t="s">
        <v>811</v>
      </c>
      <c r="X1410" s="72" t="s">
        <v>5504</v>
      </c>
      <c r="Y1410" s="216" t="s">
        <v>5820</v>
      </c>
      <c r="Z1410" s="73"/>
      <c r="AA1410" s="73"/>
      <c r="AB1410" s="73"/>
      <c r="AC1410" s="73"/>
      <c r="AD1410" s="73"/>
      <c r="AE1410" s="73"/>
      <c r="AF1410" s="73"/>
      <c r="AG1410" s="73"/>
      <c r="AH1410" s="73"/>
      <c r="AI1410" s="73"/>
      <c r="AJ1410" s="161"/>
      <c r="AK1410" s="76" t="s">
        <v>798</v>
      </c>
      <c r="AL1410" s="83" t="s">
        <v>14015</v>
      </c>
      <c r="AM1410" s="71" t="s">
        <v>14016</v>
      </c>
      <c r="AN1410" s="84" t="s">
        <v>14017</v>
      </c>
      <c r="AO1410" s="71" t="s">
        <v>14018</v>
      </c>
      <c r="AP1410" s="161" t="str">
        <f>IMAGE("https://bellingcat-archive.nyc3.cdn.digitaloceanspaces.com/Ukraine_Witness_Datasheet/Worksheet/youtube_dl_1499073503902973964/out7.jpg")</f>
        <v/>
      </c>
      <c r="AQ1410" s="84" t="s">
        <v>14019</v>
      </c>
      <c r="AR1410" s="71" t="s">
        <v>14020</v>
      </c>
      <c r="AS1410" s="71" t="s">
        <v>14021</v>
      </c>
      <c r="AT1410" s="62">
        <v>16.733</v>
      </c>
      <c r="AU1410" s="89"/>
      <c r="AV1410" s="80" t="s">
        <v>88</v>
      </c>
      <c r="AW1410" s="81"/>
    </row>
    <row r="1411" ht="15.75" customHeight="1">
      <c r="A1411" s="373" t="s">
        <v>6924</v>
      </c>
      <c r="B1411" s="73"/>
      <c r="C1411" s="57" t="s">
        <v>10973</v>
      </c>
      <c r="D1411" s="260"/>
      <c r="E1411" s="260"/>
      <c r="F1411" s="89"/>
      <c r="G1411" s="317" t="s">
        <v>14022</v>
      </c>
      <c r="H1411" s="73"/>
      <c r="I1411" s="62" t="s">
        <v>12511</v>
      </c>
      <c r="J1411" s="476" t="s">
        <v>12512</v>
      </c>
      <c r="K1411" s="69"/>
      <c r="L1411" s="70"/>
      <c r="P1411" s="67" t="str">
        <f t="shared" si="8"/>
        <v/>
      </c>
      <c r="Q1411" s="67" t="str">
        <f t="shared" si="2"/>
        <v/>
      </c>
      <c r="R1411" s="67" t="str">
        <f t="shared" si="3"/>
        <v/>
      </c>
      <c r="S1411" s="67" t="str">
        <f t="shared" si="4"/>
        <v/>
      </c>
      <c r="T1411" s="161"/>
      <c r="U1411" s="69"/>
      <c r="V1411" s="169" t="s">
        <v>14023</v>
      </c>
      <c r="W1411" s="161"/>
      <c r="X1411" s="194"/>
      <c r="Y1411" s="216" t="s">
        <v>5820</v>
      </c>
      <c r="Z1411" s="73"/>
      <c r="AA1411" s="73"/>
      <c r="AB1411" s="73"/>
      <c r="AC1411" s="73"/>
      <c r="AD1411" s="73"/>
      <c r="AE1411" s="73"/>
      <c r="AF1411" s="73"/>
      <c r="AG1411" s="73"/>
      <c r="AH1411" s="73"/>
      <c r="AI1411" s="73"/>
      <c r="AJ1411" s="161"/>
      <c r="AK1411" s="76" t="s">
        <v>2108</v>
      </c>
      <c r="AL1411" s="83" t="s">
        <v>14024</v>
      </c>
      <c r="AM1411" s="71" t="s">
        <v>14025</v>
      </c>
      <c r="AN1411" s="84" t="s">
        <v>14026</v>
      </c>
      <c r="AO1411" s="71" t="s">
        <v>14027</v>
      </c>
      <c r="AP1411" s="161" t="str">
        <f>IMAGE("https://bellingcat-archive.nyc3.cdn.digitaloceanspaces.com/Ukraine_Witness_Datasheet/Worksheet/twitter__media_FM2nkaxXEAYaz93.jpg")</f>
        <v/>
      </c>
      <c r="AQ1411" s="161"/>
      <c r="AR1411" s="161"/>
      <c r="AS1411" s="71" t="s">
        <v>14028</v>
      </c>
      <c r="AT1411" s="75"/>
      <c r="AU1411" s="89"/>
      <c r="AV1411" s="162"/>
      <c r="AW1411" s="81"/>
    </row>
    <row r="1412" ht="15.75" customHeight="1">
      <c r="A1412" s="204" t="s">
        <v>8023</v>
      </c>
      <c r="B1412" s="73"/>
      <c r="C1412" s="57" t="s">
        <v>13542</v>
      </c>
      <c r="D1412" s="104">
        <v>50.5421353844487</v>
      </c>
      <c r="E1412" s="104">
        <v>30.2638325095339</v>
      </c>
      <c r="F1412" s="79">
        <v>3.0</v>
      </c>
      <c r="G1412" s="317" t="s">
        <v>14029</v>
      </c>
      <c r="H1412" s="73"/>
      <c r="I1412" s="62" t="s">
        <v>12544</v>
      </c>
      <c r="J1412" s="71" t="s">
        <v>14030</v>
      </c>
      <c r="K1412" s="69"/>
      <c r="L1412" s="65" t="s">
        <v>3542</v>
      </c>
      <c r="M1412" s="61" t="s">
        <v>5827</v>
      </c>
      <c r="N1412" s="73"/>
      <c r="O1412" s="61" t="s">
        <v>6121</v>
      </c>
      <c r="P1412" s="67" t="str">
        <f t="shared" si="8"/>
        <v>50.5421353844487, 30.2638325095339</v>
      </c>
      <c r="Q1412" s="67" t="str">
        <f t="shared" si="2"/>
        <v>50.541856, 30.264181</v>
      </c>
      <c r="R1412" s="67">
        <f t="shared" si="3"/>
        <v>50.541856</v>
      </c>
      <c r="S1412" s="67">
        <f t="shared" si="4"/>
        <v>30.264181</v>
      </c>
      <c r="T1412" s="71" t="s">
        <v>14031</v>
      </c>
      <c r="U1412" s="69"/>
      <c r="V1412" s="65" t="s">
        <v>14032</v>
      </c>
      <c r="W1412" s="71" t="s">
        <v>6641</v>
      </c>
      <c r="X1412" s="72" t="s">
        <v>5504</v>
      </c>
      <c r="Y1412" s="61" t="s">
        <v>11347</v>
      </c>
      <c r="Z1412" s="73"/>
      <c r="AA1412" s="73"/>
      <c r="AB1412" s="73"/>
      <c r="AC1412" s="73"/>
      <c r="AD1412" s="73"/>
      <c r="AE1412" s="73"/>
      <c r="AF1412" s="73"/>
      <c r="AG1412" s="73"/>
      <c r="AH1412" s="73"/>
      <c r="AI1412" s="73"/>
      <c r="AJ1412" s="161"/>
      <c r="AK1412" s="76" t="s">
        <v>798</v>
      </c>
      <c r="AL1412" s="83" t="s">
        <v>14033</v>
      </c>
      <c r="AM1412" s="71" t="s">
        <v>14034</v>
      </c>
      <c r="AN1412" s="84" t="s">
        <v>14035</v>
      </c>
      <c r="AO1412" s="71" t="s">
        <v>14036</v>
      </c>
      <c r="AP1412" s="161" t="str">
        <f>IMAGE("https://bellingcat-archive.nyc3.cdn.digitaloceanspaces.com/Ukraine_Witness_Datasheet/Worksheet/youtube_dl_1499369411001602050/out7.jpg")</f>
        <v/>
      </c>
      <c r="AQ1412" s="84" t="s">
        <v>14037</v>
      </c>
      <c r="AR1412" s="71" t="s">
        <v>14038</v>
      </c>
      <c r="AS1412" s="71" t="s">
        <v>14039</v>
      </c>
      <c r="AT1412" s="62">
        <v>10.417</v>
      </c>
      <c r="AU1412" s="89"/>
      <c r="AV1412" s="80" t="s">
        <v>88</v>
      </c>
      <c r="AW1412" s="81"/>
    </row>
    <row r="1413" ht="15.75" customHeight="1">
      <c r="A1413" s="354" t="s">
        <v>8554</v>
      </c>
      <c r="B1413" s="73"/>
      <c r="C1413" s="57" t="s">
        <v>12050</v>
      </c>
      <c r="D1413" s="241" t="s">
        <v>14040</v>
      </c>
      <c r="E1413" s="241" t="s">
        <v>14041</v>
      </c>
      <c r="F1413" s="89"/>
      <c r="G1413" s="317" t="s">
        <v>14042</v>
      </c>
      <c r="H1413" s="73"/>
      <c r="I1413" s="62" t="s">
        <v>12544</v>
      </c>
      <c r="J1413" s="476" t="s">
        <v>14043</v>
      </c>
      <c r="K1413" s="69"/>
      <c r="L1413" s="70"/>
      <c r="M1413" s="73"/>
      <c r="N1413" s="73"/>
      <c r="O1413" s="73"/>
      <c r="P1413" s="67" t="str">
        <f t="shared" si="8"/>
        <v>50.54191119, 30.26403692</v>
      </c>
      <c r="Q1413" s="67" t="str">
        <f t="shared" si="2"/>
        <v>50.541365, 30.263238</v>
      </c>
      <c r="R1413" s="67">
        <f t="shared" si="3"/>
        <v>50.541365</v>
      </c>
      <c r="S1413" s="67">
        <f t="shared" si="4"/>
        <v>30.263238</v>
      </c>
      <c r="T1413" s="161"/>
      <c r="U1413" s="69"/>
      <c r="V1413" s="65" t="s">
        <v>14044</v>
      </c>
      <c r="W1413" s="161"/>
      <c r="X1413" s="17" t="s">
        <v>9</v>
      </c>
      <c r="Y1413" s="216" t="s">
        <v>5820</v>
      </c>
      <c r="Z1413" s="73"/>
      <c r="AA1413" s="73"/>
      <c r="AB1413" s="73"/>
      <c r="AC1413" s="73"/>
      <c r="AD1413" s="73"/>
      <c r="AE1413" s="73"/>
      <c r="AF1413" s="73"/>
      <c r="AG1413" s="73"/>
      <c r="AH1413" s="73"/>
      <c r="AI1413" s="73"/>
      <c r="AJ1413" s="161"/>
      <c r="AK1413" s="76" t="s">
        <v>6276</v>
      </c>
      <c r="AL1413" s="83" t="s">
        <v>14045</v>
      </c>
      <c r="AM1413" s="71" t="s">
        <v>14046</v>
      </c>
      <c r="AN1413" s="84" t="s">
        <v>14047</v>
      </c>
      <c r="AO1413" s="71" t="s">
        <v>14048</v>
      </c>
      <c r="AP1413" s="161" t="str">
        <f>IMAGE("https://bellingcat-archive.nyc3.cdn.digitaloceanspaces.com/Ukraine_Witness_Datasheet/Worksheet/telegram_44e62da264/out7.jpg")</f>
        <v/>
      </c>
      <c r="AQ1413" s="84" t="s">
        <v>14049</v>
      </c>
      <c r="AR1413" s="84" t="s">
        <v>14042</v>
      </c>
      <c r="AS1413" s="71" t="s">
        <v>14050</v>
      </c>
      <c r="AT1413" s="62">
        <v>17.0</v>
      </c>
      <c r="AU1413" s="89"/>
      <c r="AV1413" s="162"/>
      <c r="AW1413" s="81"/>
    </row>
    <row r="1414" ht="15.75" customHeight="1">
      <c r="A1414" s="354" t="s">
        <v>8554</v>
      </c>
      <c r="B1414" s="73"/>
      <c r="C1414" s="57" t="s">
        <v>12050</v>
      </c>
      <c r="D1414" s="241" t="s">
        <v>12551</v>
      </c>
      <c r="E1414" s="241" t="s">
        <v>12552</v>
      </c>
      <c r="F1414" s="89"/>
      <c r="G1414" s="317" t="s">
        <v>14051</v>
      </c>
      <c r="H1414" s="73"/>
      <c r="I1414" s="62" t="s">
        <v>12554</v>
      </c>
      <c r="J1414" s="476" t="s">
        <v>14043</v>
      </c>
      <c r="K1414" s="69"/>
      <c r="L1414" s="70"/>
      <c r="M1414" s="73"/>
      <c r="N1414" s="73"/>
      <c r="O1414" s="73"/>
      <c r="P1414" s="67" t="str">
        <f t="shared" si="8"/>
        <v>49.1899901, 37.27794522</v>
      </c>
      <c r="Q1414" s="67" t="str">
        <f t="shared" si="2"/>
        <v>49.189317, 37.277536</v>
      </c>
      <c r="R1414" s="67">
        <f t="shared" si="3"/>
        <v>49.189317</v>
      </c>
      <c r="S1414" s="67">
        <f t="shared" si="4"/>
        <v>37.277536</v>
      </c>
      <c r="T1414" s="161"/>
      <c r="U1414" s="69"/>
      <c r="V1414" s="169" t="s">
        <v>14052</v>
      </c>
      <c r="W1414" s="161"/>
      <c r="X1414" s="17" t="s">
        <v>9</v>
      </c>
      <c r="Y1414" s="216" t="s">
        <v>5820</v>
      </c>
      <c r="Z1414" s="73"/>
      <c r="AA1414" s="73"/>
      <c r="AB1414" s="73"/>
      <c r="AC1414" s="73"/>
      <c r="AD1414" s="73"/>
      <c r="AE1414" s="73"/>
      <c r="AF1414" s="73"/>
      <c r="AG1414" s="73"/>
      <c r="AH1414" s="73"/>
      <c r="AI1414" s="73"/>
      <c r="AJ1414" s="161"/>
      <c r="AK1414" s="76" t="s">
        <v>6276</v>
      </c>
      <c r="AL1414" s="83" t="s">
        <v>14053</v>
      </c>
      <c r="AM1414" s="71" t="s">
        <v>14054</v>
      </c>
      <c r="AN1414" s="84" t="s">
        <v>14055</v>
      </c>
      <c r="AO1414" s="71" t="s">
        <v>14056</v>
      </c>
      <c r="AP1414" s="161" t="str">
        <f>IMAGE("https://bellingcat-archive.nyc3.cdn.digitaloceanspaces.com/Ukraine_Witness_Datasheet/Worksheet/telegram_FUUXVvMMC8nPlENGhXZgsbjze5fC39fFCe92xVfuIKN8VbavT8SQGFRyaB_m449yPadoper1q_pYsiSBXZztkRSOFsLhwqYv6tX75H8xw1PTORujxfFxT3hJDzo_36Hg.jpg")</f>
        <v/>
      </c>
      <c r="AQ1414" s="161"/>
      <c r="AR1414" s="161"/>
      <c r="AS1414" s="71" t="s">
        <v>14057</v>
      </c>
      <c r="AT1414" s="75"/>
      <c r="AU1414" s="89"/>
      <c r="AV1414" s="162"/>
      <c r="AW1414" s="81"/>
    </row>
    <row r="1415" ht="15.75" customHeight="1">
      <c r="A1415" s="354" t="s">
        <v>8554</v>
      </c>
      <c r="B1415" s="73"/>
      <c r="C1415" s="57" t="s">
        <v>7672</v>
      </c>
      <c r="D1415" s="241" t="s">
        <v>12598</v>
      </c>
      <c r="E1415" s="241" t="s">
        <v>12599</v>
      </c>
      <c r="F1415" s="89"/>
      <c r="G1415" s="317" t="s">
        <v>14058</v>
      </c>
      <c r="H1415" s="73"/>
      <c r="I1415" s="62" t="s">
        <v>12601</v>
      </c>
      <c r="J1415" s="476" t="s">
        <v>14059</v>
      </c>
      <c r="K1415" s="69"/>
      <c r="L1415" s="65" t="s">
        <v>5670</v>
      </c>
      <c r="M1415" s="61" t="s">
        <v>5590</v>
      </c>
      <c r="N1415" s="73"/>
      <c r="O1415" s="61" t="s">
        <v>12603</v>
      </c>
      <c r="P1415" s="67" t="str">
        <f t="shared" si="8"/>
        <v>50.184706, 36.119724</v>
      </c>
      <c r="Q1415" s="67" t="str">
        <f t="shared" si="2"/>
        <v>50.18436, 36.119617</v>
      </c>
      <c r="R1415" s="67">
        <f t="shared" si="3"/>
        <v>50.18436</v>
      </c>
      <c r="S1415" s="67">
        <f t="shared" si="4"/>
        <v>36.119617</v>
      </c>
      <c r="T1415" s="161"/>
      <c r="U1415" s="69"/>
      <c r="V1415" s="169" t="s">
        <v>14060</v>
      </c>
      <c r="W1415" s="161"/>
      <c r="X1415" s="17" t="s">
        <v>9</v>
      </c>
      <c r="Y1415" s="216" t="s">
        <v>5820</v>
      </c>
      <c r="Z1415" s="73"/>
      <c r="AA1415" s="73"/>
      <c r="AB1415" s="73"/>
      <c r="AC1415" s="73"/>
      <c r="AD1415" s="73"/>
      <c r="AE1415" s="73"/>
      <c r="AF1415" s="73"/>
      <c r="AG1415" s="73"/>
      <c r="AH1415" s="73"/>
      <c r="AI1415" s="73"/>
      <c r="AJ1415" s="161"/>
      <c r="AK1415" s="76" t="s">
        <v>6276</v>
      </c>
      <c r="AL1415" s="83" t="s">
        <v>14061</v>
      </c>
      <c r="AM1415" s="71" t="s">
        <v>14062</v>
      </c>
      <c r="AN1415" s="84" t="s">
        <v>14063</v>
      </c>
      <c r="AO1415" s="71" t="s">
        <v>14064</v>
      </c>
      <c r="AP1415" s="161" t="str">
        <f>IMAGE("https://bellingcat-archive.nyc3.cdn.digitaloceanspaces.com/Ukraine_Witness_Datasheet/Worksheet/telegram_xpaLFh04Vk5hWLKwYZmzJmiss6QI7xGT1ucml80Q14LmL3YAXLYBWoqoFNe-4bPURv7otGbwQSIliPFFq5sZz0XexmHokyrWkbrdVW2twWDEdXjWoHB5hj_cccfve7_w.jpg")</f>
        <v/>
      </c>
      <c r="AQ1415" s="161"/>
      <c r="AR1415" s="161"/>
      <c r="AS1415" s="71" t="s">
        <v>14065</v>
      </c>
      <c r="AT1415" s="75"/>
      <c r="AU1415" s="89"/>
      <c r="AV1415" s="162"/>
      <c r="AW1415" s="81"/>
    </row>
    <row r="1416" ht="15.75" customHeight="1">
      <c r="A1416" s="373" t="s">
        <v>6924</v>
      </c>
      <c r="B1416" s="73"/>
      <c r="C1416" s="57" t="s">
        <v>12050</v>
      </c>
      <c r="D1416" s="241" t="s">
        <v>14066</v>
      </c>
      <c r="E1416" s="241" t="s">
        <v>14067</v>
      </c>
      <c r="F1416" s="89"/>
      <c r="G1416" s="60" t="s">
        <v>14068</v>
      </c>
      <c r="H1416" s="73"/>
      <c r="I1416" s="62" t="s">
        <v>14069</v>
      </c>
      <c r="J1416" s="476" t="s">
        <v>14070</v>
      </c>
      <c r="K1416" s="69"/>
      <c r="L1416" s="70"/>
      <c r="M1416" s="73"/>
      <c r="N1416" s="73"/>
      <c r="O1416" s="73"/>
      <c r="P1416" s="67" t="str">
        <f t="shared" si="8"/>
        <v>48.86243, 38.478374</v>
      </c>
      <c r="Q1416" s="67" t="str">
        <f t="shared" si="2"/>
        <v>48.861941, 38.479222</v>
      </c>
      <c r="R1416" s="67">
        <f t="shared" si="3"/>
        <v>48.861941</v>
      </c>
      <c r="S1416" s="67">
        <f t="shared" si="4"/>
        <v>38.479222</v>
      </c>
      <c r="T1416" s="161"/>
      <c r="U1416" s="69"/>
      <c r="V1416" s="65" t="s">
        <v>14071</v>
      </c>
      <c r="W1416" s="161"/>
      <c r="X1416" s="194"/>
      <c r="Y1416" s="216" t="s">
        <v>5820</v>
      </c>
      <c r="Z1416" s="73"/>
      <c r="AA1416" s="73"/>
      <c r="AB1416" s="73"/>
      <c r="AC1416" s="73"/>
      <c r="AD1416" s="73"/>
      <c r="AE1416" s="73"/>
      <c r="AF1416" s="73"/>
      <c r="AG1416" s="73"/>
      <c r="AH1416" s="73"/>
      <c r="AI1416" s="73"/>
      <c r="AJ1416" s="161"/>
      <c r="AK1416" s="76" t="s">
        <v>1261</v>
      </c>
      <c r="AL1416" s="83" t="s">
        <v>14072</v>
      </c>
      <c r="AM1416" s="71" t="s">
        <v>14073</v>
      </c>
      <c r="AN1416" s="84" t="s">
        <v>14074</v>
      </c>
      <c r="AO1416" s="161"/>
      <c r="AP1416" s="161"/>
      <c r="AQ1416" s="161"/>
      <c r="AR1416" s="71" t="s">
        <v>2228</v>
      </c>
      <c r="AS1416" s="161"/>
      <c r="AT1416" s="75"/>
      <c r="AU1416" s="89"/>
      <c r="AV1416" s="162"/>
      <c r="AW1416" s="81"/>
    </row>
    <row r="1417" ht="15.75" customHeight="1">
      <c r="A1417" s="354" t="s">
        <v>6682</v>
      </c>
      <c r="B1417" s="73"/>
      <c r="C1417" s="57" t="s">
        <v>12050</v>
      </c>
      <c r="D1417" s="241" t="s">
        <v>14075</v>
      </c>
      <c r="E1417" s="241" t="s">
        <v>14076</v>
      </c>
      <c r="F1417" s="89"/>
      <c r="G1417" s="317" t="s">
        <v>14077</v>
      </c>
      <c r="H1417" s="73"/>
      <c r="I1417" s="62" t="s">
        <v>14078</v>
      </c>
      <c r="J1417" s="476" t="s">
        <v>14079</v>
      </c>
      <c r="K1417" s="69"/>
      <c r="L1417" s="70"/>
      <c r="M1417" s="73"/>
      <c r="N1417" s="73"/>
      <c r="O1417" s="73"/>
      <c r="P1417" s="67" t="str">
        <f t="shared" si="8"/>
        <v>50.3678658, 30.3943869</v>
      </c>
      <c r="Q1417" s="67" t="str">
        <f t="shared" si="2"/>
        <v>50.367488, 30.3949</v>
      </c>
      <c r="R1417" s="67">
        <f t="shared" si="3"/>
        <v>50.367488</v>
      </c>
      <c r="S1417" s="67">
        <f t="shared" si="4"/>
        <v>30.3949</v>
      </c>
      <c r="T1417" s="161"/>
      <c r="U1417" s="69"/>
      <c r="V1417" s="65" t="s">
        <v>14080</v>
      </c>
      <c r="W1417" s="161"/>
      <c r="X1417" s="17" t="s">
        <v>9</v>
      </c>
      <c r="Y1417" s="252"/>
      <c r="Z1417" s="73"/>
      <c r="AA1417" s="73"/>
      <c r="AB1417" s="73"/>
      <c r="AC1417" s="73"/>
      <c r="AD1417" s="73"/>
      <c r="AE1417" s="73"/>
      <c r="AF1417" s="73"/>
      <c r="AG1417" s="73"/>
      <c r="AH1417" s="73"/>
      <c r="AI1417" s="73"/>
      <c r="AJ1417" s="161"/>
      <c r="AK1417" s="76" t="s">
        <v>14081</v>
      </c>
      <c r="AL1417" s="269"/>
      <c r="AM1417" s="71" t="s">
        <v>14082</v>
      </c>
      <c r="AN1417" s="161"/>
      <c r="AO1417" s="161"/>
      <c r="AP1417" s="161"/>
      <c r="AQ1417" s="161"/>
      <c r="AR1417" s="161"/>
      <c r="AS1417" s="161"/>
      <c r="AT1417" s="75"/>
      <c r="AU1417" s="89"/>
      <c r="AV1417" s="162"/>
      <c r="AW1417" s="81"/>
    </row>
    <row r="1418" ht="15.75" customHeight="1">
      <c r="A1418" s="354" t="s">
        <v>6682</v>
      </c>
      <c r="B1418" s="73"/>
      <c r="C1418" s="57" t="s">
        <v>12050</v>
      </c>
      <c r="D1418" s="241" t="s">
        <v>14083</v>
      </c>
      <c r="E1418" s="241" t="s">
        <v>14084</v>
      </c>
      <c r="F1418" s="89"/>
      <c r="G1418" s="317" t="s">
        <v>14085</v>
      </c>
      <c r="H1418" s="73"/>
      <c r="I1418" s="62" t="s">
        <v>14086</v>
      </c>
      <c r="J1418" s="476" t="s">
        <v>14087</v>
      </c>
      <c r="K1418" s="69"/>
      <c r="L1418" s="70"/>
      <c r="M1418" s="73"/>
      <c r="N1418" s="73"/>
      <c r="O1418" s="73"/>
      <c r="P1418" s="67" t="str">
        <f t="shared" si="8"/>
        <v>51.5004861, 31.24703098</v>
      </c>
      <c r="Q1418" s="67" t="str">
        <f t="shared" si="2"/>
        <v>51.499837, 31.247577</v>
      </c>
      <c r="R1418" s="67">
        <f t="shared" si="3"/>
        <v>51.499837</v>
      </c>
      <c r="S1418" s="67">
        <f t="shared" si="4"/>
        <v>31.247577</v>
      </c>
      <c r="T1418" s="161"/>
      <c r="U1418" s="69"/>
      <c r="V1418" s="65" t="s">
        <v>14088</v>
      </c>
      <c r="W1418" s="161"/>
      <c r="X1418" s="17" t="s">
        <v>9</v>
      </c>
      <c r="Y1418" s="216" t="s">
        <v>75</v>
      </c>
      <c r="Z1418" s="73"/>
      <c r="AA1418" s="73"/>
      <c r="AB1418" s="73"/>
      <c r="AC1418" s="73"/>
      <c r="AD1418" s="73"/>
      <c r="AE1418" s="73"/>
      <c r="AF1418" s="73"/>
      <c r="AG1418" s="73"/>
      <c r="AH1418" s="73"/>
      <c r="AI1418" s="73"/>
      <c r="AJ1418" s="161"/>
      <c r="AK1418" s="76" t="s">
        <v>798</v>
      </c>
      <c r="AL1418" s="83" t="s">
        <v>14089</v>
      </c>
      <c r="AM1418" s="71" t="s">
        <v>14090</v>
      </c>
      <c r="AN1418" s="84" t="s">
        <v>14091</v>
      </c>
      <c r="AO1418" s="71" t="s">
        <v>14092</v>
      </c>
      <c r="AP1418" s="161" t="str">
        <f>IMAGE("https://bellingcat-archive.nyc3.cdn.digitaloceanspaces.com/Ukraine_Witness_Datasheet/Worksheet/youtube_dl_Yi9701_goo0/out7.jpg")</f>
        <v/>
      </c>
      <c r="AQ1418" s="84" t="s">
        <v>14093</v>
      </c>
      <c r="AR1418" s="71" t="s">
        <v>14094</v>
      </c>
      <c r="AS1418" s="71" t="s">
        <v>14095</v>
      </c>
      <c r="AT1418" s="62">
        <v>7.0</v>
      </c>
      <c r="AU1418" s="89"/>
      <c r="AV1418" s="162"/>
      <c r="AW1418" s="81"/>
    </row>
    <row r="1419" ht="15.75" customHeight="1">
      <c r="A1419" s="354" t="s">
        <v>6682</v>
      </c>
      <c r="B1419" s="73"/>
      <c r="C1419" s="57" t="s">
        <v>12050</v>
      </c>
      <c r="D1419" s="241" t="s">
        <v>14083</v>
      </c>
      <c r="E1419" s="241" t="s">
        <v>14084</v>
      </c>
      <c r="F1419" s="89"/>
      <c r="G1419" s="317" t="s">
        <v>14096</v>
      </c>
      <c r="H1419" s="73"/>
      <c r="I1419" s="62" t="s">
        <v>14086</v>
      </c>
      <c r="J1419" s="476" t="s">
        <v>14087</v>
      </c>
      <c r="K1419" s="69"/>
      <c r="L1419" s="70"/>
      <c r="M1419" s="73"/>
      <c r="N1419" s="73"/>
      <c r="O1419" s="73"/>
      <c r="P1419" s="67" t="str">
        <f t="shared" si="8"/>
        <v>51.5004861, 31.24703098</v>
      </c>
      <c r="Q1419" s="67" t="str">
        <f t="shared" si="2"/>
        <v>51.500319, 31.24782</v>
      </c>
      <c r="R1419" s="67">
        <f t="shared" si="3"/>
        <v>51.500319</v>
      </c>
      <c r="S1419" s="67">
        <f t="shared" si="4"/>
        <v>31.24782</v>
      </c>
      <c r="T1419" s="161"/>
      <c r="U1419" s="69"/>
      <c r="V1419" s="169" t="s">
        <v>14097</v>
      </c>
      <c r="W1419" s="161"/>
      <c r="X1419" s="17" t="s">
        <v>9</v>
      </c>
      <c r="Y1419" s="216" t="s">
        <v>75</v>
      </c>
      <c r="Z1419" s="73"/>
      <c r="AA1419" s="73"/>
      <c r="AB1419" s="73"/>
      <c r="AC1419" s="73"/>
      <c r="AD1419" s="73"/>
      <c r="AE1419" s="73"/>
      <c r="AF1419" s="73"/>
      <c r="AG1419" s="73"/>
      <c r="AH1419" s="73"/>
      <c r="AI1419" s="73"/>
      <c r="AJ1419" s="161"/>
      <c r="AK1419" s="76" t="s">
        <v>798</v>
      </c>
      <c r="AL1419" s="83" t="s">
        <v>14098</v>
      </c>
      <c r="AM1419" s="71" t="s">
        <v>14099</v>
      </c>
      <c r="AN1419" s="84" t="s">
        <v>14100</v>
      </c>
      <c r="AO1419" s="71" t="s">
        <v>14101</v>
      </c>
      <c r="AP1419" s="161" t="str">
        <f>IMAGE("https://bellingcat-archive.nyc3.cdn.digitaloceanspaces.com/Ukraine_Witness_Datasheet/Worksheet/youtube_dl_1499472543312404484/out7.jpg")</f>
        <v/>
      </c>
      <c r="AQ1419" s="84" t="s">
        <v>14102</v>
      </c>
      <c r="AR1419" s="71" t="s">
        <v>14103</v>
      </c>
      <c r="AS1419" s="71" t="s">
        <v>14104</v>
      </c>
      <c r="AT1419" s="62">
        <v>33.691</v>
      </c>
      <c r="AU1419" s="89"/>
      <c r="AV1419" s="162"/>
      <c r="AW1419" s="81"/>
    </row>
    <row r="1420" ht="15.75" customHeight="1">
      <c r="A1420" s="208"/>
      <c r="B1420" s="73"/>
      <c r="C1420" s="176"/>
      <c r="D1420" s="121"/>
      <c r="E1420" s="121"/>
      <c r="F1420" s="89"/>
      <c r="G1420" s="317" t="s">
        <v>14105</v>
      </c>
      <c r="H1420" s="73"/>
      <c r="I1420" s="62" t="s">
        <v>12175</v>
      </c>
      <c r="J1420" s="161"/>
      <c r="K1420" s="69"/>
      <c r="L1420" s="70"/>
      <c r="M1420" s="73"/>
      <c r="N1420" s="73"/>
      <c r="O1420" s="73"/>
      <c r="P1420" s="67" t="str">
        <f t="shared" si="8"/>
        <v/>
      </c>
      <c r="Q1420" s="67" t="str">
        <f t="shared" si="2"/>
        <v/>
      </c>
      <c r="R1420" s="67" t="str">
        <f t="shared" si="3"/>
        <v/>
      </c>
      <c r="S1420" s="67" t="str">
        <f t="shared" si="4"/>
        <v/>
      </c>
      <c r="T1420" s="161"/>
      <c r="U1420" s="69"/>
      <c r="V1420" s="65" t="s">
        <v>14106</v>
      </c>
      <c r="W1420" s="161"/>
      <c r="X1420" s="194"/>
      <c r="Y1420" s="73"/>
      <c r="Z1420" s="73"/>
      <c r="AA1420" s="73"/>
      <c r="AB1420" s="73"/>
      <c r="AC1420" s="73"/>
      <c r="AD1420" s="73"/>
      <c r="AE1420" s="73"/>
      <c r="AF1420" s="73"/>
      <c r="AG1420" s="73"/>
      <c r="AH1420" s="73"/>
      <c r="AI1420" s="73"/>
      <c r="AJ1420" s="161"/>
      <c r="AK1420" s="76" t="s">
        <v>798</v>
      </c>
      <c r="AL1420" s="83" t="s">
        <v>14107</v>
      </c>
      <c r="AM1420" s="71" t="s">
        <v>14108</v>
      </c>
      <c r="AN1420" s="84" t="s">
        <v>14109</v>
      </c>
      <c r="AO1420" s="71" t="s">
        <v>14110</v>
      </c>
      <c r="AP1420" s="161" t="str">
        <f>IMAGE("https://bellingcat-archive.nyc3.cdn.digitaloceanspaces.com/Ukraine_Witness_Datasheet/Worksheet/youtube_dl_1499336508364492801/out7.jpg")</f>
        <v/>
      </c>
      <c r="AQ1420" s="84" t="s">
        <v>14111</v>
      </c>
      <c r="AR1420" s="71" t="s">
        <v>14112</v>
      </c>
      <c r="AS1420" s="71" t="s">
        <v>14113</v>
      </c>
      <c r="AT1420" s="62">
        <v>14.837</v>
      </c>
      <c r="AU1420" s="89"/>
      <c r="AV1420" s="162"/>
      <c r="AW1420" s="81"/>
    </row>
    <row r="1421" ht="15.75" customHeight="1">
      <c r="A1421" s="354" t="s">
        <v>9613</v>
      </c>
      <c r="B1421" s="73"/>
      <c r="C1421" s="57" t="s">
        <v>12050</v>
      </c>
      <c r="D1421" s="241" t="s">
        <v>14114</v>
      </c>
      <c r="E1421" s="241" t="s">
        <v>14115</v>
      </c>
      <c r="F1421" s="89"/>
      <c r="G1421" s="317" t="s">
        <v>14116</v>
      </c>
      <c r="H1421" s="73"/>
      <c r="I1421" s="62" t="s">
        <v>14117</v>
      </c>
      <c r="J1421" s="476" t="s">
        <v>14118</v>
      </c>
      <c r="K1421" s="69"/>
      <c r="L1421" s="70"/>
      <c r="M1421" s="73"/>
      <c r="N1421" s="73"/>
      <c r="O1421" s="73"/>
      <c r="P1421" s="67" t="str">
        <f t="shared" si="8"/>
        <v>50.64332, 29.933402</v>
      </c>
      <c r="Q1421" s="67" t="str">
        <f t="shared" si="2"/>
        <v>50.642648, 29.93407</v>
      </c>
      <c r="R1421" s="67">
        <f t="shared" si="3"/>
        <v>50.642648</v>
      </c>
      <c r="S1421" s="67">
        <f t="shared" si="4"/>
        <v>29.93407</v>
      </c>
      <c r="T1421" s="161"/>
      <c r="U1421" s="69"/>
      <c r="V1421" s="65" t="s">
        <v>14119</v>
      </c>
      <c r="W1421" s="161"/>
      <c r="X1421" s="17" t="s">
        <v>9</v>
      </c>
      <c r="Y1421" s="216" t="s">
        <v>5820</v>
      </c>
      <c r="Z1421" s="73"/>
      <c r="AA1421" s="73"/>
      <c r="AB1421" s="73"/>
      <c r="AC1421" s="73"/>
      <c r="AD1421" s="73"/>
      <c r="AE1421" s="73"/>
      <c r="AF1421" s="73"/>
      <c r="AG1421" s="73"/>
      <c r="AH1421" s="73"/>
      <c r="AI1421" s="73"/>
      <c r="AJ1421" s="161"/>
      <c r="AK1421" s="76" t="s">
        <v>2108</v>
      </c>
      <c r="AL1421" s="83" t="s">
        <v>14120</v>
      </c>
      <c r="AM1421" s="71" t="s">
        <v>14121</v>
      </c>
      <c r="AN1421" s="84" t="s">
        <v>14122</v>
      </c>
      <c r="AO1421" s="71" t="s">
        <v>14123</v>
      </c>
      <c r="AP1421" s="161" t="str">
        <f>IMAGE("https://bellingcat-archive.nyc3.cdn.digitaloceanspaces.com/Ukraine_Witness_Datasheet/Worksheet/twitter__media_FM7W1ZwX0AkXiW7.jpg")</f>
        <v/>
      </c>
      <c r="AQ1421" s="161"/>
      <c r="AR1421" s="161"/>
      <c r="AS1421" s="71" t="s">
        <v>14124</v>
      </c>
      <c r="AT1421" s="75"/>
      <c r="AU1421" s="89"/>
      <c r="AV1421" s="162"/>
      <c r="AW1421" s="81"/>
    </row>
    <row r="1422" ht="15.75" customHeight="1">
      <c r="A1422" s="354" t="s">
        <v>9613</v>
      </c>
      <c r="B1422" s="73"/>
      <c r="C1422" s="57" t="s">
        <v>12050</v>
      </c>
      <c r="D1422" s="241" t="s">
        <v>14114</v>
      </c>
      <c r="E1422" s="241" t="s">
        <v>14115</v>
      </c>
      <c r="F1422" s="89"/>
      <c r="G1422" s="317" t="s">
        <v>14125</v>
      </c>
      <c r="H1422" s="73"/>
      <c r="I1422" s="62" t="s">
        <v>14117</v>
      </c>
      <c r="J1422" s="476" t="s">
        <v>14118</v>
      </c>
      <c r="K1422" s="69"/>
      <c r="L1422" s="70"/>
      <c r="M1422" s="73"/>
      <c r="N1422" s="73"/>
      <c r="O1422" s="73"/>
      <c r="P1422" s="67" t="str">
        <f t="shared" si="8"/>
        <v>50.64332, 29.933402</v>
      </c>
      <c r="Q1422" s="67" t="str">
        <f t="shared" si="2"/>
        <v>50.6432, 29.934069</v>
      </c>
      <c r="R1422" s="67">
        <f t="shared" si="3"/>
        <v>50.6432</v>
      </c>
      <c r="S1422" s="67">
        <f t="shared" si="4"/>
        <v>29.934069</v>
      </c>
      <c r="T1422" s="161"/>
      <c r="U1422" s="69"/>
      <c r="V1422" s="169" t="s">
        <v>14126</v>
      </c>
      <c r="W1422" s="161"/>
      <c r="X1422" s="17" t="s">
        <v>9</v>
      </c>
      <c r="Y1422" s="216" t="s">
        <v>5820</v>
      </c>
      <c r="Z1422" s="73"/>
      <c r="AA1422" s="73"/>
      <c r="AB1422" s="73"/>
      <c r="AC1422" s="73"/>
      <c r="AD1422" s="73"/>
      <c r="AE1422" s="73"/>
      <c r="AF1422" s="73"/>
      <c r="AG1422" s="73"/>
      <c r="AH1422" s="73"/>
      <c r="AI1422" s="73"/>
      <c r="AJ1422" s="161"/>
      <c r="AK1422" s="76" t="s">
        <v>2108</v>
      </c>
      <c r="AL1422" s="83" t="s">
        <v>14127</v>
      </c>
      <c r="AM1422" s="71" t="s">
        <v>14128</v>
      </c>
      <c r="AN1422" s="84" t="s">
        <v>14129</v>
      </c>
      <c r="AO1422" s="71" t="s">
        <v>14130</v>
      </c>
      <c r="AP1422" s="161" t="str">
        <f>IMAGE("https://bellingcat-archive.nyc3.cdn.digitaloceanspaces.com/Ukraine_Witness_Datasheet/Worksheet/twitter__media_FM7RqLXXoAg18uR.jpg")</f>
        <v/>
      </c>
      <c r="AQ1422" s="161"/>
      <c r="AR1422" s="161"/>
      <c r="AS1422" s="71" t="s">
        <v>14131</v>
      </c>
      <c r="AT1422" s="75"/>
      <c r="AU1422" s="89"/>
      <c r="AV1422" s="162"/>
      <c r="AW1422" s="81"/>
    </row>
    <row r="1423" ht="15.75" customHeight="1">
      <c r="A1423" s="354" t="s">
        <v>9613</v>
      </c>
      <c r="B1423" s="73"/>
      <c r="C1423" s="57" t="s">
        <v>12050</v>
      </c>
      <c r="D1423" s="241" t="s">
        <v>14114</v>
      </c>
      <c r="E1423" s="241" t="s">
        <v>14115</v>
      </c>
      <c r="F1423" s="89"/>
      <c r="G1423" s="317" t="s">
        <v>14132</v>
      </c>
      <c r="H1423" s="73"/>
      <c r="I1423" s="62" t="s">
        <v>14117</v>
      </c>
      <c r="J1423" s="476" t="s">
        <v>14118</v>
      </c>
      <c r="K1423" s="69"/>
      <c r="L1423" s="70"/>
      <c r="M1423" s="73"/>
      <c r="N1423" s="73"/>
      <c r="O1423" s="73"/>
      <c r="P1423" s="67" t="str">
        <f t="shared" si="8"/>
        <v>50.64332, 29.933402</v>
      </c>
      <c r="Q1423" s="67" t="str">
        <f t="shared" si="2"/>
        <v>50.643008, 29.93418</v>
      </c>
      <c r="R1423" s="67">
        <f t="shared" si="3"/>
        <v>50.643008</v>
      </c>
      <c r="S1423" s="67">
        <f t="shared" si="4"/>
        <v>29.93418</v>
      </c>
      <c r="T1423" s="161"/>
      <c r="U1423" s="69"/>
      <c r="V1423" s="169" t="s">
        <v>14133</v>
      </c>
      <c r="W1423" s="161"/>
      <c r="X1423" s="17" t="s">
        <v>9</v>
      </c>
      <c r="Y1423" s="216" t="s">
        <v>5820</v>
      </c>
      <c r="Z1423" s="73"/>
      <c r="AA1423" s="73"/>
      <c r="AB1423" s="73"/>
      <c r="AC1423" s="73"/>
      <c r="AD1423" s="73"/>
      <c r="AE1423" s="73"/>
      <c r="AF1423" s="73"/>
      <c r="AG1423" s="73"/>
      <c r="AH1423" s="73"/>
      <c r="AI1423" s="73"/>
      <c r="AJ1423" s="161"/>
      <c r="AK1423" s="76" t="s">
        <v>6276</v>
      </c>
      <c r="AL1423" s="83" t="s">
        <v>14134</v>
      </c>
      <c r="AM1423" s="71" t="s">
        <v>14135</v>
      </c>
      <c r="AN1423" s="84" t="s">
        <v>14136</v>
      </c>
      <c r="AO1423" s="71" t="s">
        <v>14137</v>
      </c>
      <c r="AP1423" s="161" t="str">
        <f>IMAGE("https://bellingcat-archive.nyc3.cdn.digitaloceanspaces.com/Ukraine_Witness_Datasheet/Worksheet/telegram_b171fdd7af/out20.jpg")</f>
        <v/>
      </c>
      <c r="AQ1423" s="84" t="s">
        <v>14138</v>
      </c>
      <c r="AR1423" s="84" t="s">
        <v>14132</v>
      </c>
      <c r="AS1423" s="71" t="s">
        <v>14139</v>
      </c>
      <c r="AT1423" s="62">
        <v>99.0</v>
      </c>
      <c r="AU1423" s="89"/>
      <c r="AV1423" s="162"/>
      <c r="AW1423" s="81"/>
    </row>
    <row r="1424" ht="15.75" customHeight="1">
      <c r="A1424" s="373" t="s">
        <v>6924</v>
      </c>
      <c r="B1424" s="73"/>
      <c r="C1424" s="57" t="s">
        <v>12050</v>
      </c>
      <c r="D1424" s="260"/>
      <c r="E1424" s="260"/>
      <c r="F1424" s="89"/>
      <c r="G1424" s="317" t="s">
        <v>14140</v>
      </c>
      <c r="H1424" s="73"/>
      <c r="I1424" s="62" t="s">
        <v>14141</v>
      </c>
      <c r="J1424" s="476" t="s">
        <v>14142</v>
      </c>
      <c r="K1424" s="69"/>
      <c r="L1424" s="70"/>
      <c r="M1424" s="73"/>
      <c r="N1424" s="73"/>
      <c r="O1424" s="73"/>
      <c r="P1424" s="67" t="str">
        <f t="shared" si="8"/>
        <v/>
      </c>
      <c r="Q1424" s="67" t="str">
        <f t="shared" si="2"/>
        <v/>
      </c>
      <c r="R1424" s="67" t="str">
        <f t="shared" si="3"/>
        <v/>
      </c>
      <c r="S1424" s="67" t="str">
        <f t="shared" si="4"/>
        <v/>
      </c>
      <c r="T1424" s="161"/>
      <c r="U1424" s="69"/>
      <c r="V1424" s="65" t="s">
        <v>14143</v>
      </c>
      <c r="W1424" s="161"/>
      <c r="X1424" s="194"/>
      <c r="Y1424" s="216" t="s">
        <v>5820</v>
      </c>
      <c r="Z1424" s="73"/>
      <c r="AA1424" s="73"/>
      <c r="AB1424" s="73"/>
      <c r="AC1424" s="73"/>
      <c r="AD1424" s="73"/>
      <c r="AE1424" s="73"/>
      <c r="AF1424" s="73"/>
      <c r="AG1424" s="73"/>
      <c r="AH1424" s="73"/>
      <c r="AI1424" s="73"/>
      <c r="AJ1424" s="161"/>
      <c r="AK1424" s="76" t="s">
        <v>2108</v>
      </c>
      <c r="AL1424" s="83" t="s">
        <v>14144</v>
      </c>
      <c r="AM1424" s="71" t="s">
        <v>14145</v>
      </c>
      <c r="AN1424" s="84" t="s">
        <v>14146</v>
      </c>
      <c r="AO1424" s="71" t="s">
        <v>14147</v>
      </c>
      <c r="AP1424" s="161" t="str">
        <f>IMAGE("https://bellingcat-archive.nyc3.cdn.digitaloceanspaces.com/Ukraine_Witness_Datasheet/Worksheet/twitter__media_FM61CBgXsAcS3QL.jpg")</f>
        <v/>
      </c>
      <c r="AQ1424" s="161"/>
      <c r="AR1424" s="161"/>
      <c r="AS1424" s="71" t="s">
        <v>14148</v>
      </c>
      <c r="AT1424" s="75"/>
      <c r="AU1424" s="89"/>
      <c r="AV1424" s="162"/>
      <c r="AW1424" s="81"/>
    </row>
    <row r="1425" ht="15.75" customHeight="1">
      <c r="A1425" s="354" t="s">
        <v>8554</v>
      </c>
      <c r="B1425" s="73"/>
      <c r="C1425" s="57" t="s">
        <v>7672</v>
      </c>
      <c r="D1425" s="241" t="s">
        <v>14149</v>
      </c>
      <c r="E1425" s="241" t="s">
        <v>14150</v>
      </c>
      <c r="F1425" s="89"/>
      <c r="G1425" s="317" t="s">
        <v>14151</v>
      </c>
      <c r="H1425" s="73"/>
      <c r="I1425" s="62" t="s">
        <v>14152</v>
      </c>
      <c r="J1425" s="476" t="s">
        <v>14153</v>
      </c>
      <c r="K1425" s="69"/>
      <c r="L1425" s="70"/>
      <c r="M1425" s="73"/>
      <c r="N1425" s="73"/>
      <c r="O1425" s="73"/>
      <c r="P1425" s="67" t="str">
        <f t="shared" si="8"/>
        <v>47.97764, 37.698898</v>
      </c>
      <c r="Q1425" s="67" t="str">
        <f t="shared" si="2"/>
        <v>47.97749, 37.697737</v>
      </c>
      <c r="R1425" s="67">
        <f t="shared" si="3"/>
        <v>47.97749</v>
      </c>
      <c r="S1425" s="67">
        <f t="shared" si="4"/>
        <v>37.697737</v>
      </c>
      <c r="T1425" s="161"/>
      <c r="U1425" s="69"/>
      <c r="V1425" s="169" t="s">
        <v>14154</v>
      </c>
      <c r="W1425" s="161"/>
      <c r="X1425" s="17" t="s">
        <v>9</v>
      </c>
      <c r="Y1425" s="216" t="s">
        <v>5820</v>
      </c>
      <c r="Z1425" s="73"/>
      <c r="AA1425" s="73"/>
      <c r="AB1425" s="73"/>
      <c r="AC1425" s="73"/>
      <c r="AD1425" s="73"/>
      <c r="AE1425" s="73"/>
      <c r="AF1425" s="73"/>
      <c r="AG1425" s="73"/>
      <c r="AH1425" s="73"/>
      <c r="AI1425" s="73"/>
      <c r="AJ1425" s="161"/>
      <c r="AK1425" s="76" t="s">
        <v>2108</v>
      </c>
      <c r="AL1425" s="83" t="s">
        <v>14155</v>
      </c>
      <c r="AM1425" s="71" t="s">
        <v>14156</v>
      </c>
      <c r="AN1425" s="84" t="s">
        <v>14157</v>
      </c>
      <c r="AO1425" s="71" t="s">
        <v>14158</v>
      </c>
      <c r="AP1425" s="161" t="str">
        <f>IMAGE("https://bellingcat-archive.nyc3.cdn.digitaloceanspaces.com/Ukraine_Witness_Datasheet/Worksheet/twitter__media_FMgsR0AWYAAximt.jpg")</f>
        <v/>
      </c>
      <c r="AQ1425" s="161"/>
      <c r="AR1425" s="161"/>
      <c r="AS1425" s="71" t="s">
        <v>14159</v>
      </c>
      <c r="AT1425" s="75"/>
      <c r="AU1425" s="89"/>
      <c r="AV1425" s="162"/>
      <c r="AW1425" s="81"/>
    </row>
    <row r="1426" ht="15.75" customHeight="1">
      <c r="A1426" s="373" t="s">
        <v>6924</v>
      </c>
      <c r="B1426" s="73"/>
      <c r="C1426" s="57" t="s">
        <v>12050</v>
      </c>
      <c r="D1426" s="260"/>
      <c r="E1426" s="260"/>
      <c r="F1426" s="89"/>
      <c r="G1426" s="60" t="s">
        <v>14160</v>
      </c>
      <c r="H1426" s="73"/>
      <c r="I1426" s="62" t="s">
        <v>14161</v>
      </c>
      <c r="J1426" s="476" t="s">
        <v>14162</v>
      </c>
      <c r="K1426" s="69"/>
      <c r="L1426" s="70"/>
      <c r="M1426" s="73"/>
      <c r="N1426" s="73"/>
      <c r="O1426" s="73"/>
      <c r="P1426" s="67" t="str">
        <f t="shared" si="8"/>
        <v/>
      </c>
      <c r="Q1426" s="67" t="str">
        <f t="shared" si="2"/>
        <v/>
      </c>
      <c r="R1426" s="67" t="str">
        <f t="shared" si="3"/>
        <v/>
      </c>
      <c r="S1426" s="67" t="str">
        <f t="shared" si="4"/>
        <v/>
      </c>
      <c r="T1426" s="161"/>
      <c r="U1426" s="69"/>
      <c r="V1426" s="169" t="s">
        <v>14163</v>
      </c>
      <c r="W1426" s="161"/>
      <c r="X1426" s="194"/>
      <c r="Y1426" s="216" t="s">
        <v>75</v>
      </c>
      <c r="Z1426" s="73"/>
      <c r="AA1426" s="73"/>
      <c r="AB1426" s="73"/>
      <c r="AC1426" s="73"/>
      <c r="AD1426" s="73"/>
      <c r="AE1426" s="73"/>
      <c r="AF1426" s="73"/>
      <c r="AG1426" s="73"/>
      <c r="AH1426" s="73"/>
      <c r="AI1426" s="73"/>
      <c r="AJ1426" s="161"/>
      <c r="AK1426" s="76" t="s">
        <v>6276</v>
      </c>
      <c r="AL1426" s="83" t="s">
        <v>14164</v>
      </c>
      <c r="AM1426" s="71" t="s">
        <v>14165</v>
      </c>
      <c r="AN1426" s="84" t="s">
        <v>14166</v>
      </c>
      <c r="AO1426" s="71" t="s">
        <v>14167</v>
      </c>
      <c r="AP1426" s="161" t="str">
        <f>IMAGE("https://bellingcat-archive.nyc3.cdn.digitaloceanspaces.com/Ukraine_Witness_Datasheet/Worksheet/telegram_29f658ed51/out20.jpg")</f>
        <v/>
      </c>
      <c r="AQ1426" s="84" t="s">
        <v>14168</v>
      </c>
      <c r="AR1426" s="84" t="s">
        <v>14169</v>
      </c>
      <c r="AS1426" s="71" t="s">
        <v>14170</v>
      </c>
      <c r="AT1426" s="62">
        <v>69.0</v>
      </c>
      <c r="AU1426" s="89"/>
      <c r="AV1426" s="162"/>
      <c r="AW1426" s="81"/>
    </row>
    <row r="1427" ht="15.75" customHeight="1">
      <c r="A1427" s="373" t="s">
        <v>6924</v>
      </c>
      <c r="B1427" s="73"/>
      <c r="C1427" s="57" t="s">
        <v>12050</v>
      </c>
      <c r="D1427" s="241" t="s">
        <v>14171</v>
      </c>
      <c r="E1427" s="241" t="s">
        <v>14172</v>
      </c>
      <c r="F1427" s="89"/>
      <c r="G1427" s="317" t="s">
        <v>14173</v>
      </c>
      <c r="H1427" s="73"/>
      <c r="I1427" s="62" t="s">
        <v>14174</v>
      </c>
      <c r="J1427" s="476" t="s">
        <v>14175</v>
      </c>
      <c r="K1427" s="69"/>
      <c r="L1427" s="70"/>
      <c r="M1427" s="73"/>
      <c r="N1427" s="73"/>
      <c r="O1427" s="73"/>
      <c r="P1427" s="67" t="str">
        <f t="shared" si="8"/>
        <v>49.471219, 28.511239</v>
      </c>
      <c r="Q1427" s="67" t="str">
        <f t="shared" si="2"/>
        <v>49.470969, 28.510253</v>
      </c>
      <c r="R1427" s="67">
        <f t="shared" si="3"/>
        <v>49.470969</v>
      </c>
      <c r="S1427" s="67">
        <f t="shared" si="4"/>
        <v>28.510253</v>
      </c>
      <c r="T1427" s="161"/>
      <c r="U1427" s="69"/>
      <c r="V1427" s="65" t="s">
        <v>14176</v>
      </c>
      <c r="W1427" s="161"/>
      <c r="X1427" s="194"/>
      <c r="Y1427" s="216" t="s">
        <v>5820</v>
      </c>
      <c r="Z1427" s="73"/>
      <c r="AA1427" s="73"/>
      <c r="AB1427" s="73"/>
      <c r="AC1427" s="73"/>
      <c r="AD1427" s="73"/>
      <c r="AE1427" s="73"/>
      <c r="AF1427" s="73"/>
      <c r="AG1427" s="73"/>
      <c r="AH1427" s="73"/>
      <c r="AI1427" s="73"/>
      <c r="AJ1427" s="161"/>
      <c r="AK1427" s="76" t="s">
        <v>2108</v>
      </c>
      <c r="AL1427" s="83" t="s">
        <v>14177</v>
      </c>
      <c r="AM1427" s="71" t="s">
        <v>14178</v>
      </c>
      <c r="AN1427" s="84" t="s">
        <v>14179</v>
      </c>
      <c r="AO1427" s="71" t="s">
        <v>14180</v>
      </c>
      <c r="AP1427" s="161" t="str">
        <f>IMAGE("https://bellingcat-archive.nyc3.cdn.digitaloceanspaces.com/Ukraine_Witness_Datasheet/Worksheet/twitter__media_FM8UbhYWUAE7l71.jpg")</f>
        <v/>
      </c>
      <c r="AQ1427" s="161"/>
      <c r="AR1427" s="161"/>
      <c r="AS1427" s="71" t="s">
        <v>14181</v>
      </c>
      <c r="AT1427" s="75"/>
      <c r="AU1427" s="89"/>
      <c r="AV1427" s="162"/>
      <c r="AW1427" s="81"/>
    </row>
    <row r="1428" ht="15.75" customHeight="1">
      <c r="A1428" s="373" t="s">
        <v>6924</v>
      </c>
      <c r="B1428" s="73"/>
      <c r="C1428" s="57" t="s">
        <v>12050</v>
      </c>
      <c r="D1428" s="241" t="s">
        <v>14171</v>
      </c>
      <c r="E1428" s="241" t="s">
        <v>14172</v>
      </c>
      <c r="F1428" s="89"/>
      <c r="G1428" s="317" t="s">
        <v>14182</v>
      </c>
      <c r="H1428" s="73"/>
      <c r="I1428" s="62" t="s">
        <v>14174</v>
      </c>
      <c r="J1428" s="476" t="s">
        <v>14175</v>
      </c>
      <c r="K1428" s="69"/>
      <c r="L1428" s="70"/>
      <c r="M1428" s="73"/>
      <c r="N1428" s="73"/>
      <c r="O1428" s="73"/>
      <c r="P1428" s="67" t="str">
        <f t="shared" si="8"/>
        <v>49.471219, 28.511239</v>
      </c>
      <c r="Q1428" s="67" t="str">
        <f t="shared" si="2"/>
        <v>49.470836, 28.511334</v>
      </c>
      <c r="R1428" s="67">
        <f t="shared" si="3"/>
        <v>49.470836</v>
      </c>
      <c r="S1428" s="67">
        <f t="shared" si="4"/>
        <v>28.511334</v>
      </c>
      <c r="T1428" s="161"/>
      <c r="U1428" s="69"/>
      <c r="V1428" s="65" t="s">
        <v>14183</v>
      </c>
      <c r="W1428" s="161"/>
      <c r="X1428" s="194"/>
      <c r="Y1428" s="216" t="s">
        <v>5820</v>
      </c>
      <c r="Z1428" s="73"/>
      <c r="AA1428" s="73"/>
      <c r="AB1428" s="73"/>
      <c r="AC1428" s="73"/>
      <c r="AD1428" s="73"/>
      <c r="AE1428" s="73"/>
      <c r="AF1428" s="73"/>
      <c r="AG1428" s="73"/>
      <c r="AH1428" s="73"/>
      <c r="AI1428" s="73"/>
      <c r="AJ1428" s="161"/>
      <c r="AK1428" s="76" t="s">
        <v>2108</v>
      </c>
      <c r="AL1428" s="83" t="s">
        <v>14184</v>
      </c>
      <c r="AM1428" s="71" t="s">
        <v>14185</v>
      </c>
      <c r="AN1428" s="84" t="s">
        <v>14186</v>
      </c>
      <c r="AO1428" s="71" t="s">
        <v>14187</v>
      </c>
      <c r="AP1428" s="161" t="str">
        <f t="shared" ref="AP1428:AP1429" si="9">IMAGE("https://bellingcat-archive.nyc3.cdn.digitaloceanspaces.com/Ukraine_Witness_Datasheet/Worksheet/twitter__media_FM872nzWQAcHQEJ.jpg")</f>
        <v/>
      </c>
      <c r="AQ1428" s="161"/>
      <c r="AR1428" s="161"/>
      <c r="AS1428" s="71" t="s">
        <v>14188</v>
      </c>
      <c r="AT1428" s="75"/>
      <c r="AU1428" s="89"/>
      <c r="AV1428" s="162"/>
      <c r="AW1428" s="81"/>
    </row>
    <row r="1429" ht="15.75" customHeight="1">
      <c r="A1429" s="208"/>
      <c r="B1429" s="73"/>
      <c r="C1429" s="176"/>
      <c r="D1429" s="121"/>
      <c r="E1429" s="121"/>
      <c r="F1429" s="89"/>
      <c r="G1429" s="317" t="s">
        <v>14182</v>
      </c>
      <c r="H1429" s="73"/>
      <c r="I1429" s="62" t="s">
        <v>14174</v>
      </c>
      <c r="J1429" s="161"/>
      <c r="K1429" s="69"/>
      <c r="L1429" s="70"/>
      <c r="M1429" s="73"/>
      <c r="N1429" s="73"/>
      <c r="O1429" s="73"/>
      <c r="P1429" s="67" t="str">
        <f t="shared" si="8"/>
        <v/>
      </c>
      <c r="Q1429" s="67" t="str">
        <f t="shared" si="2"/>
        <v/>
      </c>
      <c r="R1429" s="67" t="str">
        <f t="shared" si="3"/>
        <v/>
      </c>
      <c r="S1429" s="67" t="str">
        <f t="shared" si="4"/>
        <v/>
      </c>
      <c r="T1429" s="161"/>
      <c r="U1429" s="69"/>
      <c r="V1429" s="169" t="s">
        <v>14189</v>
      </c>
      <c r="W1429" s="161"/>
      <c r="X1429" s="194"/>
      <c r="Y1429" s="73"/>
      <c r="Z1429" s="73"/>
      <c r="AA1429" s="73"/>
      <c r="AB1429" s="73"/>
      <c r="AC1429" s="73"/>
      <c r="AD1429" s="73"/>
      <c r="AE1429" s="73"/>
      <c r="AF1429" s="73"/>
      <c r="AG1429" s="73"/>
      <c r="AH1429" s="73"/>
      <c r="AI1429" s="73"/>
      <c r="AJ1429" s="161"/>
      <c r="AK1429" s="76" t="s">
        <v>2108</v>
      </c>
      <c r="AL1429" s="83" t="s">
        <v>14184</v>
      </c>
      <c r="AM1429" s="71" t="s">
        <v>14190</v>
      </c>
      <c r="AN1429" s="84" t="s">
        <v>14191</v>
      </c>
      <c r="AO1429" s="71" t="s">
        <v>14187</v>
      </c>
      <c r="AP1429" s="161" t="str">
        <f t="shared" si="9"/>
        <v/>
      </c>
      <c r="AQ1429" s="161"/>
      <c r="AR1429" s="161"/>
      <c r="AS1429" s="71" t="s">
        <v>14188</v>
      </c>
      <c r="AT1429" s="75"/>
      <c r="AU1429" s="89"/>
      <c r="AV1429" s="162"/>
      <c r="AW1429" s="81"/>
    </row>
    <row r="1430" ht="15.75" customHeight="1">
      <c r="A1430" s="354" t="s">
        <v>9566</v>
      </c>
      <c r="B1430" s="73"/>
      <c r="C1430" s="57" t="s">
        <v>12050</v>
      </c>
      <c r="D1430" s="241" t="s">
        <v>14192</v>
      </c>
      <c r="E1430" s="241" t="s">
        <v>14193</v>
      </c>
      <c r="F1430" s="89"/>
      <c r="G1430" s="317" t="s">
        <v>14194</v>
      </c>
      <c r="H1430" s="73"/>
      <c r="I1430" s="62" t="s">
        <v>14195</v>
      </c>
      <c r="J1430" s="476" t="s">
        <v>14196</v>
      </c>
      <c r="K1430" s="69"/>
      <c r="L1430" s="65" t="s">
        <v>5670</v>
      </c>
      <c r="M1430" s="61" t="s">
        <v>5590</v>
      </c>
      <c r="N1430" s="73"/>
      <c r="O1430" s="61" t="s">
        <v>5591</v>
      </c>
      <c r="P1430" s="67" t="str">
        <f t="shared" si="8"/>
        <v>50.031615, 36.253763</v>
      </c>
      <c r="Q1430" s="67" t="str">
        <f t="shared" si="2"/>
        <v>50.031484, 36.254872</v>
      </c>
      <c r="R1430" s="67">
        <f t="shared" si="3"/>
        <v>50.031484</v>
      </c>
      <c r="S1430" s="67">
        <f t="shared" si="4"/>
        <v>36.254872</v>
      </c>
      <c r="T1430" s="161"/>
      <c r="U1430" s="69"/>
      <c r="V1430" s="65" t="s">
        <v>14197</v>
      </c>
      <c r="W1430" s="161"/>
      <c r="X1430" s="17" t="s">
        <v>9</v>
      </c>
      <c r="Y1430" s="216" t="s">
        <v>5820</v>
      </c>
      <c r="Z1430" s="73"/>
      <c r="AA1430" s="73"/>
      <c r="AB1430" s="73"/>
      <c r="AC1430" s="73"/>
      <c r="AD1430" s="73"/>
      <c r="AE1430" s="73"/>
      <c r="AF1430" s="73"/>
      <c r="AG1430" s="73"/>
      <c r="AH1430" s="73"/>
      <c r="AI1430" s="73"/>
      <c r="AJ1430" s="161"/>
      <c r="AK1430" s="76" t="s">
        <v>798</v>
      </c>
      <c r="AL1430" s="83" t="s">
        <v>14198</v>
      </c>
      <c r="AM1430" s="71" t="s">
        <v>14199</v>
      </c>
      <c r="AN1430" s="84" t="s">
        <v>14200</v>
      </c>
      <c r="AO1430" s="71" t="s">
        <v>14201</v>
      </c>
      <c r="AP1430" s="161" t="str">
        <f>IMAGE("https://bellingcat-archive.nyc3.cdn.digitaloceanspaces.com/Ukraine_Witness_Datasheet/Worksheet/youtube_dl_1499444045164138501/out7.jpg")</f>
        <v/>
      </c>
      <c r="AQ1430" s="84" t="s">
        <v>14202</v>
      </c>
      <c r="AR1430" s="71" t="s">
        <v>14203</v>
      </c>
      <c r="AS1430" s="71" t="s">
        <v>14204</v>
      </c>
      <c r="AT1430" s="62">
        <v>24.788</v>
      </c>
      <c r="AU1430" s="89"/>
      <c r="AV1430" s="162"/>
      <c r="AW1430" s="81"/>
    </row>
    <row r="1431" ht="15.75" customHeight="1">
      <c r="A1431" s="354" t="s">
        <v>9566</v>
      </c>
      <c r="B1431" s="73"/>
      <c r="C1431" s="57" t="s">
        <v>12050</v>
      </c>
      <c r="D1431" s="241" t="s">
        <v>14205</v>
      </c>
      <c r="E1431" s="241" t="s">
        <v>14206</v>
      </c>
      <c r="F1431" s="89"/>
      <c r="G1431" s="317" t="s">
        <v>14207</v>
      </c>
      <c r="H1431" s="73"/>
      <c r="I1431" s="62" t="s">
        <v>14208</v>
      </c>
      <c r="J1431" s="476" t="s">
        <v>14209</v>
      </c>
      <c r="K1431" s="69"/>
      <c r="L1431" s="65" t="s">
        <v>5670</v>
      </c>
      <c r="M1431" s="61" t="s">
        <v>5590</v>
      </c>
      <c r="N1431" s="73"/>
      <c r="O1431" s="61" t="s">
        <v>5591</v>
      </c>
      <c r="P1431" s="67" t="str">
        <f t="shared" si="8"/>
        <v>50.017078, 36.355044</v>
      </c>
      <c r="Q1431" s="67" t="str">
        <f t="shared" si="2"/>
        <v>50.016454, 36.355278</v>
      </c>
      <c r="R1431" s="67">
        <f t="shared" si="3"/>
        <v>50.016454</v>
      </c>
      <c r="S1431" s="67">
        <f t="shared" si="4"/>
        <v>36.355278</v>
      </c>
      <c r="T1431" s="161"/>
      <c r="U1431" s="69"/>
      <c r="V1431" s="169" t="s">
        <v>14210</v>
      </c>
      <c r="W1431" s="161"/>
      <c r="X1431" s="17" t="s">
        <v>9</v>
      </c>
      <c r="Y1431" s="216" t="s">
        <v>5820</v>
      </c>
      <c r="Z1431" s="73"/>
      <c r="AA1431" s="73"/>
      <c r="AB1431" s="73"/>
      <c r="AC1431" s="73"/>
      <c r="AD1431" s="73"/>
      <c r="AE1431" s="73"/>
      <c r="AF1431" s="73"/>
      <c r="AG1431" s="73"/>
      <c r="AH1431" s="73"/>
      <c r="AI1431" s="73"/>
      <c r="AJ1431" s="161"/>
      <c r="AK1431" s="76" t="s">
        <v>6276</v>
      </c>
      <c r="AL1431" s="83" t="s">
        <v>14211</v>
      </c>
      <c r="AM1431" s="71" t="s">
        <v>14212</v>
      </c>
      <c r="AN1431" s="84" t="s">
        <v>14213</v>
      </c>
      <c r="AO1431" s="71" t="s">
        <v>14214</v>
      </c>
      <c r="AP1431" s="161"/>
      <c r="AQ1431" s="161"/>
      <c r="AR1431" s="161"/>
      <c r="AS1431" s="161"/>
      <c r="AT1431" s="75"/>
      <c r="AU1431" s="89"/>
      <c r="AV1431" s="162"/>
      <c r="AW1431" s="81"/>
    </row>
    <row r="1432" ht="15.75" customHeight="1">
      <c r="A1432" s="354" t="s">
        <v>9897</v>
      </c>
      <c r="B1432" s="73"/>
      <c r="C1432" s="57" t="s">
        <v>12959</v>
      </c>
      <c r="D1432" s="241" t="s">
        <v>14215</v>
      </c>
      <c r="E1432" s="241" t="s">
        <v>14216</v>
      </c>
      <c r="F1432" s="89"/>
      <c r="G1432" s="317" t="s">
        <v>14217</v>
      </c>
      <c r="H1432" s="73"/>
      <c r="I1432" s="62" t="s">
        <v>14218</v>
      </c>
      <c r="J1432" s="476" t="s">
        <v>14219</v>
      </c>
      <c r="K1432" s="69"/>
      <c r="L1432" s="70"/>
      <c r="M1432" s="73"/>
      <c r="N1432" s="73"/>
      <c r="O1432" s="73"/>
      <c r="P1432" s="67" t="str">
        <f t="shared" si="8"/>
        <v>50.2515, 28.664056</v>
      </c>
      <c r="Q1432" s="67" t="str">
        <f t="shared" si="2"/>
        <v>50.251432, 28.664782</v>
      </c>
      <c r="R1432" s="67">
        <f t="shared" si="3"/>
        <v>50.251432</v>
      </c>
      <c r="S1432" s="67">
        <f t="shared" si="4"/>
        <v>28.664782</v>
      </c>
      <c r="T1432" s="161"/>
      <c r="U1432" s="69"/>
      <c r="V1432" s="169" t="s">
        <v>14220</v>
      </c>
      <c r="W1432" s="161"/>
      <c r="X1432" s="17" t="s">
        <v>9</v>
      </c>
      <c r="Y1432" s="216" t="s">
        <v>5820</v>
      </c>
      <c r="Z1432" s="73"/>
      <c r="AA1432" s="73"/>
      <c r="AB1432" s="73"/>
      <c r="AC1432" s="73"/>
      <c r="AD1432" s="73"/>
      <c r="AE1432" s="73"/>
      <c r="AF1432" s="73"/>
      <c r="AG1432" s="73"/>
      <c r="AH1432" s="73"/>
      <c r="AI1432" s="73"/>
      <c r="AJ1432" s="161"/>
      <c r="AK1432" s="76" t="s">
        <v>6276</v>
      </c>
      <c r="AL1432" s="83" t="s">
        <v>14221</v>
      </c>
      <c r="AM1432" s="71" t="s">
        <v>14222</v>
      </c>
      <c r="AN1432" s="84" t="s">
        <v>14223</v>
      </c>
      <c r="AO1432" s="71" t="s">
        <v>14224</v>
      </c>
      <c r="AP1432" s="161" t="str">
        <f>IMAGE("https://bellingcat-archive.nyc3.cdn.digitaloceanspaces.com/Ukraine_Witness_Datasheet/Worksheet/telegram_5b709409f3/out7.jpg")</f>
        <v/>
      </c>
      <c r="AQ1432" s="84" t="s">
        <v>14225</v>
      </c>
      <c r="AR1432" s="84" t="s">
        <v>14217</v>
      </c>
      <c r="AS1432" s="71" t="s">
        <v>14226</v>
      </c>
      <c r="AT1432" s="62">
        <v>8.0</v>
      </c>
      <c r="AU1432" s="89"/>
      <c r="AV1432" s="162"/>
      <c r="AW1432" s="81"/>
    </row>
    <row r="1433" ht="15.75" customHeight="1">
      <c r="A1433" s="354" t="s">
        <v>9897</v>
      </c>
      <c r="B1433" s="73"/>
      <c r="C1433" s="57" t="s">
        <v>12959</v>
      </c>
      <c r="D1433" s="241" t="s">
        <v>14215</v>
      </c>
      <c r="E1433" s="241" t="s">
        <v>14216</v>
      </c>
      <c r="F1433" s="89"/>
      <c r="G1433" s="317" t="s">
        <v>14227</v>
      </c>
      <c r="H1433" s="73"/>
      <c r="I1433" s="62" t="s">
        <v>14218</v>
      </c>
      <c r="J1433" s="476" t="s">
        <v>14219</v>
      </c>
      <c r="K1433" s="69"/>
      <c r="L1433" s="70"/>
      <c r="M1433" s="73"/>
      <c r="N1433" s="73"/>
      <c r="O1433" s="73"/>
      <c r="P1433" s="67" t="str">
        <f t="shared" si="8"/>
        <v>50.2515, 28.664056</v>
      </c>
      <c r="Q1433" s="67" t="str">
        <f t="shared" si="2"/>
        <v>50.251119, 28.6639</v>
      </c>
      <c r="R1433" s="67">
        <f t="shared" si="3"/>
        <v>50.251119</v>
      </c>
      <c r="S1433" s="67">
        <f t="shared" si="4"/>
        <v>28.6639</v>
      </c>
      <c r="T1433" s="161"/>
      <c r="U1433" s="69"/>
      <c r="V1433" s="169" t="s">
        <v>14228</v>
      </c>
      <c r="W1433" s="161"/>
      <c r="X1433" s="17" t="s">
        <v>9</v>
      </c>
      <c r="Y1433" s="216" t="s">
        <v>5820</v>
      </c>
      <c r="Z1433" s="73"/>
      <c r="AA1433" s="73"/>
      <c r="AB1433" s="73"/>
      <c r="AC1433" s="73"/>
      <c r="AD1433" s="73"/>
      <c r="AE1433" s="73"/>
      <c r="AF1433" s="73"/>
      <c r="AG1433" s="73"/>
      <c r="AH1433" s="73"/>
      <c r="AI1433" s="73"/>
      <c r="AJ1433" s="161"/>
      <c r="AK1433" s="76" t="s">
        <v>2108</v>
      </c>
      <c r="AL1433" s="83" t="s">
        <v>14229</v>
      </c>
      <c r="AM1433" s="71" t="s">
        <v>14230</v>
      </c>
      <c r="AN1433" s="84" t="s">
        <v>14231</v>
      </c>
      <c r="AO1433" s="71" t="s">
        <v>14232</v>
      </c>
      <c r="AP1433" s="161" t="str">
        <f>IMAGE("https://bellingcat-archive.nyc3.cdn.digitaloceanspaces.com/Ukraine_Witness_Datasheet/Worksheet/twitter__media_FM_h-2gWYAIrkMv.jpg")</f>
        <v/>
      </c>
      <c r="AQ1433" s="161"/>
      <c r="AR1433" s="161"/>
      <c r="AS1433" s="71" t="s">
        <v>14233</v>
      </c>
      <c r="AT1433" s="75"/>
      <c r="AU1433" s="89"/>
      <c r="AV1433" s="162"/>
      <c r="AW1433" s="81"/>
    </row>
    <row r="1434" ht="15.75" customHeight="1">
      <c r="A1434" s="208"/>
      <c r="B1434" s="73"/>
      <c r="C1434" s="176"/>
      <c r="D1434" s="121"/>
      <c r="E1434" s="121"/>
      <c r="F1434" s="89"/>
      <c r="G1434" s="317" t="s">
        <v>14234</v>
      </c>
      <c r="H1434" s="73"/>
      <c r="I1434" s="62" t="s">
        <v>14235</v>
      </c>
      <c r="J1434" s="161"/>
      <c r="K1434" s="69"/>
      <c r="L1434" s="70"/>
      <c r="M1434" s="73"/>
      <c r="N1434" s="73"/>
      <c r="O1434" s="73"/>
      <c r="P1434" s="67" t="str">
        <f t="shared" si="8"/>
        <v/>
      </c>
      <c r="Q1434" s="67" t="str">
        <f t="shared" si="2"/>
        <v/>
      </c>
      <c r="R1434" s="67" t="str">
        <f t="shared" si="3"/>
        <v/>
      </c>
      <c r="S1434" s="67" t="str">
        <f t="shared" si="4"/>
        <v/>
      </c>
      <c r="T1434" s="161"/>
      <c r="U1434" s="69"/>
      <c r="V1434" s="65" t="s">
        <v>14236</v>
      </c>
      <c r="W1434" s="161"/>
      <c r="X1434" s="194"/>
      <c r="Y1434" s="73"/>
      <c r="Z1434" s="73"/>
      <c r="AA1434" s="73"/>
      <c r="AB1434" s="73"/>
      <c r="AC1434" s="73"/>
      <c r="AD1434" s="73"/>
      <c r="AE1434" s="73"/>
      <c r="AF1434" s="73"/>
      <c r="AG1434" s="73"/>
      <c r="AH1434" s="73"/>
      <c r="AI1434" s="73"/>
      <c r="AJ1434" s="161"/>
      <c r="AK1434" s="76" t="s">
        <v>6276</v>
      </c>
      <c r="AL1434" s="83" t="s">
        <v>14237</v>
      </c>
      <c r="AM1434" s="71" t="s">
        <v>14238</v>
      </c>
      <c r="AN1434" s="84" t="s">
        <v>14239</v>
      </c>
      <c r="AO1434" s="71" t="s">
        <v>14240</v>
      </c>
      <c r="AP1434" s="161"/>
      <c r="AQ1434" s="161"/>
      <c r="AR1434" s="161"/>
      <c r="AS1434" s="161"/>
      <c r="AT1434" s="75"/>
      <c r="AU1434" s="89"/>
      <c r="AV1434" s="162"/>
      <c r="AW1434" s="81"/>
    </row>
    <row r="1435" ht="15.75" customHeight="1">
      <c r="A1435" s="354" t="s">
        <v>9566</v>
      </c>
      <c r="B1435" s="73"/>
      <c r="C1435" s="57" t="s">
        <v>12959</v>
      </c>
      <c r="D1435" s="241" t="s">
        <v>14241</v>
      </c>
      <c r="E1435" s="241" t="s">
        <v>14242</v>
      </c>
      <c r="F1435" s="89"/>
      <c r="G1435" s="317" t="s">
        <v>14243</v>
      </c>
      <c r="H1435" s="73"/>
      <c r="I1435" s="62" t="s">
        <v>14244</v>
      </c>
      <c r="J1435" s="476" t="s">
        <v>14245</v>
      </c>
      <c r="K1435" s="69"/>
      <c r="L1435" s="65" t="s">
        <v>5670</v>
      </c>
      <c r="M1435" s="61" t="s">
        <v>5590</v>
      </c>
      <c r="N1435" s="73"/>
      <c r="O1435" s="61" t="s">
        <v>5591</v>
      </c>
      <c r="P1435" s="67" t="str">
        <f t="shared" si="8"/>
        <v>50.004164, 36.23756</v>
      </c>
      <c r="Q1435" s="67" t="str">
        <f t="shared" si="2"/>
        <v>50.003994, 36.238778</v>
      </c>
      <c r="R1435" s="67">
        <f t="shared" si="3"/>
        <v>50.003994</v>
      </c>
      <c r="S1435" s="67">
        <f t="shared" si="4"/>
        <v>36.238778</v>
      </c>
      <c r="T1435" s="161"/>
      <c r="U1435" s="69"/>
      <c r="V1435" s="65" t="s">
        <v>14246</v>
      </c>
      <c r="W1435" s="161"/>
      <c r="X1435" s="17" t="s">
        <v>9</v>
      </c>
      <c r="Y1435" s="216" t="s">
        <v>5820</v>
      </c>
      <c r="Z1435" s="73"/>
      <c r="AA1435" s="73"/>
      <c r="AB1435" s="73"/>
      <c r="AC1435" s="73"/>
      <c r="AD1435" s="73"/>
      <c r="AE1435" s="73"/>
      <c r="AF1435" s="73"/>
      <c r="AG1435" s="73"/>
      <c r="AH1435" s="73"/>
      <c r="AI1435" s="73"/>
      <c r="AJ1435" s="161"/>
      <c r="AK1435" s="76" t="s">
        <v>2108</v>
      </c>
      <c r="AL1435" s="83" t="s">
        <v>14247</v>
      </c>
      <c r="AM1435" s="71" t="s">
        <v>14248</v>
      </c>
      <c r="AN1435" s="84" t="s">
        <v>14249</v>
      </c>
      <c r="AO1435" s="71" t="s">
        <v>14250</v>
      </c>
      <c r="AP1435" s="161" t="str">
        <f>IMAGE("https://bellingcat-archive.nyc3.cdn.digitaloceanspaces.com/Ukraine_Witness_Datasheet/Worksheet/twitter__media_FNATISwXwAMGLkw.jpg")</f>
        <v/>
      </c>
      <c r="AQ1435" s="161"/>
      <c r="AR1435" s="161"/>
      <c r="AS1435" s="71" t="s">
        <v>14251</v>
      </c>
      <c r="AT1435" s="75"/>
      <c r="AU1435" s="89"/>
      <c r="AV1435" s="162"/>
      <c r="AW1435" s="81"/>
    </row>
    <row r="1436" ht="15.75" customHeight="1">
      <c r="A1436" s="354" t="s">
        <v>9897</v>
      </c>
      <c r="B1436" s="73"/>
      <c r="C1436" s="57" t="s">
        <v>12959</v>
      </c>
      <c r="D1436" s="241" t="s">
        <v>14252</v>
      </c>
      <c r="E1436" s="241" t="s">
        <v>14253</v>
      </c>
      <c r="F1436" s="89"/>
      <c r="G1436" s="317" t="s">
        <v>14254</v>
      </c>
      <c r="H1436" s="73"/>
      <c r="I1436" s="62" t="s">
        <v>14255</v>
      </c>
      <c r="J1436" s="476" t="s">
        <v>14256</v>
      </c>
      <c r="K1436" s="69"/>
      <c r="L1436" s="70"/>
      <c r="M1436" s="73"/>
      <c r="N1436" s="73"/>
      <c r="O1436" s="73"/>
      <c r="P1436" s="67" t="str">
        <f t="shared" si="8"/>
        <v>48.9417383,38.4937351, 38.4937351</v>
      </c>
      <c r="Q1436" s="67" t="str">
        <f t="shared" si="2"/>
        <v>bad coordinate, 38.494172</v>
      </c>
      <c r="R1436" s="67" t="str">
        <f t="shared" si="3"/>
        <v>bad coordinate</v>
      </c>
      <c r="S1436" s="67">
        <f t="shared" si="4"/>
        <v>38.494172</v>
      </c>
      <c r="T1436" s="161"/>
      <c r="U1436" s="69"/>
      <c r="V1436" s="169" t="s">
        <v>14257</v>
      </c>
      <c r="W1436" s="161"/>
      <c r="X1436" s="17" t="s">
        <v>9</v>
      </c>
      <c r="Y1436" s="216" t="s">
        <v>75</v>
      </c>
      <c r="Z1436" s="73"/>
      <c r="AA1436" s="73"/>
      <c r="AB1436" s="73"/>
      <c r="AC1436" s="73"/>
      <c r="AD1436" s="73"/>
      <c r="AE1436" s="73"/>
      <c r="AF1436" s="73"/>
      <c r="AG1436" s="73"/>
      <c r="AH1436" s="73"/>
      <c r="AI1436" s="73"/>
      <c r="AJ1436" s="161"/>
      <c r="AK1436" s="76" t="s">
        <v>1261</v>
      </c>
      <c r="AL1436" s="83" t="s">
        <v>14258</v>
      </c>
      <c r="AM1436" s="71" t="s">
        <v>14259</v>
      </c>
      <c r="AN1436" s="84" t="s">
        <v>14260</v>
      </c>
      <c r="AO1436" s="161"/>
      <c r="AP1436" s="161"/>
      <c r="AQ1436" s="161"/>
      <c r="AR1436" s="71" t="s">
        <v>2228</v>
      </c>
      <c r="AS1436" s="161"/>
      <c r="AT1436" s="75"/>
      <c r="AU1436" s="89"/>
      <c r="AV1436" s="162"/>
      <c r="AW1436" s="81"/>
    </row>
    <row r="1437" ht="15.75" customHeight="1">
      <c r="A1437" s="354" t="s">
        <v>9897</v>
      </c>
      <c r="B1437" s="73"/>
      <c r="C1437" s="57" t="s">
        <v>12959</v>
      </c>
      <c r="D1437" s="241" t="s">
        <v>14252</v>
      </c>
      <c r="E1437" s="241" t="s">
        <v>14253</v>
      </c>
      <c r="F1437" s="89"/>
      <c r="G1437" s="317" t="s">
        <v>14261</v>
      </c>
      <c r="H1437" s="73"/>
      <c r="I1437" s="62" t="s">
        <v>14255</v>
      </c>
      <c r="J1437" s="476" t="s">
        <v>14256</v>
      </c>
      <c r="K1437" s="69"/>
      <c r="L1437" s="70"/>
      <c r="M1437" s="73"/>
      <c r="N1437" s="73"/>
      <c r="O1437" s="73"/>
      <c r="P1437" s="67" t="str">
        <f t="shared" si="8"/>
        <v>48.9417383,38.4937351, 38.4937351</v>
      </c>
      <c r="Q1437" s="67" t="str">
        <f t="shared" si="2"/>
        <v>bad coordinate, 38.494811</v>
      </c>
      <c r="R1437" s="67" t="str">
        <f t="shared" si="3"/>
        <v>bad coordinate</v>
      </c>
      <c r="S1437" s="67">
        <f t="shared" si="4"/>
        <v>38.494811</v>
      </c>
      <c r="T1437" s="161"/>
      <c r="U1437" s="69"/>
      <c r="V1437" s="169" t="s">
        <v>14262</v>
      </c>
      <c r="W1437" s="161"/>
      <c r="X1437" s="17" t="s">
        <v>9</v>
      </c>
      <c r="Y1437" s="216" t="s">
        <v>75</v>
      </c>
      <c r="Z1437" s="73"/>
      <c r="AA1437" s="73"/>
      <c r="AB1437" s="73"/>
      <c r="AC1437" s="73"/>
      <c r="AD1437" s="73"/>
      <c r="AE1437" s="73"/>
      <c r="AF1437" s="73"/>
      <c r="AG1437" s="73"/>
      <c r="AH1437" s="73"/>
      <c r="AI1437" s="73"/>
      <c r="AJ1437" s="161"/>
      <c r="AK1437" s="76" t="s">
        <v>1261</v>
      </c>
      <c r="AL1437" s="83" t="s">
        <v>14263</v>
      </c>
      <c r="AM1437" s="71" t="s">
        <v>14264</v>
      </c>
      <c r="AN1437" s="84" t="s">
        <v>14265</v>
      </c>
      <c r="AO1437" s="161"/>
      <c r="AP1437" s="161"/>
      <c r="AQ1437" s="161"/>
      <c r="AR1437" s="71" t="s">
        <v>2228</v>
      </c>
      <c r="AS1437" s="161"/>
      <c r="AT1437" s="75"/>
      <c r="AU1437" s="89"/>
      <c r="AV1437" s="162"/>
      <c r="AW1437" s="81"/>
    </row>
    <row r="1438" ht="15.75" customHeight="1">
      <c r="A1438" s="373" t="s">
        <v>6924</v>
      </c>
      <c r="B1438" s="73"/>
      <c r="C1438" s="57" t="s">
        <v>12959</v>
      </c>
      <c r="D1438" s="260"/>
      <c r="E1438" s="260"/>
      <c r="F1438" s="89"/>
      <c r="G1438" s="317" t="s">
        <v>14266</v>
      </c>
      <c r="H1438" s="73"/>
      <c r="I1438" s="62" t="s">
        <v>14267</v>
      </c>
      <c r="J1438" s="476" t="s">
        <v>14268</v>
      </c>
      <c r="K1438" s="69"/>
      <c r="L1438" s="70"/>
      <c r="M1438" s="73"/>
      <c r="N1438" s="73"/>
      <c r="O1438" s="73"/>
      <c r="P1438" s="67" t="str">
        <f t="shared" si="8"/>
        <v/>
      </c>
      <c r="Q1438" s="67" t="str">
        <f t="shared" si="2"/>
        <v/>
      </c>
      <c r="R1438" s="67" t="str">
        <f t="shared" si="3"/>
        <v/>
      </c>
      <c r="S1438" s="67" t="str">
        <f t="shared" si="4"/>
        <v/>
      </c>
      <c r="T1438" s="161"/>
      <c r="U1438" s="69"/>
      <c r="V1438" s="169" t="s">
        <v>14269</v>
      </c>
      <c r="W1438" s="161"/>
      <c r="X1438" s="194"/>
      <c r="Y1438" s="216" t="s">
        <v>5820</v>
      </c>
      <c r="Z1438" s="73"/>
      <c r="AA1438" s="73"/>
      <c r="AB1438" s="73"/>
      <c r="AC1438" s="73"/>
      <c r="AD1438" s="73"/>
      <c r="AE1438" s="73"/>
      <c r="AF1438" s="73"/>
      <c r="AG1438" s="73"/>
      <c r="AH1438" s="73"/>
      <c r="AI1438" s="73"/>
      <c r="AJ1438" s="161"/>
      <c r="AK1438" s="76" t="s">
        <v>1261</v>
      </c>
      <c r="AL1438" s="83" t="s">
        <v>14270</v>
      </c>
      <c r="AM1438" s="71" t="s">
        <v>14271</v>
      </c>
      <c r="AN1438" s="84" t="s">
        <v>14272</v>
      </c>
      <c r="AO1438" s="161"/>
      <c r="AP1438" s="161"/>
      <c r="AQ1438" s="161"/>
      <c r="AR1438" s="71" t="s">
        <v>2228</v>
      </c>
      <c r="AS1438" s="161"/>
      <c r="AT1438" s="75"/>
      <c r="AU1438" s="89"/>
      <c r="AV1438" s="162"/>
      <c r="AW1438" s="81"/>
    </row>
    <row r="1439" ht="15.75" customHeight="1">
      <c r="A1439" s="373" t="s">
        <v>6924</v>
      </c>
      <c r="B1439" s="73"/>
      <c r="C1439" s="57" t="s">
        <v>12959</v>
      </c>
      <c r="D1439" s="241" t="s">
        <v>14273</v>
      </c>
      <c r="E1439" s="241" t="s">
        <v>14274</v>
      </c>
      <c r="F1439" s="89"/>
      <c r="G1439" s="317" t="s">
        <v>14275</v>
      </c>
      <c r="H1439" s="73"/>
      <c r="I1439" s="62" t="s">
        <v>14276</v>
      </c>
      <c r="J1439" s="476" t="s">
        <v>14277</v>
      </c>
      <c r="K1439" s="69"/>
      <c r="L1439" s="70"/>
      <c r="M1439" s="73"/>
      <c r="N1439" s="73"/>
      <c r="O1439" s="73"/>
      <c r="P1439" s="67" t="str">
        <f t="shared" si="8"/>
        <v>50.02395643, 36.36090475</v>
      </c>
      <c r="Q1439" s="67" t="str">
        <f t="shared" si="2"/>
        <v>50.023534, 36.361867</v>
      </c>
      <c r="R1439" s="67">
        <f t="shared" si="3"/>
        <v>50.023534</v>
      </c>
      <c r="S1439" s="67">
        <f t="shared" si="4"/>
        <v>36.361867</v>
      </c>
      <c r="T1439" s="161"/>
      <c r="U1439" s="69"/>
      <c r="V1439" s="65" t="s">
        <v>14278</v>
      </c>
      <c r="W1439" s="161"/>
      <c r="X1439" s="194"/>
      <c r="Y1439" s="216" t="s">
        <v>5820</v>
      </c>
      <c r="Z1439" s="73"/>
      <c r="AA1439" s="73"/>
      <c r="AB1439" s="73"/>
      <c r="AC1439" s="73"/>
      <c r="AD1439" s="73"/>
      <c r="AE1439" s="73"/>
      <c r="AF1439" s="73"/>
      <c r="AG1439" s="73"/>
      <c r="AH1439" s="73"/>
      <c r="AI1439" s="73"/>
      <c r="AJ1439" s="161"/>
      <c r="AK1439" s="76" t="s">
        <v>798</v>
      </c>
      <c r="AL1439" s="83" t="s">
        <v>14279</v>
      </c>
      <c r="AM1439" s="71" t="s">
        <v>14280</v>
      </c>
      <c r="AN1439" s="84" t="s">
        <v>14281</v>
      </c>
      <c r="AO1439" s="71" t="s">
        <v>14282</v>
      </c>
      <c r="AP1439" s="161" t="str">
        <f>IMAGE("https://bellingcat-archive.nyc3.cdn.digitaloceanspaces.com/Ukraine_Witness_Datasheet/Worksheet/youtube_dl_1499655936918671360/out20.jpg")</f>
        <v/>
      </c>
      <c r="AQ1439" s="84" t="s">
        <v>14283</v>
      </c>
      <c r="AR1439" s="71" t="s">
        <v>14284</v>
      </c>
      <c r="AS1439" s="71" t="s">
        <v>14285</v>
      </c>
      <c r="AT1439" s="62">
        <v>66.133</v>
      </c>
      <c r="AU1439" s="89"/>
      <c r="AV1439" s="162"/>
      <c r="AW1439" s="81"/>
    </row>
    <row r="1440" ht="15.75" customHeight="1">
      <c r="A1440" s="373" t="s">
        <v>6924</v>
      </c>
      <c r="B1440" s="73"/>
      <c r="C1440" s="57" t="s">
        <v>12959</v>
      </c>
      <c r="D1440" s="241" t="s">
        <v>14273</v>
      </c>
      <c r="E1440" s="241" t="s">
        <v>14274</v>
      </c>
      <c r="F1440" s="89"/>
      <c r="G1440" s="322" t="s">
        <v>14286</v>
      </c>
      <c r="H1440" s="73"/>
      <c r="I1440" s="62" t="s">
        <v>14276</v>
      </c>
      <c r="J1440" s="476" t="s">
        <v>14277</v>
      </c>
      <c r="K1440" s="69"/>
      <c r="L1440" s="70"/>
      <c r="M1440" s="73"/>
      <c r="N1440" s="73"/>
      <c r="O1440" s="73"/>
      <c r="P1440" s="67" t="str">
        <f t="shared" si="8"/>
        <v>50.02395643, 36.36090475</v>
      </c>
      <c r="Q1440" s="67" t="str">
        <f t="shared" si="2"/>
        <v>50.023403, 36.360296</v>
      </c>
      <c r="R1440" s="67">
        <f t="shared" si="3"/>
        <v>50.023403</v>
      </c>
      <c r="S1440" s="67">
        <f t="shared" si="4"/>
        <v>36.360296</v>
      </c>
      <c r="T1440" s="161"/>
      <c r="U1440" s="69"/>
      <c r="V1440" s="65" t="s">
        <v>14287</v>
      </c>
      <c r="W1440" s="161"/>
      <c r="X1440" s="194"/>
      <c r="Y1440" s="216" t="s">
        <v>5820</v>
      </c>
      <c r="Z1440" s="73"/>
      <c r="AA1440" s="73"/>
      <c r="AB1440" s="73"/>
      <c r="AC1440" s="73"/>
      <c r="AD1440" s="73"/>
      <c r="AE1440" s="73"/>
      <c r="AF1440" s="73"/>
      <c r="AG1440" s="73"/>
      <c r="AH1440" s="73"/>
      <c r="AI1440" s="73"/>
      <c r="AJ1440" s="161"/>
      <c r="AK1440" s="76" t="s">
        <v>2108</v>
      </c>
      <c r="AL1440" s="83" t="s">
        <v>14288</v>
      </c>
      <c r="AM1440" s="71" t="s">
        <v>14289</v>
      </c>
      <c r="AN1440" s="84" t="s">
        <v>14290</v>
      </c>
      <c r="AO1440" s="71" t="s">
        <v>14291</v>
      </c>
      <c r="AP1440" s="161" t="str">
        <f>IMAGE("https://bellingcat-archive.nyc3.cdn.digitaloceanspaces.com/Ukraine_Witness_Datasheet/Worksheet/twitter__media_FM_YyW1XoAIXsfh.jpg")</f>
        <v/>
      </c>
      <c r="AQ1440" s="161"/>
      <c r="AR1440" s="161"/>
      <c r="AS1440" s="71" t="s">
        <v>14292</v>
      </c>
      <c r="AT1440" s="75"/>
      <c r="AU1440" s="89"/>
      <c r="AV1440" s="162"/>
      <c r="AW1440" s="81"/>
    </row>
    <row r="1441" ht="15.75" customHeight="1">
      <c r="A1441" s="373" t="s">
        <v>6924</v>
      </c>
      <c r="B1441" s="73"/>
      <c r="C1441" s="57" t="s">
        <v>12959</v>
      </c>
      <c r="D1441" s="260"/>
      <c r="E1441" s="260"/>
      <c r="F1441" s="89"/>
      <c r="G1441" s="317" t="s">
        <v>14293</v>
      </c>
      <c r="H1441" s="73"/>
      <c r="I1441" s="62" t="s">
        <v>14294</v>
      </c>
      <c r="J1441" s="476" t="s">
        <v>14295</v>
      </c>
      <c r="K1441" s="69"/>
      <c r="L1441" s="70"/>
      <c r="M1441" s="73"/>
      <c r="N1441" s="73"/>
      <c r="O1441" s="73"/>
      <c r="P1441" s="67" t="str">
        <f t="shared" si="8"/>
        <v/>
      </c>
      <c r="Q1441" s="67" t="str">
        <f t="shared" si="2"/>
        <v/>
      </c>
      <c r="R1441" s="67" t="str">
        <f t="shared" si="3"/>
        <v/>
      </c>
      <c r="S1441" s="67" t="str">
        <f t="shared" si="4"/>
        <v/>
      </c>
      <c r="T1441" s="161"/>
      <c r="U1441" s="69"/>
      <c r="V1441" s="169" t="s">
        <v>14296</v>
      </c>
      <c r="W1441" s="161"/>
      <c r="X1441" s="194"/>
      <c r="Y1441" s="216" t="s">
        <v>5820</v>
      </c>
      <c r="Z1441" s="73"/>
      <c r="AA1441" s="73"/>
      <c r="AB1441" s="73"/>
      <c r="AC1441" s="73"/>
      <c r="AD1441" s="73"/>
      <c r="AE1441" s="73"/>
      <c r="AF1441" s="73"/>
      <c r="AG1441" s="73"/>
      <c r="AH1441" s="73"/>
      <c r="AI1441" s="73"/>
      <c r="AJ1441" s="161"/>
      <c r="AK1441" s="76" t="s">
        <v>2108</v>
      </c>
      <c r="AL1441" s="83" t="s">
        <v>14297</v>
      </c>
      <c r="AM1441" s="71" t="s">
        <v>14298</v>
      </c>
      <c r="AN1441" s="84" t="s">
        <v>14299</v>
      </c>
      <c r="AO1441" s="71" t="s">
        <v>14300</v>
      </c>
      <c r="AP1441" s="161" t="str">
        <f>IMAGE("https://bellingcat-archive.nyc3.cdn.digitaloceanspaces.com/Ukraine_Witness_Datasheet/Worksheet/twitter__media_FM_Y4JwXsAErnc0.jpg")</f>
        <v/>
      </c>
      <c r="AQ1441" s="161"/>
      <c r="AR1441" s="161"/>
      <c r="AS1441" s="71" t="s">
        <v>14301</v>
      </c>
      <c r="AT1441" s="75"/>
      <c r="AU1441" s="89"/>
      <c r="AV1441" s="162"/>
      <c r="AW1441" s="81"/>
    </row>
    <row r="1442" ht="15.75" customHeight="1">
      <c r="A1442" s="354" t="s">
        <v>9566</v>
      </c>
      <c r="B1442" s="73"/>
      <c r="C1442" s="57" t="s">
        <v>12959</v>
      </c>
      <c r="D1442" s="241" t="s">
        <v>14302</v>
      </c>
      <c r="E1442" s="241" t="s">
        <v>14303</v>
      </c>
      <c r="F1442" s="89"/>
      <c r="G1442" s="317" t="s">
        <v>14304</v>
      </c>
      <c r="H1442" s="73"/>
      <c r="I1442" s="62" t="s">
        <v>14305</v>
      </c>
      <c r="J1442" s="476" t="s">
        <v>14306</v>
      </c>
      <c r="K1442" s="69"/>
      <c r="L1442" s="65" t="s">
        <v>5670</v>
      </c>
      <c r="M1442" s="61" t="s">
        <v>5590</v>
      </c>
      <c r="N1442" s="73"/>
      <c r="O1442" s="61" t="s">
        <v>5591</v>
      </c>
      <c r="P1442" s="67" t="str">
        <f t="shared" si="8"/>
        <v>50.02848, 36.34526</v>
      </c>
      <c r="Q1442" s="67" t="str">
        <f t="shared" si="2"/>
        <v>50.028383, 36.345958</v>
      </c>
      <c r="R1442" s="67">
        <f t="shared" si="3"/>
        <v>50.028383</v>
      </c>
      <c r="S1442" s="67">
        <f t="shared" si="4"/>
        <v>36.345958</v>
      </c>
      <c r="T1442" s="161"/>
      <c r="U1442" s="69"/>
      <c r="V1442" s="65" t="s">
        <v>14307</v>
      </c>
      <c r="W1442" s="161"/>
      <c r="X1442" s="17" t="s">
        <v>9</v>
      </c>
      <c r="Y1442" s="216" t="s">
        <v>5820</v>
      </c>
      <c r="Z1442" s="73"/>
      <c r="AA1442" s="73"/>
      <c r="AB1442" s="73"/>
      <c r="AC1442" s="73"/>
      <c r="AD1442" s="73"/>
      <c r="AE1442" s="73"/>
      <c r="AF1442" s="73"/>
      <c r="AG1442" s="73"/>
      <c r="AH1442" s="73"/>
      <c r="AI1442" s="73"/>
      <c r="AJ1442" s="161"/>
      <c r="AK1442" s="76" t="s">
        <v>2108</v>
      </c>
      <c r="AL1442" s="83" t="s">
        <v>14308</v>
      </c>
      <c r="AM1442" s="71" t="s">
        <v>14309</v>
      </c>
      <c r="AN1442" s="84" t="s">
        <v>14310</v>
      </c>
      <c r="AO1442" s="71" t="s">
        <v>14311</v>
      </c>
      <c r="AP1442" s="161" t="str">
        <f>IMAGE("https://bellingcat-archive.nyc3.cdn.digitaloceanspaces.com/Ukraine_Witness_Datasheet/Worksheet/twitter__media_FM_9vUNWQAMJ90A.jpg")</f>
        <v/>
      </c>
      <c r="AQ1442" s="161"/>
      <c r="AR1442" s="161"/>
      <c r="AS1442" s="71" t="s">
        <v>14312</v>
      </c>
      <c r="AT1442" s="75"/>
      <c r="AU1442" s="89"/>
      <c r="AV1442" s="162"/>
      <c r="AW1442" s="81"/>
    </row>
    <row r="1443" ht="15.75" customHeight="1">
      <c r="A1443" s="354" t="s">
        <v>9566</v>
      </c>
      <c r="B1443" s="73"/>
      <c r="C1443" s="57" t="s">
        <v>12959</v>
      </c>
      <c r="D1443" s="241" t="s">
        <v>14313</v>
      </c>
      <c r="E1443" s="241" t="s">
        <v>14314</v>
      </c>
      <c r="F1443" s="89"/>
      <c r="G1443" s="317" t="s">
        <v>14315</v>
      </c>
      <c r="H1443" s="73"/>
      <c r="I1443" s="62" t="s">
        <v>14316</v>
      </c>
      <c r="J1443" s="476" t="s">
        <v>14317</v>
      </c>
      <c r="K1443" s="69"/>
      <c r="L1443" s="70"/>
      <c r="M1443" s="73"/>
      <c r="N1443" s="73"/>
      <c r="O1443" s="73"/>
      <c r="P1443" s="67" t="str">
        <f t="shared" si="8"/>
        <v>50.574463, 30.264053</v>
      </c>
      <c r="Q1443" s="67" t="str">
        <f t="shared" si="2"/>
        <v>50.574067, 30.264673</v>
      </c>
      <c r="R1443" s="67">
        <f t="shared" si="3"/>
        <v>50.574067</v>
      </c>
      <c r="S1443" s="67">
        <f t="shared" si="4"/>
        <v>30.264673</v>
      </c>
      <c r="T1443" s="161"/>
      <c r="U1443" s="69"/>
      <c r="V1443" s="65" t="s">
        <v>14318</v>
      </c>
      <c r="W1443" s="161"/>
      <c r="X1443" s="17" t="s">
        <v>9</v>
      </c>
      <c r="Y1443" s="216" t="s">
        <v>75</v>
      </c>
      <c r="Z1443" s="73"/>
      <c r="AA1443" s="73"/>
      <c r="AB1443" s="73"/>
      <c r="AC1443" s="73"/>
      <c r="AD1443" s="73"/>
      <c r="AE1443" s="73"/>
      <c r="AF1443" s="73"/>
      <c r="AG1443" s="73"/>
      <c r="AH1443" s="73"/>
      <c r="AI1443" s="73"/>
      <c r="AJ1443" s="161"/>
      <c r="AK1443" s="76" t="s">
        <v>930</v>
      </c>
      <c r="AL1443" s="83" t="s">
        <v>13438</v>
      </c>
      <c r="AM1443" s="71" t="s">
        <v>14319</v>
      </c>
      <c r="AN1443" s="84" t="s">
        <v>14320</v>
      </c>
      <c r="AO1443" s="71" t="s">
        <v>13441</v>
      </c>
      <c r="AP1443" s="161" t="str">
        <f>IMAGE("https://bellingcat-archive.nyc3.cdn.digitaloceanspaces.com/Ukraine_Witness_Datasheet/Worksheet/youtube_dl_1499745823835529228/out7.jpg")</f>
        <v/>
      </c>
      <c r="AQ1443" s="84" t="s">
        <v>13442</v>
      </c>
      <c r="AR1443" s="71" t="s">
        <v>13443</v>
      </c>
      <c r="AS1443" s="71" t="s">
        <v>13444</v>
      </c>
      <c r="AT1443" s="62">
        <v>32.066</v>
      </c>
      <c r="AU1443" s="89"/>
      <c r="AV1443" s="162"/>
      <c r="AW1443" s="81"/>
    </row>
    <row r="1444" ht="15.75" customHeight="1">
      <c r="A1444" s="354" t="s">
        <v>9566</v>
      </c>
      <c r="B1444" s="73"/>
      <c r="C1444" s="57" t="s">
        <v>12959</v>
      </c>
      <c r="D1444" s="241" t="s">
        <v>14313</v>
      </c>
      <c r="E1444" s="241" t="s">
        <v>14314</v>
      </c>
      <c r="F1444" s="89"/>
      <c r="G1444" s="317" t="s">
        <v>14321</v>
      </c>
      <c r="H1444" s="73"/>
      <c r="I1444" s="62" t="s">
        <v>14316</v>
      </c>
      <c r="J1444" s="476" t="s">
        <v>14317</v>
      </c>
      <c r="K1444" s="69"/>
      <c r="L1444" s="70"/>
      <c r="M1444" s="73"/>
      <c r="N1444" s="73"/>
      <c r="O1444" s="73"/>
      <c r="P1444" s="67" t="str">
        <f t="shared" si="8"/>
        <v>50.574463, 30.264053</v>
      </c>
      <c r="Q1444" s="67" t="str">
        <f t="shared" si="2"/>
        <v>50.57405, 30.263766</v>
      </c>
      <c r="R1444" s="67">
        <f t="shared" si="3"/>
        <v>50.57405</v>
      </c>
      <c r="S1444" s="67">
        <f t="shared" si="4"/>
        <v>30.263766</v>
      </c>
      <c r="T1444" s="161"/>
      <c r="U1444" s="69"/>
      <c r="V1444" s="169" t="s">
        <v>14322</v>
      </c>
      <c r="W1444" s="161"/>
      <c r="X1444" s="17" t="s">
        <v>9</v>
      </c>
      <c r="Y1444" s="216" t="s">
        <v>75</v>
      </c>
      <c r="Z1444" s="73"/>
      <c r="AA1444" s="73"/>
      <c r="AB1444" s="73"/>
      <c r="AC1444" s="73"/>
      <c r="AD1444" s="73"/>
      <c r="AE1444" s="73"/>
      <c r="AF1444" s="73"/>
      <c r="AG1444" s="73"/>
      <c r="AH1444" s="73"/>
      <c r="AI1444" s="73"/>
      <c r="AJ1444" s="161"/>
      <c r="AK1444" s="76" t="s">
        <v>798</v>
      </c>
      <c r="AL1444" s="83" t="s">
        <v>14323</v>
      </c>
      <c r="AM1444" s="71" t="s">
        <v>14324</v>
      </c>
      <c r="AN1444" s="84" t="s">
        <v>14325</v>
      </c>
      <c r="AO1444" s="71" t="s">
        <v>14326</v>
      </c>
      <c r="AP1444" s="161" t="str">
        <f>IMAGE("https://bellingcat-archive.nyc3.cdn.digitaloceanspaces.com/Ukraine_Witness_Datasheet/Worksheet/youtube_dl_1499747981628739589/out7.jpg")</f>
        <v/>
      </c>
      <c r="AQ1444" s="84" t="s">
        <v>14327</v>
      </c>
      <c r="AR1444" s="71" t="s">
        <v>14328</v>
      </c>
      <c r="AS1444" s="71" t="s">
        <v>14329</v>
      </c>
      <c r="AT1444" s="62">
        <v>32.266</v>
      </c>
      <c r="AU1444" s="89"/>
      <c r="AV1444" s="162"/>
      <c r="AW1444" s="81"/>
    </row>
    <row r="1445" ht="15.75" customHeight="1">
      <c r="A1445" s="354" t="s">
        <v>9897</v>
      </c>
      <c r="B1445" s="73"/>
      <c r="C1445" s="57" t="s">
        <v>13542</v>
      </c>
      <c r="D1445" s="241" t="s">
        <v>14330</v>
      </c>
      <c r="E1445" s="241" t="s">
        <v>14331</v>
      </c>
      <c r="F1445" s="89"/>
      <c r="G1445" s="317" t="s">
        <v>14332</v>
      </c>
      <c r="H1445" s="73"/>
      <c r="I1445" s="62" t="s">
        <v>14333</v>
      </c>
      <c r="J1445" s="476" t="s">
        <v>14334</v>
      </c>
      <c r="K1445" s="69"/>
      <c r="L1445" s="70"/>
      <c r="M1445" s="73"/>
      <c r="N1445" s="73"/>
      <c r="O1445" s="73"/>
      <c r="P1445" s="67" t="str">
        <f t="shared" si="8"/>
        <v>49.8052554, 30.0973527,</v>
      </c>
      <c r="Q1445" s="67" t="str">
        <f t="shared" si="2"/>
        <v>49.805065, bad coordinate</v>
      </c>
      <c r="R1445" s="67">
        <f t="shared" si="3"/>
        <v>49.805065</v>
      </c>
      <c r="S1445" s="67" t="str">
        <f t="shared" si="4"/>
        <v>bad coordinate</v>
      </c>
      <c r="T1445" s="161"/>
      <c r="U1445" s="69"/>
      <c r="V1445" s="169" t="s">
        <v>14335</v>
      </c>
      <c r="W1445" s="161"/>
      <c r="X1445" s="17" t="s">
        <v>9</v>
      </c>
      <c r="Y1445" s="216" t="s">
        <v>5820</v>
      </c>
      <c r="Z1445" s="73"/>
      <c r="AA1445" s="73"/>
      <c r="AB1445" s="73"/>
      <c r="AC1445" s="73"/>
      <c r="AD1445" s="73"/>
      <c r="AE1445" s="73"/>
      <c r="AF1445" s="73"/>
      <c r="AG1445" s="73"/>
      <c r="AH1445" s="73"/>
      <c r="AI1445" s="73"/>
      <c r="AJ1445" s="161"/>
      <c r="AK1445" s="76" t="s">
        <v>2108</v>
      </c>
      <c r="AL1445" s="83" t="s">
        <v>14336</v>
      </c>
      <c r="AM1445" s="71" t="s">
        <v>14337</v>
      </c>
      <c r="AN1445" s="84" t="s">
        <v>14338</v>
      </c>
      <c r="AO1445" s="71" t="s">
        <v>14339</v>
      </c>
      <c r="AP1445" s="161" t="str">
        <f>IMAGE("https://bellingcat-archive.nyc3.cdn.digitaloceanspaces.com/Ukraine_Witness_Datasheet/Worksheet/twitter__media_FNEslEnX0AEQmtQ.jpg")</f>
        <v/>
      </c>
      <c r="AQ1445" s="161"/>
      <c r="AR1445" s="161"/>
      <c r="AS1445" s="71" t="s">
        <v>14340</v>
      </c>
      <c r="AT1445" s="75"/>
      <c r="AU1445" s="89"/>
      <c r="AV1445" s="162"/>
      <c r="AW1445" s="81"/>
    </row>
    <row r="1446" ht="15.75" customHeight="1">
      <c r="A1446" s="357" t="s">
        <v>63</v>
      </c>
      <c r="B1446" s="73"/>
      <c r="C1446" s="57" t="s">
        <v>12959</v>
      </c>
      <c r="D1446" s="74">
        <v>56.375244</v>
      </c>
      <c r="E1446" s="74">
        <v>41.224348</v>
      </c>
      <c r="F1446" s="79">
        <v>1.0</v>
      </c>
      <c r="G1446" s="317" t="s">
        <v>14341</v>
      </c>
      <c r="H1446" s="61" t="s">
        <v>5522</v>
      </c>
      <c r="I1446" s="75"/>
      <c r="J1446" s="71" t="s">
        <v>14342</v>
      </c>
      <c r="K1446" s="88" t="s">
        <v>14343</v>
      </c>
      <c r="L1446" s="169" t="s">
        <v>79</v>
      </c>
      <c r="M1446" s="92" t="s">
        <v>1464</v>
      </c>
      <c r="N1446" s="314"/>
      <c r="O1446" s="92" t="s">
        <v>14344</v>
      </c>
      <c r="P1446" s="140" t="str">
        <f t="shared" si="8"/>
        <v>56.375244, 41.224348</v>
      </c>
      <c r="Q1446" s="67" t="str">
        <f t="shared" si="2"/>
        <v>56.37486, 41.223791</v>
      </c>
      <c r="R1446" s="67">
        <f t="shared" si="3"/>
        <v>56.37486</v>
      </c>
      <c r="S1446" s="67">
        <f t="shared" si="4"/>
        <v>41.223791</v>
      </c>
      <c r="T1446" s="161"/>
      <c r="U1446" s="69"/>
      <c r="V1446" s="65" t="s">
        <v>14345</v>
      </c>
      <c r="W1446" s="71" t="s">
        <v>5858</v>
      </c>
      <c r="X1446" s="72" t="s">
        <v>2982</v>
      </c>
      <c r="Y1446" s="61" t="s">
        <v>11347</v>
      </c>
      <c r="Z1446" s="73"/>
      <c r="AA1446" s="73"/>
      <c r="AB1446" s="73"/>
      <c r="AC1446" s="73"/>
      <c r="AD1446" s="73"/>
      <c r="AE1446" s="73"/>
      <c r="AF1446" s="73"/>
      <c r="AG1446" s="73"/>
      <c r="AH1446" s="73"/>
      <c r="AI1446" s="73"/>
      <c r="AJ1446" s="161"/>
      <c r="AK1446" s="76" t="s">
        <v>798</v>
      </c>
      <c r="AL1446" s="83" t="s">
        <v>14346</v>
      </c>
      <c r="AM1446" s="71" t="s">
        <v>14347</v>
      </c>
      <c r="AN1446" s="84" t="s">
        <v>14348</v>
      </c>
      <c r="AO1446" s="71" t="s">
        <v>14349</v>
      </c>
      <c r="AP1446" s="161" t="str">
        <f>IMAGE("https://bellingcat-archive.nyc3.cdn.digitaloceanspaces.com/Ukraine_Witness_Datasheet/Worksheet/youtube_dl_1499983198868193281/out7.jpg")</f>
        <v/>
      </c>
      <c r="AQ1446" s="84" t="s">
        <v>14350</v>
      </c>
      <c r="AR1446" s="71" t="s">
        <v>14351</v>
      </c>
      <c r="AS1446" s="71" t="s">
        <v>14352</v>
      </c>
      <c r="AT1446" s="62">
        <v>7.8</v>
      </c>
      <c r="AU1446" s="79" t="s">
        <v>362</v>
      </c>
      <c r="AV1446" s="80" t="s">
        <v>63</v>
      </c>
      <c r="AW1446" s="81"/>
    </row>
    <row r="1447" ht="15.75" customHeight="1">
      <c r="A1447" s="357" t="s">
        <v>63</v>
      </c>
      <c r="B1447" s="73"/>
      <c r="C1447" s="57" t="s">
        <v>12959</v>
      </c>
      <c r="D1447" s="74">
        <v>45.726155</v>
      </c>
      <c r="E1447" s="74">
        <v>34.424309</v>
      </c>
      <c r="F1447" s="79">
        <v>1.0</v>
      </c>
      <c r="G1447" s="317" t="s">
        <v>14353</v>
      </c>
      <c r="H1447" s="61" t="s">
        <v>5522</v>
      </c>
      <c r="I1447" s="75"/>
      <c r="J1447" s="71" t="s">
        <v>14354</v>
      </c>
      <c r="K1447" s="88" t="s">
        <v>14355</v>
      </c>
      <c r="L1447" s="500"/>
      <c r="M1447" s="93" t="s">
        <v>407</v>
      </c>
      <c r="N1447" s="314"/>
      <c r="O1447" s="92" t="s">
        <v>14356</v>
      </c>
      <c r="P1447" s="140" t="str">
        <f t="shared" si="8"/>
        <v>45.726155, 34.424309</v>
      </c>
      <c r="Q1447" s="67" t="str">
        <f t="shared" si="2"/>
        <v>45.725873, 34.423768</v>
      </c>
      <c r="R1447" s="67">
        <f t="shared" si="3"/>
        <v>45.725873</v>
      </c>
      <c r="S1447" s="67">
        <f t="shared" si="4"/>
        <v>34.423768</v>
      </c>
      <c r="T1447" s="161"/>
      <c r="U1447" s="69"/>
      <c r="V1447" s="65" t="s">
        <v>14357</v>
      </c>
      <c r="W1447" s="71" t="s">
        <v>5858</v>
      </c>
      <c r="X1447" s="72" t="s">
        <v>2982</v>
      </c>
      <c r="Y1447" s="61" t="s">
        <v>11347</v>
      </c>
      <c r="Z1447" s="73"/>
      <c r="AA1447" s="73"/>
      <c r="AB1447" s="73"/>
      <c r="AC1447" s="73"/>
      <c r="AD1447" s="73"/>
      <c r="AE1447" s="73"/>
      <c r="AF1447" s="73"/>
      <c r="AG1447" s="73"/>
      <c r="AH1447" s="73"/>
      <c r="AI1447" s="73"/>
      <c r="AJ1447" s="161"/>
      <c r="AK1447" s="76" t="s">
        <v>798</v>
      </c>
      <c r="AL1447" s="83" t="s">
        <v>14358</v>
      </c>
      <c r="AM1447" s="71" t="s">
        <v>14359</v>
      </c>
      <c r="AN1447" s="84" t="s">
        <v>14360</v>
      </c>
      <c r="AO1447" s="71" t="s">
        <v>14361</v>
      </c>
      <c r="AP1447" s="161" t="str">
        <f>IMAGE("https://bellingcat-archive.nyc3.cdn.digitaloceanspaces.com/Ukraine_Witness_Datasheet/Worksheet/youtube_dl_1499873313694302211/out7.jpg")</f>
        <v/>
      </c>
      <c r="AQ1447" s="84" t="s">
        <v>14362</v>
      </c>
      <c r="AR1447" s="71" t="s">
        <v>14363</v>
      </c>
      <c r="AS1447" s="71" t="s">
        <v>14364</v>
      </c>
      <c r="AT1447" s="62">
        <v>18.7</v>
      </c>
      <c r="AU1447" s="79" t="s">
        <v>362</v>
      </c>
      <c r="AV1447" s="80" t="s">
        <v>63</v>
      </c>
      <c r="AW1447" s="81"/>
    </row>
    <row r="1448" ht="15.75" customHeight="1">
      <c r="A1448" s="204" t="s">
        <v>63</v>
      </c>
      <c r="B1448" s="73"/>
      <c r="C1448" s="57" t="s">
        <v>7672</v>
      </c>
      <c r="D1448" s="74">
        <v>50.544197</v>
      </c>
      <c r="E1448" s="74">
        <v>30.226506</v>
      </c>
      <c r="F1448" s="79">
        <v>2.0</v>
      </c>
      <c r="G1448" s="317" t="s">
        <v>14365</v>
      </c>
      <c r="H1448" s="61" t="s">
        <v>5522</v>
      </c>
      <c r="I1448" s="75"/>
      <c r="J1448" s="71" t="s">
        <v>13046</v>
      </c>
      <c r="K1448" s="69"/>
      <c r="L1448" s="65" t="s">
        <v>3542</v>
      </c>
      <c r="M1448" s="61" t="s">
        <v>5827</v>
      </c>
      <c r="N1448" s="73"/>
      <c r="O1448" s="92" t="s">
        <v>5868</v>
      </c>
      <c r="P1448" s="67" t="str">
        <f t="shared" si="8"/>
        <v>50.544197, 30.226506</v>
      </c>
      <c r="Q1448" s="67" t="str">
        <f t="shared" si="2"/>
        <v>50.543708, 30.225919</v>
      </c>
      <c r="R1448" s="67">
        <f t="shared" si="3"/>
        <v>50.543708</v>
      </c>
      <c r="S1448" s="67">
        <f t="shared" si="4"/>
        <v>30.225919</v>
      </c>
      <c r="T1448" s="71" t="s">
        <v>14366</v>
      </c>
      <c r="U1448" s="69"/>
      <c r="V1448" s="65" t="s">
        <v>14367</v>
      </c>
      <c r="W1448" s="71" t="s">
        <v>5739</v>
      </c>
      <c r="X1448" s="72" t="s">
        <v>2982</v>
      </c>
      <c r="Y1448" s="61" t="s">
        <v>11347</v>
      </c>
      <c r="Z1448" s="73"/>
      <c r="AA1448" s="73"/>
      <c r="AB1448" s="73"/>
      <c r="AC1448" s="73"/>
      <c r="AD1448" s="73"/>
      <c r="AE1448" s="73"/>
      <c r="AF1448" s="73"/>
      <c r="AG1448" s="73"/>
      <c r="AH1448" s="73"/>
      <c r="AI1448" s="73"/>
      <c r="AJ1448" s="161"/>
      <c r="AK1448" s="76" t="s">
        <v>798</v>
      </c>
      <c r="AL1448" s="83" t="s">
        <v>14368</v>
      </c>
      <c r="AM1448" s="71" t="s">
        <v>14369</v>
      </c>
      <c r="AN1448" s="84" t="s">
        <v>14370</v>
      </c>
      <c r="AO1448" s="71" t="s">
        <v>14371</v>
      </c>
      <c r="AP1448" s="161" t="str">
        <f>IMAGE("https://bellingcat-archive.nyc3.cdn.digitaloceanspaces.com/Ukraine_Witness_Datasheet/Worksheet/youtube_dl_1499730159712223233/out20.jpg")</f>
        <v/>
      </c>
      <c r="AQ1448" s="84" t="s">
        <v>14372</v>
      </c>
      <c r="AR1448" s="71" t="s">
        <v>14373</v>
      </c>
      <c r="AS1448" s="71" t="s">
        <v>14374</v>
      </c>
      <c r="AT1448" s="62">
        <v>91.904</v>
      </c>
      <c r="AU1448" s="79" t="s">
        <v>63</v>
      </c>
      <c r="AV1448" s="80" t="s">
        <v>3944</v>
      </c>
      <c r="AW1448" s="81"/>
    </row>
    <row r="1449" ht="15.75" customHeight="1">
      <c r="A1449" s="357" t="s">
        <v>63</v>
      </c>
      <c r="B1449" s="73"/>
      <c r="C1449" s="57" t="s">
        <v>12959</v>
      </c>
      <c r="D1449" s="74">
        <v>46.626534</v>
      </c>
      <c r="E1449" s="74">
        <v>32.761421</v>
      </c>
      <c r="F1449" s="79">
        <v>1.0</v>
      </c>
      <c r="G1449" s="317" t="s">
        <v>14375</v>
      </c>
      <c r="H1449" s="61" t="s">
        <v>5522</v>
      </c>
      <c r="I1449" s="75"/>
      <c r="J1449" s="71" t="s">
        <v>14376</v>
      </c>
      <c r="K1449" s="88" t="s">
        <v>14377</v>
      </c>
      <c r="L1449" s="65" t="s">
        <v>3542</v>
      </c>
      <c r="M1449" s="61" t="s">
        <v>5702</v>
      </c>
      <c r="N1449" s="73"/>
      <c r="O1449" s="92" t="s">
        <v>14378</v>
      </c>
      <c r="P1449" s="67" t="str">
        <f t="shared" si="8"/>
        <v>46.626534, 32.761421</v>
      </c>
      <c r="Q1449" s="67" t="str">
        <f t="shared" si="2"/>
        <v>46.626166, 32.762228</v>
      </c>
      <c r="R1449" s="67">
        <f t="shared" si="3"/>
        <v>46.626166</v>
      </c>
      <c r="S1449" s="67">
        <f t="shared" si="4"/>
        <v>32.762228</v>
      </c>
      <c r="T1449" s="161"/>
      <c r="U1449" s="64" t="s">
        <v>14379</v>
      </c>
      <c r="V1449" s="169" t="s">
        <v>14380</v>
      </c>
      <c r="W1449" s="71" t="s">
        <v>5858</v>
      </c>
      <c r="X1449" s="72" t="s">
        <v>2982</v>
      </c>
      <c r="Y1449" s="61" t="s">
        <v>11347</v>
      </c>
      <c r="Z1449" s="73"/>
      <c r="AA1449" s="73"/>
      <c r="AB1449" s="73"/>
      <c r="AC1449" s="73"/>
      <c r="AD1449" s="73"/>
      <c r="AE1449" s="73"/>
      <c r="AF1449" s="73"/>
      <c r="AG1449" s="73"/>
      <c r="AH1449" s="73"/>
      <c r="AI1449" s="73"/>
      <c r="AJ1449" s="161"/>
      <c r="AK1449" s="76" t="s">
        <v>798</v>
      </c>
      <c r="AL1449" s="83" t="s">
        <v>14381</v>
      </c>
      <c r="AM1449" s="71" t="s">
        <v>14382</v>
      </c>
      <c r="AN1449" s="84" t="s">
        <v>14383</v>
      </c>
      <c r="AO1449" s="71" t="s">
        <v>14384</v>
      </c>
      <c r="AP1449" s="161" t="str">
        <f>IMAGE("https://bellingcat-archive.nyc3.cdn.digitaloceanspaces.com/Ukraine_Witness_Datasheet/Worksheet/youtube_dl_1499833640536182790/out7.jpg")</f>
        <v/>
      </c>
      <c r="AQ1449" s="84" t="s">
        <v>14385</v>
      </c>
      <c r="AR1449" s="71" t="s">
        <v>14386</v>
      </c>
      <c r="AS1449" s="71" t="s">
        <v>14387</v>
      </c>
      <c r="AT1449" s="62">
        <v>5.719</v>
      </c>
      <c r="AU1449" s="79" t="s">
        <v>362</v>
      </c>
      <c r="AV1449" s="80" t="s">
        <v>63</v>
      </c>
      <c r="AW1449" s="81"/>
    </row>
    <row r="1450" ht="15.75" customHeight="1">
      <c r="A1450" s="204" t="s">
        <v>63</v>
      </c>
      <c r="B1450" s="73"/>
      <c r="C1450" s="57" t="s">
        <v>12959</v>
      </c>
      <c r="D1450" s="74">
        <v>50.542532</v>
      </c>
      <c r="E1450" s="74">
        <v>30.180428</v>
      </c>
      <c r="F1450" s="79">
        <v>2.0</v>
      </c>
      <c r="G1450" s="317" t="s">
        <v>14388</v>
      </c>
      <c r="H1450" s="61" t="s">
        <v>5522</v>
      </c>
      <c r="I1450" s="75"/>
      <c r="J1450" s="71" t="s">
        <v>14389</v>
      </c>
      <c r="K1450" s="69"/>
      <c r="L1450" s="65" t="s">
        <v>3542</v>
      </c>
      <c r="M1450" s="61" t="s">
        <v>5827</v>
      </c>
      <c r="N1450" s="73"/>
      <c r="O1450" s="92" t="s">
        <v>5868</v>
      </c>
      <c r="P1450" s="67" t="str">
        <f t="shared" si="8"/>
        <v>50.542532, 30.180428</v>
      </c>
      <c r="Q1450" s="67" t="str">
        <f t="shared" si="2"/>
        <v>50.542299, 30.179513</v>
      </c>
      <c r="R1450" s="67">
        <f t="shared" si="3"/>
        <v>50.542299</v>
      </c>
      <c r="S1450" s="67">
        <f t="shared" si="4"/>
        <v>30.179513</v>
      </c>
      <c r="T1450" s="161"/>
      <c r="U1450" s="69"/>
      <c r="V1450" s="65" t="s">
        <v>14390</v>
      </c>
      <c r="W1450" s="71" t="s">
        <v>9711</v>
      </c>
      <c r="X1450" s="72" t="s">
        <v>2982</v>
      </c>
      <c r="Y1450" s="61" t="s">
        <v>11347</v>
      </c>
      <c r="Z1450" s="73"/>
      <c r="AA1450" s="73"/>
      <c r="AB1450" s="73"/>
      <c r="AC1450" s="73"/>
      <c r="AD1450" s="73"/>
      <c r="AE1450" s="73"/>
      <c r="AF1450" s="73"/>
      <c r="AG1450" s="73"/>
      <c r="AH1450" s="73"/>
      <c r="AI1450" s="73"/>
      <c r="AJ1450" s="161"/>
      <c r="AK1450" s="76" t="s">
        <v>798</v>
      </c>
      <c r="AL1450" s="83" t="s">
        <v>14391</v>
      </c>
      <c r="AM1450" s="71" t="s">
        <v>14392</v>
      </c>
      <c r="AN1450" s="84" t="s">
        <v>14393</v>
      </c>
      <c r="AO1450" s="71" t="s">
        <v>14394</v>
      </c>
      <c r="AP1450" s="161" t="str">
        <f t="shared" ref="AP1450:AP1453" si="10">IMAGE("https://bellingcat-archive.nyc3.cdn.digitaloceanspaces.com/Ukraine_Witness_Datasheet/Worksheet/youtube_dl_1499838283202899969/out20.jpg")</f>
        <v/>
      </c>
      <c r="AQ1450" s="84" t="s">
        <v>14395</v>
      </c>
      <c r="AR1450" s="71" t="s">
        <v>14396</v>
      </c>
      <c r="AS1450" s="71" t="s">
        <v>14397</v>
      </c>
      <c r="AT1450" s="62">
        <v>86.433</v>
      </c>
      <c r="AU1450" s="79" t="s">
        <v>63</v>
      </c>
      <c r="AV1450" s="80" t="s">
        <v>3944</v>
      </c>
      <c r="AW1450" s="81"/>
    </row>
    <row r="1451" ht="15.75" customHeight="1">
      <c r="A1451" s="204" t="s">
        <v>63</v>
      </c>
      <c r="B1451" s="73"/>
      <c r="C1451" s="57" t="s">
        <v>12959</v>
      </c>
      <c r="D1451" s="104">
        <v>50.532903</v>
      </c>
      <c r="E1451" s="104">
        <v>30.206266</v>
      </c>
      <c r="F1451" s="79">
        <v>2.0</v>
      </c>
      <c r="G1451" s="317" t="s">
        <v>14388</v>
      </c>
      <c r="H1451" s="61" t="s">
        <v>5522</v>
      </c>
      <c r="I1451" s="75"/>
      <c r="J1451" s="71" t="s">
        <v>14398</v>
      </c>
      <c r="K1451" s="69"/>
      <c r="L1451" s="65" t="s">
        <v>3542</v>
      </c>
      <c r="M1451" s="61" t="s">
        <v>5827</v>
      </c>
      <c r="N1451" s="73"/>
      <c r="O1451" s="92" t="s">
        <v>5868</v>
      </c>
      <c r="P1451" s="67" t="str">
        <f t="shared" si="8"/>
        <v>50.532903, 30.206266</v>
      </c>
      <c r="Q1451" s="67" t="str">
        <f t="shared" si="2"/>
        <v>50.532164, 30.206399</v>
      </c>
      <c r="R1451" s="67">
        <f t="shared" si="3"/>
        <v>50.532164</v>
      </c>
      <c r="S1451" s="67">
        <f t="shared" si="4"/>
        <v>30.206399</v>
      </c>
      <c r="T1451" s="161"/>
      <c r="U1451" s="69"/>
      <c r="V1451" s="65" t="s">
        <v>14399</v>
      </c>
      <c r="W1451" s="71" t="s">
        <v>9711</v>
      </c>
      <c r="X1451" s="72" t="s">
        <v>2982</v>
      </c>
      <c r="Y1451" s="61" t="s">
        <v>11347</v>
      </c>
      <c r="Z1451" s="73"/>
      <c r="AA1451" s="73"/>
      <c r="AB1451" s="73"/>
      <c r="AC1451" s="73"/>
      <c r="AD1451" s="73"/>
      <c r="AE1451" s="73"/>
      <c r="AF1451" s="73"/>
      <c r="AG1451" s="73"/>
      <c r="AH1451" s="73"/>
      <c r="AI1451" s="73"/>
      <c r="AJ1451" s="161"/>
      <c r="AK1451" s="76" t="s">
        <v>930</v>
      </c>
      <c r="AL1451" s="83" t="s">
        <v>14391</v>
      </c>
      <c r="AM1451" s="71" t="s">
        <v>14400</v>
      </c>
      <c r="AN1451" s="84" t="s">
        <v>14401</v>
      </c>
      <c r="AO1451" s="71" t="s">
        <v>14394</v>
      </c>
      <c r="AP1451" s="161" t="str">
        <f t="shared" si="10"/>
        <v/>
      </c>
      <c r="AQ1451" s="84" t="s">
        <v>14395</v>
      </c>
      <c r="AR1451" s="71" t="s">
        <v>14396</v>
      </c>
      <c r="AS1451" s="71" t="s">
        <v>14397</v>
      </c>
      <c r="AT1451" s="62">
        <v>86.433</v>
      </c>
      <c r="AU1451" s="79" t="s">
        <v>63</v>
      </c>
      <c r="AV1451" s="80" t="s">
        <v>3944</v>
      </c>
      <c r="AW1451" s="81"/>
    </row>
    <row r="1452" ht="15.75" customHeight="1">
      <c r="A1452" s="204" t="s">
        <v>63</v>
      </c>
      <c r="B1452" s="73"/>
      <c r="C1452" s="57" t="s">
        <v>12959</v>
      </c>
      <c r="D1452" s="104">
        <v>50.533064</v>
      </c>
      <c r="E1452" s="104">
        <v>30.197797</v>
      </c>
      <c r="F1452" s="79">
        <v>1.0</v>
      </c>
      <c r="G1452" s="317" t="s">
        <v>14388</v>
      </c>
      <c r="H1452" s="61" t="s">
        <v>5522</v>
      </c>
      <c r="I1452" s="75"/>
      <c r="J1452" s="71" t="s">
        <v>14402</v>
      </c>
      <c r="K1452" s="69"/>
      <c r="L1452" s="65" t="s">
        <v>3542</v>
      </c>
      <c r="M1452" s="61" t="s">
        <v>5827</v>
      </c>
      <c r="N1452" s="73"/>
      <c r="O1452" s="92" t="s">
        <v>5868</v>
      </c>
      <c r="P1452" s="67" t="str">
        <f t="shared" si="8"/>
        <v>50.533064, 30.197797</v>
      </c>
      <c r="Q1452" s="67" t="str">
        <f t="shared" si="2"/>
        <v>50.532545, 30.197562</v>
      </c>
      <c r="R1452" s="67">
        <f t="shared" si="3"/>
        <v>50.532545</v>
      </c>
      <c r="S1452" s="67">
        <f t="shared" si="4"/>
        <v>30.197562</v>
      </c>
      <c r="T1452" s="161"/>
      <c r="U1452" s="69"/>
      <c r="V1452" s="169" t="s">
        <v>14403</v>
      </c>
      <c r="W1452" s="71" t="s">
        <v>5858</v>
      </c>
      <c r="X1452" s="72" t="s">
        <v>2982</v>
      </c>
      <c r="Y1452" s="61" t="s">
        <v>11347</v>
      </c>
      <c r="Z1452" s="73"/>
      <c r="AA1452" s="73"/>
      <c r="AB1452" s="73"/>
      <c r="AC1452" s="73"/>
      <c r="AD1452" s="73"/>
      <c r="AE1452" s="73"/>
      <c r="AF1452" s="73"/>
      <c r="AG1452" s="73"/>
      <c r="AH1452" s="73"/>
      <c r="AI1452" s="73"/>
      <c r="AJ1452" s="161"/>
      <c r="AK1452" s="76" t="s">
        <v>930</v>
      </c>
      <c r="AL1452" s="83" t="s">
        <v>14391</v>
      </c>
      <c r="AM1452" s="71" t="s">
        <v>14404</v>
      </c>
      <c r="AN1452" s="84" t="s">
        <v>14405</v>
      </c>
      <c r="AO1452" s="71" t="s">
        <v>14394</v>
      </c>
      <c r="AP1452" s="161" t="str">
        <f t="shared" si="10"/>
        <v/>
      </c>
      <c r="AQ1452" s="84" t="s">
        <v>14395</v>
      </c>
      <c r="AR1452" s="71" t="s">
        <v>14396</v>
      </c>
      <c r="AS1452" s="71" t="s">
        <v>14397</v>
      </c>
      <c r="AT1452" s="62">
        <v>86.433</v>
      </c>
      <c r="AU1452" s="79" t="s">
        <v>63</v>
      </c>
      <c r="AV1452" s="80" t="s">
        <v>3944</v>
      </c>
      <c r="AW1452" s="81"/>
    </row>
    <row r="1453" ht="15.75" customHeight="1">
      <c r="A1453" s="204" t="s">
        <v>63</v>
      </c>
      <c r="B1453" s="73"/>
      <c r="C1453" s="57" t="s">
        <v>12959</v>
      </c>
      <c r="D1453" s="104">
        <v>50.533068</v>
      </c>
      <c r="E1453" s="104">
        <v>30.206544</v>
      </c>
      <c r="F1453" s="79">
        <v>1.0</v>
      </c>
      <c r="G1453" s="317" t="s">
        <v>14388</v>
      </c>
      <c r="H1453" s="61" t="s">
        <v>5522</v>
      </c>
      <c r="I1453" s="75"/>
      <c r="J1453" s="71" t="s">
        <v>14406</v>
      </c>
      <c r="K1453" s="69"/>
      <c r="L1453" s="65" t="s">
        <v>3542</v>
      </c>
      <c r="M1453" s="61" t="s">
        <v>5827</v>
      </c>
      <c r="N1453" s="73"/>
      <c r="O1453" s="92" t="s">
        <v>5868</v>
      </c>
      <c r="P1453" s="67" t="str">
        <f t="shared" si="8"/>
        <v>50.533068, 30.206544</v>
      </c>
      <c r="Q1453" s="67" t="str">
        <f t="shared" si="2"/>
        <v>50.532956, 30.205562</v>
      </c>
      <c r="R1453" s="67">
        <f t="shared" si="3"/>
        <v>50.532956</v>
      </c>
      <c r="S1453" s="67">
        <f t="shared" si="4"/>
        <v>30.205562</v>
      </c>
      <c r="T1453" s="161"/>
      <c r="U1453" s="69"/>
      <c r="V1453" s="169" t="s">
        <v>14407</v>
      </c>
      <c r="W1453" s="71" t="s">
        <v>5858</v>
      </c>
      <c r="X1453" s="72" t="s">
        <v>2982</v>
      </c>
      <c r="Y1453" s="61" t="s">
        <v>11347</v>
      </c>
      <c r="Z1453" s="73"/>
      <c r="AA1453" s="73"/>
      <c r="AB1453" s="73"/>
      <c r="AC1453" s="73"/>
      <c r="AD1453" s="73"/>
      <c r="AE1453" s="73"/>
      <c r="AF1453" s="73"/>
      <c r="AG1453" s="73"/>
      <c r="AH1453" s="73"/>
      <c r="AI1453" s="73"/>
      <c r="AJ1453" s="161"/>
      <c r="AK1453" s="76" t="s">
        <v>930</v>
      </c>
      <c r="AL1453" s="83" t="s">
        <v>14391</v>
      </c>
      <c r="AM1453" s="71" t="s">
        <v>14408</v>
      </c>
      <c r="AN1453" s="84" t="s">
        <v>14409</v>
      </c>
      <c r="AO1453" s="71" t="s">
        <v>14394</v>
      </c>
      <c r="AP1453" s="161" t="str">
        <f t="shared" si="10"/>
        <v/>
      </c>
      <c r="AQ1453" s="84" t="s">
        <v>14395</v>
      </c>
      <c r="AR1453" s="71" t="s">
        <v>14396</v>
      </c>
      <c r="AS1453" s="71" t="s">
        <v>14397</v>
      </c>
      <c r="AT1453" s="62">
        <v>86.433</v>
      </c>
      <c r="AU1453" s="79" t="s">
        <v>63</v>
      </c>
      <c r="AV1453" s="80" t="s">
        <v>3944</v>
      </c>
      <c r="AW1453" s="81"/>
    </row>
    <row r="1454" ht="15.75" customHeight="1">
      <c r="A1454" s="204" t="s">
        <v>63</v>
      </c>
      <c r="B1454" s="73"/>
      <c r="C1454" s="57" t="s">
        <v>13542</v>
      </c>
      <c r="D1454" s="104">
        <v>50.509121</v>
      </c>
      <c r="E1454" s="104">
        <v>30.263386</v>
      </c>
      <c r="F1454" s="79">
        <v>1.0</v>
      </c>
      <c r="G1454" s="84" t="s">
        <v>14410</v>
      </c>
      <c r="H1454" s="61" t="s">
        <v>91</v>
      </c>
      <c r="I1454" s="75"/>
      <c r="J1454" s="71" t="s">
        <v>14411</v>
      </c>
      <c r="K1454" s="69"/>
      <c r="L1454" s="65" t="s">
        <v>3542</v>
      </c>
      <c r="M1454" s="61" t="s">
        <v>5827</v>
      </c>
      <c r="N1454" s="73"/>
      <c r="O1454" s="61" t="s">
        <v>7550</v>
      </c>
      <c r="P1454" s="67" t="str">
        <f t="shared" si="8"/>
        <v>50.509121, 30.263386</v>
      </c>
      <c r="Q1454" s="67" t="str">
        <f t="shared" si="2"/>
        <v>50.508714, 30.264291</v>
      </c>
      <c r="R1454" s="67">
        <f t="shared" si="3"/>
        <v>50.508714</v>
      </c>
      <c r="S1454" s="67">
        <f t="shared" si="4"/>
        <v>30.264291</v>
      </c>
      <c r="T1454" s="161"/>
      <c r="U1454" s="69"/>
      <c r="V1454" s="65" t="s">
        <v>14412</v>
      </c>
      <c r="W1454" s="71" t="s">
        <v>3601</v>
      </c>
      <c r="X1454" s="72" t="s">
        <v>2982</v>
      </c>
      <c r="Y1454" s="61" t="s">
        <v>11347</v>
      </c>
      <c r="Z1454" s="73"/>
      <c r="AA1454" s="73"/>
      <c r="AB1454" s="73"/>
      <c r="AC1454" s="73"/>
      <c r="AD1454" s="73"/>
      <c r="AE1454" s="73"/>
      <c r="AF1454" s="73"/>
      <c r="AG1454" s="73"/>
      <c r="AH1454" s="73"/>
      <c r="AI1454" s="73"/>
      <c r="AJ1454" s="161"/>
      <c r="AK1454" s="76" t="s">
        <v>2108</v>
      </c>
      <c r="AL1454" s="83" t="s">
        <v>14413</v>
      </c>
      <c r="AM1454" s="71" t="s">
        <v>14414</v>
      </c>
      <c r="AN1454" s="84" t="s">
        <v>14415</v>
      </c>
      <c r="AO1454" s="71" t="s">
        <v>14416</v>
      </c>
      <c r="AP1454" s="161" t="str">
        <f>IMAGE("https://bellingcat-archive.nyc3.cdn.digitaloceanspaces.com/Ukraine_Witness_Datasheet/Worksheet/twitter__media_FNE41IFXMAA7ifw.jpg")</f>
        <v/>
      </c>
      <c r="AQ1454" s="161"/>
      <c r="AR1454" s="161"/>
      <c r="AS1454" s="71" t="s">
        <v>14417</v>
      </c>
      <c r="AT1454" s="75"/>
      <c r="AU1454" s="79" t="s">
        <v>63</v>
      </c>
      <c r="AV1454" s="80" t="s">
        <v>3944</v>
      </c>
      <c r="AW1454" s="81"/>
    </row>
    <row r="1455" ht="15.75" customHeight="1">
      <c r="A1455" s="72" t="s">
        <v>5457</v>
      </c>
      <c r="B1455" s="73"/>
      <c r="C1455" s="57" t="s">
        <v>9941</v>
      </c>
      <c r="D1455" s="104">
        <v>50.446849</v>
      </c>
      <c r="E1455" s="104">
        <v>30.23499</v>
      </c>
      <c r="F1455" s="79">
        <v>4.0</v>
      </c>
      <c r="G1455" s="130" t="s">
        <v>14418</v>
      </c>
      <c r="H1455" s="61" t="s">
        <v>5522</v>
      </c>
      <c r="I1455" s="75"/>
      <c r="J1455" s="71" t="s">
        <v>14419</v>
      </c>
      <c r="K1455" s="69"/>
      <c r="L1455" s="65" t="s">
        <v>3542</v>
      </c>
      <c r="M1455" s="61" t="s">
        <v>5827</v>
      </c>
      <c r="N1455" s="73"/>
      <c r="O1455" s="61" t="s">
        <v>14420</v>
      </c>
      <c r="P1455" s="67" t="str">
        <f t="shared" si="8"/>
        <v>50.446849, 30.23499</v>
      </c>
      <c r="Q1455" s="67" t="str">
        <f t="shared" si="2"/>
        <v>50.44684, 30.234465</v>
      </c>
      <c r="R1455" s="67">
        <f t="shared" si="3"/>
        <v>50.44684</v>
      </c>
      <c r="S1455" s="67">
        <f t="shared" si="4"/>
        <v>30.234465</v>
      </c>
      <c r="T1455" s="161"/>
      <c r="U1455" s="69"/>
      <c r="V1455" s="169" t="s">
        <v>14421</v>
      </c>
      <c r="W1455" s="71" t="s">
        <v>10760</v>
      </c>
      <c r="X1455" s="72" t="s">
        <v>2982</v>
      </c>
      <c r="Y1455" s="61" t="s">
        <v>11347</v>
      </c>
      <c r="Z1455" s="73"/>
      <c r="AA1455" s="73"/>
      <c r="AB1455" s="73"/>
      <c r="AC1455" s="73"/>
      <c r="AD1455" s="73"/>
      <c r="AE1455" s="73"/>
      <c r="AF1455" s="73"/>
      <c r="AG1455" s="73"/>
      <c r="AH1455" s="73"/>
      <c r="AI1455" s="73"/>
      <c r="AJ1455" s="161"/>
      <c r="AK1455" s="76" t="s">
        <v>798</v>
      </c>
      <c r="AL1455" s="83" t="s">
        <v>14422</v>
      </c>
      <c r="AM1455" s="71" t="s">
        <v>14423</v>
      </c>
      <c r="AN1455" s="84" t="s">
        <v>14424</v>
      </c>
      <c r="AO1455" s="71" t="s">
        <v>14425</v>
      </c>
      <c r="AP1455" s="161" t="str">
        <f>IMAGE("https://bellingcat-archive.nyc3.cdn.digitaloceanspaces.com/Ukraine_Witness_Datasheet/Worksheet/youtube_dl_1500057143256530948/out20.jpg")</f>
        <v/>
      </c>
      <c r="AQ1455" s="84" t="s">
        <v>14426</v>
      </c>
      <c r="AR1455" s="71" t="s">
        <v>14427</v>
      </c>
      <c r="AS1455" s="71" t="s">
        <v>14428</v>
      </c>
      <c r="AT1455" s="62">
        <v>140.0</v>
      </c>
      <c r="AU1455" s="79" t="s">
        <v>5457</v>
      </c>
      <c r="AV1455" s="80" t="s">
        <v>63</v>
      </c>
      <c r="AW1455" s="81"/>
    </row>
    <row r="1456" ht="15.75" customHeight="1">
      <c r="A1456" s="357" t="s">
        <v>5457</v>
      </c>
      <c r="B1456" s="73"/>
      <c r="C1456" s="57" t="s">
        <v>13542</v>
      </c>
      <c r="D1456" s="104">
        <v>50.760586</v>
      </c>
      <c r="E1456" s="104">
        <v>30.3661308</v>
      </c>
      <c r="F1456" s="79">
        <v>3.0</v>
      </c>
      <c r="G1456" s="84" t="s">
        <v>14429</v>
      </c>
      <c r="H1456" s="61" t="s">
        <v>5522</v>
      </c>
      <c r="I1456" s="75"/>
      <c r="J1456" s="71" t="s">
        <v>14430</v>
      </c>
      <c r="K1456" s="131" t="s">
        <v>14431</v>
      </c>
      <c r="L1456" s="65" t="s">
        <v>3542</v>
      </c>
      <c r="M1456" s="61" t="s">
        <v>5827</v>
      </c>
      <c r="N1456" s="73"/>
      <c r="O1456" s="61" t="s">
        <v>13383</v>
      </c>
      <c r="P1456" s="67" t="str">
        <f t="shared" si="8"/>
        <v>50.760586, 30.3661308</v>
      </c>
      <c r="Q1456" s="67" t="str">
        <f t="shared" si="2"/>
        <v>50.760539, 30.367103</v>
      </c>
      <c r="R1456" s="67">
        <f t="shared" si="3"/>
        <v>50.760539</v>
      </c>
      <c r="S1456" s="67">
        <f t="shared" si="4"/>
        <v>30.367103</v>
      </c>
      <c r="T1456" s="161"/>
      <c r="U1456" s="69"/>
      <c r="V1456" s="169" t="s">
        <v>14432</v>
      </c>
      <c r="W1456" s="71" t="s">
        <v>5739</v>
      </c>
      <c r="X1456" s="72" t="s">
        <v>2982</v>
      </c>
      <c r="Y1456" s="61" t="s">
        <v>11347</v>
      </c>
      <c r="Z1456" s="73"/>
      <c r="AA1456" s="73"/>
      <c r="AB1456" s="73"/>
      <c r="AC1456" s="73"/>
      <c r="AD1456" s="73"/>
      <c r="AE1456" s="73"/>
      <c r="AF1456" s="73"/>
      <c r="AG1456" s="73"/>
      <c r="AH1456" s="73"/>
      <c r="AI1456" s="73"/>
      <c r="AJ1456" s="161"/>
      <c r="AK1456" s="76" t="s">
        <v>798</v>
      </c>
      <c r="AL1456" s="83" t="s">
        <v>14433</v>
      </c>
      <c r="AM1456" s="71" t="s">
        <v>14434</v>
      </c>
      <c r="AN1456" s="84" t="s">
        <v>14435</v>
      </c>
      <c r="AO1456" s="71" t="s">
        <v>14436</v>
      </c>
      <c r="AP1456" s="161" t="str">
        <f>IMAGE("https://bellingcat-archive.nyc3.cdn.digitaloceanspaces.com/Ukraine_Witness_Datasheet/Worksheet/youtube_dl_1500037873608843265/out7.jpg")</f>
        <v/>
      </c>
      <c r="AQ1456" s="84" t="s">
        <v>14437</v>
      </c>
      <c r="AR1456" s="71" t="s">
        <v>14438</v>
      </c>
      <c r="AS1456" s="71" t="s">
        <v>14439</v>
      </c>
      <c r="AT1456" s="71">
        <v>32.333</v>
      </c>
      <c r="AU1456" s="79" t="s">
        <v>362</v>
      </c>
      <c r="AV1456" s="80" t="s">
        <v>63</v>
      </c>
      <c r="AW1456" s="81"/>
    </row>
    <row r="1457" ht="15.75" customHeight="1">
      <c r="A1457" s="72" t="s">
        <v>5457</v>
      </c>
      <c r="B1457" s="73"/>
      <c r="C1457" s="57" t="s">
        <v>13542</v>
      </c>
      <c r="D1457" s="104">
        <v>51.515975</v>
      </c>
      <c r="E1457" s="104">
        <v>31.238034</v>
      </c>
      <c r="F1457" s="79">
        <v>2.0</v>
      </c>
      <c r="G1457" s="130" t="s">
        <v>14440</v>
      </c>
      <c r="H1457" s="61" t="s">
        <v>91</v>
      </c>
      <c r="I1457" s="75"/>
      <c r="J1457" s="71" t="s">
        <v>14441</v>
      </c>
      <c r="K1457" s="501"/>
      <c r="L1457" s="65" t="s">
        <v>3542</v>
      </c>
      <c r="M1457" s="300" t="s">
        <v>5880</v>
      </c>
      <c r="N1457" s="73"/>
      <c r="O1457" s="61" t="s">
        <v>8524</v>
      </c>
      <c r="P1457" s="67" t="str">
        <f t="shared" si="8"/>
        <v>51.515975, 31.238034</v>
      </c>
      <c r="Q1457" s="67" t="str">
        <f t="shared" si="2"/>
        <v>51.515867, 31.236928</v>
      </c>
      <c r="R1457" s="67">
        <f t="shared" si="3"/>
        <v>51.515867</v>
      </c>
      <c r="S1457" s="67">
        <f t="shared" si="4"/>
        <v>31.236928</v>
      </c>
      <c r="T1457" s="130" t="s">
        <v>14442</v>
      </c>
      <c r="U1457" s="69"/>
      <c r="V1457" s="65" t="s">
        <v>14443</v>
      </c>
      <c r="W1457" s="71" t="s">
        <v>5739</v>
      </c>
      <c r="X1457" s="72" t="s">
        <v>2982</v>
      </c>
      <c r="Y1457" s="61" t="s">
        <v>11347</v>
      </c>
      <c r="Z1457" s="73"/>
      <c r="AA1457" s="73"/>
      <c r="AB1457" s="73"/>
      <c r="AC1457" s="73"/>
      <c r="AD1457" s="73"/>
      <c r="AE1457" s="73"/>
      <c r="AF1457" s="73"/>
      <c r="AG1457" s="73"/>
      <c r="AH1457" s="73"/>
      <c r="AI1457" s="73"/>
      <c r="AJ1457" s="161"/>
      <c r="AK1457" s="76" t="s">
        <v>2108</v>
      </c>
      <c r="AL1457" s="83" t="s">
        <v>14444</v>
      </c>
      <c r="AM1457" s="71" t="s">
        <v>14445</v>
      </c>
      <c r="AN1457" s="84" t="s">
        <v>14446</v>
      </c>
      <c r="AO1457" s="71" t="s">
        <v>14447</v>
      </c>
      <c r="AP1457" s="161" t="str">
        <f>IMAGE("https://bellingcat-archive.nyc3.cdn.digitaloceanspaces.com/Ukraine_Witness_Datasheet/Worksheet/twitter__media_FNFTDiRWQAAHT3y.jpg")</f>
        <v/>
      </c>
      <c r="AQ1457" s="161"/>
      <c r="AR1457" s="161"/>
      <c r="AS1457" s="71" t="s">
        <v>14448</v>
      </c>
      <c r="AT1457" s="161"/>
      <c r="AU1457" s="79" t="s">
        <v>5457</v>
      </c>
      <c r="AV1457" s="80" t="s">
        <v>63</v>
      </c>
      <c r="AW1457" s="81"/>
    </row>
    <row r="1458" ht="15.75" customHeight="1">
      <c r="A1458" s="357" t="s">
        <v>5457</v>
      </c>
      <c r="B1458" s="73"/>
      <c r="C1458" s="57" t="s">
        <v>13542</v>
      </c>
      <c r="D1458" s="104">
        <v>51.515295</v>
      </c>
      <c r="E1458" s="104">
        <v>31.237616</v>
      </c>
      <c r="F1458" s="79">
        <v>2.0</v>
      </c>
      <c r="G1458" s="84" t="s">
        <v>14449</v>
      </c>
      <c r="H1458" s="61" t="s">
        <v>91</v>
      </c>
      <c r="I1458" s="75"/>
      <c r="J1458" s="71" t="s">
        <v>14441</v>
      </c>
      <c r="K1458" s="131" t="s">
        <v>14450</v>
      </c>
      <c r="L1458" s="65" t="s">
        <v>3542</v>
      </c>
      <c r="M1458" s="300" t="s">
        <v>5880</v>
      </c>
      <c r="N1458" s="73"/>
      <c r="O1458" s="61" t="s">
        <v>8524</v>
      </c>
      <c r="P1458" s="67" t="str">
        <f t="shared" si="8"/>
        <v>51.515295, 31.237616</v>
      </c>
      <c r="Q1458" s="67" t="str">
        <f t="shared" si="2"/>
        <v>51.514548, 31.237782</v>
      </c>
      <c r="R1458" s="67">
        <f t="shared" si="3"/>
        <v>51.514548</v>
      </c>
      <c r="S1458" s="67">
        <f t="shared" si="4"/>
        <v>31.237782</v>
      </c>
      <c r="T1458" s="161"/>
      <c r="U1458" s="69"/>
      <c r="V1458" s="65" t="s">
        <v>14451</v>
      </c>
      <c r="W1458" s="71" t="s">
        <v>5739</v>
      </c>
      <c r="X1458" s="72" t="s">
        <v>2982</v>
      </c>
      <c r="Y1458" s="61" t="s">
        <v>11347</v>
      </c>
      <c r="Z1458" s="73"/>
      <c r="AA1458" s="73"/>
      <c r="AB1458" s="73"/>
      <c r="AC1458" s="73"/>
      <c r="AD1458" s="73"/>
      <c r="AE1458" s="73"/>
      <c r="AF1458" s="73"/>
      <c r="AG1458" s="73"/>
      <c r="AH1458" s="73"/>
      <c r="AI1458" s="73"/>
      <c r="AJ1458" s="161"/>
      <c r="AK1458" s="76" t="s">
        <v>2108</v>
      </c>
      <c r="AL1458" s="83" t="s">
        <v>14452</v>
      </c>
      <c r="AM1458" s="71" t="s">
        <v>14453</v>
      </c>
      <c r="AN1458" s="84" t="s">
        <v>14454</v>
      </c>
      <c r="AO1458" s="71" t="s">
        <v>14455</v>
      </c>
      <c r="AP1458" s="161" t="str">
        <f>IMAGE("https://bellingcat-archive.nyc3.cdn.digitaloceanspaces.com/Ukraine_Witness_Datasheet/Worksheet/twitter__media_FNFRhbsWYAEK7gG.jpg")</f>
        <v/>
      </c>
      <c r="AQ1458" s="161"/>
      <c r="AR1458" s="161"/>
      <c r="AS1458" s="71" t="s">
        <v>14456</v>
      </c>
      <c r="AT1458" s="161"/>
      <c r="AU1458" s="79" t="s">
        <v>362</v>
      </c>
      <c r="AV1458" s="80" t="s">
        <v>63</v>
      </c>
      <c r="AW1458" s="81"/>
    </row>
    <row r="1459" ht="15.75" customHeight="1">
      <c r="A1459" s="72" t="s">
        <v>7754</v>
      </c>
      <c r="B1459" s="73"/>
      <c r="C1459" s="57" t="s">
        <v>13542</v>
      </c>
      <c r="D1459" s="104">
        <v>46.640334</v>
      </c>
      <c r="E1459" s="104">
        <v>32.614706</v>
      </c>
      <c r="F1459" s="79">
        <v>1.0</v>
      </c>
      <c r="G1459" s="84" t="s">
        <v>14457</v>
      </c>
      <c r="H1459" s="61" t="s">
        <v>5522</v>
      </c>
      <c r="I1459" s="75"/>
      <c r="J1459" s="71" t="s">
        <v>14458</v>
      </c>
      <c r="K1459" s="88" t="s">
        <v>14457</v>
      </c>
      <c r="L1459" s="65" t="s">
        <v>3542</v>
      </c>
      <c r="M1459" s="61" t="s">
        <v>5702</v>
      </c>
      <c r="N1459" s="73"/>
      <c r="O1459" s="61" t="s">
        <v>7098</v>
      </c>
      <c r="P1459" s="67" t="str">
        <f t="shared" si="8"/>
        <v>46.640334, 32.614706</v>
      </c>
      <c r="Q1459" s="67" t="str">
        <f t="shared" si="2"/>
        <v>46.63988, 32.615692</v>
      </c>
      <c r="R1459" s="67">
        <f t="shared" si="3"/>
        <v>46.63988</v>
      </c>
      <c r="S1459" s="67">
        <f t="shared" si="4"/>
        <v>32.615692</v>
      </c>
      <c r="T1459" s="457" t="s">
        <v>14459</v>
      </c>
      <c r="U1459" s="69"/>
      <c r="V1459" s="65" t="s">
        <v>14460</v>
      </c>
      <c r="W1459" s="71" t="s">
        <v>811</v>
      </c>
      <c r="X1459" s="72" t="s">
        <v>2982</v>
      </c>
      <c r="Y1459" s="61" t="s">
        <v>11347</v>
      </c>
      <c r="Z1459" s="73"/>
      <c r="AA1459" s="73"/>
      <c r="AB1459" s="73"/>
      <c r="AC1459" s="73"/>
      <c r="AD1459" s="73"/>
      <c r="AE1459" s="73"/>
      <c r="AF1459" s="73"/>
      <c r="AG1459" s="73"/>
      <c r="AH1459" s="73"/>
      <c r="AI1459" s="73"/>
      <c r="AJ1459" s="161"/>
      <c r="AK1459" s="76" t="s">
        <v>798</v>
      </c>
      <c r="AL1459" s="83" t="s">
        <v>14461</v>
      </c>
      <c r="AM1459" s="71" t="s">
        <v>14462</v>
      </c>
      <c r="AN1459" s="84" t="s">
        <v>14463</v>
      </c>
      <c r="AO1459" s="71" t="s">
        <v>14464</v>
      </c>
      <c r="AP1459" s="161" t="str">
        <f>IMAGE("https://bellingcat-archive.nyc3.cdn.digitaloceanspaces.com/Ukraine_Witness_Datasheet/Worksheet/youtube_dl_1500080905297317889/out7.jpg")</f>
        <v/>
      </c>
      <c r="AQ1459" s="84" t="s">
        <v>14465</v>
      </c>
      <c r="AR1459" s="71" t="s">
        <v>14466</v>
      </c>
      <c r="AS1459" s="71" t="s">
        <v>14467</v>
      </c>
      <c r="AT1459" s="71">
        <v>36.198</v>
      </c>
      <c r="AU1459" s="79" t="s">
        <v>7754</v>
      </c>
      <c r="AV1459" s="80" t="s">
        <v>63</v>
      </c>
      <c r="AW1459" s="81"/>
    </row>
    <row r="1460" ht="15.75" customHeight="1">
      <c r="A1460" s="204" t="s">
        <v>7754</v>
      </c>
      <c r="B1460" s="73"/>
      <c r="C1460" s="57" t="s">
        <v>13542</v>
      </c>
      <c r="D1460" s="104">
        <v>46.640827</v>
      </c>
      <c r="E1460" s="104">
        <v>32.614517</v>
      </c>
      <c r="F1460" s="79">
        <v>1.0</v>
      </c>
      <c r="G1460" s="84" t="s">
        <v>14468</v>
      </c>
      <c r="H1460" s="61" t="s">
        <v>5522</v>
      </c>
      <c r="I1460" s="75"/>
      <c r="J1460" s="71" t="s">
        <v>14458</v>
      </c>
      <c r="K1460" s="69"/>
      <c r="L1460" s="65" t="s">
        <v>3542</v>
      </c>
      <c r="M1460" s="61" t="s">
        <v>5702</v>
      </c>
      <c r="N1460" s="73"/>
      <c r="O1460" s="61" t="s">
        <v>7098</v>
      </c>
      <c r="P1460" s="67" t="str">
        <f t="shared" si="8"/>
        <v>46.640827, 32.614517</v>
      </c>
      <c r="Q1460" s="67" t="str">
        <f t="shared" si="2"/>
        <v>46.640591, 32.613861</v>
      </c>
      <c r="R1460" s="67">
        <f t="shared" si="3"/>
        <v>46.640591</v>
      </c>
      <c r="S1460" s="67">
        <f t="shared" si="4"/>
        <v>32.613861</v>
      </c>
      <c r="T1460" s="71" t="s">
        <v>14469</v>
      </c>
      <c r="U1460" s="69"/>
      <c r="V1460" s="65" t="s">
        <v>14470</v>
      </c>
      <c r="W1460" s="71" t="s">
        <v>811</v>
      </c>
      <c r="X1460" s="502" t="s">
        <v>14471</v>
      </c>
      <c r="Y1460" s="503" t="s">
        <v>2982</v>
      </c>
      <c r="Z1460" s="61" t="s">
        <v>8106</v>
      </c>
      <c r="AA1460" s="73"/>
      <c r="AB1460" s="73"/>
      <c r="AC1460" s="73"/>
      <c r="AD1460" s="73"/>
      <c r="AE1460" s="73"/>
      <c r="AF1460" s="73"/>
      <c r="AG1460" s="73"/>
      <c r="AH1460" s="73"/>
      <c r="AI1460" s="73"/>
      <c r="AJ1460" s="161"/>
      <c r="AK1460" s="76" t="s">
        <v>6276</v>
      </c>
      <c r="AL1460" s="83" t="s">
        <v>14472</v>
      </c>
      <c r="AM1460" s="71" t="s">
        <v>14473</v>
      </c>
      <c r="AN1460" s="84" t="s">
        <v>14474</v>
      </c>
      <c r="AO1460" s="71" t="s">
        <v>14475</v>
      </c>
      <c r="AP1460" s="161" t="str">
        <f>IMAGE("https://bellingcat-archive.nyc3.cdn.digitaloceanspaces.com/Ukraine_Witness_Datasheet/Worksheet/telegram_fd1912a45a/out7.jpg")</f>
        <v/>
      </c>
      <c r="AQ1460" s="84" t="s">
        <v>14476</v>
      </c>
      <c r="AR1460" s="84" t="s">
        <v>14468</v>
      </c>
      <c r="AS1460" s="71" t="s">
        <v>14477</v>
      </c>
      <c r="AT1460" s="71">
        <v>17.0</v>
      </c>
      <c r="AU1460" s="89"/>
      <c r="AV1460" s="80" t="s">
        <v>88</v>
      </c>
      <c r="AW1460" s="203"/>
    </row>
    <row r="1461" ht="15.75" customHeight="1">
      <c r="A1461" s="72" t="s">
        <v>3944</v>
      </c>
      <c r="B1461" s="73"/>
      <c r="C1461" s="57" t="s">
        <v>13542</v>
      </c>
      <c r="D1461" s="104">
        <v>46.579413</v>
      </c>
      <c r="E1461" s="104">
        <v>32.945872</v>
      </c>
      <c r="F1461" s="79">
        <v>1.0</v>
      </c>
      <c r="G1461" s="84" t="s">
        <v>14478</v>
      </c>
      <c r="H1461" s="61" t="s">
        <v>5522</v>
      </c>
      <c r="I1461" s="75"/>
      <c r="J1461" s="71" t="s">
        <v>14479</v>
      </c>
      <c r="K1461" s="69"/>
      <c r="L1461" s="65" t="s">
        <v>3542</v>
      </c>
      <c r="M1461" s="61" t="s">
        <v>5702</v>
      </c>
      <c r="N1461" s="73"/>
      <c r="O1461" s="61" t="s">
        <v>7098</v>
      </c>
      <c r="P1461" s="67" t="str">
        <f t="shared" si="8"/>
        <v>46.579413, 32.945872</v>
      </c>
      <c r="Q1461" s="67" t="str">
        <f t="shared" si="2"/>
        <v>46.579305, 32.946556</v>
      </c>
      <c r="R1461" s="67">
        <f t="shared" si="3"/>
        <v>46.579305</v>
      </c>
      <c r="S1461" s="67">
        <f t="shared" si="4"/>
        <v>32.946556</v>
      </c>
      <c r="T1461" s="161"/>
      <c r="U1461" s="69"/>
      <c r="V1461" s="65" t="s">
        <v>14480</v>
      </c>
      <c r="W1461" s="71" t="s">
        <v>5858</v>
      </c>
      <c r="X1461" s="72" t="s">
        <v>5504</v>
      </c>
      <c r="Y1461" s="61" t="s">
        <v>11347</v>
      </c>
      <c r="Z1461" s="73"/>
      <c r="AA1461" s="73"/>
      <c r="AB1461" s="73"/>
      <c r="AC1461" s="73"/>
      <c r="AD1461" s="73"/>
      <c r="AE1461" s="73"/>
      <c r="AF1461" s="73"/>
      <c r="AG1461" s="73"/>
      <c r="AH1461" s="73"/>
      <c r="AI1461" s="73"/>
      <c r="AJ1461" s="161"/>
      <c r="AK1461" s="76" t="s">
        <v>798</v>
      </c>
      <c r="AL1461" s="83" t="s">
        <v>14481</v>
      </c>
      <c r="AM1461" s="71" t="s">
        <v>14482</v>
      </c>
      <c r="AN1461" s="84" t="s">
        <v>14483</v>
      </c>
      <c r="AO1461" s="71" t="s">
        <v>14484</v>
      </c>
      <c r="AP1461" s="161" t="str">
        <f>IMAGE("https://bellingcat-archive.nyc3.cdn.digitaloceanspaces.com/Ukraine_Witness_Datasheet/Worksheet/youtube_dl_1500101574869360642/out20.jpg")</f>
        <v/>
      </c>
      <c r="AQ1461" s="84" t="s">
        <v>14485</v>
      </c>
      <c r="AR1461" s="71" t="s">
        <v>14486</v>
      </c>
      <c r="AS1461" s="71" t="s">
        <v>14487</v>
      </c>
      <c r="AT1461" s="71">
        <v>69.74</v>
      </c>
      <c r="AU1461" s="79" t="s">
        <v>3944</v>
      </c>
      <c r="AV1461" s="80" t="s">
        <v>63</v>
      </c>
      <c r="AW1461" s="81"/>
    </row>
    <row r="1462" ht="15.75" customHeight="1">
      <c r="A1462" s="72" t="s">
        <v>3944</v>
      </c>
      <c r="B1462" s="73"/>
      <c r="C1462" s="57" t="s">
        <v>13542</v>
      </c>
      <c r="D1462" s="104">
        <v>47.490074</v>
      </c>
      <c r="E1462" s="74">
        <v>34.661245</v>
      </c>
      <c r="F1462" s="79">
        <v>1.0</v>
      </c>
      <c r="G1462" s="84" t="s">
        <v>14488</v>
      </c>
      <c r="H1462" s="61" t="s">
        <v>13505</v>
      </c>
      <c r="I1462" s="75"/>
      <c r="J1462" s="71" t="s">
        <v>14489</v>
      </c>
      <c r="K1462" s="69"/>
      <c r="L1462" s="65" t="s">
        <v>3542</v>
      </c>
      <c r="M1462" s="61" t="s">
        <v>6167</v>
      </c>
      <c r="N1462" s="73"/>
      <c r="O1462" s="61" t="s">
        <v>12793</v>
      </c>
      <c r="P1462" s="67" t="str">
        <f t="shared" si="8"/>
        <v>47.490074, 34.661245</v>
      </c>
      <c r="Q1462" s="67" t="str">
        <f t="shared" si="2"/>
        <v>47.489254, 34.661017</v>
      </c>
      <c r="R1462" s="67">
        <f t="shared" si="3"/>
        <v>47.489254</v>
      </c>
      <c r="S1462" s="67">
        <f t="shared" si="4"/>
        <v>34.661017</v>
      </c>
      <c r="T1462" s="161"/>
      <c r="U1462" s="69"/>
      <c r="V1462" s="65" t="s">
        <v>14490</v>
      </c>
      <c r="W1462" s="71" t="s">
        <v>5858</v>
      </c>
      <c r="X1462" s="72" t="s">
        <v>5504</v>
      </c>
      <c r="Y1462" s="73"/>
      <c r="Z1462" s="73"/>
      <c r="AA1462" s="73"/>
      <c r="AB1462" s="73"/>
      <c r="AC1462" s="73"/>
      <c r="AD1462" s="73"/>
      <c r="AE1462" s="73"/>
      <c r="AF1462" s="73"/>
      <c r="AG1462" s="73"/>
      <c r="AH1462" s="73"/>
      <c r="AI1462" s="73"/>
      <c r="AJ1462" s="161"/>
      <c r="AK1462" s="76" t="s">
        <v>2108</v>
      </c>
      <c r="AL1462" s="83" t="s">
        <v>14491</v>
      </c>
      <c r="AM1462" s="71" t="s">
        <v>14492</v>
      </c>
      <c r="AN1462" s="84" t="s">
        <v>14493</v>
      </c>
      <c r="AO1462" s="71" t="s">
        <v>14494</v>
      </c>
      <c r="AP1462" s="161" t="str">
        <f>IMAGE("https://bellingcat-archive.nyc3.cdn.digitaloceanspaces.com/Ukraine_Witness_Datasheet/Worksheet/twitter__media_FNFnLLbXoAErGYS.jpg")</f>
        <v/>
      </c>
      <c r="AQ1462" s="161"/>
      <c r="AR1462" s="161"/>
      <c r="AS1462" s="71" t="s">
        <v>14495</v>
      </c>
      <c r="AT1462" s="161"/>
      <c r="AU1462" s="79" t="s">
        <v>3944</v>
      </c>
      <c r="AV1462" s="80" t="s">
        <v>63</v>
      </c>
      <c r="AW1462" s="81"/>
    </row>
    <row r="1463" ht="15.75" customHeight="1">
      <c r="A1463" s="424" t="s">
        <v>3944</v>
      </c>
      <c r="B1463" s="73"/>
      <c r="C1463" s="176"/>
      <c r="D1463" s="121"/>
      <c r="E1463" s="121"/>
      <c r="F1463" s="89"/>
      <c r="G1463" s="84" t="s">
        <v>14496</v>
      </c>
      <c r="H1463" s="73"/>
      <c r="I1463" s="75"/>
      <c r="J1463" s="161"/>
      <c r="K1463" s="69"/>
      <c r="L1463" s="70"/>
      <c r="M1463" s="73"/>
      <c r="N1463" s="73"/>
      <c r="O1463" s="73"/>
      <c r="P1463" s="67" t="str">
        <f t="shared" si="8"/>
        <v/>
      </c>
      <c r="Q1463" s="67" t="str">
        <f t="shared" si="2"/>
        <v/>
      </c>
      <c r="R1463" s="67" t="str">
        <f t="shared" si="3"/>
        <v/>
      </c>
      <c r="S1463" s="67" t="str">
        <f t="shared" si="4"/>
        <v/>
      </c>
      <c r="T1463" s="161"/>
      <c r="U1463" s="69"/>
      <c r="V1463" s="65" t="s">
        <v>14497</v>
      </c>
      <c r="W1463" s="161"/>
      <c r="X1463" s="194"/>
      <c r="Y1463" s="73"/>
      <c r="Z1463" s="73"/>
      <c r="AA1463" s="73"/>
      <c r="AB1463" s="73"/>
      <c r="AC1463" s="73"/>
      <c r="AD1463" s="73"/>
      <c r="AE1463" s="73"/>
      <c r="AF1463" s="73"/>
      <c r="AG1463" s="73"/>
      <c r="AH1463" s="73"/>
      <c r="AI1463" s="73"/>
      <c r="AJ1463" s="161"/>
      <c r="AK1463" s="76" t="s">
        <v>798</v>
      </c>
      <c r="AL1463" s="83" t="s">
        <v>14498</v>
      </c>
      <c r="AM1463" s="71" t="s">
        <v>14499</v>
      </c>
      <c r="AN1463" s="84" t="s">
        <v>14500</v>
      </c>
      <c r="AO1463" s="71" t="s">
        <v>14501</v>
      </c>
      <c r="AP1463" s="161" t="str">
        <f>IMAGE("https://bellingcat-archive.nyc3.cdn.digitaloceanspaces.com/Ukraine_Witness_Datasheet/Worksheet/youtube_dl_1500078207374135300/out7.jpg")</f>
        <v/>
      </c>
      <c r="AQ1463" s="84" t="s">
        <v>14502</v>
      </c>
      <c r="AR1463" s="71" t="s">
        <v>14503</v>
      </c>
      <c r="AS1463" s="71" t="s">
        <v>14504</v>
      </c>
      <c r="AT1463" s="71">
        <v>35.1</v>
      </c>
      <c r="AU1463" s="89"/>
      <c r="AV1463" s="162"/>
      <c r="AW1463" s="81"/>
    </row>
    <row r="1464" ht="15.75" customHeight="1">
      <c r="A1464" s="72" t="s">
        <v>3944</v>
      </c>
      <c r="B1464" s="73"/>
      <c r="C1464" s="57" t="s">
        <v>13542</v>
      </c>
      <c r="D1464" s="104">
        <v>50.488343</v>
      </c>
      <c r="E1464" s="104">
        <v>30.263907</v>
      </c>
      <c r="F1464" s="79">
        <v>1.0</v>
      </c>
      <c r="G1464" s="84" t="s">
        <v>14505</v>
      </c>
      <c r="H1464" s="61" t="s">
        <v>5522</v>
      </c>
      <c r="I1464" s="75"/>
      <c r="J1464" s="71" t="s">
        <v>14506</v>
      </c>
      <c r="K1464" s="69"/>
      <c r="L1464" s="65" t="s">
        <v>3542</v>
      </c>
      <c r="M1464" s="61" t="s">
        <v>5827</v>
      </c>
      <c r="N1464" s="73"/>
      <c r="O1464" s="61" t="s">
        <v>7550</v>
      </c>
      <c r="P1464" s="67" t="str">
        <f t="shared" si="8"/>
        <v>50.488343, 30.263907</v>
      </c>
      <c r="Q1464" s="67" t="str">
        <f t="shared" si="2"/>
        <v>50.488287, 30.262813</v>
      </c>
      <c r="R1464" s="67">
        <f t="shared" si="3"/>
        <v>50.488287</v>
      </c>
      <c r="S1464" s="67">
        <f t="shared" si="4"/>
        <v>30.262813</v>
      </c>
      <c r="T1464" s="71" t="s">
        <v>14507</v>
      </c>
      <c r="U1464" s="69"/>
      <c r="V1464" s="65" t="s">
        <v>14508</v>
      </c>
      <c r="W1464" s="71" t="s">
        <v>10760</v>
      </c>
      <c r="X1464" s="72" t="s">
        <v>5504</v>
      </c>
      <c r="Y1464" s="61" t="s">
        <v>5820</v>
      </c>
      <c r="Z1464" s="73"/>
      <c r="AA1464" s="73"/>
      <c r="AB1464" s="73"/>
      <c r="AC1464" s="73"/>
      <c r="AD1464" s="73"/>
      <c r="AE1464" s="73"/>
      <c r="AF1464" s="73"/>
      <c r="AG1464" s="73"/>
      <c r="AH1464" s="73"/>
      <c r="AI1464" s="73"/>
      <c r="AJ1464" s="161"/>
      <c r="AK1464" s="76" t="s">
        <v>798</v>
      </c>
      <c r="AL1464" s="83" t="s">
        <v>14509</v>
      </c>
      <c r="AM1464" s="71" t="s">
        <v>14510</v>
      </c>
      <c r="AN1464" s="84" t="s">
        <v>14511</v>
      </c>
      <c r="AO1464" s="71" t="s">
        <v>14512</v>
      </c>
      <c r="AP1464" s="161" t="str">
        <f>IMAGE("https://bellingcat-archive.nyc3.cdn.digitaloceanspaces.com/Ukraine_Witness_Datasheet/Worksheet/youtube_dl_1500109042563301377/out7.jpg")</f>
        <v/>
      </c>
      <c r="AQ1464" s="84" t="s">
        <v>14513</v>
      </c>
      <c r="AR1464" s="71" t="s">
        <v>14514</v>
      </c>
      <c r="AS1464" s="71" t="s">
        <v>14515</v>
      </c>
      <c r="AT1464" s="71">
        <v>59.366</v>
      </c>
      <c r="AU1464" s="89"/>
      <c r="AV1464" s="162"/>
      <c r="AW1464" s="81"/>
    </row>
    <row r="1465" ht="15.75" customHeight="1">
      <c r="A1465" s="204" t="s">
        <v>63</v>
      </c>
      <c r="B1465" s="73"/>
      <c r="C1465" s="57" t="s">
        <v>13542</v>
      </c>
      <c r="D1465" s="74">
        <v>50.519497</v>
      </c>
      <c r="E1465" s="74">
        <v>30.20801</v>
      </c>
      <c r="F1465" s="79">
        <v>1.0</v>
      </c>
      <c r="G1465" s="84" t="s">
        <v>14516</v>
      </c>
      <c r="H1465" s="61" t="s">
        <v>91</v>
      </c>
      <c r="I1465" s="75"/>
      <c r="J1465" s="71" t="s">
        <v>14517</v>
      </c>
      <c r="K1465" s="69"/>
      <c r="L1465" s="65" t="s">
        <v>3542</v>
      </c>
      <c r="M1465" s="61" t="s">
        <v>5827</v>
      </c>
      <c r="N1465" s="73"/>
      <c r="O1465" s="61" t="s">
        <v>7550</v>
      </c>
      <c r="P1465" s="67" t="str">
        <f t="shared" si="8"/>
        <v>50.519497, 30.20801</v>
      </c>
      <c r="Q1465" s="67" t="str">
        <f t="shared" si="2"/>
        <v>50.519136, 30.208542</v>
      </c>
      <c r="R1465" s="67">
        <f t="shared" si="3"/>
        <v>50.519136</v>
      </c>
      <c r="S1465" s="67">
        <f t="shared" si="4"/>
        <v>30.208542</v>
      </c>
      <c r="T1465" s="161"/>
      <c r="U1465" s="69"/>
      <c r="V1465" s="65" t="s">
        <v>14518</v>
      </c>
      <c r="W1465" s="71" t="s">
        <v>5858</v>
      </c>
      <c r="X1465" s="72" t="s">
        <v>5504</v>
      </c>
      <c r="Y1465" s="61" t="s">
        <v>2982</v>
      </c>
      <c r="Z1465" s="73"/>
      <c r="AA1465" s="73"/>
      <c r="AB1465" s="73"/>
      <c r="AC1465" s="73"/>
      <c r="AD1465" s="73"/>
      <c r="AE1465" s="73"/>
      <c r="AF1465" s="73"/>
      <c r="AG1465" s="73"/>
      <c r="AH1465" s="73"/>
      <c r="AI1465" s="73"/>
      <c r="AJ1465" s="161"/>
      <c r="AK1465" s="76" t="s">
        <v>2108</v>
      </c>
      <c r="AL1465" s="83" t="s">
        <v>14519</v>
      </c>
      <c r="AM1465" s="71" t="s">
        <v>14520</v>
      </c>
      <c r="AN1465" s="84" t="s">
        <v>14521</v>
      </c>
      <c r="AO1465" s="71" t="s">
        <v>14522</v>
      </c>
      <c r="AP1465" s="161" t="str">
        <f>IMAGE("https://bellingcat-archive.nyc3.cdn.digitaloceanspaces.com/Ukraine_Witness_Datasheet/Worksheet/twitter__media_FNF071rWQAk_hnH.jpg")</f>
        <v/>
      </c>
      <c r="AQ1465" s="161"/>
      <c r="AR1465" s="161"/>
      <c r="AS1465" s="71" t="s">
        <v>14523</v>
      </c>
      <c r="AT1465" s="161"/>
      <c r="AU1465" s="89"/>
      <c r="AV1465" s="80" t="s">
        <v>88</v>
      </c>
      <c r="AW1465" s="81"/>
    </row>
    <row r="1466" ht="15.75" customHeight="1">
      <c r="A1466" s="208" t="s">
        <v>12532</v>
      </c>
      <c r="B1466" s="73"/>
      <c r="C1466" s="176"/>
      <c r="D1466" s="121"/>
      <c r="E1466" s="121"/>
      <c r="F1466" s="89"/>
      <c r="G1466" s="84" t="s">
        <v>14524</v>
      </c>
      <c r="H1466" s="73"/>
      <c r="I1466" s="75"/>
      <c r="J1466" s="161"/>
      <c r="K1466" s="69"/>
      <c r="L1466" s="70"/>
      <c r="M1466" s="73"/>
      <c r="N1466" s="73"/>
      <c r="O1466" s="73"/>
      <c r="P1466" s="67" t="str">
        <f t="shared" si="8"/>
        <v/>
      </c>
      <c r="Q1466" s="67" t="str">
        <f t="shared" si="2"/>
        <v/>
      </c>
      <c r="R1466" s="67" t="str">
        <f t="shared" si="3"/>
        <v/>
      </c>
      <c r="S1466" s="67" t="str">
        <f t="shared" si="4"/>
        <v/>
      </c>
      <c r="T1466" s="161"/>
      <c r="U1466" s="69"/>
      <c r="V1466" s="65" t="s">
        <v>14525</v>
      </c>
      <c r="W1466" s="161"/>
      <c r="X1466" s="194"/>
      <c r="Y1466" s="73"/>
      <c r="Z1466" s="73"/>
      <c r="AA1466" s="73"/>
      <c r="AB1466" s="73"/>
      <c r="AC1466" s="73"/>
      <c r="AD1466" s="73"/>
      <c r="AE1466" s="73"/>
      <c r="AF1466" s="73"/>
      <c r="AG1466" s="73"/>
      <c r="AH1466" s="73"/>
      <c r="AI1466" s="73"/>
      <c r="AJ1466" s="161"/>
      <c r="AK1466" s="76" t="s">
        <v>798</v>
      </c>
      <c r="AL1466" s="83" t="s">
        <v>14526</v>
      </c>
      <c r="AM1466" s="71" t="s">
        <v>14527</v>
      </c>
      <c r="AN1466" s="84" t="s">
        <v>14528</v>
      </c>
      <c r="AO1466" s="71" t="s">
        <v>14529</v>
      </c>
      <c r="AP1466" s="161" t="str">
        <f>IMAGE("https://bellingcat-archive.nyc3.cdn.digitaloceanspaces.com/Ukraine_Witness_Datasheet/Worksheet/youtube_dl_1499861301241303045/out20.jpg")</f>
        <v/>
      </c>
      <c r="AQ1466" s="84" t="s">
        <v>14530</v>
      </c>
      <c r="AR1466" s="71" t="s">
        <v>14531</v>
      </c>
      <c r="AS1466" s="71" t="s">
        <v>14532</v>
      </c>
      <c r="AT1466" s="71">
        <v>140.0</v>
      </c>
      <c r="AU1466" s="89"/>
      <c r="AV1466" s="162"/>
      <c r="AW1466" s="81"/>
    </row>
    <row r="1467" ht="15.75" customHeight="1">
      <c r="A1467" s="357" t="s">
        <v>7754</v>
      </c>
      <c r="B1467" s="73"/>
      <c r="C1467" s="57" t="s">
        <v>13542</v>
      </c>
      <c r="D1467" s="104">
        <v>49.805255</v>
      </c>
      <c r="E1467" s="104">
        <v>30.097352</v>
      </c>
      <c r="F1467" s="79">
        <v>3.0</v>
      </c>
      <c r="G1467" s="60" t="s">
        <v>14533</v>
      </c>
      <c r="H1467" s="61" t="s">
        <v>5522</v>
      </c>
      <c r="I1467" s="215" t="s">
        <v>14333</v>
      </c>
      <c r="J1467" s="71" t="s">
        <v>14534</v>
      </c>
      <c r="K1467" s="88" t="s">
        <v>14535</v>
      </c>
      <c r="L1467" s="65" t="s">
        <v>3542</v>
      </c>
      <c r="M1467" s="61" t="s">
        <v>5827</v>
      </c>
      <c r="N1467" s="73"/>
      <c r="O1467" s="61" t="s">
        <v>14536</v>
      </c>
      <c r="P1467" s="67" t="str">
        <f t="shared" si="8"/>
        <v>49.805255, 30.097352</v>
      </c>
      <c r="Q1467" s="67" t="str">
        <f t="shared" si="2"/>
        <v>49.804581, 30.098047</v>
      </c>
      <c r="R1467" s="67">
        <f t="shared" si="3"/>
        <v>49.804581</v>
      </c>
      <c r="S1467" s="67">
        <f t="shared" si="4"/>
        <v>30.098047</v>
      </c>
      <c r="T1467" s="161"/>
      <c r="U1467" s="69"/>
      <c r="V1467" s="65" t="s">
        <v>14537</v>
      </c>
      <c r="W1467" s="71" t="s">
        <v>3601</v>
      </c>
      <c r="X1467" s="72" t="s">
        <v>5504</v>
      </c>
      <c r="Y1467" s="61" t="s">
        <v>11347</v>
      </c>
      <c r="Z1467" s="73"/>
      <c r="AA1467" s="73"/>
      <c r="AB1467" s="73"/>
      <c r="AC1467" s="73"/>
      <c r="AD1467" s="73"/>
      <c r="AE1467" s="73"/>
      <c r="AF1467" s="73"/>
      <c r="AG1467" s="73"/>
      <c r="AH1467" s="73"/>
      <c r="AI1467" s="73"/>
      <c r="AJ1467" s="161"/>
      <c r="AK1467" s="76" t="s">
        <v>798</v>
      </c>
      <c r="AL1467" s="83" t="s">
        <v>14538</v>
      </c>
      <c r="AM1467" s="71" t="s">
        <v>14539</v>
      </c>
      <c r="AN1467" s="84" t="s">
        <v>14540</v>
      </c>
      <c r="AO1467" s="71" t="s">
        <v>14541</v>
      </c>
      <c r="AP1467" s="161" t="str">
        <f>IMAGE("https://bellingcat-archive.nyc3.cdn.digitaloceanspaces.com/Ukraine_Witness_Datasheet/Worksheet/youtube_dl_1500059651546755073/out7.jpg")</f>
        <v/>
      </c>
      <c r="AQ1467" s="84" t="s">
        <v>14542</v>
      </c>
      <c r="AR1467" s="71" t="s">
        <v>14543</v>
      </c>
      <c r="AS1467" s="71" t="s">
        <v>14544</v>
      </c>
      <c r="AT1467" s="71">
        <v>19.249</v>
      </c>
      <c r="AU1467" s="89"/>
      <c r="AV1467" s="80"/>
      <c r="AW1467" s="81"/>
    </row>
    <row r="1468" ht="15.75" customHeight="1">
      <c r="A1468" s="72" t="s">
        <v>3944</v>
      </c>
      <c r="B1468" s="73"/>
      <c r="C1468" s="57" t="s">
        <v>13542</v>
      </c>
      <c r="D1468" s="104">
        <v>46.578622</v>
      </c>
      <c r="E1468" s="104">
        <v>32.945608</v>
      </c>
      <c r="F1468" s="79">
        <v>1.0</v>
      </c>
      <c r="G1468" s="84" t="s">
        <v>14545</v>
      </c>
      <c r="H1468" s="61" t="s">
        <v>5522</v>
      </c>
      <c r="I1468" s="75"/>
      <c r="J1468" s="71" t="s">
        <v>14479</v>
      </c>
      <c r="K1468" s="69"/>
      <c r="L1468" s="65" t="s">
        <v>3542</v>
      </c>
      <c r="M1468" s="61" t="s">
        <v>5702</v>
      </c>
      <c r="N1468" s="73"/>
      <c r="O1468" s="61" t="s">
        <v>7098</v>
      </c>
      <c r="P1468" s="67" t="str">
        <f t="shared" si="8"/>
        <v>46.578622, 32.945608</v>
      </c>
      <c r="Q1468" s="67" t="str">
        <f t="shared" si="2"/>
        <v>46.578034, 32.945794</v>
      </c>
      <c r="R1468" s="67">
        <f t="shared" si="3"/>
        <v>46.578034</v>
      </c>
      <c r="S1468" s="67">
        <f t="shared" si="4"/>
        <v>32.945794</v>
      </c>
      <c r="T1468" s="71" t="s">
        <v>14546</v>
      </c>
      <c r="U1468" s="69"/>
      <c r="V1468" s="65" t="s">
        <v>14547</v>
      </c>
      <c r="W1468" s="71" t="s">
        <v>5858</v>
      </c>
      <c r="X1468" s="72" t="s">
        <v>5504</v>
      </c>
      <c r="Y1468" s="61" t="s">
        <v>11347</v>
      </c>
      <c r="Z1468" s="73"/>
      <c r="AA1468" s="73"/>
      <c r="AB1468" s="73"/>
      <c r="AC1468" s="73"/>
      <c r="AD1468" s="73"/>
      <c r="AE1468" s="73"/>
      <c r="AF1468" s="73"/>
      <c r="AG1468" s="73"/>
      <c r="AH1468" s="73"/>
      <c r="AI1468" s="73"/>
      <c r="AJ1468" s="161"/>
      <c r="AK1468" s="76" t="s">
        <v>798</v>
      </c>
      <c r="AL1468" s="83" t="s">
        <v>14548</v>
      </c>
      <c r="AM1468" s="71" t="s">
        <v>14549</v>
      </c>
      <c r="AN1468" s="84" t="s">
        <v>14550</v>
      </c>
      <c r="AO1468" s="71" t="s">
        <v>14551</v>
      </c>
      <c r="AP1468" s="161" t="str">
        <f>IMAGE("https://bellingcat-archive.nyc3.cdn.digitaloceanspaces.com/Ukraine_Witness_Datasheet/Worksheet/youtube_dl_1500090236570849282/out20.jpg")</f>
        <v/>
      </c>
      <c r="AQ1468" s="84" t="s">
        <v>14552</v>
      </c>
      <c r="AR1468" s="71" t="s">
        <v>14553</v>
      </c>
      <c r="AS1468" s="71" t="s">
        <v>14554</v>
      </c>
      <c r="AT1468" s="71">
        <v>116.0</v>
      </c>
      <c r="AU1468" s="79" t="s">
        <v>3944</v>
      </c>
      <c r="AV1468" s="80" t="s">
        <v>63</v>
      </c>
      <c r="AW1468" s="81"/>
    </row>
    <row r="1469" ht="15.75" customHeight="1">
      <c r="A1469" s="72" t="s">
        <v>3944</v>
      </c>
      <c r="B1469" s="73"/>
      <c r="C1469" s="57" t="s">
        <v>13542</v>
      </c>
      <c r="D1469" s="104">
        <v>46.579413</v>
      </c>
      <c r="E1469" s="104">
        <v>32.945872</v>
      </c>
      <c r="F1469" s="79">
        <v>1.0</v>
      </c>
      <c r="G1469" s="84" t="s">
        <v>14555</v>
      </c>
      <c r="H1469" s="61" t="s">
        <v>5522</v>
      </c>
      <c r="I1469" s="75"/>
      <c r="J1469" s="71" t="s">
        <v>14479</v>
      </c>
      <c r="K1469" s="69"/>
      <c r="L1469" s="65" t="s">
        <v>3542</v>
      </c>
      <c r="M1469" s="61" t="s">
        <v>5702</v>
      </c>
      <c r="N1469" s="73"/>
      <c r="O1469" s="61" t="s">
        <v>7098</v>
      </c>
      <c r="P1469" s="67" t="str">
        <f t="shared" si="8"/>
        <v>46.579413, 32.945872</v>
      </c>
      <c r="Q1469" s="67" t="str">
        <f t="shared" si="2"/>
        <v>46.578783, 32.945804</v>
      </c>
      <c r="R1469" s="67">
        <f t="shared" si="3"/>
        <v>46.578783</v>
      </c>
      <c r="S1469" s="67">
        <f t="shared" si="4"/>
        <v>32.945804</v>
      </c>
      <c r="T1469" s="71" t="s">
        <v>14546</v>
      </c>
      <c r="U1469" s="69"/>
      <c r="V1469" s="65" t="s">
        <v>14556</v>
      </c>
      <c r="W1469" s="71" t="s">
        <v>5858</v>
      </c>
      <c r="X1469" s="72" t="s">
        <v>5504</v>
      </c>
      <c r="Y1469" s="61" t="s">
        <v>11347</v>
      </c>
      <c r="Z1469" s="73"/>
      <c r="AA1469" s="73"/>
      <c r="AB1469" s="73"/>
      <c r="AC1469" s="73"/>
      <c r="AD1469" s="73"/>
      <c r="AE1469" s="73"/>
      <c r="AF1469" s="73"/>
      <c r="AG1469" s="73"/>
      <c r="AH1469" s="73"/>
      <c r="AI1469" s="73"/>
      <c r="AJ1469" s="161"/>
      <c r="AK1469" s="76" t="s">
        <v>798</v>
      </c>
      <c r="AL1469" s="83" t="s">
        <v>14557</v>
      </c>
      <c r="AM1469" s="71" t="s">
        <v>14558</v>
      </c>
      <c r="AN1469" s="84" t="s">
        <v>14559</v>
      </c>
      <c r="AO1469" s="71" t="s">
        <v>14560</v>
      </c>
      <c r="AP1469" s="161" t="str">
        <f>IMAGE("https://bellingcat-archive.nyc3.cdn.digitaloceanspaces.com/Ukraine_Witness_Datasheet/Worksheet/youtube_dl_1500090578826055682/out20.jpg")</f>
        <v/>
      </c>
      <c r="AQ1469" s="84" t="s">
        <v>14561</v>
      </c>
      <c r="AR1469" s="71" t="s">
        <v>14562</v>
      </c>
      <c r="AS1469" s="71" t="s">
        <v>14563</v>
      </c>
      <c r="AT1469" s="71">
        <v>78.2</v>
      </c>
      <c r="AU1469" s="79" t="s">
        <v>3944</v>
      </c>
      <c r="AV1469" s="80" t="s">
        <v>63</v>
      </c>
      <c r="AW1469" s="81"/>
    </row>
    <row r="1470" ht="15.75" customHeight="1">
      <c r="A1470" s="72" t="s">
        <v>3944</v>
      </c>
      <c r="B1470" s="73"/>
      <c r="C1470" s="57" t="s">
        <v>13542</v>
      </c>
      <c r="D1470" s="104">
        <v>46.578627</v>
      </c>
      <c r="E1470" s="104">
        <v>32.949433</v>
      </c>
      <c r="F1470" s="79">
        <v>1.0</v>
      </c>
      <c r="G1470" s="84" t="s">
        <v>14564</v>
      </c>
      <c r="H1470" s="61" t="s">
        <v>5522</v>
      </c>
      <c r="I1470" s="75"/>
      <c r="J1470" s="71" t="s">
        <v>14479</v>
      </c>
      <c r="K1470" s="69"/>
      <c r="L1470" s="65" t="s">
        <v>3542</v>
      </c>
      <c r="M1470" s="61" t="s">
        <v>5702</v>
      </c>
      <c r="N1470" s="73"/>
      <c r="O1470" s="61" t="s">
        <v>7098</v>
      </c>
      <c r="P1470" s="67" t="str">
        <f t="shared" si="8"/>
        <v>46.578627, 32.949433</v>
      </c>
      <c r="Q1470" s="67" t="str">
        <f t="shared" si="2"/>
        <v>46.57825, 32.950001</v>
      </c>
      <c r="R1470" s="67">
        <f t="shared" si="3"/>
        <v>46.57825</v>
      </c>
      <c r="S1470" s="67">
        <f t="shared" si="4"/>
        <v>32.950001</v>
      </c>
      <c r="T1470" s="71" t="s">
        <v>14565</v>
      </c>
      <c r="U1470" s="69"/>
      <c r="V1470" s="65" t="s">
        <v>14566</v>
      </c>
      <c r="W1470" s="71" t="s">
        <v>5858</v>
      </c>
      <c r="X1470" s="72" t="s">
        <v>5504</v>
      </c>
      <c r="Y1470" s="61" t="s">
        <v>11347</v>
      </c>
      <c r="Z1470" s="73"/>
      <c r="AA1470" s="73"/>
      <c r="AB1470" s="73"/>
      <c r="AC1470" s="73"/>
      <c r="AD1470" s="73"/>
      <c r="AE1470" s="73"/>
      <c r="AF1470" s="73"/>
      <c r="AG1470" s="73"/>
      <c r="AH1470" s="73"/>
      <c r="AI1470" s="73"/>
      <c r="AJ1470" s="161"/>
      <c r="AK1470" s="76" t="s">
        <v>798</v>
      </c>
      <c r="AL1470" s="83" t="s">
        <v>14567</v>
      </c>
      <c r="AM1470" s="71" t="s">
        <v>14568</v>
      </c>
      <c r="AN1470" s="84" t="s">
        <v>14569</v>
      </c>
      <c r="AO1470" s="71" t="s">
        <v>14570</v>
      </c>
      <c r="AP1470" s="161" t="str">
        <f>IMAGE("https://bellingcat-archive.nyc3.cdn.digitaloceanspaces.com/Ukraine_Witness_Datasheet/Worksheet/youtube_dl_1500090768194744325/out7.jpg")</f>
        <v/>
      </c>
      <c r="AQ1470" s="84" t="s">
        <v>14571</v>
      </c>
      <c r="AR1470" s="71" t="s">
        <v>14572</v>
      </c>
      <c r="AS1470" s="71" t="s">
        <v>14573</v>
      </c>
      <c r="AT1470" s="71">
        <v>39.4</v>
      </c>
      <c r="AU1470" s="79" t="s">
        <v>3944</v>
      </c>
      <c r="AV1470" s="80" t="s">
        <v>63</v>
      </c>
      <c r="AW1470" s="81"/>
    </row>
    <row r="1471" ht="15.75" customHeight="1">
      <c r="A1471" s="72" t="s">
        <v>3944</v>
      </c>
      <c r="B1471" s="73"/>
      <c r="C1471" s="57" t="s">
        <v>13542</v>
      </c>
      <c r="D1471" s="104">
        <v>46.581809</v>
      </c>
      <c r="E1471" s="104">
        <v>32.946777</v>
      </c>
      <c r="F1471" s="79">
        <v>1.0</v>
      </c>
      <c r="G1471" s="84" t="s">
        <v>14574</v>
      </c>
      <c r="H1471" s="61" t="s">
        <v>5522</v>
      </c>
      <c r="I1471" s="75"/>
      <c r="J1471" s="71" t="s">
        <v>14479</v>
      </c>
      <c r="K1471" s="69"/>
      <c r="L1471" s="65" t="s">
        <v>3542</v>
      </c>
      <c r="M1471" s="61" t="s">
        <v>5702</v>
      </c>
      <c r="N1471" s="73"/>
      <c r="O1471" s="61" t="s">
        <v>7098</v>
      </c>
      <c r="P1471" s="67" t="str">
        <f t="shared" si="8"/>
        <v>46.581809, 32.946777</v>
      </c>
      <c r="Q1471" s="67" t="str">
        <f t="shared" si="2"/>
        <v>46.581468, 32.947178</v>
      </c>
      <c r="R1471" s="67">
        <f t="shared" si="3"/>
        <v>46.581468</v>
      </c>
      <c r="S1471" s="67">
        <f t="shared" si="4"/>
        <v>32.947178</v>
      </c>
      <c r="T1471" s="71" t="s">
        <v>14575</v>
      </c>
      <c r="U1471" s="69"/>
      <c r="V1471" s="65" t="s">
        <v>14576</v>
      </c>
      <c r="W1471" s="71" t="s">
        <v>5858</v>
      </c>
      <c r="X1471" s="72" t="s">
        <v>5504</v>
      </c>
      <c r="Y1471" s="61" t="s">
        <v>11347</v>
      </c>
      <c r="Z1471" s="73"/>
      <c r="AA1471" s="73"/>
      <c r="AB1471" s="73"/>
      <c r="AC1471" s="73"/>
      <c r="AD1471" s="73"/>
      <c r="AE1471" s="73"/>
      <c r="AF1471" s="73"/>
      <c r="AG1471" s="73"/>
      <c r="AH1471" s="73"/>
      <c r="AI1471" s="73"/>
      <c r="AJ1471" s="161"/>
      <c r="AK1471" s="76" t="s">
        <v>798</v>
      </c>
      <c r="AL1471" s="83" t="s">
        <v>14577</v>
      </c>
      <c r="AM1471" s="71" t="s">
        <v>14578</v>
      </c>
      <c r="AN1471" s="84" t="s">
        <v>14579</v>
      </c>
      <c r="AO1471" s="71" t="s">
        <v>14580</v>
      </c>
      <c r="AP1471" s="161" t="str">
        <f>IMAGE("https://bellingcat-archive.nyc3.cdn.digitaloceanspaces.com/Ukraine_Witness_Datasheet/Worksheet/youtube_dl_1500105505511022594/out20.jpg")</f>
        <v/>
      </c>
      <c r="AQ1471" s="84" t="s">
        <v>14581</v>
      </c>
      <c r="AR1471" s="71" t="s">
        <v>14582</v>
      </c>
      <c r="AS1471" s="71" t="s">
        <v>14583</v>
      </c>
      <c r="AT1471" s="71">
        <v>111.511</v>
      </c>
      <c r="AU1471" s="79" t="s">
        <v>3944</v>
      </c>
      <c r="AV1471" s="80" t="s">
        <v>63</v>
      </c>
      <c r="AW1471" s="81"/>
    </row>
    <row r="1472" ht="15.75" customHeight="1">
      <c r="A1472" s="208" t="s">
        <v>12532</v>
      </c>
      <c r="B1472" s="73"/>
      <c r="C1472" s="57" t="s">
        <v>13542</v>
      </c>
      <c r="D1472" s="74">
        <v>46.578987</v>
      </c>
      <c r="E1472" s="74">
        <v>32.945958</v>
      </c>
      <c r="F1472" s="79">
        <v>1.0</v>
      </c>
      <c r="G1472" s="84" t="s">
        <v>14584</v>
      </c>
      <c r="H1472" s="61" t="s">
        <v>5522</v>
      </c>
      <c r="I1472" s="75"/>
      <c r="J1472" s="71" t="s">
        <v>14479</v>
      </c>
      <c r="K1472" s="69"/>
      <c r="L1472" s="65" t="s">
        <v>3542</v>
      </c>
      <c r="M1472" s="93" t="s">
        <v>5702</v>
      </c>
      <c r="N1472" s="314"/>
      <c r="O1472" s="93" t="s">
        <v>7098</v>
      </c>
      <c r="P1472" s="67" t="str">
        <f t="shared" si="8"/>
        <v>46.578987, 32.945958</v>
      </c>
      <c r="Q1472" s="67" t="str">
        <f t="shared" si="2"/>
        <v>46.57861, 32.946331</v>
      </c>
      <c r="R1472" s="67">
        <f t="shared" si="3"/>
        <v>46.57861</v>
      </c>
      <c r="S1472" s="67">
        <f t="shared" si="4"/>
        <v>32.946331</v>
      </c>
      <c r="T1472" s="161"/>
      <c r="U1472" s="69"/>
      <c r="V1472" s="65" t="s">
        <v>14585</v>
      </c>
      <c r="W1472" s="71" t="s">
        <v>5858</v>
      </c>
      <c r="X1472" s="194"/>
      <c r="Y1472" s="61" t="s">
        <v>5820</v>
      </c>
      <c r="Z1472" s="73"/>
      <c r="AA1472" s="73"/>
      <c r="AB1472" s="73"/>
      <c r="AC1472" s="73"/>
      <c r="AD1472" s="73"/>
      <c r="AE1472" s="73"/>
      <c r="AF1472" s="73"/>
      <c r="AG1472" s="73"/>
      <c r="AH1472" s="73"/>
      <c r="AI1472" s="73"/>
      <c r="AJ1472" s="161"/>
      <c r="AK1472" s="76" t="s">
        <v>798</v>
      </c>
      <c r="AL1472" s="83" t="s">
        <v>14586</v>
      </c>
      <c r="AM1472" s="71" t="s">
        <v>14587</v>
      </c>
      <c r="AN1472" s="84" t="s">
        <v>14588</v>
      </c>
      <c r="AO1472" s="71" t="s">
        <v>14589</v>
      </c>
      <c r="AP1472" s="161" t="str">
        <f>IMAGE("https://bellingcat-archive.nyc3.cdn.digitaloceanspaces.com/Ukraine_Witness_Datasheet/Worksheet/youtube_dl_1500109908724924422/out20.jpg")</f>
        <v/>
      </c>
      <c r="AQ1472" s="84" t="s">
        <v>14590</v>
      </c>
      <c r="AR1472" s="71" t="s">
        <v>14591</v>
      </c>
      <c r="AS1472" s="71" t="s">
        <v>14592</v>
      </c>
      <c r="AT1472" s="71">
        <v>69.74</v>
      </c>
      <c r="AU1472" s="79" t="s">
        <v>63</v>
      </c>
      <c r="AV1472" s="162"/>
      <c r="AW1472" s="81"/>
    </row>
    <row r="1473" ht="15.75" customHeight="1">
      <c r="A1473" s="204" t="s">
        <v>63</v>
      </c>
      <c r="B1473" s="73"/>
      <c r="C1473" s="57" t="s">
        <v>13542</v>
      </c>
      <c r="D1473" s="74">
        <v>49.805132</v>
      </c>
      <c r="E1473" s="74">
        <v>30.097885</v>
      </c>
      <c r="F1473" s="79">
        <v>2.0</v>
      </c>
      <c r="G1473" s="84" t="s">
        <v>14593</v>
      </c>
      <c r="H1473" s="61" t="s">
        <v>13505</v>
      </c>
      <c r="I1473" s="75"/>
      <c r="J1473" s="71" t="s">
        <v>14534</v>
      </c>
      <c r="K1473" s="69"/>
      <c r="L1473" s="65" t="s">
        <v>3542</v>
      </c>
      <c r="M1473" s="93" t="s">
        <v>5827</v>
      </c>
      <c r="N1473" s="314"/>
      <c r="O1473" s="93" t="s">
        <v>14536</v>
      </c>
      <c r="P1473" s="67" t="str">
        <f t="shared" si="8"/>
        <v>49.805132, 30.097885</v>
      </c>
      <c r="Q1473" s="67" t="str">
        <f t="shared" si="2"/>
        <v>49.805126, 30.098959</v>
      </c>
      <c r="R1473" s="67">
        <f t="shared" si="3"/>
        <v>49.805126</v>
      </c>
      <c r="S1473" s="67">
        <f t="shared" si="4"/>
        <v>30.098959</v>
      </c>
      <c r="T1473" s="161"/>
      <c r="U1473" s="69"/>
      <c r="V1473" s="65" t="s">
        <v>14594</v>
      </c>
      <c r="W1473" s="71" t="s">
        <v>3601</v>
      </c>
      <c r="X1473" s="72" t="s">
        <v>5504</v>
      </c>
      <c r="Y1473" s="61" t="s">
        <v>5820</v>
      </c>
      <c r="Z1473" s="73"/>
      <c r="AA1473" s="73"/>
      <c r="AB1473" s="73"/>
      <c r="AC1473" s="73"/>
      <c r="AD1473" s="73"/>
      <c r="AE1473" s="73"/>
      <c r="AF1473" s="73"/>
      <c r="AG1473" s="73"/>
      <c r="AH1473" s="73"/>
      <c r="AI1473" s="73"/>
      <c r="AJ1473" s="161"/>
      <c r="AK1473" s="76" t="s">
        <v>798</v>
      </c>
      <c r="AL1473" s="83" t="s">
        <v>14595</v>
      </c>
      <c r="AM1473" s="71" t="s">
        <v>14596</v>
      </c>
      <c r="AN1473" s="84" t="s">
        <v>14597</v>
      </c>
      <c r="AO1473" s="71" t="s">
        <v>14598</v>
      </c>
      <c r="AP1473" s="161" t="str">
        <f>IMAGE("https://bellingcat-archive.nyc3.cdn.digitaloceanspaces.com/Ukraine_Witness_Datasheet/Worksheet/youtube_dl_1500108019606163460/out7.jpg")</f>
        <v/>
      </c>
      <c r="AQ1473" s="84" t="s">
        <v>14599</v>
      </c>
      <c r="AR1473" s="71" t="s">
        <v>14600</v>
      </c>
      <c r="AS1473" s="71" t="s">
        <v>14601</v>
      </c>
      <c r="AT1473" s="71">
        <v>21.5</v>
      </c>
      <c r="AU1473" s="79" t="s">
        <v>63</v>
      </c>
      <c r="AV1473" s="80" t="s">
        <v>88</v>
      </c>
      <c r="AW1473" s="81"/>
    </row>
    <row r="1474" ht="15.75" customHeight="1">
      <c r="A1474" s="204" t="s">
        <v>63</v>
      </c>
      <c r="B1474" s="73"/>
      <c r="C1474" s="57" t="s">
        <v>13542</v>
      </c>
      <c r="D1474" s="74">
        <v>49.805368</v>
      </c>
      <c r="E1474" s="74">
        <v>30.097435</v>
      </c>
      <c r="F1474" s="79">
        <v>2.0</v>
      </c>
      <c r="G1474" s="84" t="s">
        <v>14602</v>
      </c>
      <c r="H1474" s="61" t="s">
        <v>12612</v>
      </c>
      <c r="I1474" s="75"/>
      <c r="J1474" s="71" t="s">
        <v>14534</v>
      </c>
      <c r="K1474" s="69"/>
      <c r="L1474" s="65" t="s">
        <v>3542</v>
      </c>
      <c r="M1474" s="93" t="s">
        <v>5827</v>
      </c>
      <c r="N1474" s="314"/>
      <c r="O1474" s="93" t="s">
        <v>14536</v>
      </c>
      <c r="P1474" s="67" t="str">
        <f t="shared" si="8"/>
        <v>49.805368, 30.097435</v>
      </c>
      <c r="Q1474" s="67" t="str">
        <f t="shared" si="2"/>
        <v>49.805336, 30.097958</v>
      </c>
      <c r="R1474" s="67">
        <f t="shared" si="3"/>
        <v>49.805336</v>
      </c>
      <c r="S1474" s="67">
        <f t="shared" si="4"/>
        <v>30.097958</v>
      </c>
      <c r="T1474" s="161"/>
      <c r="U1474" s="69"/>
      <c r="V1474" s="65" t="s">
        <v>14603</v>
      </c>
      <c r="W1474" s="71" t="s">
        <v>3601</v>
      </c>
      <c r="X1474" s="72" t="s">
        <v>5504</v>
      </c>
      <c r="Y1474" s="61" t="s">
        <v>5820</v>
      </c>
      <c r="Z1474" s="73"/>
      <c r="AA1474" s="73"/>
      <c r="AB1474" s="73"/>
      <c r="AC1474" s="73"/>
      <c r="AD1474" s="73"/>
      <c r="AE1474" s="73"/>
      <c r="AF1474" s="73"/>
      <c r="AG1474" s="73"/>
      <c r="AH1474" s="73"/>
      <c r="AI1474" s="73"/>
      <c r="AJ1474" s="161"/>
      <c r="AK1474" s="76" t="s">
        <v>2108</v>
      </c>
      <c r="AL1474" s="83" t="s">
        <v>14604</v>
      </c>
      <c r="AM1474" s="71" t="s">
        <v>14605</v>
      </c>
      <c r="AN1474" s="84" t="s">
        <v>14606</v>
      </c>
      <c r="AO1474" s="71" t="s">
        <v>14607</v>
      </c>
      <c r="AP1474" s="161" t="str">
        <f>IMAGE("https://bellingcat-archive.nyc3.cdn.digitaloceanspaces.com/Ukraine_Witness_Datasheet/Worksheet/twitter__media_FNFgi76XEAU9icc.jpg")</f>
        <v/>
      </c>
      <c r="AQ1474" s="161"/>
      <c r="AR1474" s="161"/>
      <c r="AS1474" s="71" t="s">
        <v>14608</v>
      </c>
      <c r="AT1474" s="161"/>
      <c r="AU1474" s="79" t="s">
        <v>63</v>
      </c>
      <c r="AV1474" s="80" t="s">
        <v>3944</v>
      </c>
      <c r="AW1474" s="81"/>
    </row>
    <row r="1475" ht="15.75" customHeight="1">
      <c r="A1475" s="204" t="s">
        <v>63</v>
      </c>
      <c r="B1475" s="73"/>
      <c r="C1475" s="57" t="s">
        <v>13542</v>
      </c>
      <c r="D1475" s="74">
        <v>46.84449</v>
      </c>
      <c r="E1475" s="74">
        <v>35.373036</v>
      </c>
      <c r="F1475" s="79">
        <v>1.0</v>
      </c>
      <c r="G1475" s="84" t="s">
        <v>14609</v>
      </c>
      <c r="H1475" s="61" t="s">
        <v>66</v>
      </c>
      <c r="I1475" s="75"/>
      <c r="J1475" s="71" t="s">
        <v>14610</v>
      </c>
      <c r="K1475" s="69"/>
      <c r="L1475" s="65" t="s">
        <v>3542</v>
      </c>
      <c r="M1475" s="92" t="s">
        <v>6167</v>
      </c>
      <c r="N1475" s="314"/>
      <c r="O1475" s="92" t="s">
        <v>6168</v>
      </c>
      <c r="P1475" s="67" t="str">
        <f t="shared" si="8"/>
        <v>46.84449, 35.373036</v>
      </c>
      <c r="Q1475" s="67" t="str">
        <f t="shared" si="2"/>
        <v>46.844386, 35.373739</v>
      </c>
      <c r="R1475" s="67">
        <f t="shared" si="3"/>
        <v>46.844386</v>
      </c>
      <c r="S1475" s="67">
        <f t="shared" si="4"/>
        <v>35.373739</v>
      </c>
      <c r="T1475" s="161"/>
      <c r="U1475" s="69"/>
      <c r="V1475" s="65" t="s">
        <v>14611</v>
      </c>
      <c r="W1475" s="71" t="s">
        <v>5858</v>
      </c>
      <c r="X1475" s="72" t="s">
        <v>5504</v>
      </c>
      <c r="Y1475" s="61" t="s">
        <v>5820</v>
      </c>
      <c r="Z1475" s="73"/>
      <c r="AA1475" s="73"/>
      <c r="AB1475" s="73"/>
      <c r="AC1475" s="73"/>
      <c r="AD1475" s="73"/>
      <c r="AE1475" s="73"/>
      <c r="AF1475" s="73"/>
      <c r="AG1475" s="73"/>
      <c r="AH1475" s="73"/>
      <c r="AI1475" s="73"/>
      <c r="AJ1475" s="161"/>
      <c r="AK1475" s="76" t="s">
        <v>798</v>
      </c>
      <c r="AL1475" s="83" t="s">
        <v>14612</v>
      </c>
      <c r="AM1475" s="71" t="s">
        <v>14613</v>
      </c>
      <c r="AN1475" s="84" t="s">
        <v>14614</v>
      </c>
      <c r="AO1475" s="71" t="s">
        <v>14615</v>
      </c>
      <c r="AP1475" s="161" t="str">
        <f>IMAGE("https://bellingcat-archive.nyc3.cdn.digitaloceanspaces.com/Ukraine_Witness_Datasheet/Worksheet/youtube_dl_1499979799917436930/out7.jpg")</f>
        <v/>
      </c>
      <c r="AQ1475" s="84" t="s">
        <v>14616</v>
      </c>
      <c r="AR1475" s="71" t="s">
        <v>14617</v>
      </c>
      <c r="AS1475" s="71" t="s">
        <v>14618</v>
      </c>
      <c r="AT1475" s="71">
        <v>31.833</v>
      </c>
      <c r="AU1475" s="79" t="s">
        <v>63</v>
      </c>
      <c r="AV1475" s="80" t="s">
        <v>3944</v>
      </c>
      <c r="AW1475" s="81"/>
    </row>
    <row r="1476" ht="15.75" customHeight="1">
      <c r="A1476" s="208"/>
      <c r="B1476" s="73"/>
      <c r="C1476" s="176"/>
      <c r="D1476" s="121"/>
      <c r="E1476" s="121"/>
      <c r="F1476" s="89"/>
      <c r="G1476" s="161"/>
      <c r="H1476" s="73"/>
      <c r="I1476" s="75"/>
      <c r="J1476" s="161"/>
      <c r="K1476" s="69"/>
      <c r="L1476" s="70"/>
      <c r="M1476" s="73"/>
      <c r="N1476" s="73"/>
      <c r="O1476" s="73"/>
      <c r="P1476" s="67" t="str">
        <f t="shared" si="8"/>
        <v/>
      </c>
      <c r="Q1476" s="67" t="str">
        <f t="shared" si="2"/>
        <v/>
      </c>
      <c r="R1476" s="67" t="str">
        <f t="shared" si="3"/>
        <v/>
      </c>
      <c r="S1476" s="67" t="str">
        <f t="shared" si="4"/>
        <v/>
      </c>
      <c r="T1476" s="161"/>
      <c r="U1476" s="69"/>
      <c r="V1476" s="65" t="s">
        <v>14619</v>
      </c>
      <c r="W1476" s="161"/>
      <c r="X1476" s="194"/>
      <c r="Y1476" s="73"/>
      <c r="Z1476" s="73"/>
      <c r="AA1476" s="73"/>
      <c r="AB1476" s="73"/>
      <c r="AC1476" s="73"/>
      <c r="AD1476" s="73"/>
      <c r="AE1476" s="73"/>
      <c r="AF1476" s="73"/>
      <c r="AG1476" s="73"/>
      <c r="AH1476" s="73"/>
      <c r="AI1476" s="73"/>
      <c r="AJ1476" s="161"/>
      <c r="AK1476" s="236"/>
      <c r="AL1476" s="269"/>
      <c r="AM1476" s="161"/>
      <c r="AN1476" s="161"/>
      <c r="AO1476" s="161"/>
      <c r="AP1476" s="161"/>
      <c r="AQ1476" s="161"/>
      <c r="AR1476" s="161"/>
      <c r="AS1476" s="161"/>
      <c r="AT1476" s="161"/>
      <c r="AU1476" s="89"/>
      <c r="AV1476" s="162"/>
      <c r="AW1476" s="81"/>
    </row>
    <row r="1477" ht="15.75" customHeight="1">
      <c r="A1477" s="204" t="s">
        <v>11075</v>
      </c>
      <c r="B1477" s="73"/>
      <c r="C1477" s="57" t="s">
        <v>13542</v>
      </c>
      <c r="D1477" s="104">
        <v>46.6412738641832</v>
      </c>
      <c r="E1477" s="104">
        <v>32.6157803690515</v>
      </c>
      <c r="F1477" s="79">
        <v>1.0</v>
      </c>
      <c r="G1477" s="84" t="s">
        <v>14620</v>
      </c>
      <c r="H1477" s="61" t="s">
        <v>5522</v>
      </c>
      <c r="I1477" s="75"/>
      <c r="J1477" s="504" t="s">
        <v>14621</v>
      </c>
      <c r="K1477" s="88" t="s">
        <v>14622</v>
      </c>
      <c r="L1477" s="65" t="s">
        <v>3542</v>
      </c>
      <c r="M1477" s="61" t="s">
        <v>5702</v>
      </c>
      <c r="N1477" s="73"/>
      <c r="O1477" s="61" t="s">
        <v>7098</v>
      </c>
      <c r="P1477" s="67" t="str">
        <f t="shared" si="8"/>
        <v>46.6412738641832, 32.6157803690515</v>
      </c>
      <c r="Q1477" s="67" t="str">
        <f t="shared" si="2"/>
        <v>46.64104, 32.614743</v>
      </c>
      <c r="R1477" s="67">
        <f t="shared" si="3"/>
        <v>46.64104</v>
      </c>
      <c r="S1477" s="67">
        <f t="shared" si="4"/>
        <v>32.614743</v>
      </c>
      <c r="T1477" s="161"/>
      <c r="U1477" s="69"/>
      <c r="V1477" s="65" t="s">
        <v>14623</v>
      </c>
      <c r="W1477" s="71" t="s">
        <v>811</v>
      </c>
      <c r="X1477" s="72" t="s">
        <v>5504</v>
      </c>
      <c r="Y1477" s="61" t="s">
        <v>5820</v>
      </c>
      <c r="Z1477" s="73"/>
      <c r="AA1477" s="73"/>
      <c r="AB1477" s="73"/>
      <c r="AC1477" s="73"/>
      <c r="AD1477" s="73"/>
      <c r="AE1477" s="73"/>
      <c r="AF1477" s="73"/>
      <c r="AG1477" s="73"/>
      <c r="AH1477" s="73"/>
      <c r="AI1477" s="73"/>
      <c r="AJ1477" s="161"/>
      <c r="AK1477" s="76" t="s">
        <v>930</v>
      </c>
      <c r="AL1477" s="83" t="s">
        <v>14461</v>
      </c>
      <c r="AM1477" s="71" t="s">
        <v>14624</v>
      </c>
      <c r="AN1477" s="84" t="s">
        <v>14625</v>
      </c>
      <c r="AO1477" s="71" t="s">
        <v>14464</v>
      </c>
      <c r="AP1477" s="161" t="str">
        <f>IMAGE("https://bellingcat-archive.nyc3.cdn.digitaloceanspaces.com/Ukraine_Witness_Datasheet/Worksheet/youtube_dl_1500080905297317889/out7.jpg")</f>
        <v/>
      </c>
      <c r="AQ1477" s="84" t="s">
        <v>14465</v>
      </c>
      <c r="AR1477" s="71" t="s">
        <v>14466</v>
      </c>
      <c r="AS1477" s="71" t="s">
        <v>14467</v>
      </c>
      <c r="AT1477" s="71">
        <v>36.198</v>
      </c>
      <c r="AU1477" s="89"/>
      <c r="AV1477" s="80" t="s">
        <v>88</v>
      </c>
      <c r="AW1477" s="81"/>
    </row>
    <row r="1478" ht="15.75" customHeight="1">
      <c r="A1478" s="204" t="s">
        <v>11075</v>
      </c>
      <c r="B1478" s="73"/>
      <c r="C1478" s="57" t="s">
        <v>13542</v>
      </c>
      <c r="D1478" s="104">
        <v>46.6412738641832</v>
      </c>
      <c r="E1478" s="104">
        <v>32.6157803690515</v>
      </c>
      <c r="F1478" s="79">
        <v>1.0</v>
      </c>
      <c r="G1478" s="84" t="s">
        <v>14626</v>
      </c>
      <c r="H1478" s="61" t="s">
        <v>5522</v>
      </c>
      <c r="I1478" s="75"/>
      <c r="J1478" s="504" t="s">
        <v>14621</v>
      </c>
      <c r="K1478" s="88" t="s">
        <v>14622</v>
      </c>
      <c r="L1478" s="65" t="s">
        <v>3542</v>
      </c>
      <c r="M1478" s="61" t="s">
        <v>5702</v>
      </c>
      <c r="N1478" s="73"/>
      <c r="O1478" s="61" t="s">
        <v>7098</v>
      </c>
      <c r="P1478" s="67" t="str">
        <f t="shared" si="8"/>
        <v>46.6412738641832, 32.6157803690515</v>
      </c>
      <c r="Q1478" s="67" t="str">
        <f t="shared" si="2"/>
        <v>46.641205, 32.61668</v>
      </c>
      <c r="R1478" s="67">
        <f t="shared" si="3"/>
        <v>46.641205</v>
      </c>
      <c r="S1478" s="67">
        <f t="shared" si="4"/>
        <v>32.61668</v>
      </c>
      <c r="T1478" s="161"/>
      <c r="U1478" s="69"/>
      <c r="V1478" s="65" t="s">
        <v>14627</v>
      </c>
      <c r="W1478" s="71" t="s">
        <v>811</v>
      </c>
      <c r="X1478" s="72" t="s">
        <v>5504</v>
      </c>
      <c r="Y1478" s="61" t="s">
        <v>5820</v>
      </c>
      <c r="Z1478" s="73"/>
      <c r="AA1478" s="73"/>
      <c r="AB1478" s="73"/>
      <c r="AC1478" s="73"/>
      <c r="AD1478" s="73"/>
      <c r="AE1478" s="73"/>
      <c r="AF1478" s="73"/>
      <c r="AG1478" s="73"/>
      <c r="AH1478" s="73"/>
      <c r="AI1478" s="73"/>
      <c r="AJ1478" s="161"/>
      <c r="AK1478" s="76" t="s">
        <v>798</v>
      </c>
      <c r="AL1478" s="83" t="s">
        <v>14628</v>
      </c>
      <c r="AM1478" s="71" t="s">
        <v>14629</v>
      </c>
      <c r="AN1478" s="84" t="s">
        <v>14630</v>
      </c>
      <c r="AO1478" s="71" t="s">
        <v>14631</v>
      </c>
      <c r="AP1478" s="161" t="str">
        <f>IMAGE("https://bellingcat-archive.nyc3.cdn.digitaloceanspaces.com/Ukraine_Witness_Datasheet/Worksheet/youtube_dl_1500067828245880833/out7.jpg")</f>
        <v/>
      </c>
      <c r="AQ1478" s="84" t="s">
        <v>14632</v>
      </c>
      <c r="AR1478" s="71" t="s">
        <v>14633</v>
      </c>
      <c r="AS1478" s="71" t="s">
        <v>14634</v>
      </c>
      <c r="AT1478" s="71">
        <v>21.233</v>
      </c>
      <c r="AU1478" s="89"/>
      <c r="AV1478" s="80" t="s">
        <v>88</v>
      </c>
      <c r="AW1478" s="81"/>
    </row>
    <row r="1479" ht="15.75" customHeight="1">
      <c r="A1479" s="204" t="s">
        <v>11075</v>
      </c>
      <c r="B1479" s="73"/>
      <c r="C1479" s="57" t="s">
        <v>13542</v>
      </c>
      <c r="D1479" s="104">
        <v>46.6368075788109</v>
      </c>
      <c r="E1479" s="104">
        <v>32.6156481843927</v>
      </c>
      <c r="F1479" s="79">
        <v>1.0</v>
      </c>
      <c r="G1479" s="84" t="s">
        <v>14635</v>
      </c>
      <c r="H1479" s="61" t="s">
        <v>5522</v>
      </c>
      <c r="I1479" s="75"/>
      <c r="J1479" s="71" t="s">
        <v>14636</v>
      </c>
      <c r="K1479" s="88" t="s">
        <v>14637</v>
      </c>
      <c r="L1479" s="65" t="s">
        <v>3542</v>
      </c>
      <c r="M1479" s="61" t="s">
        <v>5702</v>
      </c>
      <c r="N1479" s="73"/>
      <c r="O1479" s="61" t="s">
        <v>7098</v>
      </c>
      <c r="P1479" s="67" t="str">
        <f t="shared" si="8"/>
        <v>46.6368075788109, 32.6156481843927</v>
      </c>
      <c r="Q1479" s="67" t="str">
        <f t="shared" si="2"/>
        <v>46.636655, 32.614968</v>
      </c>
      <c r="R1479" s="67">
        <f t="shared" si="3"/>
        <v>46.636655</v>
      </c>
      <c r="S1479" s="67">
        <f t="shared" si="4"/>
        <v>32.614968</v>
      </c>
      <c r="T1479" s="84" t="s">
        <v>14638</v>
      </c>
      <c r="U1479" s="69"/>
      <c r="V1479" s="65" t="s">
        <v>14639</v>
      </c>
      <c r="W1479" s="71" t="s">
        <v>811</v>
      </c>
      <c r="X1479" s="72" t="s">
        <v>5504</v>
      </c>
      <c r="Y1479" s="61" t="s">
        <v>5820</v>
      </c>
      <c r="Z1479" s="73"/>
      <c r="AA1479" s="73"/>
      <c r="AB1479" s="73"/>
      <c r="AC1479" s="73"/>
      <c r="AD1479" s="73"/>
      <c r="AE1479" s="73"/>
      <c r="AF1479" s="73"/>
      <c r="AG1479" s="73"/>
      <c r="AH1479" s="73"/>
      <c r="AI1479" s="73"/>
      <c r="AJ1479" s="161"/>
      <c r="AK1479" s="76" t="s">
        <v>6276</v>
      </c>
      <c r="AL1479" s="83" t="s">
        <v>14640</v>
      </c>
      <c r="AM1479" s="71" t="s">
        <v>14641</v>
      </c>
      <c r="AN1479" s="84" t="s">
        <v>14642</v>
      </c>
      <c r="AO1479" s="71" t="s">
        <v>14643</v>
      </c>
      <c r="AP1479" s="161" t="str">
        <f>IMAGE("https://bellingcat-archive.nyc3.cdn.digitaloceanspaces.com/Ukraine_Witness_Datasheet/Worksheet/telegram_eb419fd102/out7.jpg")</f>
        <v/>
      </c>
      <c r="AQ1479" s="84" t="s">
        <v>14644</v>
      </c>
      <c r="AR1479" s="84" t="s">
        <v>14635</v>
      </c>
      <c r="AS1479" s="71" t="s">
        <v>14645</v>
      </c>
      <c r="AT1479" s="71">
        <v>19.0</v>
      </c>
      <c r="AU1479" s="89"/>
      <c r="AV1479" s="80" t="s">
        <v>88</v>
      </c>
      <c r="AW1479" s="81"/>
    </row>
    <row r="1480" ht="15.75" customHeight="1">
      <c r="A1480" s="502" t="s">
        <v>11075</v>
      </c>
      <c r="B1480" s="73"/>
      <c r="C1480" s="57" t="s">
        <v>13542</v>
      </c>
      <c r="D1480" s="121"/>
      <c r="E1480" s="121"/>
      <c r="F1480" s="79">
        <v>1.0</v>
      </c>
      <c r="G1480" s="84" t="s">
        <v>14646</v>
      </c>
      <c r="H1480" s="61" t="s">
        <v>5522</v>
      </c>
      <c r="I1480" s="75"/>
      <c r="J1480" s="71" t="s">
        <v>14647</v>
      </c>
      <c r="K1480" s="69"/>
      <c r="L1480" s="65" t="s">
        <v>3542</v>
      </c>
      <c r="M1480" s="61"/>
      <c r="N1480" s="73"/>
      <c r="O1480" s="61"/>
      <c r="P1480" s="67" t="str">
        <f t="shared" si="8"/>
        <v/>
      </c>
      <c r="Q1480" s="67" t="str">
        <f t="shared" si="2"/>
        <v/>
      </c>
      <c r="R1480" s="67" t="str">
        <f t="shared" si="3"/>
        <v/>
      </c>
      <c r="S1480" s="67" t="str">
        <f t="shared" si="4"/>
        <v/>
      </c>
      <c r="T1480" s="161"/>
      <c r="U1480" s="69"/>
      <c r="V1480" s="65" t="s">
        <v>14648</v>
      </c>
      <c r="W1480" s="71" t="s">
        <v>5858</v>
      </c>
      <c r="X1480" s="194"/>
      <c r="Y1480" s="61" t="s">
        <v>5820</v>
      </c>
      <c r="Z1480" s="73"/>
      <c r="AA1480" s="73"/>
      <c r="AB1480" s="73"/>
      <c r="AC1480" s="73"/>
      <c r="AD1480" s="73"/>
      <c r="AE1480" s="73"/>
      <c r="AF1480" s="73"/>
      <c r="AG1480" s="73"/>
      <c r="AH1480" s="73"/>
      <c r="AI1480" s="73"/>
      <c r="AJ1480" s="161"/>
      <c r="AK1480" s="76" t="s">
        <v>6276</v>
      </c>
      <c r="AL1480" s="83" t="s">
        <v>14649</v>
      </c>
      <c r="AM1480" s="71" t="s">
        <v>14650</v>
      </c>
      <c r="AN1480" s="84" t="s">
        <v>14651</v>
      </c>
      <c r="AO1480" s="71" t="s">
        <v>14652</v>
      </c>
      <c r="AP1480" s="161" t="str">
        <f>IMAGE("https://bellingcat-archive.nyc3.cdn.digitaloceanspaces.com/Ukraine_Witness_Datasheet/Worksheet/telegram_c22ac785ae/out7.jpg")</f>
        <v/>
      </c>
      <c r="AQ1480" s="84" t="s">
        <v>14653</v>
      </c>
      <c r="AR1480" s="84" t="s">
        <v>14646</v>
      </c>
      <c r="AS1480" s="71" t="s">
        <v>14654</v>
      </c>
      <c r="AT1480" s="71">
        <v>56.0</v>
      </c>
      <c r="AU1480" s="89"/>
      <c r="AV1480" s="162"/>
      <c r="AW1480" s="81"/>
    </row>
    <row r="1481" ht="15.75" customHeight="1">
      <c r="A1481" s="204" t="s">
        <v>11075</v>
      </c>
      <c r="B1481" s="73"/>
      <c r="C1481" s="57" t="s">
        <v>13542</v>
      </c>
      <c r="D1481" s="104">
        <v>46.6412370340119</v>
      </c>
      <c r="E1481" s="104">
        <v>32.6158018267222</v>
      </c>
      <c r="F1481" s="79">
        <v>1.0</v>
      </c>
      <c r="G1481" s="84" t="s">
        <v>14655</v>
      </c>
      <c r="H1481" s="61" t="s">
        <v>5522</v>
      </c>
      <c r="I1481" s="75"/>
      <c r="J1481" s="71" t="s">
        <v>14656</v>
      </c>
      <c r="K1481" s="88" t="s">
        <v>14657</v>
      </c>
      <c r="L1481" s="65" t="s">
        <v>3542</v>
      </c>
      <c r="M1481" s="61" t="s">
        <v>5590</v>
      </c>
      <c r="N1481" s="73"/>
      <c r="O1481" s="61" t="s">
        <v>5626</v>
      </c>
      <c r="P1481" s="67" t="str">
        <f t="shared" si="8"/>
        <v>46.6412370340119, 32.6158018267222</v>
      </c>
      <c r="Q1481" s="67" t="str">
        <f t="shared" si="2"/>
        <v>46.640495, 32.615835</v>
      </c>
      <c r="R1481" s="67">
        <f t="shared" si="3"/>
        <v>46.640495</v>
      </c>
      <c r="S1481" s="67">
        <f t="shared" si="4"/>
        <v>32.615835</v>
      </c>
      <c r="T1481" s="161"/>
      <c r="U1481" s="69"/>
      <c r="V1481" s="65" t="s">
        <v>14658</v>
      </c>
      <c r="W1481" s="71" t="s">
        <v>811</v>
      </c>
      <c r="X1481" s="72" t="s">
        <v>5504</v>
      </c>
      <c r="Y1481" s="61" t="s">
        <v>5820</v>
      </c>
      <c r="Z1481" s="73"/>
      <c r="AA1481" s="73"/>
      <c r="AB1481" s="73"/>
      <c r="AC1481" s="73"/>
      <c r="AD1481" s="73"/>
      <c r="AE1481" s="73"/>
      <c r="AF1481" s="73"/>
      <c r="AG1481" s="73"/>
      <c r="AH1481" s="73"/>
      <c r="AI1481" s="73"/>
      <c r="AJ1481" s="161"/>
      <c r="AK1481" s="76" t="s">
        <v>798</v>
      </c>
      <c r="AL1481" s="83" t="s">
        <v>14659</v>
      </c>
      <c r="AM1481" s="71" t="s">
        <v>14660</v>
      </c>
      <c r="AN1481" s="84" t="s">
        <v>14661</v>
      </c>
      <c r="AO1481" s="71" t="s">
        <v>14662</v>
      </c>
      <c r="AP1481" s="161" t="str">
        <f>IMAGE("https://bellingcat-archive.nyc3.cdn.digitaloceanspaces.com/Ukraine_Witness_Datasheet/Worksheet/youtube_dl_1500028423879733252/out7.jpg")</f>
        <v/>
      </c>
      <c r="AQ1481" s="84" t="s">
        <v>14663</v>
      </c>
      <c r="AR1481" s="71" t="s">
        <v>14664</v>
      </c>
      <c r="AS1481" s="71" t="s">
        <v>14665</v>
      </c>
      <c r="AT1481" s="71">
        <v>40.1</v>
      </c>
      <c r="AU1481" s="89"/>
      <c r="AV1481" s="80" t="s">
        <v>3944</v>
      </c>
      <c r="AW1481" s="81"/>
    </row>
    <row r="1482" ht="15.75" customHeight="1">
      <c r="A1482" s="357" t="s">
        <v>88</v>
      </c>
      <c r="B1482" s="73"/>
      <c r="C1482" s="57" t="s">
        <v>13542</v>
      </c>
      <c r="D1482" s="104">
        <v>50.042143</v>
      </c>
      <c r="E1482" s="74">
        <v>36.359936</v>
      </c>
      <c r="F1482" s="79">
        <v>2.0</v>
      </c>
      <c r="G1482" s="84" t="s">
        <v>14666</v>
      </c>
      <c r="H1482" s="61" t="s">
        <v>91</v>
      </c>
      <c r="I1482" s="215" t="s">
        <v>14667</v>
      </c>
      <c r="J1482" s="71" t="s">
        <v>14668</v>
      </c>
      <c r="K1482" s="69"/>
      <c r="L1482" s="65" t="s">
        <v>3542</v>
      </c>
      <c r="M1482" s="61" t="s">
        <v>5590</v>
      </c>
      <c r="N1482" s="73"/>
      <c r="O1482" s="61" t="s">
        <v>5626</v>
      </c>
      <c r="P1482" s="67" t="str">
        <f t="shared" si="8"/>
        <v>50.042143, 36.359936</v>
      </c>
      <c r="Q1482" s="67" t="str">
        <f t="shared" si="2"/>
        <v>50.041768, 36.359793</v>
      </c>
      <c r="R1482" s="67">
        <f t="shared" si="3"/>
        <v>50.041768</v>
      </c>
      <c r="S1482" s="67">
        <f t="shared" si="4"/>
        <v>36.359793</v>
      </c>
      <c r="T1482" s="161"/>
      <c r="U1482" s="69"/>
      <c r="V1482" s="65" t="s">
        <v>14669</v>
      </c>
      <c r="W1482" s="71" t="s">
        <v>3601</v>
      </c>
      <c r="X1482" s="72" t="s">
        <v>5504</v>
      </c>
      <c r="Y1482" s="61" t="s">
        <v>5820</v>
      </c>
      <c r="Z1482" s="73"/>
      <c r="AA1482" s="73"/>
      <c r="AB1482" s="73"/>
      <c r="AC1482" s="73"/>
      <c r="AD1482" s="73"/>
      <c r="AE1482" s="73"/>
      <c r="AF1482" s="73"/>
      <c r="AG1482" s="73"/>
      <c r="AH1482" s="73"/>
      <c r="AI1482" s="73"/>
      <c r="AJ1482" s="161"/>
      <c r="AK1482" s="76" t="s">
        <v>2108</v>
      </c>
      <c r="AL1482" s="83" t="s">
        <v>14670</v>
      </c>
      <c r="AM1482" s="71" t="s">
        <v>14671</v>
      </c>
      <c r="AN1482" s="84" t="s">
        <v>14672</v>
      </c>
      <c r="AO1482" s="71" t="s">
        <v>14673</v>
      </c>
      <c r="AP1482" s="161" t="str">
        <f>IMAGE("https://bellingcat-archive.nyc3.cdn.digitaloceanspaces.com/Ukraine_Witness_Datasheet/Worksheet/twitter__media_FNF5KO2XoAYbIEC.jpg")</f>
        <v/>
      </c>
      <c r="AQ1482" s="161"/>
      <c r="AR1482" s="161"/>
      <c r="AS1482" s="71" t="s">
        <v>14674</v>
      </c>
      <c r="AT1482" s="161"/>
      <c r="AU1482" s="89"/>
      <c r="AV1482" s="80" t="s">
        <v>63</v>
      </c>
      <c r="AW1482" s="203"/>
    </row>
    <row r="1483" ht="15.75" customHeight="1">
      <c r="A1483" s="505" t="s">
        <v>5520</v>
      </c>
      <c r="B1483" s="73"/>
      <c r="C1483" s="57" t="s">
        <v>12050</v>
      </c>
      <c r="D1483" s="104">
        <v>49.463503</v>
      </c>
      <c r="E1483" s="104">
        <v>28.519651</v>
      </c>
      <c r="F1483" s="79">
        <v>2.0</v>
      </c>
      <c r="G1483" s="84" t="s">
        <v>14675</v>
      </c>
      <c r="H1483" s="61" t="s">
        <v>5368</v>
      </c>
      <c r="I1483" s="75"/>
      <c r="J1483" s="71" t="s">
        <v>14676</v>
      </c>
      <c r="K1483" s="88" t="s">
        <v>14677</v>
      </c>
      <c r="L1483" s="65" t="s">
        <v>3542</v>
      </c>
      <c r="M1483" s="61" t="s">
        <v>14678</v>
      </c>
      <c r="N1483" s="73"/>
      <c r="O1483" s="61" t="s">
        <v>14679</v>
      </c>
      <c r="P1483" s="67" t="str">
        <f t="shared" si="8"/>
        <v>49.463503, 28.519651</v>
      </c>
      <c r="Q1483" s="67" t="str">
        <f t="shared" si="2"/>
        <v>49.463333, 28.520427</v>
      </c>
      <c r="R1483" s="67">
        <f t="shared" si="3"/>
        <v>49.463333</v>
      </c>
      <c r="S1483" s="67">
        <f t="shared" si="4"/>
        <v>28.520427</v>
      </c>
      <c r="T1483" s="71" t="s">
        <v>14680</v>
      </c>
      <c r="U1483" s="69"/>
      <c r="V1483" s="65" t="s">
        <v>14681</v>
      </c>
      <c r="W1483" s="71" t="s">
        <v>9711</v>
      </c>
      <c r="X1483" s="194"/>
      <c r="Y1483" s="73"/>
      <c r="Z1483" s="73"/>
      <c r="AA1483" s="73"/>
      <c r="AB1483" s="73"/>
      <c r="AC1483" s="73"/>
      <c r="AD1483" s="73"/>
      <c r="AE1483" s="73"/>
      <c r="AF1483" s="73"/>
      <c r="AG1483" s="73"/>
      <c r="AH1483" s="73"/>
      <c r="AI1483" s="73"/>
      <c r="AJ1483" s="161"/>
      <c r="AK1483" s="76" t="s">
        <v>2108</v>
      </c>
      <c r="AL1483" s="83" t="s">
        <v>14682</v>
      </c>
      <c r="AM1483" s="71" t="s">
        <v>14683</v>
      </c>
      <c r="AN1483" s="84" t="s">
        <v>14684</v>
      </c>
      <c r="AO1483" s="71" t="s">
        <v>14685</v>
      </c>
      <c r="AP1483" s="161" t="str">
        <f>IMAGE("https://bellingcat-archive.nyc3.cdn.digitaloceanspaces.com/Ukraine_Witness_Datasheet/Worksheet/twitter__media_FM85-Y9WUBsrd8-.jpg")</f>
        <v/>
      </c>
      <c r="AQ1483" s="161"/>
      <c r="AR1483" s="161"/>
      <c r="AS1483" s="71" t="s">
        <v>14686</v>
      </c>
      <c r="AT1483" s="161"/>
      <c r="AU1483" s="89"/>
      <c r="AV1483" s="80" t="s">
        <v>88</v>
      </c>
      <c r="AW1483" s="203" t="s">
        <v>14687</v>
      </c>
    </row>
    <row r="1484" ht="15.75" customHeight="1">
      <c r="A1484" s="204" t="s">
        <v>11075</v>
      </c>
      <c r="B1484" s="73"/>
      <c r="C1484" s="57" t="s">
        <v>6118</v>
      </c>
      <c r="D1484" s="104">
        <v>50.5188143023974</v>
      </c>
      <c r="E1484" s="104">
        <v>30.490348518215</v>
      </c>
      <c r="F1484" s="79">
        <v>4.0</v>
      </c>
      <c r="G1484" s="60" t="s">
        <v>14688</v>
      </c>
      <c r="H1484" s="61" t="s">
        <v>5522</v>
      </c>
      <c r="I1484" s="75"/>
      <c r="J1484" s="71" t="s">
        <v>14689</v>
      </c>
      <c r="K1484" s="88" t="s">
        <v>14690</v>
      </c>
      <c r="L1484" s="65" t="s">
        <v>3542</v>
      </c>
      <c r="M1484" s="73"/>
      <c r="N1484" s="73"/>
      <c r="O1484" s="61" t="s">
        <v>6121</v>
      </c>
      <c r="P1484" s="67" t="str">
        <f t="shared" si="8"/>
        <v>50.5188143023974, 30.490348518215</v>
      </c>
      <c r="Q1484" s="67" t="str">
        <f t="shared" si="2"/>
        <v>50.518189, 30.489498</v>
      </c>
      <c r="R1484" s="67">
        <f t="shared" si="3"/>
        <v>50.518189</v>
      </c>
      <c r="S1484" s="67">
        <f t="shared" si="4"/>
        <v>30.489498</v>
      </c>
      <c r="T1484" s="71" t="s">
        <v>14691</v>
      </c>
      <c r="U1484" s="69"/>
      <c r="V1484" s="65" t="s">
        <v>14692</v>
      </c>
      <c r="W1484" s="71" t="s">
        <v>6108</v>
      </c>
      <c r="X1484" s="72" t="s">
        <v>5504</v>
      </c>
      <c r="Y1484" s="93" t="s">
        <v>75</v>
      </c>
      <c r="Z1484" s="61" t="s">
        <v>14693</v>
      </c>
      <c r="AA1484" s="73"/>
      <c r="AB1484" s="73"/>
      <c r="AC1484" s="73"/>
      <c r="AD1484" s="73"/>
      <c r="AE1484" s="73"/>
      <c r="AF1484" s="73"/>
      <c r="AG1484" s="73"/>
      <c r="AH1484" s="73"/>
      <c r="AI1484" s="73"/>
      <c r="AJ1484" s="161"/>
      <c r="AK1484" s="76" t="s">
        <v>798</v>
      </c>
      <c r="AL1484" s="83" t="s">
        <v>14694</v>
      </c>
      <c r="AM1484" s="71" t="s">
        <v>14695</v>
      </c>
      <c r="AN1484" s="84" t="s">
        <v>14696</v>
      </c>
      <c r="AO1484" s="71" t="s">
        <v>14697</v>
      </c>
      <c r="AP1484" s="161" t="str">
        <f>IMAGE("https://bellingcat-archive.nyc3.cdn.digitaloceanspaces.com/Ukraine_Witness_Datasheet/Worksheet/youtube_dl_6hiVCh1sP6k/out20.jpg")</f>
        <v/>
      </c>
      <c r="AQ1484" s="84" t="s">
        <v>14698</v>
      </c>
      <c r="AR1484" s="71" t="s">
        <v>14699</v>
      </c>
      <c r="AS1484" s="71" t="s">
        <v>10741</v>
      </c>
      <c r="AT1484" s="71">
        <v>194.0</v>
      </c>
      <c r="AU1484" s="89"/>
      <c r="AV1484" s="80" t="s">
        <v>88</v>
      </c>
      <c r="AW1484" s="81"/>
    </row>
    <row r="1485" ht="15.75" customHeight="1">
      <c r="A1485" s="204" t="s">
        <v>5520</v>
      </c>
      <c r="B1485" s="73"/>
      <c r="C1485" s="57" t="s">
        <v>12050</v>
      </c>
      <c r="D1485" s="104">
        <v>50.5653329</v>
      </c>
      <c r="E1485" s="104">
        <v>30.270871</v>
      </c>
      <c r="F1485" s="79">
        <v>4.0</v>
      </c>
      <c r="G1485" s="84" t="s">
        <v>14700</v>
      </c>
      <c r="H1485" s="61" t="s">
        <v>5522</v>
      </c>
      <c r="I1485" s="75"/>
      <c r="J1485" s="71" t="s">
        <v>14701</v>
      </c>
      <c r="K1485" s="69"/>
      <c r="L1485" s="65" t="s">
        <v>3542</v>
      </c>
      <c r="M1485" s="61" t="s">
        <v>5827</v>
      </c>
      <c r="N1485" s="73"/>
      <c r="O1485" s="61" t="s">
        <v>5828</v>
      </c>
      <c r="P1485" s="67" t="str">
        <f t="shared" si="8"/>
        <v>50.5653329, 30.270871</v>
      </c>
      <c r="Q1485" s="67" t="str">
        <f t="shared" si="2"/>
        <v>50.565135, 30.271419</v>
      </c>
      <c r="R1485" s="67">
        <f t="shared" si="3"/>
        <v>50.565135</v>
      </c>
      <c r="S1485" s="67">
        <f t="shared" si="4"/>
        <v>30.271419</v>
      </c>
      <c r="T1485" s="84" t="s">
        <v>14702</v>
      </c>
      <c r="U1485" s="69"/>
      <c r="V1485" s="65" t="s">
        <v>14703</v>
      </c>
      <c r="W1485" s="71" t="s">
        <v>7571</v>
      </c>
      <c r="X1485" s="72" t="s">
        <v>5504</v>
      </c>
      <c r="Y1485" s="61" t="s">
        <v>5820</v>
      </c>
      <c r="Z1485" s="73"/>
      <c r="AA1485" s="73"/>
      <c r="AB1485" s="73"/>
      <c r="AC1485" s="73"/>
      <c r="AD1485" s="73"/>
      <c r="AE1485" s="73"/>
      <c r="AF1485" s="73"/>
      <c r="AG1485" s="73"/>
      <c r="AH1485" s="73"/>
      <c r="AI1485" s="73"/>
      <c r="AJ1485" s="161"/>
      <c r="AK1485" s="76" t="s">
        <v>798</v>
      </c>
      <c r="AL1485" s="83" t="s">
        <v>14704</v>
      </c>
      <c r="AM1485" s="71" t="s">
        <v>14705</v>
      </c>
      <c r="AN1485" s="84" t="s">
        <v>14706</v>
      </c>
      <c r="AO1485" s="71" t="s">
        <v>14707</v>
      </c>
      <c r="AP1485" s="161" t="str">
        <f>IMAGE("https://bellingcat-archive.nyc3.cdn.digitaloceanspaces.com/Ukraine_Witness_Datasheet/Worksheet/youtube_dl_1499459468639223815/out7.jpg")</f>
        <v/>
      </c>
      <c r="AQ1485" s="84" t="s">
        <v>14708</v>
      </c>
      <c r="AR1485" s="71" t="s">
        <v>14709</v>
      </c>
      <c r="AS1485" s="71" t="s">
        <v>14710</v>
      </c>
      <c r="AT1485" s="71">
        <v>18.32</v>
      </c>
      <c r="AU1485" s="89"/>
      <c r="AV1485" s="80" t="s">
        <v>3944</v>
      </c>
      <c r="AW1485" s="81"/>
    </row>
    <row r="1486" ht="15.75" customHeight="1">
      <c r="A1486" s="208" t="s">
        <v>12532</v>
      </c>
      <c r="B1486" s="73"/>
      <c r="C1486" s="57" t="s">
        <v>14711</v>
      </c>
      <c r="D1486" s="121"/>
      <c r="E1486" s="121"/>
      <c r="F1486" s="79">
        <v>5.0</v>
      </c>
      <c r="G1486" s="84" t="s">
        <v>14712</v>
      </c>
      <c r="H1486" s="61" t="s">
        <v>5522</v>
      </c>
      <c r="I1486" s="75"/>
      <c r="J1486" s="71" t="s">
        <v>14713</v>
      </c>
      <c r="K1486" s="69"/>
      <c r="L1486" s="65" t="s">
        <v>3542</v>
      </c>
      <c r="M1486" s="61" t="s">
        <v>5827</v>
      </c>
      <c r="N1486" s="73"/>
      <c r="O1486" s="73"/>
      <c r="P1486" s="67" t="str">
        <f t="shared" si="8"/>
        <v/>
      </c>
      <c r="Q1486" s="67" t="str">
        <f t="shared" si="2"/>
        <v/>
      </c>
      <c r="R1486" s="67" t="str">
        <f t="shared" si="3"/>
        <v/>
      </c>
      <c r="S1486" s="67" t="str">
        <f t="shared" si="4"/>
        <v/>
      </c>
      <c r="T1486" s="71" t="s">
        <v>14714</v>
      </c>
      <c r="U1486" s="69"/>
      <c r="V1486" s="65" t="s">
        <v>14715</v>
      </c>
      <c r="W1486" s="71" t="s">
        <v>6108</v>
      </c>
      <c r="X1486" s="194"/>
      <c r="Y1486" s="73"/>
      <c r="Z1486" s="73"/>
      <c r="AA1486" s="73"/>
      <c r="AB1486" s="73"/>
      <c r="AC1486" s="73"/>
      <c r="AD1486" s="73"/>
      <c r="AE1486" s="73"/>
      <c r="AF1486" s="73"/>
      <c r="AG1486" s="73"/>
      <c r="AH1486" s="73"/>
      <c r="AI1486" s="73"/>
      <c r="AJ1486" s="161"/>
      <c r="AK1486" s="76" t="s">
        <v>798</v>
      </c>
      <c r="AL1486" s="83" t="s">
        <v>14716</v>
      </c>
      <c r="AM1486" s="71" t="s">
        <v>14717</v>
      </c>
      <c r="AN1486" s="84" t="s">
        <v>14718</v>
      </c>
      <c r="AO1486" s="71" t="s">
        <v>14719</v>
      </c>
      <c r="AP1486" s="161" t="str">
        <f>IMAGE("https://bellingcat-archive.nyc3.cdn.digitaloceanspaces.com/Ukraine_Witness_Datasheet/Worksheet/youtube_dl_XeNReBistO0/out20.jpg")</f>
        <v/>
      </c>
      <c r="AQ1486" s="84" t="s">
        <v>14720</v>
      </c>
      <c r="AR1486" s="71" t="s">
        <v>14721</v>
      </c>
      <c r="AS1486" s="71" t="s">
        <v>10611</v>
      </c>
      <c r="AT1486" s="71">
        <v>83.0</v>
      </c>
      <c r="AU1486" s="89"/>
      <c r="AV1486" s="162"/>
      <c r="AW1486" s="81"/>
    </row>
    <row r="1487" ht="15.75" customHeight="1">
      <c r="A1487" s="505" t="s">
        <v>5520</v>
      </c>
      <c r="B1487" s="73"/>
      <c r="C1487" s="57" t="s">
        <v>13542</v>
      </c>
      <c r="D1487" s="104">
        <v>50.602143</v>
      </c>
      <c r="E1487" s="104">
        <v>36.543735</v>
      </c>
      <c r="F1487" s="79">
        <v>2.0</v>
      </c>
      <c r="G1487" s="84" t="s">
        <v>14722</v>
      </c>
      <c r="H1487" s="73"/>
      <c r="I1487" s="75"/>
      <c r="J1487" s="71" t="s">
        <v>14723</v>
      </c>
      <c r="K1487" s="88" t="s">
        <v>14724</v>
      </c>
      <c r="L1487" s="65" t="s">
        <v>79</v>
      </c>
      <c r="M1487" s="61" t="s">
        <v>1325</v>
      </c>
      <c r="N1487" s="73"/>
      <c r="O1487" s="61" t="s">
        <v>547</v>
      </c>
      <c r="P1487" s="67" t="str">
        <f t="shared" si="8"/>
        <v>50.602143, 36.543735</v>
      </c>
      <c r="Q1487" s="67" t="str">
        <f t="shared" si="2"/>
        <v>50.602027, 36.544295</v>
      </c>
      <c r="R1487" s="67">
        <f t="shared" si="3"/>
        <v>50.602027</v>
      </c>
      <c r="S1487" s="67">
        <f t="shared" si="4"/>
        <v>36.544295</v>
      </c>
      <c r="T1487" s="71" t="s">
        <v>14725</v>
      </c>
      <c r="U1487" s="69"/>
      <c r="V1487" s="65" t="s">
        <v>14726</v>
      </c>
      <c r="W1487" s="161"/>
      <c r="X1487" s="194"/>
      <c r="Y1487" s="73"/>
      <c r="Z1487" s="73"/>
      <c r="AA1487" s="73"/>
      <c r="AB1487" s="73"/>
      <c r="AC1487" s="73"/>
      <c r="AD1487" s="73"/>
      <c r="AE1487" s="73"/>
      <c r="AF1487" s="73"/>
      <c r="AG1487" s="73"/>
      <c r="AH1487" s="73"/>
      <c r="AI1487" s="73"/>
      <c r="AJ1487" s="161"/>
      <c r="AK1487" s="76" t="s">
        <v>798</v>
      </c>
      <c r="AL1487" s="83" t="s">
        <v>14727</v>
      </c>
      <c r="AM1487" s="71" t="s">
        <v>14728</v>
      </c>
      <c r="AN1487" s="84" t="s">
        <v>14729</v>
      </c>
      <c r="AO1487" s="71" t="s">
        <v>14730</v>
      </c>
      <c r="AP1487" s="161" t="str">
        <f>IMAGE("https://bellingcat-archive.nyc3.cdn.digitaloceanspaces.com/Ukraine_Witness_Datasheet/Worksheet/youtube_dl_1500166815376367616/out7.jpg")</f>
        <v/>
      </c>
      <c r="AQ1487" s="84" t="s">
        <v>14731</v>
      </c>
      <c r="AR1487" s="71" t="s">
        <v>14732</v>
      </c>
      <c r="AS1487" s="71" t="s">
        <v>14733</v>
      </c>
      <c r="AT1487" s="71">
        <v>10.433</v>
      </c>
      <c r="AU1487" s="89"/>
      <c r="AV1487" s="80" t="s">
        <v>88</v>
      </c>
      <c r="AW1487" s="203" t="s">
        <v>14734</v>
      </c>
    </row>
    <row r="1488" ht="15.75" customHeight="1">
      <c r="A1488" s="424" t="s">
        <v>11075</v>
      </c>
      <c r="B1488" s="73"/>
      <c r="C1488" s="57" t="s">
        <v>6118</v>
      </c>
      <c r="D1488" s="104">
        <v>50.9337005449784</v>
      </c>
      <c r="E1488" s="104">
        <v>29.9008818015117</v>
      </c>
      <c r="F1488" s="79">
        <v>5.0</v>
      </c>
      <c r="G1488" s="84" t="s">
        <v>14735</v>
      </c>
      <c r="H1488" s="61" t="s">
        <v>5522</v>
      </c>
      <c r="I1488" s="75"/>
      <c r="J1488" s="71" t="s">
        <v>14736</v>
      </c>
      <c r="K1488" s="88" t="s">
        <v>14737</v>
      </c>
      <c r="L1488" s="65" t="s">
        <v>3542</v>
      </c>
      <c r="M1488" s="61" t="s">
        <v>5827</v>
      </c>
      <c r="N1488" s="73"/>
      <c r="O1488" s="61" t="s">
        <v>14738</v>
      </c>
      <c r="P1488" s="67" t="str">
        <f t="shared" si="8"/>
        <v>50.9337005449784, 29.9008818015117</v>
      </c>
      <c r="Q1488" s="67" t="str">
        <f t="shared" si="2"/>
        <v>50.933648, 29.900052</v>
      </c>
      <c r="R1488" s="67">
        <f t="shared" si="3"/>
        <v>50.933648</v>
      </c>
      <c r="S1488" s="67">
        <f t="shared" si="4"/>
        <v>29.900052</v>
      </c>
      <c r="T1488" s="71" t="s">
        <v>14739</v>
      </c>
      <c r="U1488" s="69"/>
      <c r="V1488" s="65" t="s">
        <v>14740</v>
      </c>
      <c r="W1488" s="71" t="s">
        <v>14741</v>
      </c>
      <c r="X1488" s="194"/>
      <c r="Y1488" s="73"/>
      <c r="Z1488" s="73"/>
      <c r="AA1488" s="73"/>
      <c r="AB1488" s="73"/>
      <c r="AC1488" s="73"/>
      <c r="AD1488" s="73"/>
      <c r="AE1488" s="73"/>
      <c r="AF1488" s="73"/>
      <c r="AG1488" s="73"/>
      <c r="AH1488" s="73"/>
      <c r="AI1488" s="73"/>
      <c r="AJ1488" s="161"/>
      <c r="AK1488" s="76" t="s">
        <v>798</v>
      </c>
      <c r="AL1488" s="83" t="s">
        <v>14742</v>
      </c>
      <c r="AM1488" s="71" t="s">
        <v>14743</v>
      </c>
      <c r="AN1488" s="84" t="s">
        <v>14744</v>
      </c>
      <c r="AO1488" s="71" t="s">
        <v>14745</v>
      </c>
      <c r="AP1488" s="161" t="str">
        <f>IMAGE("https://bellingcat-archive.nyc3.cdn.digitaloceanspaces.com/Ukraine_Witness_Datasheet/Worksheet/youtube_dl_LQzs5HJuPnQ/out20.jpg")</f>
        <v/>
      </c>
      <c r="AQ1488" s="84" t="s">
        <v>14746</v>
      </c>
      <c r="AR1488" s="71" t="s">
        <v>14747</v>
      </c>
      <c r="AS1488" s="71" t="s">
        <v>14095</v>
      </c>
      <c r="AT1488" s="71">
        <v>248.0</v>
      </c>
      <c r="AU1488" s="89"/>
      <c r="AV1488" s="162"/>
      <c r="AW1488" s="81"/>
    </row>
    <row r="1489" ht="15.75" customHeight="1">
      <c r="A1489" s="204" t="s">
        <v>5520</v>
      </c>
      <c r="B1489" s="73"/>
      <c r="C1489" s="57" t="s">
        <v>13542</v>
      </c>
      <c r="D1489" s="104">
        <v>48.705426</v>
      </c>
      <c r="E1489" s="104">
        <v>37.627629</v>
      </c>
      <c r="F1489" s="79">
        <v>2.0</v>
      </c>
      <c r="G1489" s="84" t="s">
        <v>14748</v>
      </c>
      <c r="H1489" s="61" t="s">
        <v>5522</v>
      </c>
      <c r="I1489" s="75"/>
      <c r="J1489" s="71" t="s">
        <v>14749</v>
      </c>
      <c r="K1489" s="88" t="s">
        <v>14750</v>
      </c>
      <c r="L1489" s="65" t="s">
        <v>3542</v>
      </c>
      <c r="M1489" s="61" t="s">
        <v>5750</v>
      </c>
      <c r="N1489" s="73"/>
      <c r="O1489" s="61" t="s">
        <v>14751</v>
      </c>
      <c r="P1489" s="67" t="str">
        <f t="shared" si="8"/>
        <v>48.705426, 37.627629</v>
      </c>
      <c r="Q1489" s="67" t="str">
        <f t="shared" si="2"/>
        <v>48.704967, 37.627968</v>
      </c>
      <c r="R1489" s="67">
        <f t="shared" si="3"/>
        <v>48.704967</v>
      </c>
      <c r="S1489" s="67">
        <f t="shared" si="4"/>
        <v>37.627968</v>
      </c>
      <c r="T1489" s="71" t="s">
        <v>14752</v>
      </c>
      <c r="U1489" s="69"/>
      <c r="V1489" s="65" t="s">
        <v>14753</v>
      </c>
      <c r="W1489" s="71" t="s">
        <v>9711</v>
      </c>
      <c r="X1489" s="72" t="s">
        <v>5504</v>
      </c>
      <c r="Y1489" s="73"/>
      <c r="Z1489" s="73"/>
      <c r="AA1489" s="73"/>
      <c r="AB1489" s="73"/>
      <c r="AC1489" s="73"/>
      <c r="AD1489" s="73"/>
      <c r="AE1489" s="73"/>
      <c r="AF1489" s="73"/>
      <c r="AG1489" s="73"/>
      <c r="AH1489" s="73"/>
      <c r="AI1489" s="73"/>
      <c r="AJ1489" s="161"/>
      <c r="AK1489" s="76" t="s">
        <v>798</v>
      </c>
      <c r="AL1489" s="83" t="s">
        <v>14754</v>
      </c>
      <c r="AM1489" s="71" t="s">
        <v>14755</v>
      </c>
      <c r="AN1489" s="84" t="s">
        <v>14756</v>
      </c>
      <c r="AO1489" s="71" t="s">
        <v>14757</v>
      </c>
      <c r="AP1489" s="161" t="str">
        <f>IMAGE("https://bellingcat-archive.nyc3.cdn.digitaloceanspaces.com/Ukraine_Witness_Datasheet/Worksheet/youtube_dl_1500172208584417283/out7.jpg")</f>
        <v/>
      </c>
      <c r="AQ1489" s="84" t="s">
        <v>14758</v>
      </c>
      <c r="AR1489" s="71" t="s">
        <v>14759</v>
      </c>
      <c r="AS1489" s="71" t="s">
        <v>14760</v>
      </c>
      <c r="AT1489" s="71">
        <v>10.134</v>
      </c>
      <c r="AU1489" s="89"/>
      <c r="AV1489" s="80" t="s">
        <v>3944</v>
      </c>
      <c r="AW1489" s="81"/>
    </row>
    <row r="1490" ht="15.75" customHeight="1">
      <c r="A1490" s="357" t="s">
        <v>3944</v>
      </c>
      <c r="B1490" s="73"/>
      <c r="C1490" s="57" t="s">
        <v>13542</v>
      </c>
      <c r="D1490" s="104">
        <v>50.518679</v>
      </c>
      <c r="E1490" s="104">
        <v>30.20448</v>
      </c>
      <c r="F1490" s="79">
        <v>1.0</v>
      </c>
      <c r="G1490" s="84" t="s">
        <v>14761</v>
      </c>
      <c r="H1490" s="73"/>
      <c r="I1490" s="75"/>
      <c r="J1490" s="71" t="s">
        <v>14762</v>
      </c>
      <c r="K1490" s="88" t="s">
        <v>14763</v>
      </c>
      <c r="L1490" s="65" t="s">
        <v>3542</v>
      </c>
      <c r="M1490" s="61" t="s">
        <v>5827</v>
      </c>
      <c r="N1490" s="73"/>
      <c r="O1490" s="364" t="s">
        <v>12646</v>
      </c>
      <c r="P1490" s="67" t="str">
        <f t="shared" si="8"/>
        <v>50.518679, 30.20448</v>
      </c>
      <c r="Q1490" s="67" t="str">
        <f t="shared" si="2"/>
        <v>50.518594, 30.203906</v>
      </c>
      <c r="R1490" s="67">
        <f t="shared" si="3"/>
        <v>50.518594</v>
      </c>
      <c r="S1490" s="67">
        <f t="shared" si="4"/>
        <v>30.203906</v>
      </c>
      <c r="T1490" s="161"/>
      <c r="U1490" s="69"/>
      <c r="V1490" s="65" t="s">
        <v>14764</v>
      </c>
      <c r="W1490" s="71" t="s">
        <v>5858</v>
      </c>
      <c r="X1490" s="72" t="s">
        <v>5504</v>
      </c>
      <c r="Y1490" s="61" t="s">
        <v>75</v>
      </c>
      <c r="Z1490" s="91" t="s">
        <v>14693</v>
      </c>
      <c r="AA1490" s="73"/>
      <c r="AB1490" s="73"/>
      <c r="AC1490" s="73"/>
      <c r="AD1490" s="73"/>
      <c r="AE1490" s="73"/>
      <c r="AF1490" s="73"/>
      <c r="AG1490" s="73"/>
      <c r="AH1490" s="73"/>
      <c r="AI1490" s="73"/>
      <c r="AJ1490" s="161"/>
      <c r="AK1490" s="76" t="s">
        <v>2108</v>
      </c>
      <c r="AL1490" s="83" t="s">
        <v>14765</v>
      </c>
      <c r="AM1490" s="71" t="s">
        <v>14766</v>
      </c>
      <c r="AN1490" s="84" t="s">
        <v>14767</v>
      </c>
      <c r="AO1490" s="71" t="s">
        <v>14768</v>
      </c>
      <c r="AP1490" s="161" t="str">
        <f>IMAGE("https://bellingcat-archive.nyc3.cdn.digitaloceanspaces.com/Ukraine_Witness_Datasheet/Worksheet/twitter__media_FNGP8DHWYAoG6SG.jpg")</f>
        <v/>
      </c>
      <c r="AQ1490" s="161"/>
      <c r="AR1490" s="161"/>
      <c r="AS1490" s="71" t="s">
        <v>14769</v>
      </c>
      <c r="AT1490" s="161"/>
      <c r="AU1490" s="89"/>
      <c r="AV1490" s="80" t="s">
        <v>3944</v>
      </c>
      <c r="AW1490" s="81"/>
    </row>
    <row r="1491" ht="15.75" customHeight="1">
      <c r="A1491" s="208"/>
      <c r="B1491" s="73"/>
      <c r="C1491" s="176"/>
      <c r="D1491" s="121"/>
      <c r="E1491" s="121"/>
      <c r="F1491" s="89"/>
      <c r="G1491" s="71"/>
      <c r="H1491" s="73"/>
      <c r="I1491" s="75"/>
      <c r="J1491" s="161"/>
      <c r="K1491" s="69"/>
      <c r="L1491" s="70"/>
      <c r="M1491" s="73"/>
      <c r="N1491" s="73"/>
      <c r="O1491" s="73"/>
      <c r="P1491" s="67" t="str">
        <f t="shared" si="8"/>
        <v/>
      </c>
      <c r="Q1491" s="67" t="str">
        <f t="shared" si="2"/>
        <v/>
      </c>
      <c r="R1491" s="67" t="str">
        <f t="shared" si="3"/>
        <v/>
      </c>
      <c r="S1491" s="67" t="str">
        <f t="shared" si="4"/>
        <v/>
      </c>
      <c r="T1491" s="161"/>
      <c r="U1491" s="69"/>
      <c r="V1491" s="65" t="s">
        <v>14770</v>
      </c>
      <c r="W1491" s="161"/>
      <c r="X1491" s="194"/>
      <c r="Y1491" s="73"/>
      <c r="Z1491" s="73"/>
      <c r="AA1491" s="73"/>
      <c r="AB1491" s="73"/>
      <c r="AC1491" s="73"/>
      <c r="AD1491" s="73"/>
      <c r="AE1491" s="73"/>
      <c r="AF1491" s="73"/>
      <c r="AG1491" s="73"/>
      <c r="AH1491" s="73"/>
      <c r="AI1491" s="73"/>
      <c r="AJ1491" s="161"/>
      <c r="AK1491" s="236"/>
      <c r="AL1491" s="269"/>
      <c r="AM1491" s="161"/>
      <c r="AN1491" s="161"/>
      <c r="AO1491" s="161"/>
      <c r="AP1491" s="161"/>
      <c r="AQ1491" s="161"/>
      <c r="AR1491" s="161"/>
      <c r="AS1491" s="161"/>
      <c r="AT1491" s="161"/>
      <c r="AU1491" s="89"/>
      <c r="AV1491" s="162"/>
      <c r="AW1491" s="81"/>
    </row>
    <row r="1492" ht="15.75" customHeight="1">
      <c r="A1492" s="357" t="s">
        <v>3944</v>
      </c>
      <c r="B1492" s="73"/>
      <c r="C1492" s="57" t="s">
        <v>13542</v>
      </c>
      <c r="D1492" s="104">
        <v>50.678084</v>
      </c>
      <c r="E1492" s="104">
        <v>36.729988</v>
      </c>
      <c r="F1492" s="79">
        <v>1.0</v>
      </c>
      <c r="G1492" s="84" t="s">
        <v>14771</v>
      </c>
      <c r="H1492" s="61" t="s">
        <v>5522</v>
      </c>
      <c r="I1492" s="75"/>
      <c r="J1492" s="71" t="s">
        <v>14772</v>
      </c>
      <c r="K1492" s="88" t="s">
        <v>14773</v>
      </c>
      <c r="L1492" s="65" t="s">
        <v>79</v>
      </c>
      <c r="M1492" s="61" t="s">
        <v>1325</v>
      </c>
      <c r="N1492" s="73"/>
      <c r="O1492" s="61" t="s">
        <v>547</v>
      </c>
      <c r="P1492" s="67" t="str">
        <f t="shared" si="8"/>
        <v>50.678084, 36.729988</v>
      </c>
      <c r="Q1492" s="67" t="str">
        <f t="shared" si="2"/>
        <v>50.677667, 36.730236</v>
      </c>
      <c r="R1492" s="67">
        <f t="shared" si="3"/>
        <v>50.677667</v>
      </c>
      <c r="S1492" s="67">
        <f t="shared" si="4"/>
        <v>36.730236</v>
      </c>
      <c r="T1492" s="161"/>
      <c r="U1492" s="69"/>
      <c r="V1492" s="65" t="s">
        <v>14774</v>
      </c>
      <c r="W1492" s="71" t="s">
        <v>5858</v>
      </c>
      <c r="X1492" s="72" t="s">
        <v>5504</v>
      </c>
      <c r="Y1492" s="61" t="s">
        <v>5820</v>
      </c>
      <c r="Z1492" s="73"/>
      <c r="AA1492" s="73"/>
      <c r="AB1492" s="73"/>
      <c r="AC1492" s="73"/>
      <c r="AD1492" s="73"/>
      <c r="AE1492" s="73"/>
      <c r="AF1492" s="73"/>
      <c r="AG1492" s="73"/>
      <c r="AH1492" s="73"/>
      <c r="AI1492" s="73"/>
      <c r="AJ1492" s="161"/>
      <c r="AK1492" s="76" t="s">
        <v>798</v>
      </c>
      <c r="AL1492" s="83" t="s">
        <v>14775</v>
      </c>
      <c r="AM1492" s="71" t="s">
        <v>14776</v>
      </c>
      <c r="AN1492" s="84" t="s">
        <v>14777</v>
      </c>
      <c r="AO1492" s="71" t="s">
        <v>14778</v>
      </c>
      <c r="AP1492" s="161" t="str">
        <f>IMAGE("https://bellingcat-archive.nyc3.cdn.digitaloceanspaces.com/Ukraine_Witness_Datasheet/Worksheet/youtube_dl_1500192445430181897/out7.jpg")</f>
        <v/>
      </c>
      <c r="AQ1492" s="84" t="s">
        <v>14779</v>
      </c>
      <c r="AR1492" s="71" t="s">
        <v>14780</v>
      </c>
      <c r="AS1492" s="71" t="s">
        <v>14781</v>
      </c>
      <c r="AT1492" s="71">
        <v>30.628</v>
      </c>
      <c r="AU1492" s="89"/>
      <c r="AV1492" s="80" t="s">
        <v>88</v>
      </c>
      <c r="AW1492" s="81"/>
    </row>
    <row r="1493" ht="15.75" customHeight="1">
      <c r="A1493" s="357" t="s">
        <v>63</v>
      </c>
      <c r="B1493" s="73"/>
      <c r="C1493" s="57" t="s">
        <v>13542</v>
      </c>
      <c r="D1493" s="104">
        <v>48.738994</v>
      </c>
      <c r="E1493" s="104">
        <v>37.58426</v>
      </c>
      <c r="F1493" s="79">
        <v>1.0</v>
      </c>
      <c r="G1493" s="84" t="s">
        <v>14782</v>
      </c>
      <c r="H1493" s="61" t="s">
        <v>14783</v>
      </c>
      <c r="I1493" s="75"/>
      <c r="J1493" s="71" t="s">
        <v>14784</v>
      </c>
      <c r="K1493" s="88" t="s">
        <v>14785</v>
      </c>
      <c r="L1493" s="65" t="s">
        <v>3542</v>
      </c>
      <c r="M1493" s="61" t="s">
        <v>5750</v>
      </c>
      <c r="N1493" s="73"/>
      <c r="O1493" s="364" t="s">
        <v>14786</v>
      </c>
      <c r="P1493" s="67" t="str">
        <f t="shared" si="8"/>
        <v>48.738994, 37.58426</v>
      </c>
      <c r="Q1493" s="67" t="str">
        <f t="shared" si="2"/>
        <v>48.738631, 37.58405</v>
      </c>
      <c r="R1493" s="67">
        <f t="shared" si="3"/>
        <v>48.738631</v>
      </c>
      <c r="S1493" s="67">
        <f t="shared" si="4"/>
        <v>37.58405</v>
      </c>
      <c r="T1493" s="161"/>
      <c r="U1493" s="69"/>
      <c r="V1493" s="65" t="s">
        <v>14787</v>
      </c>
      <c r="W1493" s="71" t="s">
        <v>9711</v>
      </c>
      <c r="X1493" s="72" t="s">
        <v>5504</v>
      </c>
      <c r="Y1493" s="61" t="s">
        <v>75</v>
      </c>
      <c r="Z1493" s="61" t="s">
        <v>14788</v>
      </c>
      <c r="AA1493" s="73"/>
      <c r="AB1493" s="73"/>
      <c r="AC1493" s="73"/>
      <c r="AD1493" s="73"/>
      <c r="AE1493" s="73"/>
      <c r="AF1493" s="73"/>
      <c r="AG1493" s="73"/>
      <c r="AH1493" s="73"/>
      <c r="AI1493" s="73"/>
      <c r="AJ1493" s="161"/>
      <c r="AK1493" s="76" t="s">
        <v>798</v>
      </c>
      <c r="AL1493" s="83" t="s">
        <v>14789</v>
      </c>
      <c r="AM1493" s="71" t="s">
        <v>14790</v>
      </c>
      <c r="AN1493" s="84" t="s">
        <v>14791</v>
      </c>
      <c r="AO1493" s="71" t="s">
        <v>14792</v>
      </c>
      <c r="AP1493" s="161" t="str">
        <f>IMAGE("https://bellingcat-archive.nyc3.cdn.digitaloceanspaces.com/Ukraine_Witness_Datasheet/Worksheet/youtube_dl_1500170938243076101/out7.jpg")</f>
        <v/>
      </c>
      <c r="AQ1493" s="84" t="s">
        <v>14793</v>
      </c>
      <c r="AR1493" s="71" t="s">
        <v>14794</v>
      </c>
      <c r="AS1493" s="71" t="s">
        <v>14795</v>
      </c>
      <c r="AT1493" s="71">
        <v>10.166</v>
      </c>
      <c r="AU1493" s="89"/>
      <c r="AV1493" s="80" t="s">
        <v>63</v>
      </c>
      <c r="AW1493" s="81"/>
    </row>
    <row r="1494" ht="15.75" customHeight="1">
      <c r="A1494" s="204" t="s">
        <v>88</v>
      </c>
      <c r="B1494" s="73"/>
      <c r="C1494" s="57" t="s">
        <v>12959</v>
      </c>
      <c r="D1494" s="104">
        <v>50.761471</v>
      </c>
      <c r="E1494" s="104">
        <v>30.34881</v>
      </c>
      <c r="F1494" s="79">
        <v>1.0</v>
      </c>
      <c r="G1494" s="84" t="s">
        <v>14796</v>
      </c>
      <c r="H1494" s="61" t="s">
        <v>5522</v>
      </c>
      <c r="I1494" s="75"/>
      <c r="J1494" s="71" t="s">
        <v>14797</v>
      </c>
      <c r="K1494" s="69"/>
      <c r="L1494" s="65" t="s">
        <v>3542</v>
      </c>
      <c r="M1494" s="61" t="s">
        <v>5827</v>
      </c>
      <c r="N1494" s="73"/>
      <c r="O1494" s="91" t="s">
        <v>13383</v>
      </c>
      <c r="P1494" s="67" t="str">
        <f t="shared" si="8"/>
        <v>50.761471, 30.34881</v>
      </c>
      <c r="Q1494" s="67" t="str">
        <f t="shared" si="2"/>
        <v>50.760959, 30.347925</v>
      </c>
      <c r="R1494" s="67">
        <f t="shared" si="3"/>
        <v>50.760959</v>
      </c>
      <c r="S1494" s="67">
        <f t="shared" si="4"/>
        <v>30.347925</v>
      </c>
      <c r="T1494" s="161"/>
      <c r="U1494" s="69"/>
      <c r="V1494" s="65" t="s">
        <v>14798</v>
      </c>
      <c r="W1494" s="71" t="s">
        <v>5858</v>
      </c>
      <c r="X1494" s="72" t="s">
        <v>5504</v>
      </c>
      <c r="Y1494" s="61" t="s">
        <v>5820</v>
      </c>
      <c r="Z1494" s="73"/>
      <c r="AA1494" s="73"/>
      <c r="AB1494" s="73"/>
      <c r="AC1494" s="73"/>
      <c r="AD1494" s="73"/>
      <c r="AE1494" s="73"/>
      <c r="AF1494" s="73"/>
      <c r="AG1494" s="73"/>
      <c r="AH1494" s="73"/>
      <c r="AI1494" s="73"/>
      <c r="AJ1494" s="161"/>
      <c r="AK1494" s="76" t="s">
        <v>798</v>
      </c>
      <c r="AL1494" s="83" t="s">
        <v>14799</v>
      </c>
      <c r="AM1494" s="71" t="s">
        <v>14800</v>
      </c>
      <c r="AN1494" s="84" t="s">
        <v>14801</v>
      </c>
      <c r="AO1494" s="71" t="s">
        <v>14802</v>
      </c>
      <c r="AP1494" s="161" t="str">
        <f>IMAGE("https://bellingcat-archive.nyc3.cdn.digitaloceanspaces.com/Ukraine_Witness_Datasheet/Worksheet/youtube_dl_1499734408819003395/out7.jpg")</f>
        <v/>
      </c>
      <c r="AQ1494" s="84" t="s">
        <v>14803</v>
      </c>
      <c r="AR1494" s="71" t="s">
        <v>14804</v>
      </c>
      <c r="AS1494" s="71" t="s">
        <v>14805</v>
      </c>
      <c r="AT1494" s="71">
        <v>46.933</v>
      </c>
      <c r="AU1494" s="89"/>
      <c r="AV1494" s="80" t="s">
        <v>3944</v>
      </c>
      <c r="AW1494" s="81"/>
    </row>
    <row r="1495" ht="15.75" customHeight="1">
      <c r="A1495" s="204" t="s">
        <v>63</v>
      </c>
      <c r="B1495" s="73"/>
      <c r="C1495" s="57" t="s">
        <v>14806</v>
      </c>
      <c r="D1495" s="74">
        <v>50.041402</v>
      </c>
      <c r="E1495" s="74">
        <v>36.358092</v>
      </c>
      <c r="F1495" s="79">
        <v>2.0</v>
      </c>
      <c r="G1495" s="193" t="s">
        <v>14807</v>
      </c>
      <c r="H1495" s="73"/>
      <c r="I1495" s="215" t="s">
        <v>14808</v>
      </c>
      <c r="J1495" s="71" t="s">
        <v>14809</v>
      </c>
      <c r="K1495" s="69"/>
      <c r="L1495" s="65" t="s">
        <v>3542</v>
      </c>
      <c r="M1495" s="310" t="s">
        <v>5590</v>
      </c>
      <c r="N1495" s="73"/>
      <c r="O1495" s="310" t="s">
        <v>5626</v>
      </c>
      <c r="P1495" s="67" t="str">
        <f t="shared" si="8"/>
        <v>50.041402, 36.358092</v>
      </c>
      <c r="Q1495" s="67" t="str">
        <f t="shared" si="2"/>
        <v>50.040647, 36.357995</v>
      </c>
      <c r="R1495" s="67">
        <f t="shared" si="3"/>
        <v>50.040647</v>
      </c>
      <c r="S1495" s="67">
        <f t="shared" si="4"/>
        <v>36.357995</v>
      </c>
      <c r="T1495" s="161"/>
      <c r="U1495" s="69"/>
      <c r="V1495" s="65" t="s">
        <v>14810</v>
      </c>
      <c r="W1495" s="71" t="s">
        <v>6641</v>
      </c>
      <c r="X1495" s="72" t="s">
        <v>5504</v>
      </c>
      <c r="Y1495" s="216" t="s">
        <v>5820</v>
      </c>
      <c r="Z1495" s="73"/>
      <c r="AA1495" s="73"/>
      <c r="AB1495" s="73"/>
      <c r="AC1495" s="73"/>
      <c r="AD1495" s="73"/>
      <c r="AE1495" s="73"/>
      <c r="AF1495" s="73"/>
      <c r="AG1495" s="73"/>
      <c r="AH1495" s="73"/>
      <c r="AI1495" s="73"/>
      <c r="AJ1495" s="161"/>
      <c r="AK1495" s="76" t="s">
        <v>798</v>
      </c>
      <c r="AL1495" s="83" t="s">
        <v>14811</v>
      </c>
      <c r="AM1495" s="71" t="s">
        <v>14812</v>
      </c>
      <c r="AN1495" s="84" t="s">
        <v>14813</v>
      </c>
      <c r="AO1495" s="71" t="s">
        <v>14814</v>
      </c>
      <c r="AP1495" s="161" t="str">
        <f>IMAGE("https://bellingcat-archive.nyc3.cdn.digitaloceanspaces.com/Ukraine_Witness_Datasheet/Worksheet/youtube_dl_1500367314759434242/out7.jpg")</f>
        <v/>
      </c>
      <c r="AQ1495" s="84" t="s">
        <v>14815</v>
      </c>
      <c r="AR1495" s="71" t="s">
        <v>14816</v>
      </c>
      <c r="AS1495" s="71" t="s">
        <v>14817</v>
      </c>
      <c r="AT1495" s="71">
        <v>32.233</v>
      </c>
      <c r="AU1495" s="79" t="s">
        <v>63</v>
      </c>
      <c r="AV1495" s="162"/>
      <c r="AW1495" s="81"/>
    </row>
    <row r="1496" ht="15.75" customHeight="1">
      <c r="A1496" s="208" t="s">
        <v>3944</v>
      </c>
      <c r="B1496" s="73"/>
      <c r="C1496" s="176"/>
      <c r="D1496" s="121"/>
      <c r="E1496" s="121"/>
      <c r="F1496" s="89"/>
      <c r="G1496" s="193" t="s">
        <v>14818</v>
      </c>
      <c r="H1496" s="73"/>
      <c r="I1496" s="75"/>
      <c r="J1496" s="161"/>
      <c r="K1496" s="69"/>
      <c r="L1496" s="70"/>
      <c r="M1496" s="73"/>
      <c r="N1496" s="73"/>
      <c r="O1496" s="73"/>
      <c r="P1496" s="67" t="str">
        <f t="shared" si="8"/>
        <v/>
      </c>
      <c r="Q1496" s="67" t="str">
        <f t="shared" si="2"/>
        <v/>
      </c>
      <c r="R1496" s="67" t="str">
        <f t="shared" si="3"/>
        <v/>
      </c>
      <c r="S1496" s="67" t="str">
        <f t="shared" si="4"/>
        <v/>
      </c>
      <c r="T1496" s="161"/>
      <c r="U1496" s="69"/>
      <c r="V1496" s="65" t="s">
        <v>14819</v>
      </c>
      <c r="W1496" s="161"/>
      <c r="X1496" s="194"/>
      <c r="Y1496" s="73"/>
      <c r="Z1496" s="73"/>
      <c r="AA1496" s="73"/>
      <c r="AB1496" s="73"/>
      <c r="AC1496" s="73"/>
      <c r="AD1496" s="73"/>
      <c r="AE1496" s="73"/>
      <c r="AF1496" s="73"/>
      <c r="AG1496" s="73"/>
      <c r="AH1496" s="73"/>
      <c r="AI1496" s="73"/>
      <c r="AJ1496" s="161"/>
      <c r="AK1496" s="76" t="s">
        <v>2108</v>
      </c>
      <c r="AL1496" s="83" t="s">
        <v>14820</v>
      </c>
      <c r="AM1496" s="71" t="s">
        <v>14821</v>
      </c>
      <c r="AN1496" s="84" t="s">
        <v>14822</v>
      </c>
      <c r="AO1496" s="71" t="s">
        <v>14823</v>
      </c>
      <c r="AP1496" s="161" t="str">
        <f>IMAGE("https://bellingcat-archive.nyc3.cdn.digitaloceanspaces.com/Ukraine_Witness_Datasheet/Worksheet/twitter__media_FNJcONFXoAIDpxK.jpg")</f>
        <v/>
      </c>
      <c r="AQ1496" s="161"/>
      <c r="AR1496" s="161"/>
      <c r="AS1496" s="71" t="s">
        <v>14824</v>
      </c>
      <c r="AT1496" s="161"/>
      <c r="AU1496" s="89"/>
      <c r="AV1496" s="162"/>
      <c r="AW1496" s="81"/>
    </row>
    <row r="1497" ht="15.75" customHeight="1">
      <c r="A1497" s="204" t="s">
        <v>63</v>
      </c>
      <c r="B1497" s="73"/>
      <c r="C1497" s="57" t="s">
        <v>14806</v>
      </c>
      <c r="D1497" s="74">
        <v>50.033775</v>
      </c>
      <c r="E1497" s="74">
        <v>36.366206</v>
      </c>
      <c r="F1497" s="79">
        <v>2.0</v>
      </c>
      <c r="G1497" s="84" t="s">
        <v>14825</v>
      </c>
      <c r="H1497" s="73"/>
      <c r="I1497" s="75"/>
      <c r="J1497" s="71" t="s">
        <v>14826</v>
      </c>
      <c r="K1497" s="69"/>
      <c r="L1497" s="65" t="s">
        <v>3542</v>
      </c>
      <c r="M1497" s="61" t="s">
        <v>5590</v>
      </c>
      <c r="N1497" s="73"/>
      <c r="O1497" s="61" t="s">
        <v>5626</v>
      </c>
      <c r="P1497" s="67" t="str">
        <f t="shared" si="8"/>
        <v>50.033775, 36.366206</v>
      </c>
      <c r="Q1497" s="67" t="str">
        <f t="shared" si="2"/>
        <v>50.033288, 36.366048</v>
      </c>
      <c r="R1497" s="67">
        <f t="shared" si="3"/>
        <v>50.033288</v>
      </c>
      <c r="S1497" s="67">
        <f t="shared" si="4"/>
        <v>36.366048</v>
      </c>
      <c r="T1497" s="161"/>
      <c r="U1497" s="69"/>
      <c r="V1497" s="65" t="s">
        <v>14827</v>
      </c>
      <c r="W1497" s="71" t="s">
        <v>3601</v>
      </c>
      <c r="X1497" s="72" t="s">
        <v>5504</v>
      </c>
      <c r="Y1497" s="61" t="s">
        <v>5820</v>
      </c>
      <c r="Z1497" s="73"/>
      <c r="AA1497" s="73"/>
      <c r="AB1497" s="73"/>
      <c r="AC1497" s="73"/>
      <c r="AD1497" s="73"/>
      <c r="AE1497" s="73"/>
      <c r="AF1497" s="73"/>
      <c r="AG1497" s="73"/>
      <c r="AH1497" s="73"/>
      <c r="AI1497" s="73"/>
      <c r="AJ1497" s="161"/>
      <c r="AK1497" s="76" t="s">
        <v>2108</v>
      </c>
      <c r="AL1497" s="83" t="s">
        <v>14828</v>
      </c>
      <c r="AM1497" s="71" t="s">
        <v>14829</v>
      </c>
      <c r="AN1497" s="84" t="s">
        <v>14830</v>
      </c>
      <c r="AO1497" s="71" t="s">
        <v>14831</v>
      </c>
      <c r="AP1497" s="161" t="str">
        <f>IMAGE("https://bellingcat-archive.nyc3.cdn.digitaloceanspaces.com/Ukraine_Witness_Datasheet/Worksheet/twitter__media_FNJbaOQWYAIIdYU.jpg")</f>
        <v/>
      </c>
      <c r="AQ1497" s="161"/>
      <c r="AR1497" s="161"/>
      <c r="AS1497" s="71" t="s">
        <v>14832</v>
      </c>
      <c r="AT1497" s="161"/>
      <c r="AU1497" s="89"/>
      <c r="AV1497" s="162"/>
      <c r="AW1497" s="81"/>
    </row>
    <row r="1498" ht="15.75" customHeight="1">
      <c r="A1498" s="208" t="s">
        <v>3944</v>
      </c>
      <c r="B1498" s="73"/>
      <c r="C1498" s="176"/>
      <c r="D1498" s="121"/>
      <c r="E1498" s="121"/>
      <c r="F1498" s="89"/>
      <c r="G1498" s="84" t="s">
        <v>14833</v>
      </c>
      <c r="H1498" s="73"/>
      <c r="I1498" s="75"/>
      <c r="J1498" s="161"/>
      <c r="K1498" s="69"/>
      <c r="L1498" s="70"/>
      <c r="M1498" s="73"/>
      <c r="N1498" s="73"/>
      <c r="O1498" s="73"/>
      <c r="P1498" s="67" t="str">
        <f t="shared" si="8"/>
        <v/>
      </c>
      <c r="Q1498" s="67" t="str">
        <f t="shared" si="2"/>
        <v/>
      </c>
      <c r="R1498" s="67" t="str">
        <f t="shared" si="3"/>
        <v/>
      </c>
      <c r="S1498" s="67" t="str">
        <f t="shared" si="4"/>
        <v/>
      </c>
      <c r="T1498" s="161"/>
      <c r="U1498" s="69"/>
      <c r="V1498" s="65" t="s">
        <v>14834</v>
      </c>
      <c r="W1498" s="161"/>
      <c r="X1498" s="194"/>
      <c r="Y1498" s="73"/>
      <c r="Z1498" s="73"/>
      <c r="AA1498" s="73"/>
      <c r="AB1498" s="73"/>
      <c r="AC1498" s="73"/>
      <c r="AD1498" s="73"/>
      <c r="AE1498" s="73"/>
      <c r="AF1498" s="73"/>
      <c r="AG1498" s="73"/>
      <c r="AH1498" s="73"/>
      <c r="AI1498" s="73"/>
      <c r="AJ1498" s="161"/>
      <c r="AK1498" s="76" t="s">
        <v>798</v>
      </c>
      <c r="AL1498" s="83" t="s">
        <v>14835</v>
      </c>
      <c r="AM1498" s="71" t="s">
        <v>14836</v>
      </c>
      <c r="AN1498" s="84" t="s">
        <v>14837</v>
      </c>
      <c r="AO1498" s="71" t="s">
        <v>14838</v>
      </c>
      <c r="AP1498" s="161" t="str">
        <f>IMAGE("https://bellingcat-archive.nyc3.cdn.digitaloceanspaces.com/Ukraine_Witness_Datasheet/Worksheet/youtube_dl_1500357342566756353/out7.jpg")</f>
        <v/>
      </c>
      <c r="AQ1498" s="84" t="s">
        <v>14839</v>
      </c>
      <c r="AR1498" s="71" t="s">
        <v>14840</v>
      </c>
      <c r="AS1498" s="71" t="s">
        <v>14841</v>
      </c>
      <c r="AT1498" s="71">
        <v>17.833</v>
      </c>
      <c r="AU1498" s="89"/>
      <c r="AV1498" s="162"/>
      <c r="AW1498" s="81"/>
    </row>
    <row r="1499" ht="15.75" customHeight="1">
      <c r="A1499" s="208" t="s">
        <v>3944</v>
      </c>
      <c r="B1499" s="73"/>
      <c r="C1499" s="176"/>
      <c r="D1499" s="121"/>
      <c r="E1499" s="121"/>
      <c r="F1499" s="89"/>
      <c r="G1499" s="84" t="s">
        <v>14842</v>
      </c>
      <c r="H1499" s="73"/>
      <c r="I1499" s="75"/>
      <c r="J1499" s="161"/>
      <c r="K1499" s="69"/>
      <c r="L1499" s="70"/>
      <c r="M1499" s="73"/>
      <c r="N1499" s="73"/>
      <c r="O1499" s="73"/>
      <c r="P1499" s="67" t="str">
        <f t="shared" si="8"/>
        <v/>
      </c>
      <c r="Q1499" s="67" t="str">
        <f t="shared" si="2"/>
        <v/>
      </c>
      <c r="R1499" s="67" t="str">
        <f t="shared" si="3"/>
        <v/>
      </c>
      <c r="S1499" s="67" t="str">
        <f t="shared" si="4"/>
        <v/>
      </c>
      <c r="T1499" s="161"/>
      <c r="U1499" s="69"/>
      <c r="V1499" s="65" t="s">
        <v>14843</v>
      </c>
      <c r="W1499" s="161"/>
      <c r="X1499" s="194"/>
      <c r="Y1499" s="73"/>
      <c r="Z1499" s="73"/>
      <c r="AA1499" s="73"/>
      <c r="AB1499" s="73"/>
      <c r="AC1499" s="73"/>
      <c r="AD1499" s="73"/>
      <c r="AE1499" s="73"/>
      <c r="AF1499" s="73"/>
      <c r="AG1499" s="73"/>
      <c r="AH1499" s="73"/>
      <c r="AI1499" s="73"/>
      <c r="AJ1499" s="161"/>
      <c r="AK1499" s="76" t="s">
        <v>2108</v>
      </c>
      <c r="AL1499" s="83" t="s">
        <v>14844</v>
      </c>
      <c r="AM1499" s="71" t="s">
        <v>14845</v>
      </c>
      <c r="AN1499" s="84" t="s">
        <v>14846</v>
      </c>
      <c r="AO1499" s="71" t="s">
        <v>14847</v>
      </c>
      <c r="AP1499" s="161" t="str">
        <f>IMAGE("https://bellingcat-archive.nyc3.cdn.digitaloceanspaces.com/Ukraine_Witness_Datasheet/Worksheet/twitter__media_FNJahGvXwAUa9Vo.jpg")</f>
        <v/>
      </c>
      <c r="AQ1499" s="161"/>
      <c r="AR1499" s="161"/>
      <c r="AS1499" s="71" t="s">
        <v>14848</v>
      </c>
      <c r="AT1499" s="161"/>
      <c r="AU1499" s="89"/>
      <c r="AV1499" s="162"/>
      <c r="AW1499" s="81"/>
    </row>
    <row r="1500" ht="15.75" customHeight="1">
      <c r="A1500" s="204" t="s">
        <v>63</v>
      </c>
      <c r="B1500" s="73"/>
      <c r="C1500" s="57" t="s">
        <v>14806</v>
      </c>
      <c r="D1500" s="74">
        <v>50.041402</v>
      </c>
      <c r="E1500" s="74">
        <v>36.358092</v>
      </c>
      <c r="F1500" s="79">
        <v>2.0</v>
      </c>
      <c r="G1500" s="84" t="s">
        <v>14849</v>
      </c>
      <c r="H1500" s="73"/>
      <c r="I1500" s="215" t="s">
        <v>14808</v>
      </c>
      <c r="J1500" s="71" t="s">
        <v>14809</v>
      </c>
      <c r="K1500" s="69"/>
      <c r="L1500" s="65" t="s">
        <v>3542</v>
      </c>
      <c r="M1500" s="310" t="s">
        <v>5590</v>
      </c>
      <c r="N1500" s="73"/>
      <c r="O1500" s="310" t="s">
        <v>5626</v>
      </c>
      <c r="P1500" s="67" t="str">
        <f t="shared" si="8"/>
        <v>50.041402, 36.358092</v>
      </c>
      <c r="Q1500" s="67" t="str">
        <f t="shared" si="2"/>
        <v>50.041048, 36.358797</v>
      </c>
      <c r="R1500" s="67">
        <f t="shared" si="3"/>
        <v>50.041048</v>
      </c>
      <c r="S1500" s="67">
        <f t="shared" si="4"/>
        <v>36.358797</v>
      </c>
      <c r="T1500" s="161"/>
      <c r="U1500" s="69"/>
      <c r="V1500" s="65" t="s">
        <v>14850</v>
      </c>
      <c r="W1500" s="71" t="s">
        <v>3601</v>
      </c>
      <c r="X1500" s="72" t="s">
        <v>5504</v>
      </c>
      <c r="Y1500" s="216" t="s">
        <v>5820</v>
      </c>
      <c r="Z1500" s="73"/>
      <c r="AA1500" s="73"/>
      <c r="AB1500" s="73"/>
      <c r="AC1500" s="73"/>
      <c r="AD1500" s="73"/>
      <c r="AE1500" s="73"/>
      <c r="AF1500" s="73"/>
      <c r="AG1500" s="73"/>
      <c r="AH1500" s="73"/>
      <c r="AI1500" s="73"/>
      <c r="AJ1500" s="161"/>
      <c r="AK1500" s="76" t="s">
        <v>798</v>
      </c>
      <c r="AL1500" s="83" t="s">
        <v>14851</v>
      </c>
      <c r="AM1500" s="71" t="s">
        <v>14852</v>
      </c>
      <c r="AN1500" s="84" t="s">
        <v>14853</v>
      </c>
      <c r="AO1500" s="71" t="s">
        <v>14854</v>
      </c>
      <c r="AP1500" s="161" t="str">
        <f>IMAGE("https://bellingcat-archive.nyc3.cdn.digitaloceanspaces.com/Ukraine_Witness_Datasheet/Worksheet/youtube_dl_1500367636231860226/out7.jpg")</f>
        <v/>
      </c>
      <c r="AQ1500" s="84" t="s">
        <v>14855</v>
      </c>
      <c r="AR1500" s="71" t="s">
        <v>14856</v>
      </c>
      <c r="AS1500" s="71" t="s">
        <v>14857</v>
      </c>
      <c r="AT1500" s="71">
        <v>21.433</v>
      </c>
      <c r="AU1500" s="79" t="s">
        <v>63</v>
      </c>
      <c r="AV1500" s="162"/>
      <c r="AW1500" s="81"/>
    </row>
    <row r="1501" ht="15.75" customHeight="1">
      <c r="A1501" s="208" t="s">
        <v>14858</v>
      </c>
      <c r="B1501" s="73"/>
      <c r="C1501" s="57" t="s">
        <v>14806</v>
      </c>
      <c r="D1501" s="241" t="s">
        <v>14859</v>
      </c>
      <c r="E1501" s="241" t="s">
        <v>14860</v>
      </c>
      <c r="F1501" s="89"/>
      <c r="G1501" s="84" t="s">
        <v>14861</v>
      </c>
      <c r="H1501" s="73"/>
      <c r="I1501" s="215" t="s">
        <v>14862</v>
      </c>
      <c r="J1501" s="476" t="s">
        <v>14863</v>
      </c>
      <c r="K1501" s="69"/>
      <c r="L1501" s="70"/>
      <c r="M1501" s="73"/>
      <c r="N1501" s="73"/>
      <c r="O1501" s="73"/>
      <c r="P1501" s="67" t="str">
        <f t="shared" si="8"/>
        <v>50.034117, 36.36668</v>
      </c>
      <c r="Q1501" s="67" t="str">
        <f t="shared" si="2"/>
        <v>50.034007, 36.366126</v>
      </c>
      <c r="R1501" s="67">
        <f t="shared" si="3"/>
        <v>50.034007</v>
      </c>
      <c r="S1501" s="67">
        <f t="shared" si="4"/>
        <v>36.366126</v>
      </c>
      <c r="T1501" s="161"/>
      <c r="U1501" s="69"/>
      <c r="V1501" s="65" t="s">
        <v>14864</v>
      </c>
      <c r="W1501" s="161"/>
      <c r="X1501" s="194"/>
      <c r="Y1501" s="216" t="s">
        <v>5820</v>
      </c>
      <c r="Z1501" s="73"/>
      <c r="AA1501" s="73"/>
      <c r="AB1501" s="73"/>
      <c r="AC1501" s="73"/>
      <c r="AD1501" s="73"/>
      <c r="AE1501" s="73"/>
      <c r="AF1501" s="73"/>
      <c r="AG1501" s="73"/>
      <c r="AH1501" s="73"/>
      <c r="AI1501" s="73"/>
      <c r="AJ1501" s="161"/>
      <c r="AK1501" s="76" t="s">
        <v>798</v>
      </c>
      <c r="AL1501" s="83" t="s">
        <v>14865</v>
      </c>
      <c r="AM1501" s="71" t="s">
        <v>14866</v>
      </c>
      <c r="AN1501" s="84" t="s">
        <v>14867</v>
      </c>
      <c r="AO1501" s="71" t="s">
        <v>14868</v>
      </c>
      <c r="AP1501" s="161" t="str">
        <f>IMAGE("https://bellingcat-archive.nyc3.cdn.digitaloceanspaces.com/Ukraine_Witness_Datasheet/Worksheet/youtube_dl_1500370828038483971/out7.jpg")</f>
        <v/>
      </c>
      <c r="AQ1501" s="84" t="s">
        <v>14869</v>
      </c>
      <c r="AR1501" s="71" t="s">
        <v>14870</v>
      </c>
      <c r="AS1501" s="71" t="s">
        <v>14871</v>
      </c>
      <c r="AT1501" s="71">
        <v>27.433</v>
      </c>
      <c r="AU1501" s="89"/>
      <c r="AV1501" s="162"/>
      <c r="AW1501" s="81"/>
    </row>
    <row r="1502" ht="15.75" customHeight="1">
      <c r="A1502" s="204" t="s">
        <v>63</v>
      </c>
      <c r="B1502" s="73"/>
      <c r="C1502" s="57" t="s">
        <v>14806</v>
      </c>
      <c r="D1502" s="74">
        <v>50.034432</v>
      </c>
      <c r="E1502" s="74">
        <v>36.36946</v>
      </c>
      <c r="F1502" s="79">
        <v>2.0</v>
      </c>
      <c r="G1502" s="84" t="s">
        <v>14872</v>
      </c>
      <c r="H1502" s="61" t="s">
        <v>5522</v>
      </c>
      <c r="I1502" s="75"/>
      <c r="J1502" s="71" t="s">
        <v>14873</v>
      </c>
      <c r="K1502" s="69"/>
      <c r="L1502" s="65" t="s">
        <v>3542</v>
      </c>
      <c r="M1502" s="61" t="s">
        <v>5590</v>
      </c>
      <c r="N1502" s="73"/>
      <c r="O1502" s="61" t="s">
        <v>5626</v>
      </c>
      <c r="P1502" s="67" t="str">
        <f t="shared" si="8"/>
        <v>50.034432, 36.36946</v>
      </c>
      <c r="Q1502" s="67" t="str">
        <f t="shared" si="2"/>
        <v>50.034421, 36.368398</v>
      </c>
      <c r="R1502" s="67">
        <f t="shared" si="3"/>
        <v>50.034421</v>
      </c>
      <c r="S1502" s="67">
        <f t="shared" si="4"/>
        <v>36.368398</v>
      </c>
      <c r="T1502" s="161"/>
      <c r="U1502" s="69"/>
      <c r="V1502" s="65" t="s">
        <v>14874</v>
      </c>
      <c r="W1502" s="71" t="s">
        <v>3601</v>
      </c>
      <c r="X1502" s="72" t="s">
        <v>5504</v>
      </c>
      <c r="Y1502" s="61" t="s">
        <v>75</v>
      </c>
      <c r="Z1502" s="61" t="s">
        <v>14788</v>
      </c>
      <c r="AA1502" s="73"/>
      <c r="AB1502" s="73"/>
      <c r="AC1502" s="73"/>
      <c r="AD1502" s="73"/>
      <c r="AE1502" s="73"/>
      <c r="AF1502" s="73"/>
      <c r="AG1502" s="73"/>
      <c r="AH1502" s="73"/>
      <c r="AI1502" s="73"/>
      <c r="AJ1502" s="161"/>
      <c r="AK1502" s="76" t="s">
        <v>798</v>
      </c>
      <c r="AL1502" s="83" t="s">
        <v>14875</v>
      </c>
      <c r="AM1502" s="71" t="s">
        <v>14876</v>
      </c>
      <c r="AN1502" s="84" t="s">
        <v>14877</v>
      </c>
      <c r="AO1502" s="71" t="s">
        <v>14878</v>
      </c>
      <c r="AP1502" s="161" t="str">
        <f>IMAGE("https://bellingcat-archive.nyc3.cdn.digitaloceanspaces.com/Ukraine_Witness_Datasheet/Worksheet/youtube_dl_1500370931918725120/out7.jpg")</f>
        <v/>
      </c>
      <c r="AQ1502" s="84" t="s">
        <v>14879</v>
      </c>
      <c r="AR1502" s="71" t="s">
        <v>14880</v>
      </c>
      <c r="AS1502" s="71" t="s">
        <v>14881</v>
      </c>
      <c r="AT1502" s="71">
        <v>24.3</v>
      </c>
      <c r="AU1502" s="79" t="s">
        <v>63</v>
      </c>
      <c r="AV1502" s="162"/>
      <c r="AW1502" s="81"/>
    </row>
    <row r="1503" ht="15.75" customHeight="1">
      <c r="A1503" s="208" t="s">
        <v>3944</v>
      </c>
      <c r="B1503" s="73"/>
      <c r="C1503" s="176"/>
      <c r="D1503" s="121"/>
      <c r="E1503" s="121"/>
      <c r="F1503" s="89"/>
      <c r="G1503" s="84" t="s">
        <v>14882</v>
      </c>
      <c r="H1503" s="73"/>
      <c r="I1503" s="75"/>
      <c r="J1503" s="161"/>
      <c r="K1503" s="69"/>
      <c r="L1503" s="70"/>
      <c r="M1503" s="73"/>
      <c r="N1503" s="73"/>
      <c r="O1503" s="73"/>
      <c r="P1503" s="67" t="str">
        <f t="shared" si="8"/>
        <v/>
      </c>
      <c r="Q1503" s="67" t="str">
        <f t="shared" si="2"/>
        <v/>
      </c>
      <c r="R1503" s="67" t="str">
        <f t="shared" si="3"/>
        <v/>
      </c>
      <c r="S1503" s="67" t="str">
        <f t="shared" si="4"/>
        <v/>
      </c>
      <c r="T1503" s="161"/>
      <c r="U1503" s="69"/>
      <c r="V1503" s="65" t="s">
        <v>14883</v>
      </c>
      <c r="W1503" s="161"/>
      <c r="X1503" s="194"/>
      <c r="Y1503" s="73"/>
      <c r="Z1503" s="73"/>
      <c r="AA1503" s="73"/>
      <c r="AB1503" s="73"/>
      <c r="AC1503" s="73"/>
      <c r="AD1503" s="73"/>
      <c r="AE1503" s="73"/>
      <c r="AF1503" s="73"/>
      <c r="AG1503" s="73"/>
      <c r="AH1503" s="73"/>
      <c r="AI1503" s="73"/>
      <c r="AJ1503" s="161"/>
      <c r="AK1503" s="76" t="s">
        <v>798</v>
      </c>
      <c r="AL1503" s="83" t="s">
        <v>14884</v>
      </c>
      <c r="AM1503" s="71" t="s">
        <v>14885</v>
      </c>
      <c r="AN1503" s="84" t="s">
        <v>14886</v>
      </c>
      <c r="AO1503" s="71" t="s">
        <v>14887</v>
      </c>
      <c r="AP1503" s="161" t="str">
        <f>IMAGE("https://bellingcat-archive.nyc3.cdn.digitaloceanspaces.com/Ukraine_Witness_Datasheet/Worksheet/youtube_dl_1500371547462283269/out7.jpg")</f>
        <v/>
      </c>
      <c r="AQ1503" s="84" t="s">
        <v>14888</v>
      </c>
      <c r="AR1503" s="71" t="s">
        <v>14889</v>
      </c>
      <c r="AS1503" s="71" t="s">
        <v>14890</v>
      </c>
      <c r="AT1503" s="71">
        <v>6.7</v>
      </c>
      <c r="AU1503" s="89"/>
      <c r="AV1503" s="162"/>
      <c r="AW1503" s="81"/>
    </row>
    <row r="1504" ht="15.75" customHeight="1">
      <c r="A1504" s="208" t="s">
        <v>3944</v>
      </c>
      <c r="B1504" s="73"/>
      <c r="C1504" s="176"/>
      <c r="D1504" s="121"/>
      <c r="E1504" s="121"/>
      <c r="F1504" s="89"/>
      <c r="G1504" s="84" t="s">
        <v>14891</v>
      </c>
      <c r="H1504" s="73"/>
      <c r="I1504" s="75"/>
      <c r="J1504" s="161"/>
      <c r="K1504" s="69"/>
      <c r="L1504" s="70"/>
      <c r="M1504" s="73"/>
      <c r="N1504" s="73"/>
      <c r="O1504" s="73"/>
      <c r="P1504" s="67" t="str">
        <f t="shared" si="8"/>
        <v/>
      </c>
      <c r="Q1504" s="67" t="str">
        <f t="shared" si="2"/>
        <v/>
      </c>
      <c r="R1504" s="67" t="str">
        <f t="shared" si="3"/>
        <v/>
      </c>
      <c r="S1504" s="67" t="str">
        <f t="shared" si="4"/>
        <v/>
      </c>
      <c r="T1504" s="161"/>
      <c r="U1504" s="69"/>
      <c r="V1504" s="65" t="s">
        <v>14892</v>
      </c>
      <c r="W1504" s="161"/>
      <c r="X1504" s="194"/>
      <c r="Y1504" s="73"/>
      <c r="Z1504" s="73"/>
      <c r="AA1504" s="73"/>
      <c r="AB1504" s="73"/>
      <c r="AC1504" s="73"/>
      <c r="AD1504" s="73"/>
      <c r="AE1504" s="73"/>
      <c r="AF1504" s="73"/>
      <c r="AG1504" s="73"/>
      <c r="AH1504" s="73"/>
      <c r="AI1504" s="73"/>
      <c r="AJ1504" s="161"/>
      <c r="AK1504" s="76" t="s">
        <v>798</v>
      </c>
      <c r="AL1504" s="83" t="s">
        <v>14893</v>
      </c>
      <c r="AM1504" s="71" t="s">
        <v>14894</v>
      </c>
      <c r="AN1504" s="84" t="s">
        <v>14895</v>
      </c>
      <c r="AO1504" s="71" t="s">
        <v>14896</v>
      </c>
      <c r="AP1504" s="161" t="str">
        <f>IMAGE("https://bellingcat-archive.nyc3.cdn.digitaloceanspaces.com/Ukraine_Witness_Datasheet/Worksheet/youtube_dl_1500374495877644288/out7.jpg")</f>
        <v/>
      </c>
      <c r="AQ1504" s="84" t="s">
        <v>14897</v>
      </c>
      <c r="AR1504" s="71" t="s">
        <v>14898</v>
      </c>
      <c r="AS1504" s="71" t="s">
        <v>14899</v>
      </c>
      <c r="AT1504" s="71">
        <v>23.366</v>
      </c>
      <c r="AU1504" s="89"/>
      <c r="AV1504" s="162"/>
      <c r="AW1504" s="81"/>
    </row>
    <row r="1505" ht="15.75" customHeight="1">
      <c r="A1505" s="204" t="s">
        <v>63</v>
      </c>
      <c r="B1505" s="73"/>
      <c r="C1505" s="57" t="s">
        <v>14806</v>
      </c>
      <c r="D1505" s="74">
        <v>49.950587</v>
      </c>
      <c r="E1505" s="74">
        <v>36.154536</v>
      </c>
      <c r="F1505" s="79">
        <v>3.0</v>
      </c>
      <c r="G1505" s="84" t="s">
        <v>14900</v>
      </c>
      <c r="H1505" s="61" t="s">
        <v>5522</v>
      </c>
      <c r="I1505" s="75"/>
      <c r="J1505" s="71" t="s">
        <v>14901</v>
      </c>
      <c r="K1505" s="69"/>
      <c r="L1505" s="65" t="s">
        <v>3542</v>
      </c>
      <c r="M1505" s="61" t="s">
        <v>5590</v>
      </c>
      <c r="N1505" s="73"/>
      <c r="O1505" s="61" t="s">
        <v>5626</v>
      </c>
      <c r="P1505" s="67" t="str">
        <f t="shared" si="8"/>
        <v>49.950587, 36.154536</v>
      </c>
      <c r="Q1505" s="67" t="str">
        <f t="shared" si="2"/>
        <v>49.949916, 36.154792</v>
      </c>
      <c r="R1505" s="67">
        <f t="shared" si="3"/>
        <v>49.949916</v>
      </c>
      <c r="S1505" s="67">
        <f t="shared" si="4"/>
        <v>36.154792</v>
      </c>
      <c r="T1505" s="161"/>
      <c r="U1505" s="69"/>
      <c r="V1505" s="65" t="s">
        <v>14902</v>
      </c>
      <c r="W1505" s="71" t="s">
        <v>9711</v>
      </c>
      <c r="X1505" s="72" t="s">
        <v>5504</v>
      </c>
      <c r="Y1505" s="61" t="s">
        <v>5820</v>
      </c>
      <c r="Z1505" s="73"/>
      <c r="AA1505" s="73"/>
      <c r="AB1505" s="73"/>
      <c r="AC1505" s="73"/>
      <c r="AD1505" s="73"/>
      <c r="AE1505" s="73"/>
      <c r="AF1505" s="73"/>
      <c r="AG1505" s="73"/>
      <c r="AH1505" s="73"/>
      <c r="AI1505" s="73"/>
      <c r="AJ1505" s="161"/>
      <c r="AK1505" s="76" t="s">
        <v>798</v>
      </c>
      <c r="AL1505" s="83" t="s">
        <v>14903</v>
      </c>
      <c r="AM1505" s="71" t="s">
        <v>14904</v>
      </c>
      <c r="AN1505" s="84" t="s">
        <v>14905</v>
      </c>
      <c r="AO1505" s="71" t="s">
        <v>14906</v>
      </c>
      <c r="AP1505" s="161" t="str">
        <f>IMAGE("https://bellingcat-archive.nyc3.cdn.digitaloceanspaces.com/Ukraine_Witness_Datasheet/Worksheet/youtube_dl_1500377845675311105/out7.jpg")</f>
        <v/>
      </c>
      <c r="AQ1505" s="84" t="s">
        <v>14907</v>
      </c>
      <c r="AR1505" s="71" t="s">
        <v>14908</v>
      </c>
      <c r="AS1505" s="71" t="s">
        <v>14909</v>
      </c>
      <c r="AT1505" s="71">
        <v>12.582</v>
      </c>
      <c r="AU1505" s="79" t="s">
        <v>63</v>
      </c>
      <c r="AV1505" s="80" t="s">
        <v>88</v>
      </c>
      <c r="AW1505" s="81"/>
    </row>
    <row r="1506" ht="15.75" customHeight="1">
      <c r="A1506" s="208" t="s">
        <v>12532</v>
      </c>
      <c r="B1506" s="73"/>
      <c r="C1506" s="176"/>
      <c r="D1506" s="121"/>
      <c r="E1506" s="121"/>
      <c r="F1506" s="89"/>
      <c r="G1506" s="60" t="s">
        <v>14910</v>
      </c>
      <c r="H1506" s="73"/>
      <c r="I1506" s="75"/>
      <c r="J1506" s="161"/>
      <c r="K1506" s="69"/>
      <c r="L1506" s="70"/>
      <c r="M1506" s="314"/>
      <c r="N1506" s="314"/>
      <c r="O1506" s="314"/>
      <c r="P1506" s="67" t="str">
        <f t="shared" si="8"/>
        <v/>
      </c>
      <c r="Q1506" s="67" t="str">
        <f t="shared" si="2"/>
        <v/>
      </c>
      <c r="R1506" s="67" t="str">
        <f t="shared" si="3"/>
        <v/>
      </c>
      <c r="S1506" s="67" t="str">
        <f t="shared" si="4"/>
        <v/>
      </c>
      <c r="T1506" s="161"/>
      <c r="U1506" s="69"/>
      <c r="V1506" s="65" t="s">
        <v>14911</v>
      </c>
      <c r="W1506" s="161"/>
      <c r="X1506" s="194"/>
      <c r="Y1506" s="73"/>
      <c r="Z1506" s="73"/>
      <c r="AA1506" s="73"/>
      <c r="AB1506" s="73"/>
      <c r="AC1506" s="73"/>
      <c r="AD1506" s="73"/>
      <c r="AE1506" s="73"/>
      <c r="AF1506" s="73"/>
      <c r="AG1506" s="73"/>
      <c r="AH1506" s="73"/>
      <c r="AI1506" s="73"/>
      <c r="AJ1506" s="161"/>
      <c r="AK1506" s="76" t="s">
        <v>798</v>
      </c>
      <c r="AL1506" s="83" t="s">
        <v>14912</v>
      </c>
      <c r="AM1506" s="71" t="s">
        <v>14913</v>
      </c>
      <c r="AN1506" s="84" t="s">
        <v>14914</v>
      </c>
      <c r="AO1506" s="71" t="s">
        <v>14915</v>
      </c>
      <c r="AP1506" s="161" t="str">
        <f>IMAGE("https://bellingcat-archive.nyc3.cdn.digitaloceanspaces.com/Ukraine_Witness_Datasheet/Worksheet/youtube_dl_1500040680059641856/out7.jpg")</f>
        <v/>
      </c>
      <c r="AQ1506" s="84" t="s">
        <v>14916</v>
      </c>
      <c r="AR1506" s="71" t="s">
        <v>14917</v>
      </c>
      <c r="AS1506" s="71" t="s">
        <v>14918</v>
      </c>
      <c r="AT1506" s="71">
        <v>21.594</v>
      </c>
      <c r="AU1506" s="89"/>
      <c r="AV1506" s="162"/>
      <c r="AW1506" s="81"/>
    </row>
    <row r="1507" ht="15.75" customHeight="1">
      <c r="A1507" s="204" t="s">
        <v>63</v>
      </c>
      <c r="B1507" s="73"/>
      <c r="C1507" s="57" t="s">
        <v>14806</v>
      </c>
      <c r="D1507" s="74">
        <v>50.034003</v>
      </c>
      <c r="E1507" s="74">
        <v>36.366843</v>
      </c>
      <c r="F1507" s="79">
        <v>2.0</v>
      </c>
      <c r="G1507" s="84" t="s">
        <v>14872</v>
      </c>
      <c r="H1507" s="61" t="s">
        <v>5522</v>
      </c>
      <c r="I1507" s="75"/>
      <c r="J1507" s="71" t="s">
        <v>14919</v>
      </c>
      <c r="K1507" s="69"/>
      <c r="L1507" s="65" t="s">
        <v>3542</v>
      </c>
      <c r="M1507" s="93" t="s">
        <v>5590</v>
      </c>
      <c r="N1507" s="314"/>
      <c r="O1507" s="93" t="s">
        <v>5626</v>
      </c>
      <c r="P1507" s="67" t="str">
        <f t="shared" si="8"/>
        <v>50.034003, 36.366843</v>
      </c>
      <c r="Q1507" s="67" t="str">
        <f t="shared" si="2"/>
        <v>50.033727, 36.367428</v>
      </c>
      <c r="R1507" s="67">
        <f t="shared" si="3"/>
        <v>50.033727</v>
      </c>
      <c r="S1507" s="67">
        <f t="shared" si="4"/>
        <v>36.367428</v>
      </c>
      <c r="T1507" s="161"/>
      <c r="U1507" s="69"/>
      <c r="V1507" s="65" t="s">
        <v>14920</v>
      </c>
      <c r="W1507" s="71" t="s">
        <v>3601</v>
      </c>
      <c r="X1507" s="72" t="s">
        <v>5504</v>
      </c>
      <c r="Y1507" s="61" t="s">
        <v>75</v>
      </c>
      <c r="Z1507" s="61" t="s">
        <v>14788</v>
      </c>
      <c r="AA1507" s="73"/>
      <c r="AB1507" s="73"/>
      <c r="AC1507" s="73"/>
      <c r="AD1507" s="73"/>
      <c r="AE1507" s="73"/>
      <c r="AF1507" s="73"/>
      <c r="AG1507" s="73"/>
      <c r="AH1507" s="73"/>
      <c r="AI1507" s="73"/>
      <c r="AJ1507" s="161"/>
      <c r="AK1507" s="76" t="s">
        <v>930</v>
      </c>
      <c r="AL1507" s="83" t="s">
        <v>14875</v>
      </c>
      <c r="AM1507" s="71" t="s">
        <v>14921</v>
      </c>
      <c r="AN1507" s="84" t="s">
        <v>14922</v>
      </c>
      <c r="AO1507" s="71" t="s">
        <v>14878</v>
      </c>
      <c r="AP1507" s="161" t="str">
        <f>IMAGE("https://bellingcat-archive.nyc3.cdn.digitaloceanspaces.com/Ukraine_Witness_Datasheet/Worksheet/youtube_dl_1500370931918725120/out7.jpg")</f>
        <v/>
      </c>
      <c r="AQ1507" s="84" t="s">
        <v>14879</v>
      </c>
      <c r="AR1507" s="71" t="s">
        <v>14880</v>
      </c>
      <c r="AS1507" s="71" t="s">
        <v>14881</v>
      </c>
      <c r="AT1507" s="71">
        <v>24.3</v>
      </c>
      <c r="AU1507" s="79" t="s">
        <v>63</v>
      </c>
      <c r="AV1507" s="162"/>
      <c r="AW1507" s="81"/>
    </row>
    <row r="1508" ht="15.75" customHeight="1">
      <c r="A1508" s="72" t="s">
        <v>5457</v>
      </c>
      <c r="B1508" s="73"/>
      <c r="C1508" s="57" t="s">
        <v>14806</v>
      </c>
      <c r="D1508" s="104">
        <v>49.1897283</v>
      </c>
      <c r="E1508" s="104">
        <v>37.2782444</v>
      </c>
      <c r="F1508" s="79">
        <v>2.0</v>
      </c>
      <c r="G1508" s="130" t="s">
        <v>14923</v>
      </c>
      <c r="H1508" s="61" t="s">
        <v>91</v>
      </c>
      <c r="I1508" s="75"/>
      <c r="J1508" s="71" t="s">
        <v>14924</v>
      </c>
      <c r="K1508" s="69"/>
      <c r="L1508" s="65" t="s">
        <v>3542</v>
      </c>
      <c r="M1508" s="169" t="s">
        <v>5590</v>
      </c>
      <c r="N1508" s="169"/>
      <c r="O1508" s="169" t="s">
        <v>9227</v>
      </c>
      <c r="P1508" s="67" t="str">
        <f t="shared" si="8"/>
        <v>49.1897283, 37.2782444</v>
      </c>
      <c r="Q1508" s="67" t="str">
        <f t="shared" si="2"/>
        <v>49.189703, 37.277012</v>
      </c>
      <c r="R1508" s="67">
        <f t="shared" si="3"/>
        <v>49.189703</v>
      </c>
      <c r="S1508" s="67">
        <f t="shared" si="4"/>
        <v>37.277012</v>
      </c>
      <c r="T1508" s="84" t="s">
        <v>14925</v>
      </c>
      <c r="U1508" s="69"/>
      <c r="V1508" s="65" t="s">
        <v>14926</v>
      </c>
      <c r="W1508" s="71" t="s">
        <v>3601</v>
      </c>
      <c r="X1508" s="72" t="s">
        <v>5504</v>
      </c>
      <c r="Y1508" s="61" t="s">
        <v>5820</v>
      </c>
      <c r="Z1508" s="61"/>
      <c r="AA1508" s="73"/>
      <c r="AB1508" s="73"/>
      <c r="AC1508" s="73"/>
      <c r="AD1508" s="73"/>
      <c r="AE1508" s="73"/>
      <c r="AF1508" s="73"/>
      <c r="AG1508" s="73"/>
      <c r="AH1508" s="73"/>
      <c r="AI1508" s="73"/>
      <c r="AJ1508" s="161"/>
      <c r="AK1508" s="76" t="s">
        <v>2108</v>
      </c>
      <c r="AL1508" s="83" t="s">
        <v>14927</v>
      </c>
      <c r="AM1508" s="71" t="s">
        <v>14928</v>
      </c>
      <c r="AN1508" s="84" t="s">
        <v>14929</v>
      </c>
      <c r="AO1508" s="71" t="s">
        <v>14930</v>
      </c>
      <c r="AP1508" s="161" t="str">
        <f>IMAGE("https://bellingcat-archive.nyc3.cdn.digitaloceanspaces.com/Ukraine_Witness_Datasheet/Worksheet/twitter__media_FNJ1bG-WUAAPOno.jpg")</f>
        <v/>
      </c>
      <c r="AQ1508" s="161"/>
      <c r="AR1508" s="161"/>
      <c r="AS1508" s="71" t="s">
        <v>14931</v>
      </c>
      <c r="AT1508" s="161"/>
      <c r="AU1508" s="89"/>
      <c r="AV1508" s="80" t="s">
        <v>63</v>
      </c>
      <c r="AW1508" s="81"/>
    </row>
    <row r="1509" ht="15.75" customHeight="1">
      <c r="A1509" s="204" t="s">
        <v>63</v>
      </c>
      <c r="B1509" s="73"/>
      <c r="C1509" s="57" t="s">
        <v>14806</v>
      </c>
      <c r="D1509" s="74">
        <v>50.035606</v>
      </c>
      <c r="E1509" s="74">
        <v>36.36836</v>
      </c>
      <c r="F1509" s="79">
        <v>2.0</v>
      </c>
      <c r="G1509" s="84" t="s">
        <v>14872</v>
      </c>
      <c r="H1509" s="61" t="s">
        <v>5522</v>
      </c>
      <c r="I1509" s="75"/>
      <c r="J1509" s="71" t="s">
        <v>14932</v>
      </c>
      <c r="K1509" s="69"/>
      <c r="L1509" s="65" t="s">
        <v>3542</v>
      </c>
      <c r="M1509" s="93" t="s">
        <v>5590</v>
      </c>
      <c r="N1509" s="314"/>
      <c r="O1509" s="93" t="s">
        <v>5626</v>
      </c>
      <c r="P1509" s="67" t="str">
        <f t="shared" si="8"/>
        <v>50.035606, 36.36836</v>
      </c>
      <c r="Q1509" s="67" t="str">
        <f t="shared" si="2"/>
        <v>50.035546, 36.367388</v>
      </c>
      <c r="R1509" s="67">
        <f t="shared" si="3"/>
        <v>50.035546</v>
      </c>
      <c r="S1509" s="67">
        <f t="shared" si="4"/>
        <v>36.367388</v>
      </c>
      <c r="T1509" s="161"/>
      <c r="U1509" s="69"/>
      <c r="V1509" s="65" t="s">
        <v>14933</v>
      </c>
      <c r="W1509" s="71" t="s">
        <v>3601</v>
      </c>
      <c r="X1509" s="72" t="s">
        <v>5504</v>
      </c>
      <c r="Y1509" s="61" t="s">
        <v>75</v>
      </c>
      <c r="Z1509" s="61" t="s">
        <v>14788</v>
      </c>
      <c r="AA1509" s="73"/>
      <c r="AB1509" s="73"/>
      <c r="AC1509" s="73"/>
      <c r="AD1509" s="73"/>
      <c r="AE1509" s="73"/>
      <c r="AF1509" s="73"/>
      <c r="AG1509" s="73"/>
      <c r="AH1509" s="73"/>
      <c r="AI1509" s="73"/>
      <c r="AJ1509" s="161"/>
      <c r="AK1509" s="76" t="s">
        <v>930</v>
      </c>
      <c r="AL1509" s="83" t="s">
        <v>14875</v>
      </c>
      <c r="AM1509" s="71" t="s">
        <v>14934</v>
      </c>
      <c r="AN1509" s="84" t="s">
        <v>14935</v>
      </c>
      <c r="AO1509" s="71" t="s">
        <v>14878</v>
      </c>
      <c r="AP1509" s="161" t="str">
        <f>IMAGE("https://bellingcat-archive.nyc3.cdn.digitaloceanspaces.com/Ukraine_Witness_Datasheet/Worksheet/youtube_dl_1500370931918725120/out7.jpg")</f>
        <v/>
      </c>
      <c r="AQ1509" s="84" t="s">
        <v>14879</v>
      </c>
      <c r="AR1509" s="71" t="s">
        <v>14880</v>
      </c>
      <c r="AS1509" s="71" t="s">
        <v>14881</v>
      </c>
      <c r="AT1509" s="71">
        <v>24.3</v>
      </c>
      <c r="AU1509" s="79" t="s">
        <v>63</v>
      </c>
      <c r="AV1509" s="162"/>
      <c r="AW1509" s="81"/>
    </row>
    <row r="1510" ht="15.75" customHeight="1">
      <c r="A1510" s="208"/>
      <c r="B1510" s="73"/>
      <c r="C1510" s="176"/>
      <c r="D1510" s="121"/>
      <c r="E1510" s="121"/>
      <c r="F1510" s="79">
        <v>2.0</v>
      </c>
      <c r="G1510" s="130" t="s">
        <v>14936</v>
      </c>
      <c r="H1510" s="61" t="s">
        <v>5522</v>
      </c>
      <c r="I1510" s="75"/>
      <c r="J1510" s="71" t="s">
        <v>14937</v>
      </c>
      <c r="K1510" s="69"/>
      <c r="L1510" s="70"/>
      <c r="M1510" s="314"/>
      <c r="N1510" s="314"/>
      <c r="O1510" s="314"/>
      <c r="P1510" s="67" t="str">
        <f t="shared" si="8"/>
        <v/>
      </c>
      <c r="Q1510" s="67" t="str">
        <f t="shared" si="2"/>
        <v/>
      </c>
      <c r="R1510" s="67" t="str">
        <f t="shared" si="3"/>
        <v/>
      </c>
      <c r="S1510" s="67" t="str">
        <f t="shared" si="4"/>
        <v/>
      </c>
      <c r="T1510" s="161"/>
      <c r="U1510" s="69"/>
      <c r="V1510" s="65" t="s">
        <v>14938</v>
      </c>
      <c r="W1510" s="161"/>
      <c r="X1510" s="194"/>
      <c r="Y1510" s="73"/>
      <c r="Z1510" s="73"/>
      <c r="AA1510" s="73"/>
      <c r="AB1510" s="73"/>
      <c r="AC1510" s="73"/>
      <c r="AD1510" s="73"/>
      <c r="AE1510" s="73"/>
      <c r="AF1510" s="73"/>
      <c r="AG1510" s="73"/>
      <c r="AH1510" s="73"/>
      <c r="AI1510" s="73"/>
      <c r="AJ1510" s="161"/>
      <c r="AK1510" s="76" t="s">
        <v>798</v>
      </c>
      <c r="AL1510" s="83" t="s">
        <v>14939</v>
      </c>
      <c r="AM1510" s="71" t="s">
        <v>14940</v>
      </c>
      <c r="AN1510" s="84" t="s">
        <v>14941</v>
      </c>
      <c r="AO1510" s="71" t="s">
        <v>14942</v>
      </c>
      <c r="AP1510" s="161" t="str">
        <f>IMAGE("https://bellingcat-archive.nyc3.cdn.digitaloceanspaces.com/Ukraine_Witness_Datasheet/Worksheet/youtube_dl_1500407825188728833/out7.jpg")</f>
        <v/>
      </c>
      <c r="AQ1510" s="84" t="s">
        <v>14943</v>
      </c>
      <c r="AR1510" s="71" t="s">
        <v>14944</v>
      </c>
      <c r="AS1510" s="71" t="s">
        <v>14945</v>
      </c>
      <c r="AT1510" s="71">
        <v>23.444</v>
      </c>
      <c r="AU1510" s="89"/>
      <c r="AV1510" s="162"/>
      <c r="AW1510" s="81"/>
    </row>
    <row r="1511" ht="15.75" customHeight="1">
      <c r="A1511" s="72" t="s">
        <v>5457</v>
      </c>
      <c r="B1511" s="73"/>
      <c r="C1511" s="57" t="s">
        <v>14806</v>
      </c>
      <c r="D1511" s="74">
        <v>50.421717</v>
      </c>
      <c r="E1511" s="74">
        <v>30.045564</v>
      </c>
      <c r="F1511" s="79">
        <v>2.0</v>
      </c>
      <c r="G1511" s="130" t="s">
        <v>14946</v>
      </c>
      <c r="H1511" s="61" t="s">
        <v>5522</v>
      </c>
      <c r="I1511" s="75"/>
      <c r="J1511" s="71" t="s">
        <v>14947</v>
      </c>
      <c r="K1511" s="69"/>
      <c r="L1511" s="65" t="s">
        <v>3542</v>
      </c>
      <c r="M1511" s="93" t="s">
        <v>5827</v>
      </c>
      <c r="N1511" s="314"/>
      <c r="O1511" s="93" t="s">
        <v>10304</v>
      </c>
      <c r="P1511" s="67" t="str">
        <f t="shared" si="8"/>
        <v>50.421717, 30.045564</v>
      </c>
      <c r="Q1511" s="67" t="str">
        <f t="shared" si="2"/>
        <v>50.42116, 30.04646</v>
      </c>
      <c r="R1511" s="67">
        <f t="shared" si="3"/>
        <v>50.42116</v>
      </c>
      <c r="S1511" s="67">
        <f t="shared" si="4"/>
        <v>30.04646</v>
      </c>
      <c r="T1511" s="84" t="s">
        <v>14948</v>
      </c>
      <c r="U1511" s="69"/>
      <c r="V1511" s="65" t="s">
        <v>14949</v>
      </c>
      <c r="W1511" s="71" t="s">
        <v>3601</v>
      </c>
      <c r="X1511" s="72" t="s">
        <v>5504</v>
      </c>
      <c r="Y1511" s="61" t="s">
        <v>5820</v>
      </c>
      <c r="Z1511" s="73"/>
      <c r="AA1511" s="73"/>
      <c r="AB1511" s="73"/>
      <c r="AC1511" s="73"/>
      <c r="AD1511" s="73"/>
      <c r="AE1511" s="73"/>
      <c r="AF1511" s="73"/>
      <c r="AG1511" s="73"/>
      <c r="AH1511" s="73"/>
      <c r="AI1511" s="73"/>
      <c r="AJ1511" s="161"/>
      <c r="AK1511" s="76" t="s">
        <v>798</v>
      </c>
      <c r="AL1511" s="83" t="s">
        <v>14950</v>
      </c>
      <c r="AM1511" s="71" t="s">
        <v>14951</v>
      </c>
      <c r="AN1511" s="84" t="s">
        <v>14952</v>
      </c>
      <c r="AO1511" s="71" t="s">
        <v>14953</v>
      </c>
      <c r="AP1511" s="161" t="str">
        <f>IMAGE("https://bellingcat-archive.nyc3.cdn.digitaloceanspaces.com/Ukraine_Witness_Datasheet/Worksheet/youtube_dl_1500416972667957248/out7.jpg")</f>
        <v/>
      </c>
      <c r="AQ1511" s="84" t="s">
        <v>14954</v>
      </c>
      <c r="AR1511" s="71" t="s">
        <v>14955</v>
      </c>
      <c r="AS1511" s="71" t="s">
        <v>14956</v>
      </c>
      <c r="AT1511" s="71">
        <v>18.633</v>
      </c>
      <c r="AU1511" s="89"/>
      <c r="AV1511" s="80" t="s">
        <v>63</v>
      </c>
      <c r="AW1511" s="81"/>
    </row>
    <row r="1512" ht="15.75" customHeight="1">
      <c r="A1512" s="72" t="s">
        <v>5457</v>
      </c>
      <c r="B1512" s="73"/>
      <c r="C1512" s="57" t="s">
        <v>14806</v>
      </c>
      <c r="D1512" s="74">
        <v>51.50029</v>
      </c>
      <c r="E1512" s="74">
        <v>31.278691</v>
      </c>
      <c r="F1512" s="79">
        <v>2.0</v>
      </c>
      <c r="G1512" s="130" t="s">
        <v>14957</v>
      </c>
      <c r="H1512" s="61" t="s">
        <v>5522</v>
      </c>
      <c r="I1512" s="75"/>
      <c r="J1512" s="71" t="s">
        <v>14958</v>
      </c>
      <c r="K1512" s="69"/>
      <c r="L1512" s="65" t="s">
        <v>3542</v>
      </c>
      <c r="M1512" s="92" t="s">
        <v>5880</v>
      </c>
      <c r="N1512" s="314"/>
      <c r="O1512" s="93" t="s">
        <v>8524</v>
      </c>
      <c r="P1512" s="67" t="str">
        <f t="shared" si="8"/>
        <v>51.50029, 31.278691</v>
      </c>
      <c r="Q1512" s="67" t="str">
        <f t="shared" si="2"/>
        <v>51.500159, 31.278074</v>
      </c>
      <c r="R1512" s="67">
        <f t="shared" si="3"/>
        <v>51.500159</v>
      </c>
      <c r="S1512" s="67">
        <f t="shared" si="4"/>
        <v>31.278074</v>
      </c>
      <c r="T1512" s="161"/>
      <c r="U1512" s="69"/>
      <c r="V1512" s="65" t="s">
        <v>14959</v>
      </c>
      <c r="W1512" s="71" t="s">
        <v>3601</v>
      </c>
      <c r="X1512" s="72" t="s">
        <v>5504</v>
      </c>
      <c r="Y1512" s="61" t="s">
        <v>5820</v>
      </c>
      <c r="Z1512" s="73"/>
      <c r="AA1512" s="73"/>
      <c r="AB1512" s="73"/>
      <c r="AC1512" s="73"/>
      <c r="AD1512" s="73"/>
      <c r="AE1512" s="73"/>
      <c r="AF1512" s="73"/>
      <c r="AG1512" s="73"/>
      <c r="AH1512" s="73"/>
      <c r="AI1512" s="73"/>
      <c r="AJ1512" s="161"/>
      <c r="AK1512" s="76" t="s">
        <v>798</v>
      </c>
      <c r="AL1512" s="83" t="s">
        <v>14960</v>
      </c>
      <c r="AM1512" s="71" t="s">
        <v>14961</v>
      </c>
      <c r="AN1512" s="84" t="s">
        <v>14962</v>
      </c>
      <c r="AO1512" s="71" t="s">
        <v>14963</v>
      </c>
      <c r="AP1512" s="161" t="str">
        <f>IMAGE("https://bellingcat-archive.nyc3.cdn.digitaloceanspaces.com/Ukraine_Witness_Datasheet/Worksheet/youtube_dl_1500404603770359808/out7.jpg")</f>
        <v/>
      </c>
      <c r="AQ1512" s="84" t="s">
        <v>14964</v>
      </c>
      <c r="AR1512" s="71" t="s">
        <v>14965</v>
      </c>
      <c r="AS1512" s="71" t="s">
        <v>14966</v>
      </c>
      <c r="AT1512" s="71">
        <v>29.141</v>
      </c>
      <c r="AU1512" s="89"/>
      <c r="AV1512" s="80" t="s">
        <v>63</v>
      </c>
      <c r="AW1512" s="81"/>
    </row>
    <row r="1513" ht="15.75" customHeight="1">
      <c r="A1513" s="357" t="s">
        <v>5457</v>
      </c>
      <c r="B1513" s="73"/>
      <c r="C1513" s="57" t="s">
        <v>14806</v>
      </c>
      <c r="D1513" s="74">
        <v>50.429188</v>
      </c>
      <c r="E1513" s="74">
        <v>30.012544</v>
      </c>
      <c r="F1513" s="79">
        <v>2.0</v>
      </c>
      <c r="G1513" s="130" t="s">
        <v>14967</v>
      </c>
      <c r="H1513" s="61" t="s">
        <v>91</v>
      </c>
      <c r="I1513" s="75"/>
      <c r="J1513" s="71" t="s">
        <v>14968</v>
      </c>
      <c r="K1513" s="131" t="s">
        <v>14969</v>
      </c>
      <c r="L1513" s="65" t="s">
        <v>3542</v>
      </c>
      <c r="M1513" s="169" t="s">
        <v>5827</v>
      </c>
      <c r="N1513" s="314"/>
      <c r="O1513" s="93" t="s">
        <v>14970</v>
      </c>
      <c r="P1513" s="67" t="str">
        <f t="shared" si="8"/>
        <v>50.429188, 30.012544</v>
      </c>
      <c r="Q1513" s="67" t="str">
        <f t="shared" si="2"/>
        <v>50.428601, 30.012539</v>
      </c>
      <c r="R1513" s="67">
        <f t="shared" si="3"/>
        <v>50.428601</v>
      </c>
      <c r="S1513" s="67">
        <f t="shared" si="4"/>
        <v>30.012539</v>
      </c>
      <c r="T1513" s="161"/>
      <c r="U1513" s="69"/>
      <c r="V1513" s="65" t="s">
        <v>14971</v>
      </c>
      <c r="W1513" s="71" t="s">
        <v>7571</v>
      </c>
      <c r="X1513" s="72" t="s">
        <v>5504</v>
      </c>
      <c r="Y1513" s="61" t="s">
        <v>5820</v>
      </c>
      <c r="Z1513" s="73"/>
      <c r="AA1513" s="73"/>
      <c r="AB1513" s="73"/>
      <c r="AC1513" s="73"/>
      <c r="AD1513" s="73"/>
      <c r="AE1513" s="73"/>
      <c r="AF1513" s="73"/>
      <c r="AG1513" s="73"/>
      <c r="AH1513" s="73"/>
      <c r="AI1513" s="73"/>
      <c r="AJ1513" s="161"/>
      <c r="AK1513" s="76" t="s">
        <v>2108</v>
      </c>
      <c r="AL1513" s="83" t="s">
        <v>14972</v>
      </c>
      <c r="AM1513" s="71" t="s">
        <v>14973</v>
      </c>
      <c r="AN1513" s="84" t="s">
        <v>14974</v>
      </c>
      <c r="AO1513" s="71" t="s">
        <v>14975</v>
      </c>
      <c r="AP1513" s="161" t="str">
        <f>IMAGE("https://bellingcat-archive.nyc3.cdn.digitaloceanspaces.com/Ukraine_Witness_Datasheet/Worksheet/twitter__media_FNKVtn8XwAcjfPd.jpg")</f>
        <v/>
      </c>
      <c r="AQ1513" s="161"/>
      <c r="AR1513" s="161"/>
      <c r="AS1513" s="71" t="s">
        <v>14976</v>
      </c>
      <c r="AT1513" s="161"/>
      <c r="AU1513" s="89"/>
      <c r="AV1513" s="80" t="s">
        <v>63</v>
      </c>
      <c r="AW1513" s="81"/>
    </row>
    <row r="1514" ht="15.75" customHeight="1">
      <c r="A1514" s="204" t="s">
        <v>63</v>
      </c>
      <c r="B1514" s="73"/>
      <c r="C1514" s="57" t="s">
        <v>14806</v>
      </c>
      <c r="D1514" s="74">
        <v>50.089954</v>
      </c>
      <c r="E1514" s="74">
        <v>36.256383</v>
      </c>
      <c r="F1514" s="79">
        <v>5.0</v>
      </c>
      <c r="G1514" s="130" t="s">
        <v>14977</v>
      </c>
      <c r="H1514" s="61" t="s">
        <v>91</v>
      </c>
      <c r="I1514" s="75"/>
      <c r="J1514" s="71" t="s">
        <v>14978</v>
      </c>
      <c r="K1514" s="506"/>
      <c r="L1514" s="65" t="s">
        <v>3542</v>
      </c>
      <c r="M1514" s="93" t="s">
        <v>5590</v>
      </c>
      <c r="N1514" s="314"/>
      <c r="O1514" s="93" t="s">
        <v>5626</v>
      </c>
      <c r="P1514" s="67" t="str">
        <f t="shared" si="8"/>
        <v>50.089954, 36.256383</v>
      </c>
      <c r="Q1514" s="67" t="str">
        <f t="shared" si="2"/>
        <v>50.089633, 36.255968</v>
      </c>
      <c r="R1514" s="67">
        <f t="shared" si="3"/>
        <v>50.089633</v>
      </c>
      <c r="S1514" s="67">
        <f t="shared" si="4"/>
        <v>36.255968</v>
      </c>
      <c r="T1514" s="161"/>
      <c r="U1514" s="69"/>
      <c r="V1514" s="65" t="s">
        <v>14979</v>
      </c>
      <c r="W1514" s="71" t="s">
        <v>14980</v>
      </c>
      <c r="X1514" s="229" t="s">
        <v>6054</v>
      </c>
      <c r="Y1514" s="61" t="s">
        <v>75</v>
      </c>
      <c r="Z1514" s="61" t="s">
        <v>14788</v>
      </c>
      <c r="AA1514" s="73"/>
      <c r="AB1514" s="73"/>
      <c r="AC1514" s="73"/>
      <c r="AD1514" s="73"/>
      <c r="AE1514" s="73"/>
      <c r="AF1514" s="73"/>
      <c r="AG1514" s="73"/>
      <c r="AH1514" s="73"/>
      <c r="AI1514" s="73"/>
      <c r="AJ1514" s="161"/>
      <c r="AK1514" s="76" t="s">
        <v>2108</v>
      </c>
      <c r="AL1514" s="83" t="s">
        <v>14981</v>
      </c>
      <c r="AM1514" s="71" t="s">
        <v>14982</v>
      </c>
      <c r="AN1514" s="84" t="s">
        <v>14983</v>
      </c>
      <c r="AO1514" s="71" t="s">
        <v>14984</v>
      </c>
      <c r="AP1514" s="161" t="str">
        <f>IMAGE("https://bellingcat-archive.nyc3.cdn.digitaloceanspaces.com/Ukraine_Witness_Datasheet/Worksheet/twitter__media_FNKOJWkXMAIQ3ZL.jpg")</f>
        <v/>
      </c>
      <c r="AQ1514" s="161"/>
      <c r="AR1514" s="161"/>
      <c r="AS1514" s="71" t="s">
        <v>14985</v>
      </c>
      <c r="AT1514" s="161"/>
      <c r="AU1514" s="79" t="s">
        <v>63</v>
      </c>
      <c r="AV1514" s="80" t="s">
        <v>88</v>
      </c>
      <c r="AW1514" s="81"/>
    </row>
    <row r="1515" ht="15.75" customHeight="1">
      <c r="A1515" s="72" t="s">
        <v>5457</v>
      </c>
      <c r="B1515" s="73"/>
      <c r="C1515" s="57" t="s">
        <v>14806</v>
      </c>
      <c r="D1515" s="74">
        <v>49.233091</v>
      </c>
      <c r="E1515" s="74">
        <v>28.619394</v>
      </c>
      <c r="F1515" s="79">
        <v>2.0</v>
      </c>
      <c r="G1515" s="130" t="s">
        <v>14986</v>
      </c>
      <c r="H1515" s="61" t="s">
        <v>91</v>
      </c>
      <c r="I1515" s="75"/>
      <c r="J1515" s="71" t="s">
        <v>14987</v>
      </c>
      <c r="K1515" s="69"/>
      <c r="L1515" s="65" t="s">
        <v>3542</v>
      </c>
      <c r="M1515" s="93" t="s">
        <v>14678</v>
      </c>
      <c r="N1515" s="314"/>
      <c r="O1515" s="93" t="s">
        <v>14988</v>
      </c>
      <c r="P1515" s="67" t="str">
        <f t="shared" si="8"/>
        <v>49.233091, 28.619394</v>
      </c>
      <c r="Q1515" s="67" t="str">
        <f t="shared" si="2"/>
        <v>49.232661, 28.619981</v>
      </c>
      <c r="R1515" s="67">
        <f t="shared" si="3"/>
        <v>49.232661</v>
      </c>
      <c r="S1515" s="67">
        <f t="shared" si="4"/>
        <v>28.619981</v>
      </c>
      <c r="T1515" s="84" t="s">
        <v>14989</v>
      </c>
      <c r="U1515" s="69"/>
      <c r="V1515" s="65" t="s">
        <v>14990</v>
      </c>
      <c r="W1515" s="71" t="s">
        <v>3601</v>
      </c>
      <c r="X1515" s="72" t="s">
        <v>5504</v>
      </c>
      <c r="Y1515" s="61" t="s">
        <v>2982</v>
      </c>
      <c r="Z1515" s="61" t="s">
        <v>14788</v>
      </c>
      <c r="AA1515" s="73"/>
      <c r="AB1515" s="73"/>
      <c r="AC1515" s="73"/>
      <c r="AD1515" s="73"/>
      <c r="AE1515" s="73"/>
      <c r="AF1515" s="73"/>
      <c r="AG1515" s="73"/>
      <c r="AH1515" s="73"/>
      <c r="AI1515" s="73"/>
      <c r="AJ1515" s="161"/>
      <c r="AK1515" s="76" t="s">
        <v>2108</v>
      </c>
      <c r="AL1515" s="83" t="s">
        <v>14991</v>
      </c>
      <c r="AM1515" s="71" t="s">
        <v>14992</v>
      </c>
      <c r="AN1515" s="84" t="s">
        <v>14993</v>
      </c>
      <c r="AO1515" s="71" t="s">
        <v>14994</v>
      </c>
      <c r="AP1515" s="161" t="str">
        <f>IMAGE("https://bellingcat-archive.nyc3.cdn.digitaloceanspaces.com/Ukraine_Witness_Datasheet/Worksheet/twitter__media_FNKhnlkWQAUeRVk.jpg")</f>
        <v/>
      </c>
      <c r="AQ1515" s="161"/>
      <c r="AR1515" s="161"/>
      <c r="AS1515" s="71" t="s">
        <v>14995</v>
      </c>
      <c r="AT1515" s="161"/>
      <c r="AU1515" s="89"/>
      <c r="AV1515" s="80" t="s">
        <v>63</v>
      </c>
      <c r="AW1515" s="81"/>
    </row>
    <row r="1516" ht="15.75" customHeight="1">
      <c r="A1516" s="72" t="s">
        <v>5457</v>
      </c>
      <c r="B1516" s="73"/>
      <c r="C1516" s="57" t="s">
        <v>14806</v>
      </c>
      <c r="D1516" s="74">
        <v>49.235224</v>
      </c>
      <c r="E1516" s="74">
        <v>28.61086</v>
      </c>
      <c r="F1516" s="79">
        <v>3.0</v>
      </c>
      <c r="G1516" s="130" t="s">
        <v>14996</v>
      </c>
      <c r="H1516" s="61" t="s">
        <v>5522</v>
      </c>
      <c r="I1516" s="75"/>
      <c r="J1516" s="71" t="s">
        <v>14997</v>
      </c>
      <c r="K1516" s="69"/>
      <c r="L1516" s="65" t="s">
        <v>3542</v>
      </c>
      <c r="M1516" s="93" t="s">
        <v>14678</v>
      </c>
      <c r="N1516" s="314"/>
      <c r="O1516" s="92" t="s">
        <v>14998</v>
      </c>
      <c r="P1516" s="67" t="str">
        <f t="shared" si="8"/>
        <v>49.235224, 28.61086</v>
      </c>
      <c r="Q1516" s="67" t="str">
        <f t="shared" si="2"/>
        <v>49.234823, 28.61</v>
      </c>
      <c r="R1516" s="67">
        <f t="shared" si="3"/>
        <v>49.234823</v>
      </c>
      <c r="S1516" s="67">
        <f t="shared" si="4"/>
        <v>28.61</v>
      </c>
      <c r="T1516" s="84" t="s">
        <v>14999</v>
      </c>
      <c r="U1516" s="69"/>
      <c r="V1516" s="65" t="s">
        <v>15000</v>
      </c>
      <c r="W1516" s="71" t="s">
        <v>9711</v>
      </c>
      <c r="X1516" s="72" t="s">
        <v>5504</v>
      </c>
      <c r="Y1516" s="61" t="s">
        <v>5820</v>
      </c>
      <c r="Z1516" s="73"/>
      <c r="AA1516" s="73"/>
      <c r="AB1516" s="73"/>
      <c r="AC1516" s="73"/>
      <c r="AD1516" s="73"/>
      <c r="AE1516" s="73"/>
      <c r="AF1516" s="73"/>
      <c r="AG1516" s="73"/>
      <c r="AH1516" s="73"/>
      <c r="AI1516" s="73"/>
      <c r="AJ1516" s="161"/>
      <c r="AK1516" s="76" t="s">
        <v>798</v>
      </c>
      <c r="AL1516" s="83" t="s">
        <v>15001</v>
      </c>
      <c r="AM1516" s="71" t="s">
        <v>15002</v>
      </c>
      <c r="AN1516" s="84" t="s">
        <v>15003</v>
      </c>
      <c r="AO1516" s="71" t="s">
        <v>15004</v>
      </c>
      <c r="AP1516" s="161" t="str">
        <f>IMAGE("https://bellingcat-archive.nyc3.cdn.digitaloceanspaces.com/Ukraine_Witness_Datasheet/Worksheet/youtube_dl_1500444019326959617/out7.jpg")</f>
        <v/>
      </c>
      <c r="AQ1516" s="84" t="s">
        <v>15005</v>
      </c>
      <c r="AR1516" s="71" t="s">
        <v>15006</v>
      </c>
      <c r="AS1516" s="71" t="s">
        <v>15007</v>
      </c>
      <c r="AT1516" s="71">
        <v>40.8</v>
      </c>
      <c r="AU1516" s="89"/>
      <c r="AV1516" s="80" t="s">
        <v>63</v>
      </c>
      <c r="AW1516" s="81"/>
    </row>
    <row r="1517" ht="15.75" customHeight="1">
      <c r="A1517" s="204" t="s">
        <v>63</v>
      </c>
      <c r="B1517" s="73"/>
      <c r="C1517" s="57" t="s">
        <v>13542</v>
      </c>
      <c r="D1517" s="74">
        <v>50.498014</v>
      </c>
      <c r="E1517" s="74">
        <v>31.259219</v>
      </c>
      <c r="F1517" s="79">
        <v>2.0</v>
      </c>
      <c r="G1517" s="130" t="s">
        <v>15008</v>
      </c>
      <c r="H1517" s="61" t="s">
        <v>5522</v>
      </c>
      <c r="I1517" s="75"/>
      <c r="J1517" s="71" t="s">
        <v>15009</v>
      </c>
      <c r="K1517" s="88" t="s">
        <v>15010</v>
      </c>
      <c r="L1517" s="65" t="s">
        <v>3542</v>
      </c>
      <c r="M1517" s="93" t="s">
        <v>5827</v>
      </c>
      <c r="N1517" s="314"/>
      <c r="O1517" s="92" t="s">
        <v>15011</v>
      </c>
      <c r="P1517" s="67" t="str">
        <f t="shared" si="8"/>
        <v>50.498014, 31.259219</v>
      </c>
      <c r="Q1517" s="67" t="str">
        <f t="shared" si="2"/>
        <v>50.497964, 31.259845</v>
      </c>
      <c r="R1517" s="67">
        <f t="shared" si="3"/>
        <v>50.497964</v>
      </c>
      <c r="S1517" s="67">
        <f t="shared" si="4"/>
        <v>31.259845</v>
      </c>
      <c r="T1517" s="161"/>
      <c r="U1517" s="69"/>
      <c r="V1517" s="65" t="s">
        <v>15012</v>
      </c>
      <c r="W1517" s="71" t="s">
        <v>9711</v>
      </c>
      <c r="X1517" s="72" t="s">
        <v>5504</v>
      </c>
      <c r="Y1517" s="61" t="s">
        <v>5820</v>
      </c>
      <c r="Z1517" s="73"/>
      <c r="AA1517" s="73"/>
      <c r="AB1517" s="73"/>
      <c r="AC1517" s="73"/>
      <c r="AD1517" s="73"/>
      <c r="AE1517" s="73"/>
      <c r="AF1517" s="73"/>
      <c r="AG1517" s="73"/>
      <c r="AH1517" s="73"/>
      <c r="AI1517" s="73"/>
      <c r="AJ1517" s="161"/>
      <c r="AK1517" s="76" t="s">
        <v>798</v>
      </c>
      <c r="AL1517" s="83" t="s">
        <v>15013</v>
      </c>
      <c r="AM1517" s="71" t="s">
        <v>15014</v>
      </c>
      <c r="AN1517" s="84" t="s">
        <v>15015</v>
      </c>
      <c r="AO1517" s="71" t="s">
        <v>15016</v>
      </c>
      <c r="AP1517" s="161" t="str">
        <f>IMAGE("https://bellingcat-archive.nyc3.cdn.digitaloceanspaces.com/Ukraine_Witness_Datasheet/Worksheet/youtube_dl_1500447665024348168/out20.jpg")</f>
        <v/>
      </c>
      <c r="AQ1517" s="84" t="s">
        <v>15017</v>
      </c>
      <c r="AR1517" s="71" t="s">
        <v>15018</v>
      </c>
      <c r="AS1517" s="71" t="s">
        <v>15019</v>
      </c>
      <c r="AT1517" s="71">
        <v>106.266</v>
      </c>
      <c r="AU1517" s="79" t="s">
        <v>63</v>
      </c>
      <c r="AV1517" s="80" t="s">
        <v>88</v>
      </c>
      <c r="AW1517" s="81"/>
    </row>
    <row r="1518" ht="15.75" customHeight="1">
      <c r="A1518" s="357" t="s">
        <v>63</v>
      </c>
      <c r="B1518" s="73"/>
      <c r="C1518" s="57" t="s">
        <v>14806</v>
      </c>
      <c r="D1518" s="74">
        <v>50.490225</v>
      </c>
      <c r="E1518" s="74">
        <v>30.26043</v>
      </c>
      <c r="F1518" s="79">
        <v>3.0</v>
      </c>
      <c r="G1518" s="60" t="s">
        <v>15020</v>
      </c>
      <c r="H1518" s="61" t="s">
        <v>5522</v>
      </c>
      <c r="I1518" s="215" t="s">
        <v>15021</v>
      </c>
      <c r="J1518" s="71" t="s">
        <v>15022</v>
      </c>
      <c r="K1518" s="88" t="s">
        <v>15023</v>
      </c>
      <c r="L1518" s="65" t="s">
        <v>3542</v>
      </c>
      <c r="M1518" s="93" t="s">
        <v>5827</v>
      </c>
      <c r="N1518" s="314"/>
      <c r="O1518" s="93" t="s">
        <v>7550</v>
      </c>
      <c r="P1518" s="67" t="str">
        <f t="shared" si="8"/>
        <v>50.490225, 30.26043</v>
      </c>
      <c r="Q1518" s="67" t="str">
        <f t="shared" si="2"/>
        <v>50.489883, 30.260164</v>
      </c>
      <c r="R1518" s="67">
        <f t="shared" si="3"/>
        <v>50.489883</v>
      </c>
      <c r="S1518" s="67">
        <f t="shared" si="4"/>
        <v>30.260164</v>
      </c>
      <c r="T1518" s="161"/>
      <c r="U1518" s="69"/>
      <c r="V1518" s="65" t="s">
        <v>15024</v>
      </c>
      <c r="W1518" s="71" t="s">
        <v>9711</v>
      </c>
      <c r="X1518" s="72" t="s">
        <v>5504</v>
      </c>
      <c r="Y1518" s="61" t="s">
        <v>5820</v>
      </c>
      <c r="Z1518" s="73"/>
      <c r="AA1518" s="73"/>
      <c r="AB1518" s="73"/>
      <c r="AC1518" s="73"/>
      <c r="AD1518" s="73"/>
      <c r="AE1518" s="73"/>
      <c r="AF1518" s="73"/>
      <c r="AG1518" s="73"/>
      <c r="AH1518" s="73"/>
      <c r="AI1518" s="73"/>
      <c r="AJ1518" s="161"/>
      <c r="AK1518" s="76" t="s">
        <v>798</v>
      </c>
      <c r="AL1518" s="83" t="s">
        <v>15025</v>
      </c>
      <c r="AM1518" s="71" t="s">
        <v>15026</v>
      </c>
      <c r="AN1518" s="84" t="s">
        <v>15027</v>
      </c>
      <c r="AO1518" s="71" t="s">
        <v>15028</v>
      </c>
      <c r="AP1518" s="161" t="str">
        <f>IMAGE("https://bellingcat-archive.nyc3.cdn.digitaloceanspaces.com/Ukraine_Witness_Datasheet/Worksheet/youtube_dl_1500432948390158338/out7.jpg")</f>
        <v/>
      </c>
      <c r="AQ1518" s="84" t="s">
        <v>15029</v>
      </c>
      <c r="AR1518" s="71" t="s">
        <v>15030</v>
      </c>
      <c r="AS1518" s="71" t="s">
        <v>15031</v>
      </c>
      <c r="AT1518" s="71">
        <v>57.253</v>
      </c>
      <c r="AU1518" s="89"/>
      <c r="AV1518" s="80" t="s">
        <v>63</v>
      </c>
      <c r="AW1518" s="81"/>
    </row>
    <row r="1519" ht="15.75" customHeight="1">
      <c r="A1519" s="204" t="s">
        <v>63</v>
      </c>
      <c r="B1519" s="73"/>
      <c r="C1519" s="57" t="s">
        <v>14806</v>
      </c>
      <c r="D1519" s="74">
        <v>50.555776</v>
      </c>
      <c r="E1519" s="74">
        <v>30.272616</v>
      </c>
      <c r="F1519" s="79">
        <v>2.0</v>
      </c>
      <c r="G1519" s="60" t="s">
        <v>15032</v>
      </c>
      <c r="H1519" s="61" t="s">
        <v>5522</v>
      </c>
      <c r="I1519" s="75"/>
      <c r="J1519" s="71" t="s">
        <v>15033</v>
      </c>
      <c r="K1519" s="69"/>
      <c r="L1519" s="65" t="s">
        <v>3542</v>
      </c>
      <c r="M1519" s="93" t="s">
        <v>5827</v>
      </c>
      <c r="N1519" s="314"/>
      <c r="O1519" s="93" t="s">
        <v>5828</v>
      </c>
      <c r="P1519" s="67" t="str">
        <f t="shared" si="8"/>
        <v>50.555776, 30.272616</v>
      </c>
      <c r="Q1519" s="67" t="str">
        <f t="shared" si="2"/>
        <v>50.555135, 30.273155</v>
      </c>
      <c r="R1519" s="67">
        <f t="shared" si="3"/>
        <v>50.555135</v>
      </c>
      <c r="S1519" s="67">
        <f t="shared" si="4"/>
        <v>30.273155</v>
      </c>
      <c r="T1519" s="161"/>
      <c r="U1519" s="69"/>
      <c r="V1519" s="65" t="s">
        <v>15034</v>
      </c>
      <c r="W1519" s="71" t="s">
        <v>3601</v>
      </c>
      <c r="X1519" s="72" t="s">
        <v>5504</v>
      </c>
      <c r="Y1519" s="61" t="s">
        <v>5820</v>
      </c>
      <c r="Z1519" s="73"/>
      <c r="AA1519" s="73"/>
      <c r="AB1519" s="73"/>
      <c r="AC1519" s="73"/>
      <c r="AD1519" s="73"/>
      <c r="AE1519" s="73"/>
      <c r="AF1519" s="73"/>
      <c r="AG1519" s="73"/>
      <c r="AH1519" s="73"/>
      <c r="AI1519" s="73"/>
      <c r="AJ1519" s="161"/>
      <c r="AK1519" s="76" t="s">
        <v>930</v>
      </c>
      <c r="AL1519" s="83" t="s">
        <v>14884</v>
      </c>
      <c r="AM1519" s="71" t="s">
        <v>15035</v>
      </c>
      <c r="AN1519" s="84" t="s">
        <v>15036</v>
      </c>
      <c r="AO1519" s="71" t="s">
        <v>14887</v>
      </c>
      <c r="AP1519" s="161" t="str">
        <f>IMAGE("https://bellingcat-archive.nyc3.cdn.digitaloceanspaces.com/Ukraine_Witness_Datasheet/Worksheet/youtube_dl_1500371547462283269/out7.jpg")</f>
        <v/>
      </c>
      <c r="AQ1519" s="84" t="s">
        <v>14888</v>
      </c>
      <c r="AR1519" s="71" t="s">
        <v>14889</v>
      </c>
      <c r="AS1519" s="71" t="s">
        <v>14890</v>
      </c>
      <c r="AT1519" s="71">
        <v>6.7</v>
      </c>
      <c r="AU1519" s="79" t="s">
        <v>63</v>
      </c>
      <c r="AV1519" s="80" t="s">
        <v>88</v>
      </c>
      <c r="AW1519" s="81"/>
    </row>
    <row r="1520" ht="15.75" customHeight="1">
      <c r="A1520" s="204" t="s">
        <v>63</v>
      </c>
      <c r="B1520" s="73"/>
      <c r="C1520" s="57" t="s">
        <v>14806</v>
      </c>
      <c r="D1520" s="74">
        <v>50.556137</v>
      </c>
      <c r="E1520" s="74">
        <v>30.272585</v>
      </c>
      <c r="F1520" s="79">
        <v>2.0</v>
      </c>
      <c r="G1520" s="84" t="s">
        <v>15037</v>
      </c>
      <c r="H1520" s="61" t="s">
        <v>5522</v>
      </c>
      <c r="I1520" s="75"/>
      <c r="J1520" s="71" t="s">
        <v>15033</v>
      </c>
      <c r="K1520" s="69"/>
      <c r="L1520" s="65" t="s">
        <v>3542</v>
      </c>
      <c r="M1520" s="93" t="s">
        <v>5827</v>
      </c>
      <c r="N1520" s="314"/>
      <c r="O1520" s="93" t="s">
        <v>5828</v>
      </c>
      <c r="P1520" s="67" t="str">
        <f t="shared" si="8"/>
        <v>50.556137, 30.272585</v>
      </c>
      <c r="Q1520" s="67" t="str">
        <f t="shared" si="2"/>
        <v>50.555753, 30.27187</v>
      </c>
      <c r="R1520" s="67">
        <f t="shared" si="3"/>
        <v>50.555753</v>
      </c>
      <c r="S1520" s="67">
        <f t="shared" si="4"/>
        <v>30.27187</v>
      </c>
      <c r="T1520" s="161"/>
      <c r="U1520" s="69"/>
      <c r="V1520" s="65" t="s">
        <v>15038</v>
      </c>
      <c r="W1520" s="71" t="s">
        <v>3601</v>
      </c>
      <c r="X1520" s="72" t="s">
        <v>5504</v>
      </c>
      <c r="Y1520" s="61" t="s">
        <v>5820</v>
      </c>
      <c r="Z1520" s="73"/>
      <c r="AA1520" s="73"/>
      <c r="AB1520" s="73"/>
      <c r="AC1520" s="73"/>
      <c r="AD1520" s="73"/>
      <c r="AE1520" s="73"/>
      <c r="AF1520" s="73"/>
      <c r="AG1520" s="73"/>
      <c r="AH1520" s="73"/>
      <c r="AI1520" s="73"/>
      <c r="AJ1520" s="161"/>
      <c r="AK1520" s="76" t="s">
        <v>798</v>
      </c>
      <c r="AL1520" s="83" t="s">
        <v>15039</v>
      </c>
      <c r="AM1520" s="71" t="s">
        <v>15040</v>
      </c>
      <c r="AN1520" s="84" t="s">
        <v>15041</v>
      </c>
      <c r="AO1520" s="71" t="s">
        <v>15042</v>
      </c>
      <c r="AP1520" s="161" t="str">
        <f>IMAGE("https://bellingcat-archive.nyc3.cdn.digitaloceanspaces.com/Ukraine_Witness_Datasheet/Worksheet/youtube_dl_1500373171895078912/out7.jpg")</f>
        <v/>
      </c>
      <c r="AQ1520" s="84" t="s">
        <v>15043</v>
      </c>
      <c r="AR1520" s="71" t="s">
        <v>15044</v>
      </c>
      <c r="AS1520" s="71" t="s">
        <v>15045</v>
      </c>
      <c r="AT1520" s="71">
        <v>40.5</v>
      </c>
      <c r="AU1520" s="79" t="s">
        <v>63</v>
      </c>
      <c r="AV1520" s="80" t="s">
        <v>88</v>
      </c>
      <c r="AW1520" s="81"/>
    </row>
    <row r="1521" ht="15.75" customHeight="1">
      <c r="A1521" s="204" t="s">
        <v>63</v>
      </c>
      <c r="B1521" s="73"/>
      <c r="C1521" s="57" t="s">
        <v>14806</v>
      </c>
      <c r="D1521" s="74">
        <v>50.556512</v>
      </c>
      <c r="E1521" s="74">
        <v>30.273968</v>
      </c>
      <c r="F1521" s="79">
        <v>2.0</v>
      </c>
      <c r="G1521" s="84" t="s">
        <v>15046</v>
      </c>
      <c r="H1521" s="61" t="s">
        <v>5522</v>
      </c>
      <c r="I1521" s="75"/>
      <c r="J1521" s="71" t="s">
        <v>15033</v>
      </c>
      <c r="K1521" s="69"/>
      <c r="L1521" s="65" t="s">
        <v>3542</v>
      </c>
      <c r="M1521" s="93" t="s">
        <v>5827</v>
      </c>
      <c r="N1521" s="314"/>
      <c r="O1521" s="93" t="s">
        <v>5828</v>
      </c>
      <c r="P1521" s="67" t="str">
        <f t="shared" si="8"/>
        <v>50.556512, 30.273968</v>
      </c>
      <c r="Q1521" s="67" t="str">
        <f t="shared" si="2"/>
        <v>50.555958, 30.273431</v>
      </c>
      <c r="R1521" s="67">
        <f t="shared" si="3"/>
        <v>50.555958</v>
      </c>
      <c r="S1521" s="67">
        <f t="shared" si="4"/>
        <v>30.273431</v>
      </c>
      <c r="T1521" s="161"/>
      <c r="U1521" s="69"/>
      <c r="V1521" s="65" t="s">
        <v>15047</v>
      </c>
      <c r="W1521" s="71" t="s">
        <v>3601</v>
      </c>
      <c r="X1521" s="72" t="s">
        <v>5504</v>
      </c>
      <c r="Y1521" s="61" t="s">
        <v>5820</v>
      </c>
      <c r="Z1521" s="73"/>
      <c r="AA1521" s="73"/>
      <c r="AB1521" s="73"/>
      <c r="AC1521" s="73"/>
      <c r="AD1521" s="73"/>
      <c r="AE1521" s="73"/>
      <c r="AF1521" s="73"/>
      <c r="AG1521" s="73"/>
      <c r="AH1521" s="73"/>
      <c r="AI1521" s="73"/>
      <c r="AJ1521" s="161"/>
      <c r="AK1521" s="76" t="s">
        <v>798</v>
      </c>
      <c r="AL1521" s="83" t="s">
        <v>15048</v>
      </c>
      <c r="AM1521" s="71" t="s">
        <v>15049</v>
      </c>
      <c r="AN1521" s="84" t="s">
        <v>15050</v>
      </c>
      <c r="AO1521" s="71" t="s">
        <v>15051</v>
      </c>
      <c r="AP1521" s="161" t="str">
        <f>IMAGE("https://bellingcat-archive.nyc3.cdn.digitaloceanspaces.com/Ukraine_Witness_Datasheet/Worksheet/youtube_dl_1500371572246433797/out7.jpg")</f>
        <v/>
      </c>
      <c r="AQ1521" s="84" t="s">
        <v>15052</v>
      </c>
      <c r="AR1521" s="71" t="s">
        <v>15053</v>
      </c>
      <c r="AS1521" s="71" t="s">
        <v>15054</v>
      </c>
      <c r="AT1521" s="71">
        <v>3.2</v>
      </c>
      <c r="AU1521" s="79" t="s">
        <v>63</v>
      </c>
      <c r="AV1521" s="80" t="s">
        <v>88</v>
      </c>
      <c r="AW1521" s="81"/>
    </row>
    <row r="1522" ht="15.75" customHeight="1">
      <c r="A1522" s="208" t="s">
        <v>12532</v>
      </c>
      <c r="B1522" s="73"/>
      <c r="C1522" s="57" t="s">
        <v>12959</v>
      </c>
      <c r="D1522" s="104">
        <v>46.753453</v>
      </c>
      <c r="E1522" s="104">
        <v>29.975017</v>
      </c>
      <c r="F1522" s="79">
        <v>1.0</v>
      </c>
      <c r="G1522" s="193" t="s">
        <v>15055</v>
      </c>
      <c r="H1522" s="61" t="s">
        <v>5522</v>
      </c>
      <c r="I1522" s="75"/>
      <c r="J1522" s="71" t="s">
        <v>15056</v>
      </c>
      <c r="K1522" s="69"/>
      <c r="L1522" s="65" t="s">
        <v>3542</v>
      </c>
      <c r="M1522" s="314"/>
      <c r="N1522" s="93" t="s">
        <v>5559</v>
      </c>
      <c r="O1522" s="93" t="s">
        <v>15057</v>
      </c>
      <c r="P1522" s="67" t="str">
        <f t="shared" si="8"/>
        <v>46.753453, 29.975017</v>
      </c>
      <c r="Q1522" s="67" t="str">
        <f t="shared" si="2"/>
        <v>46.753057, 29.974514</v>
      </c>
      <c r="R1522" s="67">
        <f t="shared" si="3"/>
        <v>46.753057</v>
      </c>
      <c r="S1522" s="67">
        <f t="shared" si="4"/>
        <v>29.974514</v>
      </c>
      <c r="T1522" s="161"/>
      <c r="U1522" s="69"/>
      <c r="V1522" s="65" t="s">
        <v>15058</v>
      </c>
      <c r="W1522" s="71" t="s">
        <v>3601</v>
      </c>
      <c r="X1522" s="194"/>
      <c r="Y1522" s="73"/>
      <c r="Z1522" s="73"/>
      <c r="AA1522" s="73"/>
      <c r="AB1522" s="73"/>
      <c r="AC1522" s="73"/>
      <c r="AD1522" s="73"/>
      <c r="AE1522" s="73"/>
      <c r="AF1522" s="73"/>
      <c r="AG1522" s="73"/>
      <c r="AH1522" s="73"/>
      <c r="AI1522" s="73"/>
      <c r="AJ1522" s="161"/>
      <c r="AK1522" s="76" t="s">
        <v>798</v>
      </c>
      <c r="AL1522" s="83" t="s">
        <v>15059</v>
      </c>
      <c r="AM1522" s="71" t="s">
        <v>15060</v>
      </c>
      <c r="AN1522" s="84" t="s">
        <v>15061</v>
      </c>
      <c r="AO1522" s="71" t="s">
        <v>15062</v>
      </c>
      <c r="AP1522" s="161" t="str">
        <f>IMAGE("https://bellingcat-archive.nyc3.cdn.digitaloceanspaces.com/Ukraine_Witness_Datasheet/Worksheet/youtube_dl_1499780277945741315/out7.jpg")</f>
        <v/>
      </c>
      <c r="AQ1522" s="84" t="s">
        <v>15063</v>
      </c>
      <c r="AR1522" s="71" t="s">
        <v>15064</v>
      </c>
      <c r="AS1522" s="71" t="s">
        <v>15065</v>
      </c>
      <c r="AT1522" s="71">
        <v>11.8</v>
      </c>
      <c r="AU1522" s="89"/>
      <c r="AV1522" s="162"/>
      <c r="AW1522" s="81"/>
    </row>
    <row r="1523" ht="15.75" customHeight="1">
      <c r="A1523" s="72" t="s">
        <v>11075</v>
      </c>
      <c r="B1523" s="73"/>
      <c r="C1523" s="57" t="s">
        <v>9941</v>
      </c>
      <c r="D1523" s="104">
        <v>46.5516749850979</v>
      </c>
      <c r="E1523" s="91">
        <v>32.9278752377631</v>
      </c>
      <c r="F1523" s="79">
        <v>1.0</v>
      </c>
      <c r="G1523" s="84" t="s">
        <v>15066</v>
      </c>
      <c r="H1523" s="61" t="s">
        <v>5522</v>
      </c>
      <c r="I1523" s="75"/>
      <c r="J1523" s="71" t="s">
        <v>15067</v>
      </c>
      <c r="K1523" s="507" t="s">
        <v>15068</v>
      </c>
      <c r="L1523" s="65" t="s">
        <v>3542</v>
      </c>
      <c r="M1523" s="93" t="s">
        <v>5702</v>
      </c>
      <c r="N1523" s="314"/>
      <c r="O1523" s="93" t="s">
        <v>15069</v>
      </c>
      <c r="P1523" s="67" t="str">
        <f t="shared" si="8"/>
        <v>46.5516749850979, 32.9278752377631</v>
      </c>
      <c r="Q1523" s="67" t="str">
        <f t="shared" si="2"/>
        <v>46.550882, 32.927493</v>
      </c>
      <c r="R1523" s="67">
        <f t="shared" si="3"/>
        <v>46.550882</v>
      </c>
      <c r="S1523" s="67">
        <f t="shared" si="4"/>
        <v>32.927493</v>
      </c>
      <c r="T1523" s="71" t="s">
        <v>15070</v>
      </c>
      <c r="U1523" s="69"/>
      <c r="V1523" s="65" t="s">
        <v>15071</v>
      </c>
      <c r="W1523" s="71" t="s">
        <v>74</v>
      </c>
      <c r="X1523" s="72" t="s">
        <v>5504</v>
      </c>
      <c r="Y1523" s="73"/>
      <c r="Z1523" s="73"/>
      <c r="AA1523" s="73"/>
      <c r="AB1523" s="73"/>
      <c r="AC1523" s="73"/>
      <c r="AD1523" s="73"/>
      <c r="AE1523" s="73"/>
      <c r="AF1523" s="73"/>
      <c r="AG1523" s="73"/>
      <c r="AH1523" s="73"/>
      <c r="AI1523" s="73"/>
      <c r="AJ1523" s="161"/>
      <c r="AK1523" s="76" t="s">
        <v>798</v>
      </c>
      <c r="AL1523" s="83" t="s">
        <v>15072</v>
      </c>
      <c r="AM1523" s="71" t="s">
        <v>15073</v>
      </c>
      <c r="AN1523" s="84" t="s">
        <v>15074</v>
      </c>
      <c r="AO1523" s="71" t="s">
        <v>15075</v>
      </c>
      <c r="AP1523" s="161" t="str">
        <f>IMAGE("https://bellingcat-archive.nyc3.cdn.digitaloceanspaces.com/Ukraine_Witness_Datasheet/Worksheet/youtube_dl_X9k-824WHTI/out20.jpg")</f>
        <v/>
      </c>
      <c r="AQ1523" s="84" t="s">
        <v>15076</v>
      </c>
      <c r="AR1523" s="71" t="s">
        <v>15077</v>
      </c>
      <c r="AS1523" s="71" t="s">
        <v>11526</v>
      </c>
      <c r="AT1523" s="71">
        <v>291.0</v>
      </c>
      <c r="AU1523" s="89"/>
      <c r="AV1523" s="162"/>
      <c r="AW1523" s="81"/>
    </row>
    <row r="1524" ht="15.75" customHeight="1">
      <c r="A1524" s="72" t="s">
        <v>11075</v>
      </c>
      <c r="B1524" s="73"/>
      <c r="C1524" s="57" t="s">
        <v>9941</v>
      </c>
      <c r="D1524" s="74">
        <v>46.678175</v>
      </c>
      <c r="E1524" s="74">
        <v>32.613578</v>
      </c>
      <c r="F1524" s="79">
        <v>2.0</v>
      </c>
      <c r="G1524" s="84" t="s">
        <v>15078</v>
      </c>
      <c r="H1524" s="61" t="s">
        <v>5522</v>
      </c>
      <c r="I1524" s="75"/>
      <c r="J1524" s="71" t="s">
        <v>15079</v>
      </c>
      <c r="K1524" s="507" t="s">
        <v>15080</v>
      </c>
      <c r="L1524" s="65" t="s">
        <v>3542</v>
      </c>
      <c r="M1524" s="93" t="s">
        <v>5702</v>
      </c>
      <c r="N1524" s="314"/>
      <c r="O1524" s="93" t="s">
        <v>7098</v>
      </c>
      <c r="P1524" s="67" t="str">
        <f t="shared" si="8"/>
        <v>46.678175, 32.613578</v>
      </c>
      <c r="Q1524" s="67" t="str">
        <f t="shared" si="2"/>
        <v>46.678173, 32.612458</v>
      </c>
      <c r="R1524" s="67">
        <f t="shared" si="3"/>
        <v>46.678173</v>
      </c>
      <c r="S1524" s="67">
        <f t="shared" si="4"/>
        <v>32.612458</v>
      </c>
      <c r="T1524" s="71" t="s">
        <v>15081</v>
      </c>
      <c r="U1524" s="69"/>
      <c r="V1524" s="65" t="s">
        <v>15082</v>
      </c>
      <c r="W1524" s="71" t="s">
        <v>6641</v>
      </c>
      <c r="X1524" s="72" t="s">
        <v>5504</v>
      </c>
      <c r="Y1524" s="61" t="s">
        <v>5820</v>
      </c>
      <c r="Z1524" s="73"/>
      <c r="AA1524" s="73"/>
      <c r="AB1524" s="73"/>
      <c r="AC1524" s="73"/>
      <c r="AD1524" s="73"/>
      <c r="AE1524" s="73"/>
      <c r="AF1524" s="73"/>
      <c r="AG1524" s="73"/>
      <c r="AH1524" s="73"/>
      <c r="AI1524" s="73"/>
      <c r="AJ1524" s="161"/>
      <c r="AK1524" s="76" t="s">
        <v>798</v>
      </c>
      <c r="AL1524" s="83" t="s">
        <v>15083</v>
      </c>
      <c r="AM1524" s="71" t="s">
        <v>15084</v>
      </c>
      <c r="AN1524" s="84" t="s">
        <v>15085</v>
      </c>
      <c r="AO1524" s="71" t="s">
        <v>15086</v>
      </c>
      <c r="AP1524" s="161" t="str">
        <f>IMAGE("https://bellingcat-archive.nyc3.cdn.digitaloceanspaces.com/Ukraine_Witness_Datasheet/Worksheet/youtube_dl_JpnqX6r6Bqc/out7.jpg")</f>
        <v/>
      </c>
      <c r="AQ1524" s="84" t="s">
        <v>15087</v>
      </c>
      <c r="AR1524" s="71" t="s">
        <v>15088</v>
      </c>
      <c r="AS1524" s="71" t="s">
        <v>11526</v>
      </c>
      <c r="AT1524" s="71">
        <v>26.0</v>
      </c>
      <c r="AU1524" s="89"/>
      <c r="AV1524" s="162"/>
      <c r="AW1524" s="81"/>
    </row>
    <row r="1525" ht="15.75" customHeight="1">
      <c r="A1525" s="508" t="s">
        <v>11075</v>
      </c>
      <c r="B1525" s="73"/>
      <c r="C1525" s="57" t="s">
        <v>8024</v>
      </c>
      <c r="D1525" s="104">
        <v>46.6709666740724</v>
      </c>
      <c r="E1525" s="104">
        <v>32.7072383495327</v>
      </c>
      <c r="F1525" s="79">
        <v>3.0</v>
      </c>
      <c r="G1525" s="84" t="s">
        <v>15089</v>
      </c>
      <c r="H1525" s="61" t="s">
        <v>5522</v>
      </c>
      <c r="I1525" s="75"/>
      <c r="J1525" s="71" t="s">
        <v>15090</v>
      </c>
      <c r="K1525" s="507" t="s">
        <v>15091</v>
      </c>
      <c r="L1525" s="65" t="s">
        <v>3542</v>
      </c>
      <c r="M1525" s="93" t="s">
        <v>5702</v>
      </c>
      <c r="N1525" s="314"/>
      <c r="O1525" s="93" t="s">
        <v>15092</v>
      </c>
      <c r="P1525" s="67" t="str">
        <f t="shared" si="8"/>
        <v>46.6709666740724, 32.7072383495327</v>
      </c>
      <c r="Q1525" s="67" t="str">
        <f t="shared" si="2"/>
        <v>46.67059, 32.707022</v>
      </c>
      <c r="R1525" s="67">
        <f t="shared" si="3"/>
        <v>46.67059</v>
      </c>
      <c r="S1525" s="67">
        <f t="shared" si="4"/>
        <v>32.707022</v>
      </c>
      <c r="T1525" s="220" t="s">
        <v>15093</v>
      </c>
      <c r="U1525" s="69"/>
      <c r="V1525" s="65" t="s">
        <v>15094</v>
      </c>
      <c r="W1525" s="71" t="s">
        <v>6641</v>
      </c>
      <c r="X1525" s="194"/>
      <c r="Y1525" s="73"/>
      <c r="Z1525" s="73"/>
      <c r="AA1525" s="73"/>
      <c r="AB1525" s="73"/>
      <c r="AC1525" s="73"/>
      <c r="AD1525" s="73"/>
      <c r="AE1525" s="73"/>
      <c r="AF1525" s="73"/>
      <c r="AG1525" s="73"/>
      <c r="AH1525" s="73"/>
      <c r="AI1525" s="73"/>
      <c r="AJ1525" s="161"/>
      <c r="AK1525" s="76" t="s">
        <v>798</v>
      </c>
      <c r="AL1525" s="83" t="s">
        <v>15095</v>
      </c>
      <c r="AM1525" s="71" t="s">
        <v>15096</v>
      </c>
      <c r="AN1525" s="84" t="s">
        <v>15097</v>
      </c>
      <c r="AO1525" s="71" t="s">
        <v>15098</v>
      </c>
      <c r="AP1525" s="161" t="str">
        <f>IMAGE("https://bellingcat-archive.nyc3.cdn.digitaloceanspaces.com/Ukraine_Witness_Datasheet/Worksheet/youtube_dl_oZLaJ0v8aLA/out7.jpg")</f>
        <v/>
      </c>
      <c r="AQ1525" s="84" t="s">
        <v>15099</v>
      </c>
      <c r="AR1525" s="71" t="s">
        <v>15100</v>
      </c>
      <c r="AS1525" s="71" t="s">
        <v>10611</v>
      </c>
      <c r="AT1525" s="71">
        <v>48.0</v>
      </c>
      <c r="AU1525" s="89"/>
      <c r="AV1525" s="80" t="s">
        <v>63</v>
      </c>
      <c r="AW1525" s="203" t="s">
        <v>15101</v>
      </c>
    </row>
    <row r="1526" ht="15.75" customHeight="1">
      <c r="A1526" s="208" t="s">
        <v>12532</v>
      </c>
      <c r="B1526" s="73"/>
      <c r="C1526" s="57" t="s">
        <v>9941</v>
      </c>
      <c r="D1526" s="92">
        <v>46.6699581337075</v>
      </c>
      <c r="E1526" s="92">
        <v>32.617875336681</v>
      </c>
      <c r="F1526" s="79">
        <v>3.0</v>
      </c>
      <c r="G1526" s="84" t="s">
        <v>15102</v>
      </c>
      <c r="H1526" s="61" t="s">
        <v>5522</v>
      </c>
      <c r="I1526" s="75"/>
      <c r="J1526" s="71" t="s">
        <v>15103</v>
      </c>
      <c r="K1526" s="507" t="s">
        <v>15104</v>
      </c>
      <c r="L1526" s="65" t="s">
        <v>3542</v>
      </c>
      <c r="M1526" s="93" t="s">
        <v>5702</v>
      </c>
      <c r="N1526" s="314"/>
      <c r="O1526" s="93" t="s">
        <v>7098</v>
      </c>
      <c r="P1526" s="67" t="str">
        <f t="shared" si="8"/>
        <v>46.6699581337075, 32.617875336681</v>
      </c>
      <c r="Q1526" s="67" t="str">
        <f t="shared" si="2"/>
        <v>46.669765, 32.618479</v>
      </c>
      <c r="R1526" s="67">
        <f t="shared" si="3"/>
        <v>46.669765</v>
      </c>
      <c r="S1526" s="67">
        <f t="shared" si="4"/>
        <v>32.618479</v>
      </c>
      <c r="T1526" s="220" t="s">
        <v>15105</v>
      </c>
      <c r="U1526" s="69"/>
      <c r="V1526" s="65" t="s">
        <v>15106</v>
      </c>
      <c r="W1526" s="71" t="s">
        <v>3546</v>
      </c>
      <c r="X1526" s="194"/>
      <c r="Y1526" s="73"/>
      <c r="Z1526" s="61" t="s">
        <v>15107</v>
      </c>
      <c r="AA1526" s="73"/>
      <c r="AB1526" s="73"/>
      <c r="AC1526" s="73"/>
      <c r="AD1526" s="73"/>
      <c r="AE1526" s="73"/>
      <c r="AF1526" s="73"/>
      <c r="AG1526" s="73"/>
      <c r="AH1526" s="73"/>
      <c r="AI1526" s="73"/>
      <c r="AJ1526" s="161"/>
      <c r="AK1526" s="76" t="s">
        <v>798</v>
      </c>
      <c r="AL1526" s="83" t="s">
        <v>15108</v>
      </c>
      <c r="AM1526" s="71" t="s">
        <v>15109</v>
      </c>
      <c r="AN1526" s="84" t="s">
        <v>15110</v>
      </c>
      <c r="AO1526" s="71" t="s">
        <v>15111</v>
      </c>
      <c r="AP1526" s="161" t="str">
        <f>IMAGE("https://bellingcat-archive.nyc3.cdn.digitaloceanspaces.com/Ukraine_Witness_Datasheet/Worksheet/youtube_dl_ZTV8X8ew-wI/out3.jpg")</f>
        <v/>
      </c>
      <c r="AQ1526" s="84" t="s">
        <v>15112</v>
      </c>
      <c r="AR1526" s="71" t="s">
        <v>15113</v>
      </c>
      <c r="AS1526" s="71" t="s">
        <v>11526</v>
      </c>
      <c r="AT1526" s="71">
        <v>10.0</v>
      </c>
      <c r="AU1526" s="89"/>
      <c r="AV1526" s="162"/>
      <c r="AW1526" s="81"/>
    </row>
    <row r="1527" ht="15.75" customHeight="1">
      <c r="A1527" s="208" t="s">
        <v>3944</v>
      </c>
      <c r="B1527" s="73"/>
      <c r="C1527" s="176"/>
      <c r="D1527" s="92">
        <v>49.210603</v>
      </c>
      <c r="E1527" s="92">
        <v>28.567478</v>
      </c>
      <c r="F1527" s="79">
        <v>1.0</v>
      </c>
      <c r="G1527" s="84" t="s">
        <v>15114</v>
      </c>
      <c r="H1527" s="73"/>
      <c r="I1527" s="75"/>
      <c r="J1527" s="161"/>
      <c r="K1527" s="302" t="s">
        <v>15115</v>
      </c>
      <c r="L1527" s="70"/>
      <c r="M1527" s="314"/>
      <c r="N1527" s="314"/>
      <c r="O1527" s="314"/>
      <c r="P1527" s="67" t="str">
        <f t="shared" si="8"/>
        <v>49.210603, 28.567478</v>
      </c>
      <c r="Q1527" s="67" t="str">
        <f t="shared" si="2"/>
        <v>49.210213, 28.567996</v>
      </c>
      <c r="R1527" s="67">
        <f t="shared" si="3"/>
        <v>49.210213</v>
      </c>
      <c r="S1527" s="67">
        <f t="shared" si="4"/>
        <v>28.567996</v>
      </c>
      <c r="T1527" s="161"/>
      <c r="U1527" s="69"/>
      <c r="V1527" s="65" t="s">
        <v>15116</v>
      </c>
      <c r="W1527" s="161"/>
      <c r="X1527" s="194"/>
      <c r="Y1527" s="73"/>
      <c r="Z1527" s="73"/>
      <c r="AA1527" s="73"/>
      <c r="AB1527" s="73"/>
      <c r="AC1527" s="73"/>
      <c r="AD1527" s="73"/>
      <c r="AE1527" s="73"/>
      <c r="AF1527" s="73"/>
      <c r="AG1527" s="73"/>
      <c r="AH1527" s="73"/>
      <c r="AI1527" s="73"/>
      <c r="AJ1527" s="161"/>
      <c r="AK1527" s="76" t="s">
        <v>798</v>
      </c>
      <c r="AL1527" s="83" t="s">
        <v>15117</v>
      </c>
      <c r="AM1527" s="71" t="s">
        <v>15118</v>
      </c>
      <c r="AN1527" s="84" t="s">
        <v>15119</v>
      </c>
      <c r="AO1527" s="71" t="s">
        <v>15120</v>
      </c>
      <c r="AP1527" s="161" t="str">
        <f>IMAGE("https://bellingcat-archive.nyc3.cdn.digitaloceanspaces.com/Ukraine_Witness_Datasheet/Worksheet/youtube_dl_1500471901877161988/out7.jpg")</f>
        <v/>
      </c>
      <c r="AQ1527" s="84" t="s">
        <v>15121</v>
      </c>
      <c r="AR1527" s="71" t="s">
        <v>15122</v>
      </c>
      <c r="AS1527" s="71" t="s">
        <v>15123</v>
      </c>
      <c r="AT1527" s="71">
        <v>7.666</v>
      </c>
      <c r="AU1527" s="89"/>
      <c r="AV1527" s="162"/>
      <c r="AW1527" s="81"/>
    </row>
    <row r="1528" ht="15.75" customHeight="1">
      <c r="A1528" s="204" t="s">
        <v>63</v>
      </c>
      <c r="B1528" s="73"/>
      <c r="C1528" s="57" t="s">
        <v>14806</v>
      </c>
      <c r="D1528" s="92">
        <v>50.4901</v>
      </c>
      <c r="E1528" s="92">
        <v>30.260298</v>
      </c>
      <c r="F1528" s="79">
        <v>5.0</v>
      </c>
      <c r="G1528" s="60" t="s">
        <v>15124</v>
      </c>
      <c r="H1528" s="61" t="s">
        <v>91</v>
      </c>
      <c r="I1528" s="75"/>
      <c r="J1528" s="71" t="s">
        <v>15125</v>
      </c>
      <c r="K1528" s="69"/>
      <c r="L1528" s="65" t="s">
        <v>3542</v>
      </c>
      <c r="M1528" s="93" t="s">
        <v>5827</v>
      </c>
      <c r="N1528" s="314"/>
      <c r="O1528" s="93" t="s">
        <v>7550</v>
      </c>
      <c r="P1528" s="67" t="str">
        <f t="shared" si="8"/>
        <v>50.4901, 30.260298</v>
      </c>
      <c r="Q1528" s="67" t="str">
        <f t="shared" si="2"/>
        <v>50.489463, 30.259646</v>
      </c>
      <c r="R1528" s="67">
        <f t="shared" si="3"/>
        <v>50.489463</v>
      </c>
      <c r="S1528" s="67">
        <f t="shared" si="4"/>
        <v>30.259646</v>
      </c>
      <c r="T1528" s="161"/>
      <c r="U1528" s="69"/>
      <c r="V1528" s="65" t="s">
        <v>15126</v>
      </c>
      <c r="W1528" s="71" t="s">
        <v>6108</v>
      </c>
      <c r="X1528" s="72" t="s">
        <v>5504</v>
      </c>
      <c r="Y1528" s="61" t="s">
        <v>5820</v>
      </c>
      <c r="Z1528" s="73"/>
      <c r="AA1528" s="73"/>
      <c r="AB1528" s="73"/>
      <c r="AC1528" s="73"/>
      <c r="AD1528" s="73"/>
      <c r="AE1528" s="73"/>
      <c r="AF1528" s="73"/>
      <c r="AG1528" s="73"/>
      <c r="AH1528" s="73"/>
      <c r="AI1528" s="73"/>
      <c r="AJ1528" s="161"/>
      <c r="AK1528" s="76" t="s">
        <v>2108</v>
      </c>
      <c r="AL1528" s="83" t="s">
        <v>15127</v>
      </c>
      <c r="AM1528" s="71" t="s">
        <v>15128</v>
      </c>
      <c r="AN1528" s="84" t="s">
        <v>15129</v>
      </c>
      <c r="AO1528" s="71" t="s">
        <v>15130</v>
      </c>
      <c r="AP1528" s="161" t="str">
        <f>IMAGE("https://bellingcat-archive.nyc3.cdn.digitaloceanspaces.com/Ukraine_Witness_Datasheet/Worksheet/twitter__media_FNLg96fXoAkyfNi.jpg")</f>
        <v/>
      </c>
      <c r="AQ1528" s="161"/>
      <c r="AR1528" s="161"/>
      <c r="AS1528" s="71" t="s">
        <v>15131</v>
      </c>
      <c r="AT1528" s="161"/>
      <c r="AU1528" s="89"/>
      <c r="AV1528" s="162"/>
      <c r="AW1528" s="81"/>
    </row>
    <row r="1529" ht="15.75" customHeight="1">
      <c r="A1529" s="204" t="s">
        <v>63</v>
      </c>
      <c r="B1529" s="73"/>
      <c r="C1529" s="57" t="s">
        <v>14806</v>
      </c>
      <c r="D1529" s="92">
        <v>50.4901</v>
      </c>
      <c r="E1529" s="92">
        <v>30.260298</v>
      </c>
      <c r="F1529" s="79">
        <v>4.0</v>
      </c>
      <c r="G1529" s="84" t="s">
        <v>15132</v>
      </c>
      <c r="H1529" s="61" t="s">
        <v>91</v>
      </c>
      <c r="I1529" s="75"/>
      <c r="J1529" s="71" t="s">
        <v>15125</v>
      </c>
      <c r="K1529" s="69"/>
      <c r="L1529" s="65" t="s">
        <v>3542</v>
      </c>
      <c r="M1529" s="93" t="s">
        <v>5827</v>
      </c>
      <c r="N1529" s="314"/>
      <c r="O1529" s="93" t="s">
        <v>7550</v>
      </c>
      <c r="P1529" s="67" t="str">
        <f t="shared" si="8"/>
        <v>50.4901, 30.260298</v>
      </c>
      <c r="Q1529" s="67" t="str">
        <f t="shared" si="2"/>
        <v>50.489843, 30.261503</v>
      </c>
      <c r="R1529" s="67">
        <f t="shared" si="3"/>
        <v>50.489843</v>
      </c>
      <c r="S1529" s="67">
        <f t="shared" si="4"/>
        <v>30.261503</v>
      </c>
      <c r="T1529" s="161"/>
      <c r="U1529" s="69"/>
      <c r="V1529" s="65" t="s">
        <v>15133</v>
      </c>
      <c r="W1529" s="71" t="s">
        <v>6108</v>
      </c>
      <c r="X1529" s="72" t="s">
        <v>5504</v>
      </c>
      <c r="Y1529" s="61" t="s">
        <v>5820</v>
      </c>
      <c r="Z1529" s="73"/>
      <c r="AA1529" s="73"/>
      <c r="AB1529" s="73"/>
      <c r="AC1529" s="73"/>
      <c r="AD1529" s="73"/>
      <c r="AE1529" s="73"/>
      <c r="AF1529" s="73"/>
      <c r="AG1529" s="73"/>
      <c r="AH1529" s="73"/>
      <c r="AI1529" s="73"/>
      <c r="AJ1529" s="161"/>
      <c r="AK1529" s="76" t="s">
        <v>798</v>
      </c>
      <c r="AL1529" s="83" t="s">
        <v>15134</v>
      </c>
      <c r="AM1529" s="71" t="s">
        <v>15135</v>
      </c>
      <c r="AN1529" s="84" t="s">
        <v>15136</v>
      </c>
      <c r="AO1529" s="71" t="s">
        <v>15137</v>
      </c>
      <c r="AP1529" s="161" t="str">
        <f>IMAGE("https://bellingcat-archive.nyc3.cdn.digitaloceanspaces.com/Ukraine_Witness_Datasheet/Worksheet/youtube_dl_1500506280619872257/out7.jpg")</f>
        <v/>
      </c>
      <c r="AQ1529" s="84" t="s">
        <v>15138</v>
      </c>
      <c r="AR1529" s="71" t="s">
        <v>15139</v>
      </c>
      <c r="AS1529" s="71" t="s">
        <v>15140</v>
      </c>
      <c r="AT1529" s="71">
        <v>54.666</v>
      </c>
      <c r="AU1529" s="89"/>
      <c r="AV1529" s="80" t="s">
        <v>88</v>
      </c>
      <c r="AW1529" s="81"/>
    </row>
    <row r="1530" ht="15.75" customHeight="1">
      <c r="A1530" s="204" t="s">
        <v>63</v>
      </c>
      <c r="B1530" s="73"/>
      <c r="C1530" s="57" t="s">
        <v>14806</v>
      </c>
      <c r="D1530" s="92">
        <v>49.092351</v>
      </c>
      <c r="E1530" s="92">
        <v>28.338282</v>
      </c>
      <c r="F1530" s="79">
        <v>1.0</v>
      </c>
      <c r="G1530" s="84" t="s">
        <v>15141</v>
      </c>
      <c r="H1530" s="73"/>
      <c r="I1530" s="75"/>
      <c r="J1530" s="71" t="s">
        <v>15142</v>
      </c>
      <c r="K1530" s="88" t="s">
        <v>15143</v>
      </c>
      <c r="L1530" s="65" t="s">
        <v>3542</v>
      </c>
      <c r="M1530" s="93" t="s">
        <v>14678</v>
      </c>
      <c r="N1530" s="314"/>
      <c r="O1530" s="92" t="s">
        <v>15144</v>
      </c>
      <c r="P1530" s="67" t="str">
        <f t="shared" si="8"/>
        <v>49.092351, 28.338282</v>
      </c>
      <c r="Q1530" s="67" t="str">
        <f t="shared" si="2"/>
        <v>49.09214, 28.33876</v>
      </c>
      <c r="R1530" s="67">
        <f t="shared" si="3"/>
        <v>49.09214</v>
      </c>
      <c r="S1530" s="67">
        <f t="shared" si="4"/>
        <v>28.33876</v>
      </c>
      <c r="T1530" s="161"/>
      <c r="U1530" s="69"/>
      <c r="V1530" s="65" t="s">
        <v>15145</v>
      </c>
      <c r="W1530" s="71" t="s">
        <v>5787</v>
      </c>
      <c r="X1530" s="72" t="s">
        <v>5504</v>
      </c>
      <c r="Y1530" s="61" t="s">
        <v>5820</v>
      </c>
      <c r="Z1530" s="73"/>
      <c r="AA1530" s="73"/>
      <c r="AB1530" s="73"/>
      <c r="AC1530" s="73"/>
      <c r="AD1530" s="73"/>
      <c r="AE1530" s="73"/>
      <c r="AF1530" s="73"/>
      <c r="AG1530" s="73"/>
      <c r="AH1530" s="73"/>
      <c r="AI1530" s="73"/>
      <c r="AJ1530" s="161"/>
      <c r="AK1530" s="76" t="s">
        <v>798</v>
      </c>
      <c r="AL1530" s="83" t="s">
        <v>15146</v>
      </c>
      <c r="AM1530" s="71" t="s">
        <v>15147</v>
      </c>
      <c r="AN1530" s="84" t="s">
        <v>15148</v>
      </c>
      <c r="AO1530" s="71" t="s">
        <v>15149</v>
      </c>
      <c r="AP1530" s="161" t="str">
        <f>IMAGE("https://bellingcat-archive.nyc3.cdn.digitaloceanspaces.com/Ukraine_Witness_Datasheet/Worksheet/youtube_dl_1500464867622461443/out7.jpg")</f>
        <v/>
      </c>
      <c r="AQ1530" s="84" t="s">
        <v>15150</v>
      </c>
      <c r="AR1530" s="71" t="s">
        <v>15151</v>
      </c>
      <c r="AS1530" s="71" t="s">
        <v>15152</v>
      </c>
      <c r="AT1530" s="71">
        <v>8.823</v>
      </c>
      <c r="AU1530" s="89"/>
      <c r="AV1530" s="80" t="s">
        <v>88</v>
      </c>
      <c r="AW1530" s="81"/>
    </row>
    <row r="1531" ht="15.75" customHeight="1">
      <c r="A1531" s="204" t="s">
        <v>63</v>
      </c>
      <c r="B1531" s="73"/>
      <c r="C1531" s="57" t="s">
        <v>14806</v>
      </c>
      <c r="D1531" s="92">
        <v>49.197576</v>
      </c>
      <c r="E1531" s="92">
        <v>28.540447</v>
      </c>
      <c r="F1531" s="79">
        <v>1.0</v>
      </c>
      <c r="G1531" s="84" t="s">
        <v>15153</v>
      </c>
      <c r="H1531" s="73"/>
      <c r="I1531" s="215" t="s">
        <v>15154</v>
      </c>
      <c r="J1531" s="71" t="s">
        <v>15142</v>
      </c>
      <c r="K1531" s="88" t="s">
        <v>15155</v>
      </c>
      <c r="L1531" s="65" t="s">
        <v>3542</v>
      </c>
      <c r="M1531" s="93" t="s">
        <v>14678</v>
      </c>
      <c r="N1531" s="314"/>
      <c r="O1531" s="92" t="s">
        <v>15156</v>
      </c>
      <c r="P1531" s="67" t="str">
        <f t="shared" si="8"/>
        <v>49.197576, 28.540447</v>
      </c>
      <c r="Q1531" s="67" t="str">
        <f t="shared" si="2"/>
        <v>49.197099, 28.540089</v>
      </c>
      <c r="R1531" s="67">
        <f t="shared" si="3"/>
        <v>49.197099</v>
      </c>
      <c r="S1531" s="67">
        <f t="shared" si="4"/>
        <v>28.540089</v>
      </c>
      <c r="T1531" s="161"/>
      <c r="U1531" s="69"/>
      <c r="V1531" s="65" t="s">
        <v>15157</v>
      </c>
      <c r="W1531" s="71" t="s">
        <v>5787</v>
      </c>
      <c r="X1531" s="72" t="s">
        <v>5504</v>
      </c>
      <c r="Y1531" s="61" t="s">
        <v>5820</v>
      </c>
      <c r="Z1531" s="73"/>
      <c r="AA1531" s="73"/>
      <c r="AB1531" s="73"/>
      <c r="AC1531" s="73"/>
      <c r="AD1531" s="73"/>
      <c r="AE1531" s="73"/>
      <c r="AF1531" s="73"/>
      <c r="AG1531" s="73"/>
      <c r="AH1531" s="73"/>
      <c r="AI1531" s="73"/>
      <c r="AJ1531" s="161"/>
      <c r="AK1531" s="76" t="s">
        <v>798</v>
      </c>
      <c r="AL1531" s="83" t="s">
        <v>15158</v>
      </c>
      <c r="AM1531" s="71" t="s">
        <v>15159</v>
      </c>
      <c r="AN1531" s="84" t="s">
        <v>15160</v>
      </c>
      <c r="AO1531" s="71" t="s">
        <v>15161</v>
      </c>
      <c r="AP1531" s="161" t="str">
        <f>IMAGE("https://bellingcat-archive.nyc3.cdn.digitaloceanspaces.com/Ukraine_Witness_Datasheet/Worksheet/youtube_dl_1500465245210525696/out7.jpg")</f>
        <v/>
      </c>
      <c r="AQ1531" s="84" t="s">
        <v>15162</v>
      </c>
      <c r="AR1531" s="71" t="s">
        <v>15163</v>
      </c>
      <c r="AS1531" s="71" t="s">
        <v>15164</v>
      </c>
      <c r="AT1531" s="71">
        <v>12.5</v>
      </c>
      <c r="AU1531" s="89"/>
      <c r="AV1531" s="80" t="s">
        <v>88</v>
      </c>
      <c r="AW1531" s="81"/>
    </row>
    <row r="1532" ht="15.75" customHeight="1">
      <c r="A1532" s="357" t="s">
        <v>63</v>
      </c>
      <c r="B1532" s="73"/>
      <c r="C1532" s="57" t="s">
        <v>14806</v>
      </c>
      <c r="D1532" s="92">
        <v>49.210603</v>
      </c>
      <c r="E1532" s="92">
        <v>28.567478</v>
      </c>
      <c r="F1532" s="79">
        <v>1.0</v>
      </c>
      <c r="G1532" s="84" t="s">
        <v>15165</v>
      </c>
      <c r="H1532" s="73"/>
      <c r="I1532" s="75"/>
      <c r="J1532" s="71" t="s">
        <v>15142</v>
      </c>
      <c r="K1532" s="88" t="s">
        <v>15166</v>
      </c>
      <c r="L1532" s="65" t="s">
        <v>3542</v>
      </c>
      <c r="M1532" s="93" t="s">
        <v>14678</v>
      </c>
      <c r="N1532" s="314"/>
      <c r="O1532" s="92" t="s">
        <v>15156</v>
      </c>
      <c r="P1532" s="67" t="str">
        <f t="shared" si="8"/>
        <v>49.210603, 28.567478</v>
      </c>
      <c r="Q1532" s="67" t="str">
        <f t="shared" si="2"/>
        <v>49.21037, 28.568044</v>
      </c>
      <c r="R1532" s="67">
        <f t="shared" si="3"/>
        <v>49.21037</v>
      </c>
      <c r="S1532" s="67">
        <f t="shared" si="4"/>
        <v>28.568044</v>
      </c>
      <c r="T1532" s="161"/>
      <c r="U1532" s="69"/>
      <c r="V1532" s="65" t="s">
        <v>15167</v>
      </c>
      <c r="W1532" s="71" t="s">
        <v>5787</v>
      </c>
      <c r="X1532" s="72" t="s">
        <v>5504</v>
      </c>
      <c r="Y1532" s="61" t="s">
        <v>5820</v>
      </c>
      <c r="Z1532" s="73"/>
      <c r="AA1532" s="73"/>
      <c r="AB1532" s="73"/>
      <c r="AC1532" s="73"/>
      <c r="AD1532" s="73"/>
      <c r="AE1532" s="73"/>
      <c r="AF1532" s="73"/>
      <c r="AG1532" s="73"/>
      <c r="AH1532" s="73"/>
      <c r="AI1532" s="73"/>
      <c r="AJ1532" s="161"/>
      <c r="AK1532" s="76" t="s">
        <v>798</v>
      </c>
      <c r="AL1532" s="83" t="s">
        <v>15168</v>
      </c>
      <c r="AM1532" s="71" t="s">
        <v>15169</v>
      </c>
      <c r="AN1532" s="84" t="s">
        <v>15170</v>
      </c>
      <c r="AO1532" s="71" t="s">
        <v>15171</v>
      </c>
      <c r="AP1532" s="161" t="str">
        <f>IMAGE("https://bellingcat-archive.nyc3.cdn.digitaloceanspaces.com/Ukraine_Witness_Datasheet/Worksheet/youtube_dl_1500458496852217862/out7.jpg")</f>
        <v/>
      </c>
      <c r="AQ1532" s="84" t="s">
        <v>15172</v>
      </c>
      <c r="AR1532" s="71" t="s">
        <v>15173</v>
      </c>
      <c r="AS1532" s="71" t="s">
        <v>15174</v>
      </c>
      <c r="AT1532" s="71">
        <v>13.2</v>
      </c>
      <c r="AU1532" s="89"/>
      <c r="AV1532" s="162"/>
      <c r="AW1532" s="81"/>
    </row>
    <row r="1533" ht="15.75" customHeight="1">
      <c r="A1533" s="204" t="s">
        <v>63</v>
      </c>
      <c r="B1533" s="73"/>
      <c r="C1533" s="57" t="s">
        <v>14806</v>
      </c>
      <c r="D1533" s="74">
        <v>48.726505</v>
      </c>
      <c r="E1533" s="74">
        <v>37.606433</v>
      </c>
      <c r="F1533" s="79">
        <v>2.0</v>
      </c>
      <c r="G1533" s="84" t="s">
        <v>15175</v>
      </c>
      <c r="H1533" s="73"/>
      <c r="I1533" s="75"/>
      <c r="J1533" s="71" t="s">
        <v>15176</v>
      </c>
      <c r="K1533" s="69"/>
      <c r="L1533" s="65" t="s">
        <v>3542</v>
      </c>
      <c r="M1533" s="92" t="s">
        <v>5750</v>
      </c>
      <c r="N1533" s="314"/>
      <c r="O1533" s="92" t="s">
        <v>14786</v>
      </c>
      <c r="P1533" s="67" t="str">
        <f t="shared" si="8"/>
        <v>48.726505, 37.606433</v>
      </c>
      <c r="Q1533" s="67" t="str">
        <f t="shared" si="2"/>
        <v>48.72575, 37.606552</v>
      </c>
      <c r="R1533" s="67">
        <f t="shared" si="3"/>
        <v>48.72575</v>
      </c>
      <c r="S1533" s="67">
        <f t="shared" si="4"/>
        <v>37.606552</v>
      </c>
      <c r="T1533" s="161"/>
      <c r="U1533" s="69"/>
      <c r="V1533" s="65" t="s">
        <v>15177</v>
      </c>
      <c r="W1533" s="71" t="s">
        <v>6641</v>
      </c>
      <c r="X1533" s="72" t="s">
        <v>5504</v>
      </c>
      <c r="Y1533" s="61" t="s">
        <v>5820</v>
      </c>
      <c r="Z1533" s="73"/>
      <c r="AA1533" s="73"/>
      <c r="AB1533" s="73"/>
      <c r="AC1533" s="73"/>
      <c r="AD1533" s="73"/>
      <c r="AE1533" s="73"/>
      <c r="AF1533" s="73"/>
      <c r="AG1533" s="73"/>
      <c r="AH1533" s="73"/>
      <c r="AI1533" s="73"/>
      <c r="AJ1533" s="161"/>
      <c r="AK1533" s="76" t="s">
        <v>2108</v>
      </c>
      <c r="AL1533" s="83" t="s">
        <v>15178</v>
      </c>
      <c r="AM1533" s="71" t="s">
        <v>15179</v>
      </c>
      <c r="AN1533" s="84" t="s">
        <v>15180</v>
      </c>
      <c r="AO1533" s="71" t="s">
        <v>15181</v>
      </c>
      <c r="AP1533" s="161" t="str">
        <f>IMAGE("https://bellingcat-archive.nyc3.cdn.digitaloceanspaces.com/Ukraine_Witness_Datasheet/Worksheet/twitter__media_FNLMlH6XEAEoqEw.jpg")</f>
        <v/>
      </c>
      <c r="AQ1533" s="161"/>
      <c r="AR1533" s="161"/>
      <c r="AS1533" s="71" t="s">
        <v>15182</v>
      </c>
      <c r="AT1533" s="161"/>
      <c r="AU1533" s="89"/>
      <c r="AV1533" s="80" t="s">
        <v>88</v>
      </c>
      <c r="AW1533" s="81"/>
    </row>
    <row r="1534" ht="15.75" customHeight="1">
      <c r="A1534" s="357" t="s">
        <v>63</v>
      </c>
      <c r="B1534" s="73"/>
      <c r="C1534" s="57" t="s">
        <v>14806</v>
      </c>
      <c r="D1534" s="74">
        <v>50.783483</v>
      </c>
      <c r="E1534" s="74">
        <v>30.294695</v>
      </c>
      <c r="F1534" s="79">
        <v>1.0</v>
      </c>
      <c r="G1534" s="84" t="s">
        <v>15183</v>
      </c>
      <c r="H1534" s="73"/>
      <c r="I1534" s="75"/>
      <c r="J1534" s="71" t="s">
        <v>6085</v>
      </c>
      <c r="K1534" s="88" t="s">
        <v>15184</v>
      </c>
      <c r="L1534" s="65" t="s">
        <v>3542</v>
      </c>
      <c r="M1534" s="93" t="s">
        <v>5827</v>
      </c>
      <c r="N1534" s="314"/>
      <c r="O1534" s="92" t="s">
        <v>11068</v>
      </c>
      <c r="P1534" s="67" t="str">
        <f t="shared" si="8"/>
        <v>50.783483, 30.294695</v>
      </c>
      <c r="Q1534" s="67" t="str">
        <f t="shared" si="2"/>
        <v>50.783095, 30.295434</v>
      </c>
      <c r="R1534" s="67">
        <f t="shared" si="3"/>
        <v>50.783095</v>
      </c>
      <c r="S1534" s="67">
        <f t="shared" si="4"/>
        <v>30.295434</v>
      </c>
      <c r="T1534" s="161"/>
      <c r="U1534" s="69"/>
      <c r="V1534" s="65" t="s">
        <v>15185</v>
      </c>
      <c r="W1534" s="71" t="s">
        <v>7571</v>
      </c>
      <c r="X1534" s="72" t="s">
        <v>5504</v>
      </c>
      <c r="Y1534" s="61" t="s">
        <v>5820</v>
      </c>
      <c r="Z1534" s="73"/>
      <c r="AA1534" s="73"/>
      <c r="AB1534" s="73"/>
      <c r="AC1534" s="73"/>
      <c r="AD1534" s="73"/>
      <c r="AE1534" s="73"/>
      <c r="AF1534" s="73"/>
      <c r="AG1534" s="73"/>
      <c r="AH1534" s="73"/>
      <c r="AI1534" s="73"/>
      <c r="AJ1534" s="161"/>
      <c r="AK1534" s="76" t="s">
        <v>2108</v>
      </c>
      <c r="AL1534" s="83" t="s">
        <v>15186</v>
      </c>
      <c r="AM1534" s="71" t="s">
        <v>15187</v>
      </c>
      <c r="AN1534" s="84" t="s">
        <v>15188</v>
      </c>
      <c r="AO1534" s="71" t="s">
        <v>15189</v>
      </c>
      <c r="AP1534" s="161" t="str">
        <f>IMAGE("https://bellingcat-archive.nyc3.cdn.digitaloceanspaces.com/Ukraine_Witness_Datasheet/Worksheet/twitter__media_FNLRcS3XwAEiEst.jpg")</f>
        <v/>
      </c>
      <c r="AQ1534" s="161"/>
      <c r="AR1534" s="161"/>
      <c r="AS1534" s="71" t="s">
        <v>15190</v>
      </c>
      <c r="AT1534" s="161"/>
      <c r="AU1534" s="89"/>
      <c r="AV1534" s="162"/>
      <c r="AW1534" s="81"/>
    </row>
    <row r="1535" ht="15.75" customHeight="1">
      <c r="A1535" s="357" t="s">
        <v>63</v>
      </c>
      <c r="B1535" s="73"/>
      <c r="C1535" s="57" t="s">
        <v>14806</v>
      </c>
      <c r="D1535" s="74">
        <v>50.0709</v>
      </c>
      <c r="E1535" s="74">
        <v>36.2081</v>
      </c>
      <c r="F1535" s="79">
        <v>2.0</v>
      </c>
      <c r="G1535" s="84" t="s">
        <v>15191</v>
      </c>
      <c r="H1535" s="73"/>
      <c r="I1535" s="75"/>
      <c r="J1535" s="71" t="s">
        <v>15192</v>
      </c>
      <c r="K1535" s="88" t="s">
        <v>15193</v>
      </c>
      <c r="L1535" s="65" t="s">
        <v>3542</v>
      </c>
      <c r="M1535" s="93" t="s">
        <v>5590</v>
      </c>
      <c r="N1535" s="314"/>
      <c r="O1535" s="93" t="s">
        <v>5591</v>
      </c>
      <c r="P1535" s="67" t="str">
        <f t="shared" si="8"/>
        <v>50.0709, 36.2081</v>
      </c>
      <c r="Q1535" s="67" t="str">
        <f t="shared" si="2"/>
        <v>50.070667, 36.209081</v>
      </c>
      <c r="R1535" s="67">
        <f t="shared" si="3"/>
        <v>50.070667</v>
      </c>
      <c r="S1535" s="67">
        <f t="shared" si="4"/>
        <v>36.209081</v>
      </c>
      <c r="T1535" s="161"/>
      <c r="U1535" s="69"/>
      <c r="V1535" s="65" t="s">
        <v>15194</v>
      </c>
      <c r="W1535" s="71" t="s">
        <v>7571</v>
      </c>
      <c r="X1535" s="72" t="s">
        <v>5504</v>
      </c>
      <c r="Y1535" s="61" t="s">
        <v>5820</v>
      </c>
      <c r="Z1535" s="73"/>
      <c r="AA1535" s="73"/>
      <c r="AB1535" s="73"/>
      <c r="AC1535" s="73"/>
      <c r="AD1535" s="73"/>
      <c r="AE1535" s="73"/>
      <c r="AF1535" s="73"/>
      <c r="AG1535" s="73"/>
      <c r="AH1535" s="73"/>
      <c r="AI1535" s="73"/>
      <c r="AJ1535" s="161"/>
      <c r="AK1535" s="76" t="s">
        <v>798</v>
      </c>
      <c r="AL1535" s="83" t="s">
        <v>15195</v>
      </c>
      <c r="AM1535" s="71" t="s">
        <v>15196</v>
      </c>
      <c r="AN1535" s="84" t="s">
        <v>15197</v>
      </c>
      <c r="AO1535" s="71" t="s">
        <v>15198</v>
      </c>
      <c r="AP1535" s="161" t="str">
        <f>IMAGE("https://bellingcat-archive.nyc3.cdn.digitaloceanspaces.com/Ukraine_Witness_Datasheet/Worksheet/youtube_dl_1500511271359287296/out7.jpg")</f>
        <v/>
      </c>
      <c r="AQ1535" s="84" t="s">
        <v>15199</v>
      </c>
      <c r="AR1535" s="71" t="s">
        <v>15200</v>
      </c>
      <c r="AS1535" s="71" t="s">
        <v>15201</v>
      </c>
      <c r="AT1535" s="71">
        <v>15.566</v>
      </c>
      <c r="AU1535" s="89"/>
      <c r="AV1535" s="162"/>
      <c r="AW1535" s="81"/>
    </row>
    <row r="1536" ht="15.75" customHeight="1">
      <c r="A1536" s="357" t="s">
        <v>63</v>
      </c>
      <c r="B1536" s="73"/>
      <c r="C1536" s="57" t="s">
        <v>14806</v>
      </c>
      <c r="D1536" s="74">
        <v>47.223104</v>
      </c>
      <c r="E1536" s="74">
        <v>37.53778</v>
      </c>
      <c r="F1536" s="79">
        <v>1.0</v>
      </c>
      <c r="G1536" s="84" t="s">
        <v>15202</v>
      </c>
      <c r="H1536" s="73"/>
      <c r="I1536" s="75"/>
      <c r="J1536" s="71" t="s">
        <v>15203</v>
      </c>
      <c r="K1536" s="88" t="s">
        <v>15204</v>
      </c>
      <c r="L1536" s="65" t="s">
        <v>3542</v>
      </c>
      <c r="M1536" s="92" t="s">
        <v>5750</v>
      </c>
      <c r="N1536" s="314"/>
      <c r="O1536" s="92" t="s">
        <v>15205</v>
      </c>
      <c r="P1536" s="67" t="str">
        <f t="shared" si="8"/>
        <v>47.223104, 37.53778</v>
      </c>
      <c r="Q1536" s="67" t="str">
        <f t="shared" si="2"/>
        <v>47.222829, 37.536964</v>
      </c>
      <c r="R1536" s="67">
        <f t="shared" si="3"/>
        <v>47.222829</v>
      </c>
      <c r="S1536" s="67">
        <f t="shared" si="4"/>
        <v>37.536964</v>
      </c>
      <c r="T1536" s="161"/>
      <c r="U1536" s="69"/>
      <c r="V1536" s="65" t="s">
        <v>15206</v>
      </c>
      <c r="W1536" s="71" t="s">
        <v>15207</v>
      </c>
      <c r="X1536" s="72" t="s">
        <v>5504</v>
      </c>
      <c r="Y1536" s="61" t="s">
        <v>5820</v>
      </c>
      <c r="Z1536" s="73"/>
      <c r="AA1536" s="73"/>
      <c r="AB1536" s="73"/>
      <c r="AC1536" s="73"/>
      <c r="AD1536" s="73"/>
      <c r="AE1536" s="73"/>
      <c r="AF1536" s="73"/>
      <c r="AG1536" s="73"/>
      <c r="AH1536" s="73"/>
      <c r="AI1536" s="73"/>
      <c r="AJ1536" s="161"/>
      <c r="AK1536" s="76" t="s">
        <v>798</v>
      </c>
      <c r="AL1536" s="83" t="s">
        <v>15208</v>
      </c>
      <c r="AM1536" s="71" t="s">
        <v>15209</v>
      </c>
      <c r="AN1536" s="84" t="s">
        <v>15210</v>
      </c>
      <c r="AO1536" s="71" t="s">
        <v>15211</v>
      </c>
      <c r="AP1536" s="161" t="str">
        <f>IMAGE("https://bellingcat-archive.nyc3.cdn.digitaloceanspaces.com/Ukraine_Witness_Datasheet/Worksheet/youtube_dl_1500556123690180613/out20.jpg")</f>
        <v/>
      </c>
      <c r="AQ1536" s="84" t="s">
        <v>15212</v>
      </c>
      <c r="AR1536" s="71" t="s">
        <v>15213</v>
      </c>
      <c r="AS1536" s="71" t="s">
        <v>15214</v>
      </c>
      <c r="AT1536" s="71">
        <v>88.833</v>
      </c>
      <c r="AU1536" s="89"/>
      <c r="AV1536" s="162"/>
      <c r="AW1536" s="81"/>
    </row>
    <row r="1537" ht="15.75" customHeight="1">
      <c r="A1537" s="204" t="s">
        <v>63</v>
      </c>
      <c r="B1537" s="73"/>
      <c r="C1537" s="57" t="s">
        <v>14806</v>
      </c>
      <c r="D1537" s="74">
        <v>50.655507</v>
      </c>
      <c r="E1537" s="74">
        <v>31.073123</v>
      </c>
      <c r="F1537" s="79">
        <v>1.0</v>
      </c>
      <c r="G1537" s="84" t="s">
        <v>15215</v>
      </c>
      <c r="H1537" s="73"/>
      <c r="I1537" s="75"/>
      <c r="J1537" s="71" t="s">
        <v>15216</v>
      </c>
      <c r="K1537" s="69"/>
      <c r="L1537" s="65" t="s">
        <v>3542</v>
      </c>
      <c r="M1537" s="93" t="s">
        <v>5827</v>
      </c>
      <c r="N1537" s="314"/>
      <c r="O1537" s="92" t="s">
        <v>15217</v>
      </c>
      <c r="P1537" s="67" t="str">
        <f t="shared" si="8"/>
        <v>50.655507, 31.073123</v>
      </c>
      <c r="Q1537" s="67" t="str">
        <f t="shared" si="2"/>
        <v>50.655294, 31.073834</v>
      </c>
      <c r="R1537" s="67">
        <f t="shared" si="3"/>
        <v>50.655294</v>
      </c>
      <c r="S1537" s="67">
        <f t="shared" si="4"/>
        <v>31.073834</v>
      </c>
      <c r="T1537" s="84" t="s">
        <v>15218</v>
      </c>
      <c r="U1537" s="69"/>
      <c r="V1537" s="65" t="s">
        <v>15219</v>
      </c>
      <c r="W1537" s="71" t="s">
        <v>6641</v>
      </c>
      <c r="X1537" s="72" t="s">
        <v>5504</v>
      </c>
      <c r="Y1537" s="61" t="s">
        <v>5820</v>
      </c>
      <c r="Z1537" s="73"/>
      <c r="AA1537" s="73"/>
      <c r="AB1537" s="73"/>
      <c r="AC1537" s="73"/>
      <c r="AD1537" s="73"/>
      <c r="AE1537" s="73"/>
      <c r="AF1537" s="73"/>
      <c r="AG1537" s="73"/>
      <c r="AH1537" s="73"/>
      <c r="AI1537" s="73"/>
      <c r="AJ1537" s="161"/>
      <c r="AK1537" s="76" t="s">
        <v>2108</v>
      </c>
      <c r="AL1537" s="83" t="s">
        <v>15220</v>
      </c>
      <c r="AM1537" s="71" t="s">
        <v>15221</v>
      </c>
      <c r="AN1537" s="84" t="s">
        <v>15222</v>
      </c>
      <c r="AO1537" s="71" t="s">
        <v>15223</v>
      </c>
      <c r="AP1537" s="161" t="str">
        <f>IMAGE("https://bellingcat-archive.nyc3.cdn.digitaloceanspaces.com/Ukraine_Witness_Datasheet/Worksheet/twitter__media_FNLYfb4WUAMagCo.jpg")</f>
        <v/>
      </c>
      <c r="AQ1537" s="161"/>
      <c r="AR1537" s="161"/>
      <c r="AS1537" s="71" t="s">
        <v>15224</v>
      </c>
      <c r="AT1537" s="161"/>
      <c r="AU1537" s="89"/>
      <c r="AV1537" s="162"/>
      <c r="AW1537" s="81"/>
    </row>
    <row r="1538" ht="15.75" customHeight="1">
      <c r="A1538" s="204" t="s">
        <v>63</v>
      </c>
      <c r="B1538" s="73"/>
      <c r="C1538" s="57" t="s">
        <v>14806</v>
      </c>
      <c r="D1538" s="74">
        <v>51.33064</v>
      </c>
      <c r="E1538" s="74">
        <v>28.800853</v>
      </c>
      <c r="F1538" s="79">
        <v>2.0</v>
      </c>
      <c r="G1538" s="84" t="s">
        <v>15225</v>
      </c>
      <c r="H1538" s="73"/>
      <c r="I1538" s="75"/>
      <c r="J1538" s="71" t="s">
        <v>15226</v>
      </c>
      <c r="K1538" s="69"/>
      <c r="L1538" s="65" t="s">
        <v>3542</v>
      </c>
      <c r="M1538" s="92" t="s">
        <v>9200</v>
      </c>
      <c r="N1538" s="314"/>
      <c r="O1538" s="92" t="s">
        <v>15227</v>
      </c>
      <c r="P1538" s="67" t="str">
        <f t="shared" si="8"/>
        <v>51.33064, 28.800853</v>
      </c>
      <c r="Q1538" s="67" t="str">
        <f t="shared" si="2"/>
        <v>51.330133, 28.800454</v>
      </c>
      <c r="R1538" s="67">
        <f t="shared" si="3"/>
        <v>51.330133</v>
      </c>
      <c r="S1538" s="67">
        <f t="shared" si="4"/>
        <v>28.800454</v>
      </c>
      <c r="T1538" s="161"/>
      <c r="U1538" s="69"/>
      <c r="V1538" s="65" t="s">
        <v>15228</v>
      </c>
      <c r="W1538" s="71" t="s">
        <v>6641</v>
      </c>
      <c r="X1538" s="72" t="s">
        <v>5504</v>
      </c>
      <c r="Y1538" s="61" t="s">
        <v>5820</v>
      </c>
      <c r="Z1538" s="73"/>
      <c r="AA1538" s="73"/>
      <c r="AB1538" s="73"/>
      <c r="AC1538" s="73"/>
      <c r="AD1538" s="73"/>
      <c r="AE1538" s="73"/>
      <c r="AF1538" s="73"/>
      <c r="AG1538" s="73"/>
      <c r="AH1538" s="73"/>
      <c r="AI1538" s="73"/>
      <c r="AJ1538" s="161"/>
      <c r="AK1538" s="76" t="s">
        <v>2108</v>
      </c>
      <c r="AL1538" s="83" t="s">
        <v>15229</v>
      </c>
      <c r="AM1538" s="71" t="s">
        <v>15230</v>
      </c>
      <c r="AN1538" s="84" t="s">
        <v>15231</v>
      </c>
      <c r="AO1538" s="71" t="s">
        <v>15232</v>
      </c>
      <c r="AP1538" s="161" t="str">
        <f>IMAGE("https://bellingcat-archive.nyc3.cdn.digitaloceanspaces.com/Ukraine_Witness_Datasheet/Worksheet/twitter__media_FNJWI5BWUAEFlHW.jpg")</f>
        <v/>
      </c>
      <c r="AQ1538" s="161"/>
      <c r="AR1538" s="161"/>
      <c r="AS1538" s="71" t="s">
        <v>15233</v>
      </c>
      <c r="AT1538" s="161"/>
      <c r="AU1538" s="89"/>
      <c r="AV1538" s="162"/>
      <c r="AW1538" s="81"/>
    </row>
    <row r="1539" ht="15.75" customHeight="1">
      <c r="A1539" s="357" t="s">
        <v>63</v>
      </c>
      <c r="B1539" s="73"/>
      <c r="C1539" s="57" t="s">
        <v>13542</v>
      </c>
      <c r="D1539" s="74">
        <v>49.536353</v>
      </c>
      <c r="E1539" s="74">
        <v>39.105542</v>
      </c>
      <c r="F1539" s="79">
        <v>4.0</v>
      </c>
      <c r="G1539" s="84" t="s">
        <v>15234</v>
      </c>
      <c r="H1539" s="73"/>
      <c r="I1539" s="75"/>
      <c r="J1539" s="71" t="s">
        <v>15235</v>
      </c>
      <c r="K1539" s="88" t="s">
        <v>15236</v>
      </c>
      <c r="L1539" s="65" t="s">
        <v>3542</v>
      </c>
      <c r="M1539" s="93" t="s">
        <v>5524</v>
      </c>
      <c r="N1539" s="314"/>
      <c r="O1539" s="92" t="s">
        <v>15237</v>
      </c>
      <c r="P1539" s="67" t="str">
        <f t="shared" si="8"/>
        <v>49.536353, 39.105542</v>
      </c>
      <c r="Q1539" s="67" t="str">
        <f t="shared" si="2"/>
        <v>49.536217, 39.106135</v>
      </c>
      <c r="R1539" s="67">
        <f t="shared" si="3"/>
        <v>49.536217</v>
      </c>
      <c r="S1539" s="67">
        <f t="shared" si="4"/>
        <v>39.106135</v>
      </c>
      <c r="T1539" s="161"/>
      <c r="U1539" s="69"/>
      <c r="V1539" s="65" t="s">
        <v>15238</v>
      </c>
      <c r="W1539" s="71" t="s">
        <v>6108</v>
      </c>
      <c r="X1539" s="72" t="s">
        <v>5504</v>
      </c>
      <c r="Y1539" s="61" t="s">
        <v>5820</v>
      </c>
      <c r="Z1539" s="73"/>
      <c r="AA1539" s="73"/>
      <c r="AB1539" s="73"/>
      <c r="AC1539" s="73"/>
      <c r="AD1539" s="73"/>
      <c r="AE1539" s="73"/>
      <c r="AF1539" s="73"/>
      <c r="AG1539" s="73"/>
      <c r="AH1539" s="73"/>
      <c r="AI1539" s="73"/>
      <c r="AJ1539" s="161"/>
      <c r="AK1539" s="76" t="s">
        <v>798</v>
      </c>
      <c r="AL1539" s="83" t="s">
        <v>15239</v>
      </c>
      <c r="AM1539" s="71" t="s">
        <v>15240</v>
      </c>
      <c r="AN1539" s="84" t="s">
        <v>15241</v>
      </c>
      <c r="AO1539" s="71" t="s">
        <v>15242</v>
      </c>
      <c r="AP1539" s="161" t="str">
        <f>IMAGE("https://bellingcat-archive.nyc3.cdn.digitaloceanspaces.com/Ukraine_Witness_Datasheet/Worksheet/youtube_dl_1500140441949380611/out20.jpg")</f>
        <v/>
      </c>
      <c r="AQ1539" s="84" t="s">
        <v>15243</v>
      </c>
      <c r="AR1539" s="71" t="s">
        <v>15244</v>
      </c>
      <c r="AS1539" s="71" t="s">
        <v>15245</v>
      </c>
      <c r="AT1539" s="71">
        <v>138.833</v>
      </c>
      <c r="AU1539" s="89"/>
      <c r="AV1539" s="162"/>
      <c r="AW1539" s="81"/>
    </row>
    <row r="1540" ht="15.75" customHeight="1">
      <c r="A1540" s="357" t="s">
        <v>10913</v>
      </c>
      <c r="B1540" s="509"/>
      <c r="C1540" s="57" t="s">
        <v>14806</v>
      </c>
      <c r="D1540" s="74">
        <v>50.089954</v>
      </c>
      <c r="E1540" s="74">
        <v>36.256383</v>
      </c>
      <c r="F1540" s="79">
        <v>5.0</v>
      </c>
      <c r="G1540" s="510" t="s">
        <v>15246</v>
      </c>
      <c r="H1540" s="61" t="s">
        <v>5522</v>
      </c>
      <c r="I1540" s="215" t="s">
        <v>15247</v>
      </c>
      <c r="J1540" s="71" t="s">
        <v>15248</v>
      </c>
      <c r="K1540" s="69"/>
      <c r="L1540" s="65" t="s">
        <v>3542</v>
      </c>
      <c r="M1540" s="93" t="s">
        <v>5590</v>
      </c>
      <c r="N1540" s="314"/>
      <c r="O1540" s="93" t="s">
        <v>5591</v>
      </c>
      <c r="P1540" s="67" t="str">
        <f t="shared" si="8"/>
        <v>50.089954, 36.256383</v>
      </c>
      <c r="Q1540" s="67" t="str">
        <f t="shared" si="2"/>
        <v>50.089565, 36.257264</v>
      </c>
      <c r="R1540" s="67">
        <f t="shared" si="3"/>
        <v>50.089565</v>
      </c>
      <c r="S1540" s="67">
        <f t="shared" si="4"/>
        <v>36.257264</v>
      </c>
      <c r="T1540" s="71" t="s">
        <v>15249</v>
      </c>
      <c r="U1540" s="69"/>
      <c r="V1540" s="65" t="s">
        <v>15250</v>
      </c>
      <c r="W1540" s="71" t="s">
        <v>6108</v>
      </c>
      <c r="X1540" s="72" t="s">
        <v>5504</v>
      </c>
      <c r="Y1540" s="252"/>
      <c r="Z1540" s="73"/>
      <c r="AA1540" s="73"/>
      <c r="AB1540" s="73"/>
      <c r="AC1540" s="73"/>
      <c r="AD1540" s="73"/>
      <c r="AE1540" s="73"/>
      <c r="AF1540" s="73"/>
      <c r="AG1540" s="73"/>
      <c r="AH1540" s="73"/>
      <c r="AI1540" s="73"/>
      <c r="AJ1540" s="161"/>
      <c r="AK1540" s="76" t="s">
        <v>1261</v>
      </c>
      <c r="AL1540" s="83" t="s">
        <v>15251</v>
      </c>
      <c r="AM1540" s="71" t="s">
        <v>15252</v>
      </c>
      <c r="AN1540" s="84" t="s">
        <v>15253</v>
      </c>
      <c r="AO1540" s="161"/>
      <c r="AP1540" s="161"/>
      <c r="AQ1540" s="161"/>
      <c r="AR1540" s="71" t="s">
        <v>15254</v>
      </c>
      <c r="AS1540" s="161"/>
      <c r="AT1540" s="161"/>
      <c r="AU1540" s="89"/>
      <c r="AV1540" s="162"/>
      <c r="AW1540" s="81"/>
    </row>
    <row r="1541" ht="15.75" customHeight="1">
      <c r="A1541" s="72" t="s">
        <v>10913</v>
      </c>
      <c r="B1541" s="73"/>
      <c r="C1541" s="57" t="s">
        <v>14806</v>
      </c>
      <c r="D1541" s="74">
        <v>50.0237139767598</v>
      </c>
      <c r="E1541" s="74">
        <v>36.3406712552196</v>
      </c>
      <c r="F1541" s="79">
        <v>2.0</v>
      </c>
      <c r="G1541" s="84" t="s">
        <v>15255</v>
      </c>
      <c r="H1541" s="61" t="s">
        <v>5522</v>
      </c>
      <c r="I1541" s="75"/>
      <c r="J1541" s="71" t="s">
        <v>15256</v>
      </c>
      <c r="K1541" s="69"/>
      <c r="L1541" s="65" t="s">
        <v>3542</v>
      </c>
      <c r="M1541" s="93" t="s">
        <v>5590</v>
      </c>
      <c r="N1541" s="314"/>
      <c r="O1541" s="93" t="s">
        <v>5591</v>
      </c>
      <c r="P1541" s="67" t="str">
        <f t="shared" si="8"/>
        <v>50.0237139767598, 36.3406712552196</v>
      </c>
      <c r="Q1541" s="67" t="str">
        <f t="shared" si="2"/>
        <v>50.023157, 36.340423</v>
      </c>
      <c r="R1541" s="67">
        <f t="shared" si="3"/>
        <v>50.023157</v>
      </c>
      <c r="S1541" s="67">
        <f t="shared" si="4"/>
        <v>36.340423</v>
      </c>
      <c r="T1541" s="71" t="s">
        <v>15257</v>
      </c>
      <c r="U1541" s="69"/>
      <c r="V1541" s="65" t="s">
        <v>15258</v>
      </c>
      <c r="W1541" s="71" t="s">
        <v>6641</v>
      </c>
      <c r="X1541" s="72" t="s">
        <v>5504</v>
      </c>
      <c r="Y1541" s="61" t="s">
        <v>5820</v>
      </c>
      <c r="Z1541" s="73"/>
      <c r="AA1541" s="73"/>
      <c r="AB1541" s="73"/>
      <c r="AC1541" s="73"/>
      <c r="AD1541" s="73"/>
      <c r="AE1541" s="73"/>
      <c r="AF1541" s="73"/>
      <c r="AG1541" s="73"/>
      <c r="AH1541" s="73"/>
      <c r="AI1541" s="73"/>
      <c r="AJ1541" s="161"/>
      <c r="AK1541" s="76" t="s">
        <v>6276</v>
      </c>
      <c r="AL1541" s="83" t="s">
        <v>15259</v>
      </c>
      <c r="AM1541" s="71" t="s">
        <v>15260</v>
      </c>
      <c r="AN1541" s="84" t="s">
        <v>15261</v>
      </c>
      <c r="AO1541" s="71" t="s">
        <v>15262</v>
      </c>
      <c r="AP1541" s="161" t="str">
        <f>IMAGE("https://bellingcat-archive.nyc3.cdn.digitaloceanspaces.com/Ukraine_Witness_Datasheet/Worksheet/telegram_c20d113127/out7.jpg")</f>
        <v/>
      </c>
      <c r="AQ1541" s="84" t="s">
        <v>15263</v>
      </c>
      <c r="AR1541" s="84" t="s">
        <v>15255</v>
      </c>
      <c r="AS1541" s="71" t="s">
        <v>15264</v>
      </c>
      <c r="AT1541" s="71">
        <v>44.0</v>
      </c>
      <c r="AU1541" s="89"/>
      <c r="AV1541" s="80" t="s">
        <v>3944</v>
      </c>
      <c r="AW1541" s="81"/>
    </row>
    <row r="1542" ht="15.75" customHeight="1">
      <c r="A1542" s="204" t="s">
        <v>11479</v>
      </c>
      <c r="B1542" s="73"/>
      <c r="C1542" s="57" t="s">
        <v>14806</v>
      </c>
      <c r="D1542" s="104">
        <v>50.060549</v>
      </c>
      <c r="E1542" s="104">
        <v>36.201591</v>
      </c>
      <c r="F1542" s="79">
        <v>3.0</v>
      </c>
      <c r="G1542" s="84" t="s">
        <v>15265</v>
      </c>
      <c r="H1542" s="61" t="s">
        <v>5522</v>
      </c>
      <c r="I1542" s="215" t="s">
        <v>15266</v>
      </c>
      <c r="J1542" s="71" t="s">
        <v>15267</v>
      </c>
      <c r="K1542" s="69"/>
      <c r="L1542" s="65" t="s">
        <v>3542</v>
      </c>
      <c r="M1542" s="93" t="s">
        <v>5590</v>
      </c>
      <c r="N1542" s="314"/>
      <c r="O1542" s="93" t="s">
        <v>5591</v>
      </c>
      <c r="P1542" s="67" t="str">
        <f t="shared" si="8"/>
        <v>50.060549, 36.201591</v>
      </c>
      <c r="Q1542" s="67" t="str">
        <f t="shared" si="2"/>
        <v>50.060506, 36.202635</v>
      </c>
      <c r="R1542" s="67">
        <f t="shared" si="3"/>
        <v>50.060506</v>
      </c>
      <c r="S1542" s="67">
        <f t="shared" si="4"/>
        <v>36.202635</v>
      </c>
      <c r="T1542" s="161"/>
      <c r="U1542" s="69"/>
      <c r="V1542" s="65" t="s">
        <v>15268</v>
      </c>
      <c r="W1542" s="71" t="s">
        <v>9711</v>
      </c>
      <c r="X1542" s="72" t="s">
        <v>5504</v>
      </c>
      <c r="Y1542" s="61" t="s">
        <v>5820</v>
      </c>
      <c r="Z1542" s="73"/>
      <c r="AA1542" s="73"/>
      <c r="AB1542" s="73"/>
      <c r="AC1542" s="73"/>
      <c r="AD1542" s="73"/>
      <c r="AE1542" s="73"/>
      <c r="AF1542" s="73"/>
      <c r="AG1542" s="73"/>
      <c r="AH1542" s="73"/>
      <c r="AI1542" s="73"/>
      <c r="AJ1542" s="161"/>
      <c r="AK1542" s="76" t="s">
        <v>6276</v>
      </c>
      <c r="AL1542" s="83" t="s">
        <v>15269</v>
      </c>
      <c r="AM1542" s="71" t="s">
        <v>15270</v>
      </c>
      <c r="AN1542" s="84" t="s">
        <v>15271</v>
      </c>
      <c r="AO1542" s="71" t="s">
        <v>15272</v>
      </c>
      <c r="AP1542" s="161" t="str">
        <f>IMAGE("https://bellingcat-archive.nyc3.cdn.digitaloceanspaces.com/Ukraine_Witness_Datasheet/Worksheet/telegram_ab4432e840/out7.jpg")</f>
        <v/>
      </c>
      <c r="AQ1542" s="84" t="s">
        <v>15273</v>
      </c>
      <c r="AR1542" s="84" t="s">
        <v>15265</v>
      </c>
      <c r="AS1542" s="71" t="s">
        <v>15274</v>
      </c>
      <c r="AT1542" s="71">
        <v>8.0</v>
      </c>
      <c r="AU1542" s="89"/>
      <c r="AV1542" s="80" t="s">
        <v>88</v>
      </c>
      <c r="AW1542" s="81"/>
    </row>
    <row r="1543" ht="15.75" customHeight="1">
      <c r="A1543" s="208" t="s">
        <v>3944</v>
      </c>
      <c r="B1543" s="73"/>
      <c r="C1543" s="57" t="s">
        <v>15275</v>
      </c>
      <c r="D1543" s="104">
        <v>46.959831</v>
      </c>
      <c r="E1543" s="104">
        <v>32.036653</v>
      </c>
      <c r="F1543" s="79">
        <v>1.0</v>
      </c>
      <c r="G1543" s="84" t="s">
        <v>15276</v>
      </c>
      <c r="H1543" s="73"/>
      <c r="I1543" s="75"/>
      <c r="J1543" s="161"/>
      <c r="K1543" s="88" t="s">
        <v>15277</v>
      </c>
      <c r="L1543" s="70"/>
      <c r="M1543" s="314"/>
      <c r="N1543" s="314"/>
      <c r="O1543" s="314"/>
      <c r="P1543" s="67" t="str">
        <f t="shared" si="8"/>
        <v>46.959831, 32.036653</v>
      </c>
      <c r="Q1543" s="67" t="str">
        <f t="shared" si="2"/>
        <v>46.95948, 32.037569</v>
      </c>
      <c r="R1543" s="67">
        <f t="shared" si="3"/>
        <v>46.95948</v>
      </c>
      <c r="S1543" s="67">
        <f t="shared" si="4"/>
        <v>32.037569</v>
      </c>
      <c r="T1543" s="161"/>
      <c r="U1543" s="69"/>
      <c r="V1543" s="65" t="s">
        <v>15278</v>
      </c>
      <c r="W1543" s="161"/>
      <c r="X1543" s="194"/>
      <c r="Y1543" s="73"/>
      <c r="Z1543" s="73"/>
      <c r="AA1543" s="73"/>
      <c r="AB1543" s="73"/>
      <c r="AC1543" s="73"/>
      <c r="AD1543" s="73"/>
      <c r="AE1543" s="73"/>
      <c r="AF1543" s="73"/>
      <c r="AG1543" s="73"/>
      <c r="AH1543" s="73"/>
      <c r="AI1543" s="73"/>
      <c r="AJ1543" s="161"/>
      <c r="AK1543" s="76" t="s">
        <v>2108</v>
      </c>
      <c r="AL1543" s="83" t="s">
        <v>15279</v>
      </c>
      <c r="AM1543" s="71" t="s">
        <v>15280</v>
      </c>
      <c r="AN1543" s="84" t="s">
        <v>15281</v>
      </c>
      <c r="AO1543" s="71" t="s">
        <v>15282</v>
      </c>
      <c r="AP1543" s="161" t="str">
        <f>IMAGE("https://bellingcat-archive.nyc3.cdn.digitaloceanspaces.com/Ukraine_Witness_Datasheet/Worksheet/twitter__media_FNOpfsjaIAEmZRh.jpg")</f>
        <v/>
      </c>
      <c r="AQ1543" s="161"/>
      <c r="AR1543" s="161"/>
      <c r="AS1543" s="71" t="s">
        <v>15283</v>
      </c>
      <c r="AT1543" s="161"/>
      <c r="AU1543" s="89"/>
      <c r="AV1543" s="162"/>
      <c r="AW1543" s="81"/>
    </row>
    <row r="1544" ht="15.75" customHeight="1">
      <c r="A1544" s="204" t="s">
        <v>63</v>
      </c>
      <c r="B1544" s="73"/>
      <c r="C1544" s="511" t="s">
        <v>6118</v>
      </c>
      <c r="D1544" s="74">
        <v>46.393556</v>
      </c>
      <c r="E1544" s="74">
        <v>33.112583</v>
      </c>
      <c r="F1544" s="79">
        <v>1.0</v>
      </c>
      <c r="G1544" s="84" t="s">
        <v>15284</v>
      </c>
      <c r="H1544" s="61" t="s">
        <v>5522</v>
      </c>
      <c r="I1544" s="75"/>
      <c r="J1544" s="71" t="s">
        <v>15285</v>
      </c>
      <c r="K1544" s="69"/>
      <c r="L1544" s="65" t="s">
        <v>3542</v>
      </c>
      <c r="M1544" s="93" t="s">
        <v>5702</v>
      </c>
      <c r="N1544" s="92" t="s">
        <v>15286</v>
      </c>
      <c r="O1544" s="92" t="s">
        <v>15287</v>
      </c>
      <c r="P1544" s="67" t="str">
        <f t="shared" si="8"/>
        <v>46.393556, 33.112583</v>
      </c>
      <c r="Q1544" s="67" t="str">
        <f t="shared" si="2"/>
        <v>46.392991, 33.11184</v>
      </c>
      <c r="R1544" s="67">
        <f t="shared" si="3"/>
        <v>46.392991</v>
      </c>
      <c r="S1544" s="67">
        <f t="shared" si="4"/>
        <v>33.11184</v>
      </c>
      <c r="T1544" s="161"/>
      <c r="U1544" s="69"/>
      <c r="V1544" s="65" t="s">
        <v>15288</v>
      </c>
      <c r="W1544" s="71" t="s">
        <v>15289</v>
      </c>
      <c r="X1544" s="72" t="s">
        <v>5504</v>
      </c>
      <c r="Y1544" s="61" t="s">
        <v>5820</v>
      </c>
      <c r="Z1544" s="73"/>
      <c r="AA1544" s="73"/>
      <c r="AB1544" s="73"/>
      <c r="AC1544" s="73"/>
      <c r="AD1544" s="73"/>
      <c r="AE1544" s="73"/>
      <c r="AF1544" s="73"/>
      <c r="AG1544" s="73"/>
      <c r="AH1544" s="73"/>
      <c r="AI1544" s="73"/>
      <c r="AJ1544" s="161"/>
      <c r="AK1544" s="76" t="s">
        <v>798</v>
      </c>
      <c r="AL1544" s="83" t="s">
        <v>15290</v>
      </c>
      <c r="AM1544" s="71" t="s">
        <v>15291</v>
      </c>
      <c r="AN1544" s="84" t="s">
        <v>15292</v>
      </c>
      <c r="AO1544" s="71" t="s">
        <v>15293</v>
      </c>
      <c r="AP1544" s="161" t="str">
        <f>IMAGE("https://bellingcat-archive.nyc3.cdn.digitaloceanspaces.com/Ukraine_Witness_Datasheet/Worksheet/youtube_dl_a5jt7w3hpul81/out7.jpg")</f>
        <v/>
      </c>
      <c r="AQ1544" s="84" t="s">
        <v>15294</v>
      </c>
      <c r="AR1544" s="71" t="s">
        <v>15295</v>
      </c>
      <c r="AS1544" s="71" t="s">
        <v>15296</v>
      </c>
      <c r="AT1544" s="71">
        <v>25.0</v>
      </c>
      <c r="AU1544" s="79" t="s">
        <v>63</v>
      </c>
      <c r="AV1544" s="80" t="s">
        <v>3944</v>
      </c>
      <c r="AW1544" s="81"/>
    </row>
    <row r="1545" ht="15.75" customHeight="1">
      <c r="A1545" s="204" t="s">
        <v>63</v>
      </c>
      <c r="B1545" s="73"/>
      <c r="C1545" s="511" t="s">
        <v>6118</v>
      </c>
      <c r="D1545" s="74">
        <v>46.393307</v>
      </c>
      <c r="E1545" s="74">
        <v>33.113435</v>
      </c>
      <c r="F1545" s="79">
        <v>4.0</v>
      </c>
      <c r="G1545" s="84" t="s">
        <v>15297</v>
      </c>
      <c r="H1545" s="61" t="s">
        <v>5522</v>
      </c>
      <c r="I1545" s="75"/>
      <c r="J1545" s="71" t="s">
        <v>15298</v>
      </c>
      <c r="K1545" s="69"/>
      <c r="L1545" s="65" t="s">
        <v>3542</v>
      </c>
      <c r="M1545" s="93" t="s">
        <v>5702</v>
      </c>
      <c r="N1545" s="92" t="s">
        <v>15286</v>
      </c>
      <c r="O1545" s="92" t="s">
        <v>15287</v>
      </c>
      <c r="P1545" s="67" t="str">
        <f t="shared" si="8"/>
        <v>46.393307, 33.113435</v>
      </c>
      <c r="Q1545" s="67" t="str">
        <f t="shared" si="2"/>
        <v>46.392839, 33.113648</v>
      </c>
      <c r="R1545" s="67">
        <f t="shared" si="3"/>
        <v>46.392839</v>
      </c>
      <c r="S1545" s="67">
        <f t="shared" si="4"/>
        <v>33.113648</v>
      </c>
      <c r="T1545" s="161"/>
      <c r="U1545" s="69"/>
      <c r="V1545" s="65" t="s">
        <v>15299</v>
      </c>
      <c r="W1545" s="71" t="s">
        <v>15289</v>
      </c>
      <c r="X1545" s="72" t="s">
        <v>5504</v>
      </c>
      <c r="Y1545" s="61" t="s">
        <v>5820</v>
      </c>
      <c r="Z1545" s="73"/>
      <c r="AA1545" s="73"/>
      <c r="AB1545" s="73"/>
      <c r="AC1545" s="73"/>
      <c r="AD1545" s="73"/>
      <c r="AE1545" s="73"/>
      <c r="AF1545" s="73"/>
      <c r="AG1545" s="73"/>
      <c r="AH1545" s="73"/>
      <c r="AI1545" s="73"/>
      <c r="AJ1545" s="161"/>
      <c r="AK1545" s="76" t="s">
        <v>798</v>
      </c>
      <c r="AL1545" s="83" t="s">
        <v>15300</v>
      </c>
      <c r="AM1545" s="71" t="s">
        <v>15301</v>
      </c>
      <c r="AN1545" s="84" t="s">
        <v>15302</v>
      </c>
      <c r="AO1545" s="71" t="s">
        <v>15303</v>
      </c>
      <c r="AP1545" s="161" t="str">
        <f>IMAGE("https://bellingcat-archive.nyc3.cdn.digitaloceanspaces.com/Ukraine_Witness_Datasheet/Worksheet/youtube_dl_xqfximklnzj81/out20.jpg")</f>
        <v/>
      </c>
      <c r="AQ1545" s="84" t="s">
        <v>15304</v>
      </c>
      <c r="AR1545" s="71" t="s">
        <v>15305</v>
      </c>
      <c r="AS1545" s="71" t="s">
        <v>15306</v>
      </c>
      <c r="AT1545" s="71">
        <v>299.0</v>
      </c>
      <c r="AU1545" s="79" t="s">
        <v>63</v>
      </c>
      <c r="AV1545" s="80" t="s">
        <v>3944</v>
      </c>
      <c r="AW1545" s="81"/>
    </row>
    <row r="1546" ht="15.75" customHeight="1">
      <c r="A1546" s="357" t="s">
        <v>63</v>
      </c>
      <c r="B1546" s="73"/>
      <c r="C1546" s="57" t="s">
        <v>12050</v>
      </c>
      <c r="D1546" s="74">
        <v>50.399376</v>
      </c>
      <c r="E1546" s="74">
        <v>30.546624</v>
      </c>
      <c r="F1546" s="79">
        <v>2.0</v>
      </c>
      <c r="G1546" s="84" t="s">
        <v>15307</v>
      </c>
      <c r="H1546" s="61" t="s">
        <v>5522</v>
      </c>
      <c r="I1546" s="75"/>
      <c r="J1546" s="71" t="s">
        <v>15308</v>
      </c>
      <c r="K1546" s="88" t="s">
        <v>15309</v>
      </c>
      <c r="L1546" s="65" t="s">
        <v>3542</v>
      </c>
      <c r="M1546" s="93" t="s">
        <v>5827</v>
      </c>
      <c r="N1546" s="314"/>
      <c r="O1546" s="93" t="s">
        <v>6121</v>
      </c>
      <c r="P1546" s="67" t="str">
        <f t="shared" si="8"/>
        <v>50.399376, 30.546624</v>
      </c>
      <c r="Q1546" s="67" t="str">
        <f t="shared" si="2"/>
        <v>50.399192, 30.545816</v>
      </c>
      <c r="R1546" s="67">
        <f t="shared" si="3"/>
        <v>50.399192</v>
      </c>
      <c r="S1546" s="67">
        <f t="shared" si="4"/>
        <v>30.545816</v>
      </c>
      <c r="T1546" s="71" t="s">
        <v>15310</v>
      </c>
      <c r="U1546" s="69"/>
      <c r="V1546" s="65" t="s">
        <v>15311</v>
      </c>
      <c r="W1546" s="71" t="s">
        <v>9711</v>
      </c>
      <c r="X1546" s="72" t="s">
        <v>5504</v>
      </c>
      <c r="Y1546" s="61" t="s">
        <v>2982</v>
      </c>
      <c r="Z1546" s="61" t="s">
        <v>14788</v>
      </c>
      <c r="AA1546" s="73"/>
      <c r="AB1546" s="73"/>
      <c r="AC1546" s="73"/>
      <c r="AD1546" s="73"/>
      <c r="AE1546" s="73"/>
      <c r="AF1546" s="73"/>
      <c r="AG1546" s="73"/>
      <c r="AH1546" s="73"/>
      <c r="AI1546" s="73"/>
      <c r="AJ1546" s="161"/>
      <c r="AK1546" s="76" t="s">
        <v>6276</v>
      </c>
      <c r="AL1546" s="83" t="s">
        <v>15312</v>
      </c>
      <c r="AM1546" s="71" t="s">
        <v>15313</v>
      </c>
      <c r="AN1546" s="84" t="s">
        <v>15314</v>
      </c>
      <c r="AO1546" s="71" t="s">
        <v>15315</v>
      </c>
      <c r="AP1546" s="161" t="str">
        <f>IMAGE("https://bellingcat-archive.nyc3.cdn.digitaloceanspaces.com/Ukraine_Witness_Datasheet/Worksheet/telegram_c7b93b534b/out7.jpg")</f>
        <v/>
      </c>
      <c r="AQ1546" s="84" t="s">
        <v>15316</v>
      </c>
      <c r="AR1546" s="84" t="s">
        <v>15307</v>
      </c>
      <c r="AS1546" s="71" t="s">
        <v>15317</v>
      </c>
      <c r="AT1546" s="71">
        <v>6.0</v>
      </c>
      <c r="AU1546" s="79" t="s">
        <v>63</v>
      </c>
      <c r="AV1546" s="80" t="s">
        <v>3944</v>
      </c>
      <c r="AW1546" s="81"/>
    </row>
    <row r="1547" ht="15.75" customHeight="1">
      <c r="A1547" s="357" t="s">
        <v>8181</v>
      </c>
      <c r="B1547" s="73"/>
      <c r="C1547" s="57" t="s">
        <v>15275</v>
      </c>
      <c r="D1547" s="104">
        <v>50.490056</v>
      </c>
      <c r="E1547" s="104">
        <v>30.260417</v>
      </c>
      <c r="F1547" s="79">
        <v>5.0</v>
      </c>
      <c r="G1547" s="84" t="s">
        <v>15318</v>
      </c>
      <c r="H1547" s="61" t="s">
        <v>5522</v>
      </c>
      <c r="I1547" s="75"/>
      <c r="J1547" s="71" t="s">
        <v>15319</v>
      </c>
      <c r="K1547" s="88" t="s">
        <v>15320</v>
      </c>
      <c r="L1547" s="65" t="s">
        <v>3542</v>
      </c>
      <c r="M1547" s="93" t="s">
        <v>5827</v>
      </c>
      <c r="N1547" s="314"/>
      <c r="O1547" s="93" t="s">
        <v>7550</v>
      </c>
      <c r="P1547" s="67" t="str">
        <f t="shared" si="8"/>
        <v>50.490056, 30.260417</v>
      </c>
      <c r="Q1547" s="67" t="str">
        <f t="shared" si="2"/>
        <v>50.489847, 30.259505</v>
      </c>
      <c r="R1547" s="67">
        <f t="shared" si="3"/>
        <v>50.489847</v>
      </c>
      <c r="S1547" s="67">
        <f t="shared" si="4"/>
        <v>30.259505</v>
      </c>
      <c r="T1547" s="161"/>
      <c r="U1547" s="69"/>
      <c r="V1547" s="65" t="s">
        <v>15321</v>
      </c>
      <c r="W1547" s="71" t="s">
        <v>14741</v>
      </c>
      <c r="X1547" s="72" t="s">
        <v>5504</v>
      </c>
      <c r="Y1547" s="61" t="s">
        <v>11347</v>
      </c>
      <c r="Z1547" s="73"/>
      <c r="AA1547" s="73"/>
      <c r="AB1547" s="73"/>
      <c r="AC1547" s="73"/>
      <c r="AD1547" s="73"/>
      <c r="AE1547" s="73"/>
      <c r="AF1547" s="73"/>
      <c r="AG1547" s="73"/>
      <c r="AH1547" s="73"/>
      <c r="AI1547" s="73"/>
      <c r="AJ1547" s="161"/>
      <c r="AK1547" s="76" t="s">
        <v>798</v>
      </c>
      <c r="AL1547" s="83" t="s">
        <v>15322</v>
      </c>
      <c r="AM1547" s="71" t="s">
        <v>15323</v>
      </c>
      <c r="AN1547" s="84" t="s">
        <v>15324</v>
      </c>
      <c r="AO1547" s="71" t="s">
        <v>15325</v>
      </c>
      <c r="AP1547" s="161" t="str">
        <f>IMAGE("https://bellingcat-archive.nyc3.cdn.digitaloceanspaces.com/Ukraine_Witness_Datasheet/Worksheet/youtube_dl_1500765060507049989/out7.jpg")</f>
        <v/>
      </c>
      <c r="AQ1547" s="84" t="s">
        <v>15326</v>
      </c>
      <c r="AR1547" s="71" t="s">
        <v>15327</v>
      </c>
      <c r="AS1547" s="71" t="s">
        <v>15328</v>
      </c>
      <c r="AT1547" s="71">
        <v>10.371</v>
      </c>
      <c r="AU1547" s="89"/>
      <c r="AV1547" s="80" t="s">
        <v>63</v>
      </c>
      <c r="AW1547" s="81"/>
    </row>
    <row r="1548" ht="15.75" customHeight="1">
      <c r="A1548" s="208"/>
      <c r="B1548" s="73"/>
      <c r="C1548" s="57" t="s">
        <v>15275</v>
      </c>
      <c r="D1548" s="121"/>
      <c r="E1548" s="121"/>
      <c r="F1548" s="79">
        <v>2.0</v>
      </c>
      <c r="G1548" s="84" t="s">
        <v>15329</v>
      </c>
      <c r="H1548" s="61" t="s">
        <v>91</v>
      </c>
      <c r="I1548" s="75"/>
      <c r="J1548" s="71" t="s">
        <v>15330</v>
      </c>
      <c r="K1548" s="69"/>
      <c r="L1548" s="65" t="s">
        <v>3542</v>
      </c>
      <c r="M1548" s="93" t="s">
        <v>5590</v>
      </c>
      <c r="N1548" s="314"/>
      <c r="O1548" s="93" t="s">
        <v>5626</v>
      </c>
      <c r="P1548" s="67" t="s">
        <v>15331</v>
      </c>
      <c r="Q1548" s="67" t="str">
        <f t="shared" si="2"/>
        <v/>
      </c>
      <c r="R1548" s="67" t="str">
        <f t="shared" si="3"/>
        <v/>
      </c>
      <c r="S1548" s="67" t="str">
        <f t="shared" si="4"/>
        <v/>
      </c>
      <c r="T1548" s="161"/>
      <c r="U1548" s="69"/>
      <c r="V1548" s="65" t="s">
        <v>15332</v>
      </c>
      <c r="W1548" s="71" t="s">
        <v>5739</v>
      </c>
      <c r="X1548" s="194"/>
      <c r="Y1548" s="61" t="s">
        <v>11347</v>
      </c>
      <c r="Z1548" s="73"/>
      <c r="AA1548" s="73"/>
      <c r="AB1548" s="73"/>
      <c r="AC1548" s="73"/>
      <c r="AD1548" s="73"/>
      <c r="AE1548" s="73"/>
      <c r="AF1548" s="73"/>
      <c r="AG1548" s="73"/>
      <c r="AH1548" s="73"/>
      <c r="AI1548" s="73"/>
      <c r="AJ1548" s="161"/>
      <c r="AK1548" s="76" t="s">
        <v>2108</v>
      </c>
      <c r="AL1548" s="83" t="s">
        <v>15333</v>
      </c>
      <c r="AM1548" s="71" t="s">
        <v>15334</v>
      </c>
      <c r="AN1548" s="84" t="s">
        <v>15335</v>
      </c>
      <c r="AO1548" s="71" t="s">
        <v>15336</v>
      </c>
      <c r="AP1548" s="161" t="str">
        <f>IMAGE("https://bellingcat-archive.nyc3.cdn.digitaloceanspaces.com/Ukraine_Witness_Datasheet/Worksheet/twitter__media_FNPQ4RJXEAEIxGE.jpg")</f>
        <v/>
      </c>
      <c r="AQ1548" s="161"/>
      <c r="AR1548" s="161"/>
      <c r="AS1548" s="71" t="s">
        <v>15337</v>
      </c>
      <c r="AT1548" s="161"/>
      <c r="AU1548" s="89"/>
      <c r="AV1548" s="162"/>
      <c r="AW1548" s="81"/>
    </row>
    <row r="1549" ht="15.75" customHeight="1">
      <c r="A1549" s="204" t="s">
        <v>11479</v>
      </c>
      <c r="B1549" s="73"/>
      <c r="C1549" s="57" t="s">
        <v>14806</v>
      </c>
      <c r="D1549" s="104">
        <v>50.52057</v>
      </c>
      <c r="E1549" s="104">
        <v>30.207406</v>
      </c>
      <c r="F1549" s="79">
        <v>1.0</v>
      </c>
      <c r="G1549" s="84" t="s">
        <v>15338</v>
      </c>
      <c r="H1549" s="61" t="s">
        <v>5522</v>
      </c>
      <c r="I1549" s="75"/>
      <c r="J1549" s="71" t="s">
        <v>15339</v>
      </c>
      <c r="K1549" s="69"/>
      <c r="L1549" s="65" t="s">
        <v>3542</v>
      </c>
      <c r="M1549" s="93" t="s">
        <v>5827</v>
      </c>
      <c r="N1549" s="314"/>
      <c r="O1549" s="93" t="s">
        <v>7550</v>
      </c>
      <c r="P1549" s="67" t="str">
        <f t="shared" ref="P1549:P1623" si="11">IF(ISBLANK(D1549), "", CONCATENATE(D1549,", ", E1549))</f>
        <v>50.52057, 30.207406</v>
      </c>
      <c r="Q1549" s="67" t="str">
        <f t="shared" si="2"/>
        <v>50.520331, 30.207842</v>
      </c>
      <c r="R1549" s="67">
        <f t="shared" si="3"/>
        <v>50.520331</v>
      </c>
      <c r="S1549" s="67">
        <f t="shared" si="4"/>
        <v>30.207842</v>
      </c>
      <c r="T1549" s="71" t="s">
        <v>15340</v>
      </c>
      <c r="U1549" s="69"/>
      <c r="V1549" s="65" t="s">
        <v>15341</v>
      </c>
      <c r="W1549" s="71" t="s">
        <v>5858</v>
      </c>
      <c r="X1549" s="72" t="s">
        <v>5504</v>
      </c>
      <c r="Y1549" s="73"/>
      <c r="Z1549" s="73"/>
      <c r="AA1549" s="73"/>
      <c r="AB1549" s="73"/>
      <c r="AC1549" s="73"/>
      <c r="AD1549" s="73"/>
      <c r="AE1549" s="73"/>
      <c r="AF1549" s="73"/>
      <c r="AG1549" s="73"/>
      <c r="AH1549" s="73"/>
      <c r="AI1549" s="73"/>
      <c r="AJ1549" s="161"/>
      <c r="AK1549" s="76" t="s">
        <v>798</v>
      </c>
      <c r="AL1549" s="83" t="s">
        <v>15342</v>
      </c>
      <c r="AM1549" s="71" t="s">
        <v>15343</v>
      </c>
      <c r="AN1549" s="84" t="s">
        <v>15344</v>
      </c>
      <c r="AO1549" s="71" t="s">
        <v>15345</v>
      </c>
      <c r="AP1549" s="161" t="str">
        <f>IMAGE("https://bellingcat-archive.nyc3.cdn.digitaloceanspaces.com/Ukraine_Witness_Datasheet/Worksheet/youtube_dl_1500761721543311361/out7.jpg")</f>
        <v/>
      </c>
      <c r="AQ1549" s="84" t="s">
        <v>15346</v>
      </c>
      <c r="AR1549" s="71" t="s">
        <v>15347</v>
      </c>
      <c r="AS1549" s="71" t="s">
        <v>15348</v>
      </c>
      <c r="AT1549" s="71">
        <v>17.345</v>
      </c>
      <c r="AU1549" s="89"/>
      <c r="AV1549" s="80" t="s">
        <v>63</v>
      </c>
      <c r="AW1549" s="81"/>
    </row>
    <row r="1550" ht="15.75" customHeight="1">
      <c r="A1550" s="357" t="s">
        <v>63</v>
      </c>
      <c r="B1550" s="73"/>
      <c r="C1550" s="57" t="s">
        <v>14806</v>
      </c>
      <c r="D1550" s="74">
        <v>49.988279</v>
      </c>
      <c r="E1550" s="74">
        <v>36.244692</v>
      </c>
      <c r="F1550" s="79">
        <v>2.0</v>
      </c>
      <c r="G1550" s="84" t="s">
        <v>15349</v>
      </c>
      <c r="H1550" s="61" t="s">
        <v>5522</v>
      </c>
      <c r="I1550" s="75"/>
      <c r="J1550" s="71" t="s">
        <v>15350</v>
      </c>
      <c r="K1550" s="88" t="s">
        <v>15351</v>
      </c>
      <c r="L1550" s="65" t="s">
        <v>3542</v>
      </c>
      <c r="M1550" s="93" t="s">
        <v>5590</v>
      </c>
      <c r="N1550" s="314"/>
      <c r="O1550" s="93" t="s">
        <v>5626</v>
      </c>
      <c r="P1550" s="67" t="str">
        <f t="shared" si="11"/>
        <v>49.988279, 36.244692</v>
      </c>
      <c r="Q1550" s="67" t="str">
        <f t="shared" si="2"/>
        <v>49.988126, 36.243451</v>
      </c>
      <c r="R1550" s="67">
        <f t="shared" si="3"/>
        <v>49.988126</v>
      </c>
      <c r="S1550" s="67">
        <f t="shared" si="4"/>
        <v>36.243451</v>
      </c>
      <c r="T1550" s="161"/>
      <c r="U1550" s="69"/>
      <c r="V1550" s="65" t="s">
        <v>15352</v>
      </c>
      <c r="W1550" s="71" t="s">
        <v>6641</v>
      </c>
      <c r="X1550" s="502" t="s">
        <v>14471</v>
      </c>
      <c r="Y1550" s="61" t="s">
        <v>75</v>
      </c>
      <c r="Z1550" s="61" t="s">
        <v>15353</v>
      </c>
      <c r="AA1550" s="73"/>
      <c r="AB1550" s="73"/>
      <c r="AC1550" s="73"/>
      <c r="AD1550" s="73"/>
      <c r="AE1550" s="73"/>
      <c r="AF1550" s="73"/>
      <c r="AG1550" s="73"/>
      <c r="AH1550" s="73"/>
      <c r="AI1550" s="73"/>
      <c r="AJ1550" s="161"/>
      <c r="AK1550" s="76" t="s">
        <v>798</v>
      </c>
      <c r="AL1550" s="83" t="s">
        <v>15354</v>
      </c>
      <c r="AM1550" s="71" t="s">
        <v>15355</v>
      </c>
      <c r="AN1550" s="84" t="s">
        <v>15356</v>
      </c>
      <c r="AO1550" s="71" t="s">
        <v>15357</v>
      </c>
      <c r="AP1550" s="161" t="str">
        <f>IMAGE("https://bellingcat-archive.nyc3.cdn.digitaloceanspaces.com/Ukraine_Witness_Datasheet/Worksheet/youtube_dl_1500565208489545728/out7.jpg")</f>
        <v/>
      </c>
      <c r="AQ1550" s="84" t="s">
        <v>15358</v>
      </c>
      <c r="AR1550" s="71" t="s">
        <v>15359</v>
      </c>
      <c r="AS1550" s="71" t="s">
        <v>15360</v>
      </c>
      <c r="AT1550" s="71">
        <v>14.812</v>
      </c>
      <c r="AU1550" s="89"/>
      <c r="AV1550" s="80" t="s">
        <v>63</v>
      </c>
      <c r="AW1550" s="81"/>
    </row>
    <row r="1551" ht="15.75" customHeight="1">
      <c r="A1551" s="208" t="s">
        <v>12532</v>
      </c>
      <c r="B1551" s="73"/>
      <c r="C1551" s="57" t="s">
        <v>14806</v>
      </c>
      <c r="D1551" s="121">
        <v>50.6554285081755</v>
      </c>
      <c r="E1551" s="121">
        <v>31.0730982415202</v>
      </c>
      <c r="F1551" s="79">
        <v>2.0</v>
      </c>
      <c r="G1551" s="326" t="s">
        <v>15361</v>
      </c>
      <c r="H1551" s="73"/>
      <c r="I1551" s="329" t="s">
        <v>15362</v>
      </c>
      <c r="J1551" s="71" t="s">
        <v>15363</v>
      </c>
      <c r="K1551" s="69"/>
      <c r="L1551" s="65" t="s">
        <v>3542</v>
      </c>
      <c r="M1551" s="93" t="s">
        <v>5827</v>
      </c>
      <c r="N1551" s="314"/>
      <c r="O1551" s="93" t="s">
        <v>15364</v>
      </c>
      <c r="P1551" s="67" t="str">
        <f t="shared" si="11"/>
        <v>50.6554285081755, 31.0730982415202</v>
      </c>
      <c r="Q1551" s="67" t="str">
        <f t="shared" si="2"/>
        <v>50.655391, 31.072488</v>
      </c>
      <c r="R1551" s="67">
        <f t="shared" si="3"/>
        <v>50.655391</v>
      </c>
      <c r="S1551" s="67">
        <f t="shared" si="4"/>
        <v>31.072488</v>
      </c>
      <c r="T1551" s="161"/>
      <c r="U1551" s="69"/>
      <c r="V1551" s="65" t="s">
        <v>15365</v>
      </c>
      <c r="W1551" s="71" t="s">
        <v>6641</v>
      </c>
      <c r="X1551" s="208"/>
      <c r="Y1551" s="216" t="s">
        <v>5820</v>
      </c>
      <c r="Z1551" s="73"/>
      <c r="AA1551" s="73"/>
      <c r="AB1551" s="73"/>
      <c r="AC1551" s="73"/>
      <c r="AD1551" s="73"/>
      <c r="AE1551" s="73"/>
      <c r="AF1551" s="73"/>
      <c r="AG1551" s="73"/>
      <c r="AH1551" s="73"/>
      <c r="AI1551" s="73"/>
      <c r="AJ1551" s="161"/>
      <c r="AK1551" s="76" t="s">
        <v>6276</v>
      </c>
      <c r="AL1551" s="83" t="s">
        <v>15366</v>
      </c>
      <c r="AM1551" s="71" t="s">
        <v>15367</v>
      </c>
      <c r="AN1551" s="84" t="s">
        <v>15368</v>
      </c>
      <c r="AO1551" s="71" t="s">
        <v>15369</v>
      </c>
      <c r="AP1551" s="161"/>
      <c r="AQ1551" s="161"/>
      <c r="AR1551" s="161"/>
      <c r="AS1551" s="71" t="s">
        <v>15370</v>
      </c>
      <c r="AT1551" s="161"/>
      <c r="AU1551" s="89"/>
      <c r="AV1551" s="80" t="s">
        <v>63</v>
      </c>
      <c r="AW1551" s="81"/>
    </row>
    <row r="1552" ht="15.75" customHeight="1">
      <c r="A1552" s="208" t="s">
        <v>63</v>
      </c>
      <c r="B1552" s="73"/>
      <c r="C1552" s="57" t="s">
        <v>15275</v>
      </c>
      <c r="D1552" s="121"/>
      <c r="E1552" s="121"/>
      <c r="F1552" s="79">
        <v>2.0</v>
      </c>
      <c r="G1552" s="84" t="s">
        <v>15371</v>
      </c>
      <c r="H1552" s="61" t="s">
        <v>5522</v>
      </c>
      <c r="I1552" s="75"/>
      <c r="J1552" s="161"/>
      <c r="K1552" s="69"/>
      <c r="L1552" s="70"/>
      <c r="M1552" s="314"/>
      <c r="N1552" s="314"/>
      <c r="O1552" s="314"/>
      <c r="P1552" s="67" t="str">
        <f t="shared" si="11"/>
        <v/>
      </c>
      <c r="Q1552" s="67" t="str">
        <f t="shared" si="2"/>
        <v/>
      </c>
      <c r="R1552" s="67" t="str">
        <f t="shared" si="3"/>
        <v/>
      </c>
      <c r="S1552" s="67" t="str">
        <f t="shared" si="4"/>
        <v/>
      </c>
      <c r="T1552" s="161"/>
      <c r="U1552" s="69"/>
      <c r="V1552" s="65" t="s">
        <v>15372</v>
      </c>
      <c r="W1552" s="161"/>
      <c r="X1552" s="194"/>
      <c r="Y1552" s="73"/>
      <c r="Z1552" s="73"/>
      <c r="AA1552" s="73"/>
      <c r="AB1552" s="73"/>
      <c r="AC1552" s="73"/>
      <c r="AD1552" s="73"/>
      <c r="AE1552" s="73"/>
      <c r="AF1552" s="73"/>
      <c r="AG1552" s="73"/>
      <c r="AH1552" s="73"/>
      <c r="AI1552" s="73"/>
      <c r="AJ1552" s="161"/>
      <c r="AK1552" s="76" t="s">
        <v>798</v>
      </c>
      <c r="AL1552" s="83" t="s">
        <v>15373</v>
      </c>
      <c r="AM1552" s="71" t="s">
        <v>15374</v>
      </c>
      <c r="AN1552" s="84" t="s">
        <v>15375</v>
      </c>
      <c r="AO1552" s="71" t="s">
        <v>15376</v>
      </c>
      <c r="AP1552" s="161" t="str">
        <f>IMAGE("https://bellingcat-archive.nyc3.cdn.digitaloceanspaces.com/Ukraine_Witness_Datasheet/Worksheet/youtube_dl_1500808695034392588/out7.jpg")</f>
        <v/>
      </c>
      <c r="AQ1552" s="84" t="s">
        <v>15377</v>
      </c>
      <c r="AR1552" s="71" t="s">
        <v>15378</v>
      </c>
      <c r="AS1552" s="71" t="s">
        <v>15379</v>
      </c>
      <c r="AT1552" s="71">
        <v>20.709</v>
      </c>
      <c r="AU1552" s="89"/>
      <c r="AV1552" s="162"/>
      <c r="AW1552" s="81"/>
    </row>
    <row r="1553" ht="15.75" customHeight="1">
      <c r="A1553" s="208" t="s">
        <v>63</v>
      </c>
      <c r="B1553" s="73"/>
      <c r="C1553" s="57" t="s">
        <v>15275</v>
      </c>
      <c r="D1553" s="241" t="s">
        <v>15380</v>
      </c>
      <c r="E1553" s="241" t="s">
        <v>15381</v>
      </c>
      <c r="F1553" s="79">
        <v>1.0</v>
      </c>
      <c r="G1553" s="84" t="s">
        <v>15382</v>
      </c>
      <c r="H1553" s="61" t="s">
        <v>5522</v>
      </c>
      <c r="I1553" s="215" t="s">
        <v>15383</v>
      </c>
      <c r="J1553" s="476" t="s">
        <v>15384</v>
      </c>
      <c r="K1553" s="69"/>
      <c r="L1553" s="70"/>
      <c r="M1553" s="314"/>
      <c r="N1553" s="314"/>
      <c r="O1553" s="314"/>
      <c r="P1553" s="67" t="str">
        <f t="shared" si="11"/>
        <v>50.04477, 36.279264</v>
      </c>
      <c r="Q1553" s="67" t="str">
        <f t="shared" si="2"/>
        <v>50.044441, 36.278778</v>
      </c>
      <c r="R1553" s="67">
        <f t="shared" si="3"/>
        <v>50.044441</v>
      </c>
      <c r="S1553" s="67">
        <f t="shared" si="4"/>
        <v>36.278778</v>
      </c>
      <c r="T1553" s="161"/>
      <c r="U1553" s="69"/>
      <c r="V1553" s="65" t="s">
        <v>15385</v>
      </c>
      <c r="W1553" s="161"/>
      <c r="X1553" s="194"/>
      <c r="Y1553" s="216" t="s">
        <v>5820</v>
      </c>
      <c r="Z1553" s="73"/>
      <c r="AA1553" s="73"/>
      <c r="AB1553" s="73"/>
      <c r="AC1553" s="73"/>
      <c r="AD1553" s="73"/>
      <c r="AE1553" s="73"/>
      <c r="AF1553" s="73"/>
      <c r="AG1553" s="73"/>
      <c r="AH1553" s="73"/>
      <c r="AI1553" s="73"/>
      <c r="AJ1553" s="161"/>
      <c r="AK1553" s="76" t="s">
        <v>798</v>
      </c>
      <c r="AL1553" s="83" t="s">
        <v>15386</v>
      </c>
      <c r="AM1553" s="71" t="s">
        <v>15387</v>
      </c>
      <c r="AN1553" s="84" t="s">
        <v>15388</v>
      </c>
      <c r="AO1553" s="71" t="s">
        <v>15389</v>
      </c>
      <c r="AP1553" s="161" t="str">
        <f>IMAGE("https://bellingcat-archive.nyc3.cdn.digitaloceanspaces.com/Ukraine_Witness_Datasheet/Worksheet/youtube_dl_1500805645485985794/out7.jpg")</f>
        <v/>
      </c>
      <c r="AQ1553" s="84" t="s">
        <v>15390</v>
      </c>
      <c r="AR1553" s="71" t="s">
        <v>15391</v>
      </c>
      <c r="AS1553" s="71" t="s">
        <v>15392</v>
      </c>
      <c r="AT1553" s="71">
        <v>20.566</v>
      </c>
      <c r="AU1553" s="89"/>
      <c r="AV1553" s="162"/>
      <c r="AW1553" s="81"/>
    </row>
    <row r="1554" ht="15.75" customHeight="1">
      <c r="A1554" s="72" t="s">
        <v>3944</v>
      </c>
      <c r="B1554" s="73"/>
      <c r="C1554" s="57" t="s">
        <v>15275</v>
      </c>
      <c r="D1554" s="74">
        <v>50.640541</v>
      </c>
      <c r="E1554" s="74">
        <v>30.023239</v>
      </c>
      <c r="F1554" s="79">
        <v>1.0</v>
      </c>
      <c r="G1554" s="84" t="s">
        <v>15393</v>
      </c>
      <c r="H1554" s="61" t="s">
        <v>5522</v>
      </c>
      <c r="I1554" s="75"/>
      <c r="J1554" s="71" t="s">
        <v>15394</v>
      </c>
      <c r="K1554" s="69"/>
      <c r="L1554" s="70"/>
      <c r="M1554" s="314"/>
      <c r="N1554" s="314"/>
      <c r="O1554" s="92" t="s">
        <v>15395</v>
      </c>
      <c r="P1554" s="67" t="str">
        <f t="shared" si="11"/>
        <v>50.640541, 30.023239</v>
      </c>
      <c r="Q1554" s="67" t="str">
        <f t="shared" si="2"/>
        <v>50.640296, 30.022168</v>
      </c>
      <c r="R1554" s="67">
        <f t="shared" si="3"/>
        <v>50.640296</v>
      </c>
      <c r="S1554" s="67">
        <f t="shared" si="4"/>
        <v>30.022168</v>
      </c>
      <c r="T1554" s="161"/>
      <c r="U1554" s="69"/>
      <c r="V1554" s="65" t="s">
        <v>15396</v>
      </c>
      <c r="W1554" s="71" t="s">
        <v>5858</v>
      </c>
      <c r="X1554" s="72" t="s">
        <v>5504</v>
      </c>
      <c r="Y1554" s="61" t="s">
        <v>5820</v>
      </c>
      <c r="Z1554" s="73"/>
      <c r="AA1554" s="73"/>
      <c r="AB1554" s="73"/>
      <c r="AC1554" s="73"/>
      <c r="AD1554" s="73"/>
      <c r="AE1554" s="73"/>
      <c r="AF1554" s="73"/>
      <c r="AG1554" s="73"/>
      <c r="AH1554" s="73"/>
      <c r="AI1554" s="73"/>
      <c r="AJ1554" s="161"/>
      <c r="AK1554" s="76" t="s">
        <v>798</v>
      </c>
      <c r="AL1554" s="83" t="s">
        <v>15397</v>
      </c>
      <c r="AM1554" s="71" t="s">
        <v>15398</v>
      </c>
      <c r="AN1554" s="84" t="s">
        <v>15399</v>
      </c>
      <c r="AO1554" s="71" t="s">
        <v>15400</v>
      </c>
      <c r="AP1554" s="161" t="str">
        <f>IMAGE("https://bellingcat-archive.nyc3.cdn.digitaloceanspaces.com/Ukraine_Witness_Datasheet/Worksheet/youtube_dl_1500766687959859200/out20.jpg")</f>
        <v/>
      </c>
      <c r="AQ1554" s="84" t="s">
        <v>15401</v>
      </c>
      <c r="AR1554" s="71" t="s">
        <v>15402</v>
      </c>
      <c r="AS1554" s="71" t="s">
        <v>15403</v>
      </c>
      <c r="AT1554" s="71">
        <v>60.866</v>
      </c>
      <c r="AU1554" s="79" t="s">
        <v>3944</v>
      </c>
      <c r="AV1554" s="80" t="s">
        <v>63</v>
      </c>
      <c r="AW1554" s="81"/>
    </row>
    <row r="1555" ht="15.75" customHeight="1">
      <c r="A1555" s="502" t="s">
        <v>11075</v>
      </c>
      <c r="B1555" s="73"/>
      <c r="C1555" s="57" t="s">
        <v>15275</v>
      </c>
      <c r="D1555" s="121"/>
      <c r="E1555" s="121"/>
      <c r="F1555" s="79">
        <v>3.0</v>
      </c>
      <c r="G1555" s="84" t="s">
        <v>15404</v>
      </c>
      <c r="H1555" s="61" t="s">
        <v>5522</v>
      </c>
      <c r="I1555" s="75"/>
      <c r="J1555" s="71" t="s">
        <v>15405</v>
      </c>
      <c r="K1555" s="69"/>
      <c r="L1555" s="65" t="s">
        <v>3542</v>
      </c>
      <c r="M1555" s="93" t="s">
        <v>5590</v>
      </c>
      <c r="N1555" s="314"/>
      <c r="O1555" s="93" t="s">
        <v>5626</v>
      </c>
      <c r="P1555" s="67" t="str">
        <f t="shared" si="11"/>
        <v/>
      </c>
      <c r="Q1555" s="67" t="str">
        <f t="shared" si="2"/>
        <v/>
      </c>
      <c r="R1555" s="67" t="str">
        <f t="shared" si="3"/>
        <v/>
      </c>
      <c r="S1555" s="67" t="str">
        <f t="shared" si="4"/>
        <v/>
      </c>
      <c r="T1555" s="71" t="s">
        <v>15406</v>
      </c>
      <c r="U1555" s="69"/>
      <c r="V1555" s="65" t="s">
        <v>15407</v>
      </c>
      <c r="W1555" s="71" t="s">
        <v>3601</v>
      </c>
      <c r="X1555" s="194"/>
      <c r="Y1555" s="61"/>
      <c r="Z1555" s="73"/>
      <c r="AA1555" s="73"/>
      <c r="AB1555" s="73"/>
      <c r="AC1555" s="73"/>
      <c r="AD1555" s="73"/>
      <c r="AE1555" s="73"/>
      <c r="AF1555" s="73"/>
      <c r="AG1555" s="73"/>
      <c r="AH1555" s="73"/>
      <c r="AI1555" s="73"/>
      <c r="AJ1555" s="161"/>
      <c r="AK1555" s="76" t="s">
        <v>6276</v>
      </c>
      <c r="AL1555" s="83" t="s">
        <v>15408</v>
      </c>
      <c r="AM1555" s="71" t="s">
        <v>15409</v>
      </c>
      <c r="AN1555" s="84" t="s">
        <v>15410</v>
      </c>
      <c r="AO1555" s="71" t="s">
        <v>15411</v>
      </c>
      <c r="AP1555" s="161" t="str">
        <f>IMAGE("https://bellingcat-archive.nyc3.cdn.digitaloceanspaces.com/Ukraine_Witness_Datasheet/Worksheet/telegram_79ae0c485e/out7.jpg")</f>
        <v/>
      </c>
      <c r="AQ1555" s="84" t="s">
        <v>15412</v>
      </c>
      <c r="AR1555" s="84" t="s">
        <v>15404</v>
      </c>
      <c r="AS1555" s="71" t="s">
        <v>15413</v>
      </c>
      <c r="AT1555" s="71">
        <v>32.0</v>
      </c>
      <c r="AU1555" s="89"/>
      <c r="AV1555" s="162"/>
      <c r="AW1555" s="81"/>
    </row>
    <row r="1556" ht="15.75" customHeight="1">
      <c r="A1556" s="439" t="s">
        <v>11075</v>
      </c>
      <c r="B1556" s="73"/>
      <c r="C1556" s="57" t="s">
        <v>14806</v>
      </c>
      <c r="D1556" s="104">
        <v>46.6059665935668</v>
      </c>
      <c r="E1556" s="104">
        <v>33.0415605978847</v>
      </c>
      <c r="F1556" s="79">
        <v>3.0</v>
      </c>
      <c r="G1556" s="84" t="s">
        <v>15414</v>
      </c>
      <c r="H1556" s="61" t="s">
        <v>5522</v>
      </c>
      <c r="I1556" s="75"/>
      <c r="J1556" s="71" t="s">
        <v>15415</v>
      </c>
      <c r="K1556" s="88" t="s">
        <v>15416</v>
      </c>
      <c r="L1556" s="65" t="s">
        <v>3542</v>
      </c>
      <c r="M1556" s="93" t="s">
        <v>5702</v>
      </c>
      <c r="N1556" s="314"/>
      <c r="O1556" s="93" t="s">
        <v>7098</v>
      </c>
      <c r="P1556" s="67" t="str">
        <f t="shared" si="11"/>
        <v>46.6059665935668, 33.0415605978847</v>
      </c>
      <c r="Q1556" s="67" t="str">
        <f t="shared" si="2"/>
        <v>46.605569, 33.042321</v>
      </c>
      <c r="R1556" s="67">
        <f t="shared" si="3"/>
        <v>46.605569</v>
      </c>
      <c r="S1556" s="67">
        <f t="shared" si="4"/>
        <v>33.042321</v>
      </c>
      <c r="T1556" s="71" t="s">
        <v>15417</v>
      </c>
      <c r="U1556" s="69"/>
      <c r="V1556" s="65" t="s">
        <v>15418</v>
      </c>
      <c r="W1556" s="71" t="s">
        <v>3546</v>
      </c>
      <c r="X1556" s="208"/>
      <c r="Y1556" s="73"/>
      <c r="Z1556" s="73"/>
      <c r="AA1556" s="73"/>
      <c r="AB1556" s="73"/>
      <c r="AC1556" s="73"/>
      <c r="AD1556" s="73"/>
      <c r="AE1556" s="73"/>
      <c r="AF1556" s="73"/>
      <c r="AG1556" s="73"/>
      <c r="AH1556" s="73"/>
      <c r="AI1556" s="73"/>
      <c r="AJ1556" s="161"/>
      <c r="AK1556" s="76" t="s">
        <v>798</v>
      </c>
      <c r="AL1556" s="83" t="s">
        <v>15419</v>
      </c>
      <c r="AM1556" s="71" t="s">
        <v>15420</v>
      </c>
      <c r="AN1556" s="84" t="s">
        <v>15421</v>
      </c>
      <c r="AO1556" s="71" t="s">
        <v>15422</v>
      </c>
      <c r="AP1556" s="161" t="str">
        <f>IMAGE("https://bellingcat-archive.nyc3.cdn.digitaloceanspaces.com/Ukraine_Witness_Datasheet/Worksheet/youtube_dl_1500590657286688775/out7.jpg")</f>
        <v/>
      </c>
      <c r="AQ1556" s="84" t="s">
        <v>15423</v>
      </c>
      <c r="AR1556" s="71" t="s">
        <v>15424</v>
      </c>
      <c r="AS1556" s="71" t="s">
        <v>15425</v>
      </c>
      <c r="AT1556" s="71">
        <v>6.692</v>
      </c>
      <c r="AU1556" s="89"/>
      <c r="AV1556" s="80" t="s">
        <v>63</v>
      </c>
      <c r="AW1556" s="203" t="s">
        <v>15426</v>
      </c>
    </row>
    <row r="1557" ht="15.75" customHeight="1">
      <c r="A1557" s="72" t="s">
        <v>11075</v>
      </c>
      <c r="B1557" s="73"/>
      <c r="C1557" s="57" t="s">
        <v>14806</v>
      </c>
      <c r="D1557" s="74">
        <v>50.446907</v>
      </c>
      <c r="E1557" s="74">
        <v>30.22664</v>
      </c>
      <c r="F1557" s="79">
        <v>3.0</v>
      </c>
      <c r="G1557" s="84" t="s">
        <v>15427</v>
      </c>
      <c r="H1557" s="61" t="s">
        <v>5522</v>
      </c>
      <c r="I1557" s="75"/>
      <c r="J1557" s="71" t="s">
        <v>15428</v>
      </c>
      <c r="K1557" s="64"/>
      <c r="L1557" s="65" t="s">
        <v>3542</v>
      </c>
      <c r="M1557" s="93" t="s">
        <v>5827</v>
      </c>
      <c r="N1557" s="314"/>
      <c r="O1557" s="93" t="s">
        <v>14420</v>
      </c>
      <c r="P1557" s="67" t="str">
        <f t="shared" si="11"/>
        <v>50.446907, 30.22664</v>
      </c>
      <c r="Q1557" s="67" t="str">
        <f t="shared" si="2"/>
        <v>50.44656, 30.226</v>
      </c>
      <c r="R1557" s="67">
        <f t="shared" si="3"/>
        <v>50.44656</v>
      </c>
      <c r="S1557" s="67">
        <f t="shared" si="4"/>
        <v>30.226</v>
      </c>
      <c r="T1557" s="71" t="s">
        <v>15429</v>
      </c>
      <c r="U1557" s="69"/>
      <c r="V1557" s="65" t="s">
        <v>15430</v>
      </c>
      <c r="W1557" s="71" t="s">
        <v>15431</v>
      </c>
      <c r="X1557" s="72" t="s">
        <v>5504</v>
      </c>
      <c r="Y1557" s="73"/>
      <c r="Z1557" s="73"/>
      <c r="AA1557" s="73"/>
      <c r="AB1557" s="73"/>
      <c r="AC1557" s="73"/>
      <c r="AD1557" s="73"/>
      <c r="AE1557" s="73"/>
      <c r="AF1557" s="73"/>
      <c r="AG1557" s="73"/>
      <c r="AH1557" s="73"/>
      <c r="AI1557" s="73"/>
      <c r="AJ1557" s="161"/>
      <c r="AK1557" s="76" t="s">
        <v>6276</v>
      </c>
      <c r="AL1557" s="83" t="s">
        <v>15432</v>
      </c>
      <c r="AM1557" s="71" t="s">
        <v>15433</v>
      </c>
      <c r="AN1557" s="84" t="s">
        <v>15434</v>
      </c>
      <c r="AO1557" s="71" t="s">
        <v>15435</v>
      </c>
      <c r="AP1557" s="161" t="str">
        <f>IMAGE("https://bellingcat-archive.nyc3.cdn.digitaloceanspaces.com/Ukraine_Witness_Datasheet/Worksheet/telegram_2af266e622/out7.jpg")</f>
        <v/>
      </c>
      <c r="AQ1557" s="84" t="s">
        <v>15436</v>
      </c>
      <c r="AR1557" s="84" t="s">
        <v>15427</v>
      </c>
      <c r="AS1557" s="71" t="s">
        <v>15437</v>
      </c>
      <c r="AT1557" s="71">
        <v>37.0</v>
      </c>
      <c r="AU1557" s="89"/>
      <c r="AV1557" s="80" t="s">
        <v>63</v>
      </c>
      <c r="AW1557" s="81"/>
    </row>
    <row r="1558" ht="15.75" customHeight="1">
      <c r="A1558" s="72" t="s">
        <v>11075</v>
      </c>
      <c r="B1558" s="73"/>
      <c r="C1558" s="57" t="s">
        <v>14806</v>
      </c>
      <c r="D1558" s="74">
        <v>50.767515</v>
      </c>
      <c r="E1558" s="74">
        <v>29.241397</v>
      </c>
      <c r="F1558" s="79">
        <v>4.0</v>
      </c>
      <c r="G1558" s="84" t="s">
        <v>15438</v>
      </c>
      <c r="H1558" s="61" t="s">
        <v>13505</v>
      </c>
      <c r="I1558" s="75"/>
      <c r="J1558" s="512" t="s">
        <v>15439</v>
      </c>
      <c r="K1558" s="64"/>
      <c r="L1558" s="65" t="s">
        <v>3542</v>
      </c>
      <c r="M1558" s="92" t="s">
        <v>9200</v>
      </c>
      <c r="N1558" s="314"/>
      <c r="O1558" s="93" t="s">
        <v>15440</v>
      </c>
      <c r="P1558" s="67" t="str">
        <f t="shared" si="11"/>
        <v>50.767515, 29.241397</v>
      </c>
      <c r="Q1558" s="67" t="str">
        <f t="shared" si="2"/>
        <v>50.766892, 29.241205</v>
      </c>
      <c r="R1558" s="67">
        <f t="shared" si="3"/>
        <v>50.766892</v>
      </c>
      <c r="S1558" s="67">
        <f t="shared" si="4"/>
        <v>29.241205</v>
      </c>
      <c r="T1558" s="84" t="s">
        <v>15441</v>
      </c>
      <c r="U1558" s="69"/>
      <c r="V1558" s="65" t="s">
        <v>15442</v>
      </c>
      <c r="W1558" s="71" t="s">
        <v>15431</v>
      </c>
      <c r="X1558" s="72" t="s">
        <v>5504</v>
      </c>
      <c r="Y1558" s="61" t="s">
        <v>5820</v>
      </c>
      <c r="Z1558" s="73"/>
      <c r="AA1558" s="73"/>
      <c r="AB1558" s="73"/>
      <c r="AC1558" s="73"/>
      <c r="AD1558" s="73"/>
      <c r="AE1558" s="73"/>
      <c r="AF1558" s="73"/>
      <c r="AG1558" s="73"/>
      <c r="AH1558" s="73"/>
      <c r="AI1558" s="73"/>
      <c r="AJ1558" s="161"/>
      <c r="AK1558" s="76" t="s">
        <v>6276</v>
      </c>
      <c r="AL1558" s="83" t="s">
        <v>15443</v>
      </c>
      <c r="AM1558" s="71" t="s">
        <v>15444</v>
      </c>
      <c r="AN1558" s="84" t="s">
        <v>15445</v>
      </c>
      <c r="AO1558" s="71" t="s">
        <v>15446</v>
      </c>
      <c r="AP1558" s="161" t="str">
        <f>IMAGE("https://bellingcat-archive.nyc3.cdn.digitaloceanspaces.com/Ukraine_Witness_Datasheet/Worksheet/telegram_9Mblkv4Iteyi_jBl2UBpPyy4xJJo6bFPkqvha50wPUXj5S26orJ6sVufeMHkzRn_ml4b408Geuwe1FWBHH7Hb9CCSQwL0Py8kqAlP_Xgb9Qk9QLq7GZp9dscOAw5Freg.jpg")</f>
        <v/>
      </c>
      <c r="AQ1558" s="161"/>
      <c r="AR1558" s="161"/>
      <c r="AS1558" s="71" t="s">
        <v>15447</v>
      </c>
      <c r="AT1558" s="161"/>
      <c r="AU1558" s="89"/>
      <c r="AV1558" s="80" t="s">
        <v>63</v>
      </c>
      <c r="AW1558" s="81"/>
    </row>
    <row r="1559" ht="15.75" customHeight="1">
      <c r="A1559" s="502" t="s">
        <v>11075</v>
      </c>
      <c r="B1559" s="73"/>
      <c r="C1559" s="57" t="s">
        <v>14806</v>
      </c>
      <c r="D1559" s="260"/>
      <c r="E1559" s="260"/>
      <c r="F1559" s="79">
        <v>5.0</v>
      </c>
      <c r="G1559" s="84" t="s">
        <v>15448</v>
      </c>
      <c r="H1559" s="61" t="s">
        <v>5522</v>
      </c>
      <c r="I1559" s="215" t="s">
        <v>15449</v>
      </c>
      <c r="J1559" s="71" t="s">
        <v>15450</v>
      </c>
      <c r="K1559" s="69"/>
      <c r="L1559" s="70"/>
      <c r="M1559" s="314"/>
      <c r="N1559" s="314"/>
      <c r="O1559" s="314"/>
      <c r="P1559" s="67" t="str">
        <f t="shared" si="11"/>
        <v/>
      </c>
      <c r="Q1559" s="67" t="str">
        <f t="shared" si="2"/>
        <v/>
      </c>
      <c r="R1559" s="67" t="str">
        <f t="shared" si="3"/>
        <v/>
      </c>
      <c r="S1559" s="67" t="str">
        <f t="shared" si="4"/>
        <v/>
      </c>
      <c r="T1559" s="161"/>
      <c r="U1559" s="69"/>
      <c r="V1559" s="65" t="s">
        <v>15451</v>
      </c>
      <c r="W1559" s="161"/>
      <c r="X1559" s="194"/>
      <c r="Y1559" s="216" t="s">
        <v>75</v>
      </c>
      <c r="Z1559" s="73"/>
      <c r="AA1559" s="73"/>
      <c r="AB1559" s="73"/>
      <c r="AC1559" s="73"/>
      <c r="AD1559" s="73"/>
      <c r="AE1559" s="73"/>
      <c r="AF1559" s="73"/>
      <c r="AG1559" s="73"/>
      <c r="AH1559" s="73"/>
      <c r="AI1559" s="73"/>
      <c r="AJ1559" s="161"/>
      <c r="AK1559" s="76" t="s">
        <v>6276</v>
      </c>
      <c r="AL1559" s="83" t="s">
        <v>15452</v>
      </c>
      <c r="AM1559" s="71" t="s">
        <v>15453</v>
      </c>
      <c r="AN1559" s="84" t="s">
        <v>15454</v>
      </c>
      <c r="AO1559" s="71" t="s">
        <v>15455</v>
      </c>
      <c r="AP1559" s="161" t="str">
        <f>IMAGE("https://bellingcat-archive.nyc3.cdn.digitaloceanspaces.com/Ukraine_Witness_Datasheet/Worksheet/telegram_34ac72aa2f/out20.jpg")</f>
        <v/>
      </c>
      <c r="AQ1559" s="84" t="s">
        <v>15456</v>
      </c>
      <c r="AR1559" s="84" t="s">
        <v>15448</v>
      </c>
      <c r="AS1559" s="71" t="s">
        <v>15457</v>
      </c>
      <c r="AT1559" s="71">
        <v>89.0</v>
      </c>
      <c r="AU1559" s="89"/>
      <c r="AV1559" s="162"/>
      <c r="AW1559" s="81"/>
    </row>
    <row r="1560" ht="15.75" customHeight="1">
      <c r="A1560" s="208"/>
      <c r="B1560" s="73"/>
      <c r="C1560" s="176"/>
      <c r="D1560" s="121"/>
      <c r="E1560" s="121"/>
      <c r="F1560" s="89"/>
      <c r="G1560" s="84" t="s">
        <v>15458</v>
      </c>
      <c r="H1560" s="73"/>
      <c r="I1560" s="75"/>
      <c r="J1560" s="161"/>
      <c r="K1560" s="69"/>
      <c r="L1560" s="70"/>
      <c r="M1560" s="314"/>
      <c r="N1560" s="314"/>
      <c r="O1560" s="314"/>
      <c r="P1560" s="67" t="str">
        <f t="shared" si="11"/>
        <v/>
      </c>
      <c r="Q1560" s="67" t="str">
        <f t="shared" si="2"/>
        <v/>
      </c>
      <c r="R1560" s="67" t="str">
        <f t="shared" si="3"/>
        <v/>
      </c>
      <c r="S1560" s="67" t="str">
        <f t="shared" si="4"/>
        <v/>
      </c>
      <c r="T1560" s="161"/>
      <c r="U1560" s="69"/>
      <c r="V1560" s="65" t="s">
        <v>15459</v>
      </c>
      <c r="W1560" s="161"/>
      <c r="X1560" s="194"/>
      <c r="Y1560" s="73"/>
      <c r="Z1560" s="73"/>
      <c r="AA1560" s="73"/>
      <c r="AB1560" s="73"/>
      <c r="AC1560" s="73"/>
      <c r="AD1560" s="73"/>
      <c r="AE1560" s="73"/>
      <c r="AF1560" s="73"/>
      <c r="AG1560" s="73"/>
      <c r="AH1560" s="73"/>
      <c r="AI1560" s="73"/>
      <c r="AJ1560" s="161"/>
      <c r="AK1560" s="76" t="s">
        <v>798</v>
      </c>
      <c r="AL1560" s="83" t="s">
        <v>15460</v>
      </c>
      <c r="AM1560" s="71" t="s">
        <v>15461</v>
      </c>
      <c r="AN1560" s="84" t="s">
        <v>15462</v>
      </c>
      <c r="AO1560" s="71" t="s">
        <v>15463</v>
      </c>
      <c r="AP1560" s="161" t="str">
        <f>IMAGE("https://bellingcat-archive.nyc3.cdn.digitaloceanspaces.com/Ukraine_Witness_Datasheet/Worksheet/youtube_dl_1500795611146297347/out7.jpg")</f>
        <v/>
      </c>
      <c r="AQ1560" s="84" t="s">
        <v>15464</v>
      </c>
      <c r="AR1560" s="71" t="s">
        <v>15465</v>
      </c>
      <c r="AS1560" s="71" t="s">
        <v>15466</v>
      </c>
      <c r="AT1560" s="71">
        <v>36.1</v>
      </c>
      <c r="AU1560" s="89"/>
      <c r="AV1560" s="162"/>
      <c r="AW1560" s="81"/>
    </row>
    <row r="1561" ht="15.75" customHeight="1">
      <c r="A1561" s="72" t="s">
        <v>15467</v>
      </c>
      <c r="B1561" s="73"/>
      <c r="C1561" s="57" t="s">
        <v>14806</v>
      </c>
      <c r="D1561" s="74">
        <v>50.446904</v>
      </c>
      <c r="E1561" s="74">
        <v>30.227691</v>
      </c>
      <c r="F1561" s="79">
        <v>2.0</v>
      </c>
      <c r="G1561" s="84" t="s">
        <v>15468</v>
      </c>
      <c r="H1561" s="73"/>
      <c r="I1561" s="75"/>
      <c r="J1561" s="71" t="s">
        <v>15469</v>
      </c>
      <c r="K1561" s="88" t="s">
        <v>15470</v>
      </c>
      <c r="L1561" s="65" t="s">
        <v>3542</v>
      </c>
      <c r="M1561" s="93" t="s">
        <v>5827</v>
      </c>
      <c r="N1561" s="314"/>
      <c r="O1561" s="92" t="s">
        <v>14420</v>
      </c>
      <c r="P1561" s="67" t="str">
        <f t="shared" si="11"/>
        <v>50.446904, 30.227691</v>
      </c>
      <c r="Q1561" s="67" t="str">
        <f t="shared" si="2"/>
        <v>50.446604, 30.228349</v>
      </c>
      <c r="R1561" s="67">
        <f t="shared" si="3"/>
        <v>50.446604</v>
      </c>
      <c r="S1561" s="67">
        <f t="shared" si="4"/>
        <v>30.228349</v>
      </c>
      <c r="T1561" s="161"/>
      <c r="U1561" s="69"/>
      <c r="V1561" s="65" t="s">
        <v>15471</v>
      </c>
      <c r="W1561" s="71" t="s">
        <v>3601</v>
      </c>
      <c r="X1561" s="72" t="s">
        <v>5504</v>
      </c>
      <c r="Y1561" s="61" t="s">
        <v>5820</v>
      </c>
      <c r="Z1561" s="73"/>
      <c r="AA1561" s="73"/>
      <c r="AB1561" s="73"/>
      <c r="AC1561" s="73"/>
      <c r="AD1561" s="73"/>
      <c r="AE1561" s="73"/>
      <c r="AF1561" s="73"/>
      <c r="AG1561" s="73"/>
      <c r="AH1561" s="73"/>
      <c r="AI1561" s="73"/>
      <c r="AJ1561" s="161"/>
      <c r="AK1561" s="76" t="s">
        <v>6276</v>
      </c>
      <c r="AL1561" s="83" t="s">
        <v>15472</v>
      </c>
      <c r="AM1561" s="71" t="s">
        <v>15473</v>
      </c>
      <c r="AN1561" s="84" t="s">
        <v>15474</v>
      </c>
      <c r="AO1561" s="71" t="s">
        <v>15475</v>
      </c>
      <c r="AP1561" s="161" t="str">
        <f>IMAGE("https://bellingcat-archive.nyc3.cdn.digitaloceanspaces.com/Ukraine_Witness_Datasheet/Worksheet/telegram_c269064719/out7.jpg")</f>
        <v/>
      </c>
      <c r="AQ1561" s="84" t="s">
        <v>15476</v>
      </c>
      <c r="AR1561" s="84" t="s">
        <v>15468</v>
      </c>
      <c r="AS1561" s="71" t="s">
        <v>15477</v>
      </c>
      <c r="AT1561" s="71">
        <v>37.0</v>
      </c>
      <c r="AU1561" s="79" t="s">
        <v>15478</v>
      </c>
      <c r="AV1561" s="80" t="s">
        <v>63</v>
      </c>
      <c r="AW1561" s="81"/>
    </row>
    <row r="1562" ht="15.75" customHeight="1">
      <c r="A1562" s="208"/>
      <c r="B1562" s="73"/>
      <c r="C1562" s="176"/>
      <c r="D1562" s="121"/>
      <c r="E1562" s="121"/>
      <c r="F1562" s="89"/>
      <c r="G1562" s="84" t="s">
        <v>15479</v>
      </c>
      <c r="H1562" s="73"/>
      <c r="I1562" s="75"/>
      <c r="J1562" s="161"/>
      <c r="K1562" s="69"/>
      <c r="L1562" s="70"/>
      <c r="M1562" s="314"/>
      <c r="N1562" s="314"/>
      <c r="O1562" s="314"/>
      <c r="P1562" s="67" t="str">
        <f t="shared" si="11"/>
        <v/>
      </c>
      <c r="Q1562" s="67" t="str">
        <f t="shared" si="2"/>
        <v/>
      </c>
      <c r="R1562" s="67" t="str">
        <f t="shared" si="3"/>
        <v/>
      </c>
      <c r="S1562" s="67" t="str">
        <f t="shared" si="4"/>
        <v/>
      </c>
      <c r="T1562" s="161"/>
      <c r="U1562" s="69"/>
      <c r="V1562" s="65" t="s">
        <v>15480</v>
      </c>
      <c r="W1562" s="161"/>
      <c r="X1562" s="194"/>
      <c r="Y1562" s="73"/>
      <c r="Z1562" s="73"/>
      <c r="AA1562" s="73"/>
      <c r="AB1562" s="73"/>
      <c r="AC1562" s="73"/>
      <c r="AD1562" s="73"/>
      <c r="AE1562" s="73"/>
      <c r="AF1562" s="73"/>
      <c r="AG1562" s="73"/>
      <c r="AH1562" s="73"/>
      <c r="AI1562" s="73"/>
      <c r="AJ1562" s="161"/>
      <c r="AK1562" s="76" t="s">
        <v>2108</v>
      </c>
      <c r="AL1562" s="83" t="s">
        <v>15481</v>
      </c>
      <c r="AM1562" s="71" t="s">
        <v>15482</v>
      </c>
      <c r="AN1562" s="84" t="s">
        <v>15483</v>
      </c>
      <c r="AO1562" s="71" t="s">
        <v>15484</v>
      </c>
      <c r="AP1562" s="161" t="str">
        <f>IMAGE("https://bellingcat-archive.nyc3.cdn.digitaloceanspaces.com/Ukraine_Witness_Datasheet/Worksheet/twitter__ext_tw_video_1500844274925068289_pu_vid_464x848_XK0TyzENeTV7FIAy.mp4")</f>
        <v/>
      </c>
      <c r="AQ1562" s="161"/>
      <c r="AR1562" s="161"/>
      <c r="AS1562" s="71" t="s">
        <v>15485</v>
      </c>
      <c r="AT1562" s="161"/>
      <c r="AU1562" s="89"/>
      <c r="AV1562" s="162"/>
      <c r="AW1562" s="81"/>
    </row>
    <row r="1563" ht="15.75" customHeight="1">
      <c r="A1563" s="204" t="s">
        <v>63</v>
      </c>
      <c r="B1563" s="73"/>
      <c r="C1563" s="57" t="s">
        <v>14806</v>
      </c>
      <c r="D1563" s="74">
        <v>50.488216</v>
      </c>
      <c r="E1563" s="74">
        <v>30.264189</v>
      </c>
      <c r="F1563" s="79">
        <v>1.0</v>
      </c>
      <c r="G1563" s="84" t="s">
        <v>15486</v>
      </c>
      <c r="H1563" s="61" t="s">
        <v>5522</v>
      </c>
      <c r="I1563" s="75"/>
      <c r="J1563" s="71" t="s">
        <v>15487</v>
      </c>
      <c r="K1563" s="69"/>
      <c r="L1563" s="65" t="s">
        <v>3542</v>
      </c>
      <c r="M1563" s="93" t="s">
        <v>5827</v>
      </c>
      <c r="N1563" s="314"/>
      <c r="O1563" s="93" t="s">
        <v>7550</v>
      </c>
      <c r="P1563" s="67" t="str">
        <f t="shared" si="11"/>
        <v>50.488216, 30.264189</v>
      </c>
      <c r="Q1563" s="67" t="str">
        <f t="shared" si="2"/>
        <v>50.487791, 30.265063</v>
      </c>
      <c r="R1563" s="67">
        <f t="shared" si="3"/>
        <v>50.487791</v>
      </c>
      <c r="S1563" s="67">
        <f t="shared" si="4"/>
        <v>30.265063</v>
      </c>
      <c r="T1563" s="161"/>
      <c r="U1563" s="69"/>
      <c r="V1563" s="65" t="s">
        <v>15488</v>
      </c>
      <c r="W1563" s="71" t="s">
        <v>811</v>
      </c>
      <c r="X1563" s="72" t="s">
        <v>5504</v>
      </c>
      <c r="Y1563" s="61" t="s">
        <v>5820</v>
      </c>
      <c r="Z1563" s="73"/>
      <c r="AA1563" s="73"/>
      <c r="AB1563" s="73"/>
      <c r="AC1563" s="73"/>
      <c r="AD1563" s="73"/>
      <c r="AE1563" s="73"/>
      <c r="AF1563" s="73"/>
      <c r="AG1563" s="73"/>
      <c r="AH1563" s="73"/>
      <c r="AI1563" s="73"/>
      <c r="AJ1563" s="161"/>
      <c r="AK1563" s="76" t="s">
        <v>798</v>
      </c>
      <c r="AL1563" s="83" t="s">
        <v>15489</v>
      </c>
      <c r="AM1563" s="71" t="s">
        <v>15490</v>
      </c>
      <c r="AN1563" s="84" t="s">
        <v>15491</v>
      </c>
      <c r="AO1563" s="71" t="s">
        <v>15492</v>
      </c>
      <c r="AP1563" s="161" t="str">
        <f>IMAGE("https://bellingcat-archive.nyc3.cdn.digitaloceanspaces.com/Ukraine_Witness_Datasheet/Worksheet/youtube_dl_6906241981052502016/out20.jpg")</f>
        <v/>
      </c>
      <c r="AQ1563" s="84" t="s">
        <v>15493</v>
      </c>
      <c r="AR1563" s="71" t="s">
        <v>15494</v>
      </c>
      <c r="AS1563" s="161"/>
      <c r="AT1563" s="161"/>
      <c r="AU1563" s="79" t="s">
        <v>63</v>
      </c>
      <c r="AV1563" s="80" t="s">
        <v>3944</v>
      </c>
      <c r="AW1563" s="81"/>
    </row>
    <row r="1564" ht="15.75" customHeight="1">
      <c r="A1564" s="357" t="s">
        <v>63</v>
      </c>
      <c r="B1564" s="73"/>
      <c r="C1564" s="57" t="s">
        <v>15275</v>
      </c>
      <c r="D1564" s="74">
        <v>49.6825</v>
      </c>
      <c r="E1564" s="74">
        <v>37.170278</v>
      </c>
      <c r="F1564" s="79">
        <v>2.0</v>
      </c>
      <c r="G1564" s="84" t="s">
        <v>15495</v>
      </c>
      <c r="H1564" s="61" t="s">
        <v>5522</v>
      </c>
      <c r="I1564" s="75"/>
      <c r="J1564" s="71" t="s">
        <v>15496</v>
      </c>
      <c r="K1564" s="69"/>
      <c r="L1564" s="65" t="s">
        <v>3542</v>
      </c>
      <c r="M1564" s="93" t="s">
        <v>5590</v>
      </c>
      <c r="N1564" s="314"/>
      <c r="O1564" s="92" t="s">
        <v>10935</v>
      </c>
      <c r="P1564" s="67" t="str">
        <f t="shared" si="11"/>
        <v>49.6825, 37.170278</v>
      </c>
      <c r="Q1564" s="67" t="str">
        <f t="shared" si="2"/>
        <v>49.682483, 37.169281</v>
      </c>
      <c r="R1564" s="67">
        <f t="shared" si="3"/>
        <v>49.682483</v>
      </c>
      <c r="S1564" s="67">
        <f t="shared" si="4"/>
        <v>37.169281</v>
      </c>
      <c r="T1564" s="161"/>
      <c r="U1564" s="69"/>
      <c r="V1564" s="65" t="s">
        <v>15497</v>
      </c>
      <c r="W1564" s="71" t="s">
        <v>5739</v>
      </c>
      <c r="X1564" s="72" t="s">
        <v>5504</v>
      </c>
      <c r="Y1564" s="61" t="s">
        <v>5820</v>
      </c>
      <c r="Z1564" s="73"/>
      <c r="AA1564" s="73"/>
      <c r="AB1564" s="73"/>
      <c r="AC1564" s="73"/>
      <c r="AD1564" s="73"/>
      <c r="AE1564" s="73"/>
      <c r="AF1564" s="73"/>
      <c r="AG1564" s="73"/>
      <c r="AH1564" s="73"/>
      <c r="AI1564" s="73"/>
      <c r="AJ1564" s="161"/>
      <c r="AK1564" s="76" t="s">
        <v>798</v>
      </c>
      <c r="AL1564" s="83" t="s">
        <v>15498</v>
      </c>
      <c r="AM1564" s="71" t="s">
        <v>15499</v>
      </c>
      <c r="AN1564" s="84" t="s">
        <v>15500</v>
      </c>
      <c r="AO1564" s="71" t="s">
        <v>15501</v>
      </c>
      <c r="AP1564" s="161" t="str">
        <f>IMAGE("https://bellingcat-archive.nyc3.cdn.digitaloceanspaces.com/Ukraine_Witness_Datasheet/Worksheet/youtube_dl_1500851300996685826/out20.jpg")</f>
        <v/>
      </c>
      <c r="AQ1564" s="84" t="s">
        <v>15502</v>
      </c>
      <c r="AR1564" s="71" t="s">
        <v>15503</v>
      </c>
      <c r="AS1564" s="71" t="s">
        <v>15504</v>
      </c>
      <c r="AT1564" s="71">
        <v>111.804</v>
      </c>
      <c r="AU1564" s="79" t="s">
        <v>63</v>
      </c>
      <c r="AV1564" s="80" t="s">
        <v>3944</v>
      </c>
      <c r="AW1564" s="81"/>
    </row>
    <row r="1565" ht="15.75" customHeight="1">
      <c r="A1565" s="204" t="s">
        <v>63</v>
      </c>
      <c r="B1565" s="73"/>
      <c r="C1565" s="57" t="s">
        <v>15275</v>
      </c>
      <c r="D1565" s="74">
        <v>50.490013</v>
      </c>
      <c r="E1565" s="74">
        <v>30.26047</v>
      </c>
      <c r="F1565" s="79">
        <v>2.0</v>
      </c>
      <c r="G1565" s="84" t="s">
        <v>15505</v>
      </c>
      <c r="H1565" s="73"/>
      <c r="I1565" s="75"/>
      <c r="J1565" s="71" t="s">
        <v>15487</v>
      </c>
      <c r="K1565" s="69"/>
      <c r="L1565" s="65" t="s">
        <v>3542</v>
      </c>
      <c r="M1565" s="93" t="s">
        <v>5827</v>
      </c>
      <c r="N1565" s="314"/>
      <c r="O1565" s="93" t="s">
        <v>7550</v>
      </c>
      <c r="P1565" s="67" t="str">
        <f t="shared" si="11"/>
        <v>50.490013, 30.26047</v>
      </c>
      <c r="Q1565" s="67" t="str">
        <f t="shared" si="2"/>
        <v>50.489908, 30.259918</v>
      </c>
      <c r="R1565" s="67">
        <f t="shared" si="3"/>
        <v>50.489908</v>
      </c>
      <c r="S1565" s="67">
        <f t="shared" si="4"/>
        <v>30.259918</v>
      </c>
      <c r="T1565" s="161"/>
      <c r="U1565" s="69"/>
      <c r="V1565" s="65" t="s">
        <v>15506</v>
      </c>
      <c r="W1565" s="71" t="s">
        <v>811</v>
      </c>
      <c r="X1565" s="72" t="s">
        <v>5504</v>
      </c>
      <c r="Y1565" s="61" t="s">
        <v>5820</v>
      </c>
      <c r="Z1565" s="73"/>
      <c r="AA1565" s="73"/>
      <c r="AB1565" s="73"/>
      <c r="AC1565" s="73"/>
      <c r="AD1565" s="73"/>
      <c r="AE1565" s="73"/>
      <c r="AF1565" s="73"/>
      <c r="AG1565" s="73"/>
      <c r="AH1565" s="73"/>
      <c r="AI1565" s="73"/>
      <c r="AJ1565" s="161"/>
      <c r="AK1565" s="76" t="s">
        <v>798</v>
      </c>
      <c r="AL1565" s="83" t="s">
        <v>15507</v>
      </c>
      <c r="AM1565" s="71" t="s">
        <v>15508</v>
      </c>
      <c r="AN1565" s="84" t="s">
        <v>15509</v>
      </c>
      <c r="AO1565" s="71" t="s">
        <v>15510</v>
      </c>
      <c r="AP1565" s="161" t="str">
        <f>IMAGE("https://bellingcat-archive.nyc3.cdn.digitaloceanspaces.com/Ukraine_Witness_Datasheet/Worksheet/youtube_dl_1500836733805633540/out20.jpg")</f>
        <v/>
      </c>
      <c r="AQ1565" s="84" t="s">
        <v>15511</v>
      </c>
      <c r="AR1565" s="71" t="s">
        <v>15512</v>
      </c>
      <c r="AS1565" s="71" t="s">
        <v>15513</v>
      </c>
      <c r="AT1565" s="71">
        <v>77.461</v>
      </c>
      <c r="AU1565" s="79" t="s">
        <v>63</v>
      </c>
      <c r="AV1565" s="80" t="s">
        <v>3944</v>
      </c>
      <c r="AW1565" s="81"/>
    </row>
    <row r="1566" ht="15.75" customHeight="1">
      <c r="A1566" s="204" t="s">
        <v>63</v>
      </c>
      <c r="B1566" s="73"/>
      <c r="C1566" s="57" t="s">
        <v>15275</v>
      </c>
      <c r="D1566" s="74">
        <v>46.673082</v>
      </c>
      <c r="E1566" s="74">
        <v>32.642262</v>
      </c>
      <c r="F1566" s="79">
        <v>1.0</v>
      </c>
      <c r="G1566" s="84" t="s">
        <v>15514</v>
      </c>
      <c r="H1566" s="73"/>
      <c r="I1566" s="75"/>
      <c r="J1566" s="71" t="s">
        <v>15515</v>
      </c>
      <c r="K1566" s="69"/>
      <c r="L1566" s="65" t="s">
        <v>3542</v>
      </c>
      <c r="M1566" s="93" t="s">
        <v>5702</v>
      </c>
      <c r="N1566" s="314"/>
      <c r="O1566" s="93" t="s">
        <v>7098</v>
      </c>
      <c r="P1566" s="67" t="str">
        <f t="shared" si="11"/>
        <v>46.673082, 32.642262</v>
      </c>
      <c r="Q1566" s="67" t="str">
        <f t="shared" si="2"/>
        <v>46.672617, 32.641869</v>
      </c>
      <c r="R1566" s="67">
        <f t="shared" si="3"/>
        <v>46.672617</v>
      </c>
      <c r="S1566" s="67">
        <f t="shared" si="4"/>
        <v>32.641869</v>
      </c>
      <c r="T1566" s="161"/>
      <c r="U1566" s="69"/>
      <c r="V1566" s="65" t="s">
        <v>15516</v>
      </c>
      <c r="W1566" s="71" t="s">
        <v>3601</v>
      </c>
      <c r="X1566" s="72" t="s">
        <v>5504</v>
      </c>
      <c r="Y1566" s="61" t="s">
        <v>5820</v>
      </c>
      <c r="Z1566" s="73"/>
      <c r="AA1566" s="73"/>
      <c r="AB1566" s="73"/>
      <c r="AC1566" s="73"/>
      <c r="AD1566" s="73"/>
      <c r="AE1566" s="73"/>
      <c r="AF1566" s="73"/>
      <c r="AG1566" s="73"/>
      <c r="AH1566" s="73"/>
      <c r="AI1566" s="73"/>
      <c r="AJ1566" s="161"/>
      <c r="AK1566" s="76" t="s">
        <v>798</v>
      </c>
      <c r="AL1566" s="83" t="s">
        <v>15517</v>
      </c>
      <c r="AM1566" s="71" t="s">
        <v>15518</v>
      </c>
      <c r="AN1566" s="84" t="s">
        <v>15519</v>
      </c>
      <c r="AO1566" s="71" t="s">
        <v>15520</v>
      </c>
      <c r="AP1566" s="161" t="str">
        <f>IMAGE("https://bellingcat-archive.nyc3.cdn.digitaloceanspaces.com/Ukraine_Witness_Datasheet/Worksheet/youtube_dl_1500828711469342723/out20.jpg")</f>
        <v/>
      </c>
      <c r="AQ1566" s="84" t="s">
        <v>15521</v>
      </c>
      <c r="AR1566" s="71" t="s">
        <v>15522</v>
      </c>
      <c r="AS1566" s="71" t="s">
        <v>15523</v>
      </c>
      <c r="AT1566" s="71">
        <v>140.001</v>
      </c>
      <c r="AU1566" s="79" t="s">
        <v>63</v>
      </c>
      <c r="AV1566" s="80" t="s">
        <v>3944</v>
      </c>
      <c r="AW1566" s="81"/>
    </row>
    <row r="1567" ht="15.75" customHeight="1">
      <c r="A1567" s="204" t="s">
        <v>63</v>
      </c>
      <c r="B1567" s="73"/>
      <c r="C1567" s="57" t="s">
        <v>15275</v>
      </c>
      <c r="D1567" s="74">
        <v>46.640699</v>
      </c>
      <c r="E1567" s="74">
        <v>32.614337</v>
      </c>
      <c r="F1567" s="79">
        <v>1.0</v>
      </c>
      <c r="G1567" s="84" t="s">
        <v>15524</v>
      </c>
      <c r="H1567" s="73"/>
      <c r="I1567" s="75"/>
      <c r="J1567" s="71" t="s">
        <v>15525</v>
      </c>
      <c r="K1567" s="69"/>
      <c r="L1567" s="65" t="s">
        <v>3542</v>
      </c>
      <c r="M1567" s="93" t="s">
        <v>5702</v>
      </c>
      <c r="N1567" s="314"/>
      <c r="O1567" s="93" t="s">
        <v>7098</v>
      </c>
      <c r="P1567" s="67" t="str">
        <f t="shared" si="11"/>
        <v>46.640699, 32.614337</v>
      </c>
      <c r="Q1567" s="67" t="str">
        <f t="shared" si="2"/>
        <v>46.640582, 32.613188</v>
      </c>
      <c r="R1567" s="67">
        <f t="shared" si="3"/>
        <v>46.640582</v>
      </c>
      <c r="S1567" s="67">
        <f t="shared" si="4"/>
        <v>32.613188</v>
      </c>
      <c r="T1567" s="161"/>
      <c r="U1567" s="69"/>
      <c r="V1567" s="65" t="s">
        <v>15526</v>
      </c>
      <c r="W1567" s="71" t="s">
        <v>811</v>
      </c>
      <c r="X1567" s="72" t="s">
        <v>5504</v>
      </c>
      <c r="Y1567" s="61" t="s">
        <v>5820</v>
      </c>
      <c r="Z1567" s="73"/>
      <c r="AA1567" s="73"/>
      <c r="AB1567" s="73"/>
      <c r="AC1567" s="73"/>
      <c r="AD1567" s="73"/>
      <c r="AE1567" s="73"/>
      <c r="AF1567" s="73"/>
      <c r="AG1567" s="73"/>
      <c r="AH1567" s="73"/>
      <c r="AI1567" s="73"/>
      <c r="AJ1567" s="161"/>
      <c r="AK1567" s="76" t="s">
        <v>798</v>
      </c>
      <c r="AL1567" s="83" t="s">
        <v>15527</v>
      </c>
      <c r="AM1567" s="71" t="s">
        <v>15528</v>
      </c>
      <c r="AN1567" s="84" t="s">
        <v>15529</v>
      </c>
      <c r="AO1567" s="71" t="s">
        <v>15530</v>
      </c>
      <c r="AP1567" s="161" t="str">
        <f>IMAGE("https://bellingcat-archive.nyc3.cdn.digitaloceanspaces.com/Ukraine_Witness_Datasheet/Worksheet/youtube_dl_1500822412673310724/out20.jpg")</f>
        <v/>
      </c>
      <c r="AQ1567" s="84" t="s">
        <v>15531</v>
      </c>
      <c r="AR1567" s="71" t="s">
        <v>15532</v>
      </c>
      <c r="AS1567" s="71" t="s">
        <v>15533</v>
      </c>
      <c r="AT1567" s="71">
        <v>140.0</v>
      </c>
      <c r="AU1567" s="79" t="s">
        <v>63</v>
      </c>
      <c r="AV1567" s="80" t="s">
        <v>3944</v>
      </c>
      <c r="AW1567" s="81"/>
    </row>
    <row r="1568" ht="15.75" customHeight="1">
      <c r="A1568" s="204" t="s">
        <v>63</v>
      </c>
      <c r="B1568" s="73"/>
      <c r="C1568" s="57" t="s">
        <v>15275</v>
      </c>
      <c r="D1568" s="74">
        <v>47.254635</v>
      </c>
      <c r="E1568" s="74">
        <v>35.708509</v>
      </c>
      <c r="F1568" s="79">
        <v>1.0</v>
      </c>
      <c r="G1568" s="84" t="s">
        <v>15534</v>
      </c>
      <c r="H1568" s="73"/>
      <c r="I1568" s="75"/>
      <c r="J1568" s="71" t="s">
        <v>15525</v>
      </c>
      <c r="K1568" s="69"/>
      <c r="L1568" s="65" t="s">
        <v>3542</v>
      </c>
      <c r="M1568" s="92" t="s">
        <v>6167</v>
      </c>
      <c r="N1568" s="314"/>
      <c r="O1568" s="93" t="s">
        <v>8070</v>
      </c>
      <c r="P1568" s="67" t="str">
        <f t="shared" si="11"/>
        <v>47.254635, 35.708509</v>
      </c>
      <c r="Q1568" s="67" t="str">
        <f t="shared" si="2"/>
        <v>47.253871, 35.708577</v>
      </c>
      <c r="R1568" s="67">
        <f t="shared" si="3"/>
        <v>47.253871</v>
      </c>
      <c r="S1568" s="67">
        <f t="shared" si="4"/>
        <v>35.708577</v>
      </c>
      <c r="T1568" s="161"/>
      <c r="U1568" s="69"/>
      <c r="V1568" s="65" t="s">
        <v>15535</v>
      </c>
      <c r="W1568" s="71" t="s">
        <v>811</v>
      </c>
      <c r="X1568" s="72" t="s">
        <v>5504</v>
      </c>
      <c r="Y1568" s="61" t="s">
        <v>5820</v>
      </c>
      <c r="Z1568" s="73"/>
      <c r="AA1568" s="73"/>
      <c r="AB1568" s="73"/>
      <c r="AC1568" s="73"/>
      <c r="AD1568" s="73"/>
      <c r="AE1568" s="73"/>
      <c r="AF1568" s="73"/>
      <c r="AG1568" s="73"/>
      <c r="AH1568" s="73"/>
      <c r="AI1568" s="73"/>
      <c r="AJ1568" s="161"/>
      <c r="AK1568" s="76" t="s">
        <v>798</v>
      </c>
      <c r="AL1568" s="83" t="s">
        <v>15536</v>
      </c>
      <c r="AM1568" s="71" t="s">
        <v>15537</v>
      </c>
      <c r="AN1568" s="84" t="s">
        <v>15538</v>
      </c>
      <c r="AO1568" s="71" t="s">
        <v>15539</v>
      </c>
      <c r="AP1568" s="161" t="str">
        <f>IMAGE("https://bellingcat-archive.nyc3.cdn.digitaloceanspaces.com/Ukraine_Witness_Datasheet/Worksheet/youtube_dl_1500823816104255492/out7.jpg")</f>
        <v/>
      </c>
      <c r="AQ1568" s="84" t="s">
        <v>15540</v>
      </c>
      <c r="AR1568" s="71" t="s">
        <v>15541</v>
      </c>
      <c r="AS1568" s="71" t="s">
        <v>15542</v>
      </c>
      <c r="AT1568" s="71">
        <v>20.966</v>
      </c>
      <c r="AU1568" s="79" t="s">
        <v>63</v>
      </c>
      <c r="AV1568" s="80" t="s">
        <v>3944</v>
      </c>
      <c r="AW1568" s="81"/>
    </row>
    <row r="1569" ht="15.75" customHeight="1">
      <c r="A1569" s="204" t="s">
        <v>63</v>
      </c>
      <c r="B1569" s="73"/>
      <c r="C1569" s="57" t="s">
        <v>15275</v>
      </c>
      <c r="D1569" s="74">
        <v>47.119094</v>
      </c>
      <c r="E1569" s="74">
        <v>37.692909</v>
      </c>
      <c r="F1569" s="79">
        <v>1.0</v>
      </c>
      <c r="G1569" s="84" t="s">
        <v>15543</v>
      </c>
      <c r="H1569" s="73"/>
      <c r="I1569" s="75"/>
      <c r="J1569" s="71" t="s">
        <v>15544</v>
      </c>
      <c r="K1569" s="69"/>
      <c r="L1569" s="65" t="s">
        <v>3542</v>
      </c>
      <c r="M1569" s="93" t="s">
        <v>5750</v>
      </c>
      <c r="N1569" s="314"/>
      <c r="O1569" s="92" t="s">
        <v>6109</v>
      </c>
      <c r="P1569" s="67" t="str">
        <f t="shared" si="11"/>
        <v>47.119094, 37.692909</v>
      </c>
      <c r="Q1569" s="67" t="str">
        <f t="shared" si="2"/>
        <v>47.119002, 37.691923</v>
      </c>
      <c r="R1569" s="67">
        <f t="shared" si="3"/>
        <v>47.119002</v>
      </c>
      <c r="S1569" s="67">
        <f t="shared" si="4"/>
        <v>37.691923</v>
      </c>
      <c r="T1569" s="161"/>
      <c r="U1569" s="69"/>
      <c r="V1569" s="65" t="s">
        <v>15545</v>
      </c>
      <c r="W1569" s="71" t="s">
        <v>3601</v>
      </c>
      <c r="X1569" s="72" t="s">
        <v>5504</v>
      </c>
      <c r="Y1569" s="61" t="s">
        <v>5820</v>
      </c>
      <c r="Z1569" s="73"/>
      <c r="AA1569" s="73"/>
      <c r="AB1569" s="73"/>
      <c r="AC1569" s="73"/>
      <c r="AD1569" s="73"/>
      <c r="AE1569" s="73"/>
      <c r="AF1569" s="73"/>
      <c r="AG1569" s="73"/>
      <c r="AH1569" s="73"/>
      <c r="AI1569" s="73"/>
      <c r="AJ1569" s="161"/>
      <c r="AK1569" s="76" t="s">
        <v>2108</v>
      </c>
      <c r="AL1569" s="83" t="s">
        <v>15546</v>
      </c>
      <c r="AM1569" s="71" t="s">
        <v>15547</v>
      </c>
      <c r="AN1569" s="84" t="s">
        <v>15548</v>
      </c>
      <c r="AO1569" s="71" t="s">
        <v>15549</v>
      </c>
      <c r="AP1569" s="161" t="str">
        <f t="shared" ref="AP1569:AP1570" si="12">IMAGE("https://bellingcat-archive.nyc3.cdn.digitaloceanspaces.com/Ukraine_Witness_Datasheet/Worksheet/twitter__media_FNP5Wl9XsA0V1Oa.jpg")</f>
        <v/>
      </c>
      <c r="AQ1569" s="161"/>
      <c r="AR1569" s="161"/>
      <c r="AS1569" s="71" t="s">
        <v>15550</v>
      </c>
      <c r="AT1569" s="161"/>
      <c r="AU1569" s="79" t="s">
        <v>63</v>
      </c>
      <c r="AV1569" s="80" t="s">
        <v>3944</v>
      </c>
      <c r="AW1569" s="81"/>
    </row>
    <row r="1570" ht="15.75" customHeight="1">
      <c r="A1570" s="204" t="s">
        <v>63</v>
      </c>
      <c r="B1570" s="73"/>
      <c r="C1570" s="57" t="s">
        <v>15275</v>
      </c>
      <c r="D1570" s="74">
        <v>47.121197</v>
      </c>
      <c r="E1570" s="74">
        <v>37.691816</v>
      </c>
      <c r="F1570" s="79">
        <v>1.0</v>
      </c>
      <c r="G1570" s="84" t="s">
        <v>15551</v>
      </c>
      <c r="H1570" s="73"/>
      <c r="I1570" s="75"/>
      <c r="J1570" s="71" t="s">
        <v>15552</v>
      </c>
      <c r="K1570" s="69"/>
      <c r="L1570" s="65" t="s">
        <v>3542</v>
      </c>
      <c r="M1570" s="93" t="s">
        <v>5750</v>
      </c>
      <c r="N1570" s="314"/>
      <c r="O1570" s="92" t="s">
        <v>6109</v>
      </c>
      <c r="P1570" s="67" t="str">
        <f t="shared" si="11"/>
        <v>47.121197, 37.691816</v>
      </c>
      <c r="Q1570" s="67" t="str">
        <f t="shared" si="2"/>
        <v>47.121039, 37.692729</v>
      </c>
      <c r="R1570" s="67">
        <f t="shared" si="3"/>
        <v>47.121039</v>
      </c>
      <c r="S1570" s="67">
        <f t="shared" si="4"/>
        <v>37.692729</v>
      </c>
      <c r="T1570" s="161"/>
      <c r="U1570" s="69"/>
      <c r="V1570" s="65" t="s">
        <v>15553</v>
      </c>
      <c r="W1570" s="71" t="s">
        <v>3601</v>
      </c>
      <c r="X1570" s="72" t="s">
        <v>5504</v>
      </c>
      <c r="Y1570" s="61" t="s">
        <v>5820</v>
      </c>
      <c r="Z1570" s="73"/>
      <c r="AA1570" s="73"/>
      <c r="AB1570" s="73"/>
      <c r="AC1570" s="73"/>
      <c r="AD1570" s="73"/>
      <c r="AE1570" s="73"/>
      <c r="AF1570" s="73"/>
      <c r="AG1570" s="73"/>
      <c r="AH1570" s="73"/>
      <c r="AI1570" s="73"/>
      <c r="AJ1570" s="161"/>
      <c r="AK1570" s="76" t="s">
        <v>2108</v>
      </c>
      <c r="AL1570" s="83" t="s">
        <v>15554</v>
      </c>
      <c r="AM1570" s="71" t="s">
        <v>15555</v>
      </c>
      <c r="AN1570" s="84" t="s">
        <v>15556</v>
      </c>
      <c r="AO1570" s="71" t="s">
        <v>15557</v>
      </c>
      <c r="AP1570" s="161" t="str">
        <f t="shared" si="12"/>
        <v/>
      </c>
      <c r="AQ1570" s="161"/>
      <c r="AR1570" s="161"/>
      <c r="AS1570" s="71" t="s">
        <v>15550</v>
      </c>
      <c r="AT1570" s="161"/>
      <c r="AU1570" s="79" t="s">
        <v>63</v>
      </c>
      <c r="AV1570" s="80" t="s">
        <v>3944</v>
      </c>
      <c r="AW1570" s="81"/>
    </row>
    <row r="1571" ht="15.75" customHeight="1">
      <c r="A1571" s="204" t="s">
        <v>63</v>
      </c>
      <c r="B1571" s="73"/>
      <c r="C1571" s="57" t="s">
        <v>15275</v>
      </c>
      <c r="D1571" s="74">
        <v>50.006886</v>
      </c>
      <c r="E1571" s="74">
        <v>36.239248</v>
      </c>
      <c r="F1571" s="79">
        <v>2.0</v>
      </c>
      <c r="G1571" s="84" t="s">
        <v>15558</v>
      </c>
      <c r="H1571" s="73"/>
      <c r="I1571" s="75"/>
      <c r="J1571" s="71" t="s">
        <v>15559</v>
      </c>
      <c r="K1571" s="69"/>
      <c r="L1571" s="65" t="s">
        <v>3542</v>
      </c>
      <c r="M1571" s="93" t="s">
        <v>5590</v>
      </c>
      <c r="N1571" s="314"/>
      <c r="O1571" s="93" t="s">
        <v>5626</v>
      </c>
      <c r="P1571" s="67" t="str">
        <f t="shared" si="11"/>
        <v>50.006886, 36.239248</v>
      </c>
      <c r="Q1571" s="67" t="str">
        <f t="shared" si="2"/>
        <v>50.006082, 36.239014</v>
      </c>
      <c r="R1571" s="67">
        <f t="shared" si="3"/>
        <v>50.006082</v>
      </c>
      <c r="S1571" s="67">
        <f t="shared" si="4"/>
        <v>36.239014</v>
      </c>
      <c r="T1571" s="161"/>
      <c r="U1571" s="69"/>
      <c r="V1571" s="65" t="s">
        <v>15560</v>
      </c>
      <c r="W1571" s="71" t="s">
        <v>3601</v>
      </c>
      <c r="X1571" s="72" t="s">
        <v>5504</v>
      </c>
      <c r="Y1571" s="61" t="s">
        <v>5820</v>
      </c>
      <c r="Z1571" s="73"/>
      <c r="AA1571" s="73"/>
      <c r="AB1571" s="73"/>
      <c r="AC1571" s="73"/>
      <c r="AD1571" s="73"/>
      <c r="AE1571" s="73"/>
      <c r="AF1571" s="73"/>
      <c r="AG1571" s="73"/>
      <c r="AH1571" s="73"/>
      <c r="AI1571" s="73"/>
      <c r="AJ1571" s="161"/>
      <c r="AK1571" s="76" t="s">
        <v>798</v>
      </c>
      <c r="AL1571" s="83" t="s">
        <v>15561</v>
      </c>
      <c r="AM1571" s="71" t="s">
        <v>15562</v>
      </c>
      <c r="AN1571" s="84" t="s">
        <v>15563</v>
      </c>
      <c r="AO1571" s="71" t="s">
        <v>15564</v>
      </c>
      <c r="AP1571" s="161" t="str">
        <f>IMAGE("https://bellingcat-archive.nyc3.cdn.digitaloceanspaces.com/Ukraine_Witness_Datasheet/Worksheet/youtube_dl_1500782019697123328/out20.jpg")</f>
        <v/>
      </c>
      <c r="AQ1571" s="84" t="s">
        <v>15565</v>
      </c>
      <c r="AR1571" s="71" t="s">
        <v>15566</v>
      </c>
      <c r="AS1571" s="71" t="s">
        <v>15567</v>
      </c>
      <c r="AT1571" s="71">
        <v>77.7</v>
      </c>
      <c r="AU1571" s="79" t="s">
        <v>63</v>
      </c>
      <c r="AV1571" s="80" t="s">
        <v>3944</v>
      </c>
      <c r="AW1571" s="81"/>
    </row>
    <row r="1572" ht="15.75" customHeight="1">
      <c r="A1572" s="204" t="s">
        <v>63</v>
      </c>
      <c r="B1572" s="73"/>
      <c r="C1572" s="57" t="s">
        <v>15275</v>
      </c>
      <c r="D1572" s="74">
        <v>50.040999</v>
      </c>
      <c r="E1572" s="74">
        <v>36.22752</v>
      </c>
      <c r="F1572" s="79">
        <v>1.0</v>
      </c>
      <c r="G1572" s="84" t="s">
        <v>15568</v>
      </c>
      <c r="H1572" s="73"/>
      <c r="I1572" s="75"/>
      <c r="J1572" s="71" t="s">
        <v>15569</v>
      </c>
      <c r="K1572" s="69"/>
      <c r="L1572" s="65" t="s">
        <v>3542</v>
      </c>
      <c r="M1572" s="93" t="s">
        <v>5590</v>
      </c>
      <c r="N1572" s="314"/>
      <c r="O1572" s="93" t="s">
        <v>5626</v>
      </c>
      <c r="P1572" s="67" t="str">
        <f t="shared" si="11"/>
        <v>50.040999, 36.22752</v>
      </c>
      <c r="Q1572" s="67" t="str">
        <f t="shared" si="2"/>
        <v>50.040874, 36.228084</v>
      </c>
      <c r="R1572" s="67">
        <f t="shared" si="3"/>
        <v>50.040874</v>
      </c>
      <c r="S1572" s="67">
        <f t="shared" si="4"/>
        <v>36.228084</v>
      </c>
      <c r="T1572" s="161"/>
      <c r="U1572" s="69"/>
      <c r="V1572" s="65" t="s">
        <v>15570</v>
      </c>
      <c r="W1572" s="71" t="s">
        <v>3601</v>
      </c>
      <c r="X1572" s="72" t="s">
        <v>5504</v>
      </c>
      <c r="Y1572" s="61" t="s">
        <v>5820</v>
      </c>
      <c r="Z1572" s="73"/>
      <c r="AA1572" s="73"/>
      <c r="AB1572" s="73"/>
      <c r="AC1572" s="73"/>
      <c r="AD1572" s="73"/>
      <c r="AE1572" s="73"/>
      <c r="AF1572" s="73"/>
      <c r="AG1572" s="73"/>
      <c r="AH1572" s="73"/>
      <c r="AI1572" s="73"/>
      <c r="AJ1572" s="161"/>
      <c r="AK1572" s="76" t="s">
        <v>2108</v>
      </c>
      <c r="AL1572" s="83" t="s">
        <v>15571</v>
      </c>
      <c r="AM1572" s="71" t="s">
        <v>15572</v>
      </c>
      <c r="AN1572" s="84" t="s">
        <v>15573</v>
      </c>
      <c r="AO1572" s="71" t="s">
        <v>15574</v>
      </c>
      <c r="AP1572" s="161" t="str">
        <f>IMAGE("https://bellingcat-archive.nyc3.cdn.digitaloceanspaces.com/Ukraine_Witness_Datasheet/Worksheet/twitter__media_FNPAHA_X0AAmO4b.jpg")</f>
        <v/>
      </c>
      <c r="AQ1572" s="161"/>
      <c r="AR1572" s="161"/>
      <c r="AS1572" s="71" t="s">
        <v>15575</v>
      </c>
      <c r="AT1572" s="161"/>
      <c r="AU1572" s="79" t="s">
        <v>63</v>
      </c>
      <c r="AV1572" s="80" t="s">
        <v>3944</v>
      </c>
      <c r="AW1572" s="81"/>
    </row>
    <row r="1573" ht="15.75" customHeight="1">
      <c r="A1573" s="357" t="s">
        <v>63</v>
      </c>
      <c r="B1573" s="73"/>
      <c r="C1573" s="57" t="s">
        <v>14806</v>
      </c>
      <c r="D1573" s="74">
        <v>47.131931</v>
      </c>
      <c r="E1573" s="74">
        <v>37.68696</v>
      </c>
      <c r="F1573" s="79">
        <v>1.0</v>
      </c>
      <c r="G1573" s="84" t="s">
        <v>15576</v>
      </c>
      <c r="H1573" s="73"/>
      <c r="I1573" s="75"/>
      <c r="J1573" s="71" t="s">
        <v>15577</v>
      </c>
      <c r="K1573" s="88" t="s">
        <v>15578</v>
      </c>
      <c r="L1573" s="65" t="s">
        <v>3542</v>
      </c>
      <c r="M1573" s="92" t="s">
        <v>5750</v>
      </c>
      <c r="N1573" s="314"/>
      <c r="O1573" s="92" t="s">
        <v>6109</v>
      </c>
      <c r="P1573" s="67" t="str">
        <f t="shared" si="11"/>
        <v>47.131931, 37.68696</v>
      </c>
      <c r="Q1573" s="67" t="str">
        <f t="shared" si="2"/>
        <v>47.131434, 37.687178</v>
      </c>
      <c r="R1573" s="67">
        <f t="shared" si="3"/>
        <v>47.131434</v>
      </c>
      <c r="S1573" s="67">
        <f t="shared" si="4"/>
        <v>37.687178</v>
      </c>
      <c r="T1573" s="161"/>
      <c r="U1573" s="69"/>
      <c r="V1573" s="65" t="s">
        <v>15579</v>
      </c>
      <c r="W1573" s="71" t="s">
        <v>3601</v>
      </c>
      <c r="X1573" s="72" t="s">
        <v>5504</v>
      </c>
      <c r="Y1573" s="61" t="s">
        <v>5820</v>
      </c>
      <c r="Z1573" s="73"/>
      <c r="AA1573" s="73"/>
      <c r="AB1573" s="73"/>
      <c r="AC1573" s="73"/>
      <c r="AD1573" s="73"/>
      <c r="AE1573" s="73"/>
      <c r="AF1573" s="73"/>
      <c r="AG1573" s="73"/>
      <c r="AH1573" s="73"/>
      <c r="AI1573" s="73"/>
      <c r="AJ1573" s="161"/>
      <c r="AK1573" s="76" t="s">
        <v>2108</v>
      </c>
      <c r="AL1573" s="83" t="s">
        <v>15580</v>
      </c>
      <c r="AM1573" s="71" t="s">
        <v>15581</v>
      </c>
      <c r="AN1573" s="84" t="s">
        <v>15582</v>
      </c>
      <c r="AO1573" s="71" t="s">
        <v>15583</v>
      </c>
      <c r="AP1573" s="161" t="str">
        <f>IMAGE("https://bellingcat-archive.nyc3.cdn.digitaloceanspaces.com/Ukraine_Witness_Datasheet/Worksheet/twitter__media_FNL1CpUXwAYJ-c_.jpg")</f>
        <v/>
      </c>
      <c r="AQ1573" s="161"/>
      <c r="AR1573" s="161"/>
      <c r="AS1573" s="71" t="s">
        <v>15584</v>
      </c>
      <c r="AT1573" s="161"/>
      <c r="AU1573" s="79" t="s">
        <v>63</v>
      </c>
      <c r="AV1573" s="80" t="s">
        <v>3944</v>
      </c>
      <c r="AW1573" s="81"/>
    </row>
    <row r="1574" ht="15.75" customHeight="1">
      <c r="A1574" s="72" t="s">
        <v>11075</v>
      </c>
      <c r="B1574" s="73"/>
      <c r="C1574" s="57" t="s">
        <v>15275</v>
      </c>
      <c r="D1574" s="104">
        <v>51.1509804890463</v>
      </c>
      <c r="E1574" s="74">
        <v>28.8786144076417</v>
      </c>
      <c r="F1574" s="79">
        <v>3.0</v>
      </c>
      <c r="G1574" s="84" t="s">
        <v>15585</v>
      </c>
      <c r="H1574" s="73"/>
      <c r="I1574" s="75"/>
      <c r="J1574" s="71" t="s">
        <v>15586</v>
      </c>
      <c r="K1574" s="64"/>
      <c r="L1574" s="65" t="s">
        <v>3542</v>
      </c>
      <c r="M1574" s="92" t="s">
        <v>9200</v>
      </c>
      <c r="N1574" s="314"/>
      <c r="O1574" s="93" t="s">
        <v>15587</v>
      </c>
      <c r="P1574" s="67" t="str">
        <f t="shared" si="11"/>
        <v>51.1509804890463, 28.8786144076417</v>
      </c>
      <c r="Q1574" s="67" t="str">
        <f t="shared" si="2"/>
        <v>51.150505, 28.879665</v>
      </c>
      <c r="R1574" s="67">
        <f t="shared" si="3"/>
        <v>51.150505</v>
      </c>
      <c r="S1574" s="67">
        <f t="shared" si="4"/>
        <v>28.879665</v>
      </c>
      <c r="T1574" s="60" t="s">
        <v>15588</v>
      </c>
      <c r="U1574" s="69"/>
      <c r="V1574" s="65" t="s">
        <v>15589</v>
      </c>
      <c r="W1574" s="71" t="s">
        <v>3601</v>
      </c>
      <c r="X1574" s="72" t="s">
        <v>5504</v>
      </c>
      <c r="Y1574" s="61" t="s">
        <v>5820</v>
      </c>
      <c r="Z1574" s="73"/>
      <c r="AA1574" s="73"/>
      <c r="AB1574" s="73"/>
      <c r="AC1574" s="73"/>
      <c r="AD1574" s="73"/>
      <c r="AE1574" s="73"/>
      <c r="AF1574" s="73"/>
      <c r="AG1574" s="73"/>
      <c r="AH1574" s="73"/>
      <c r="AI1574" s="73"/>
      <c r="AJ1574" s="161"/>
      <c r="AK1574" s="76" t="s">
        <v>6276</v>
      </c>
      <c r="AL1574" s="83" t="s">
        <v>15590</v>
      </c>
      <c r="AM1574" s="71" t="s">
        <v>15591</v>
      </c>
      <c r="AN1574" s="84" t="s">
        <v>15592</v>
      </c>
      <c r="AO1574" s="71" t="s">
        <v>15593</v>
      </c>
      <c r="AP1574" s="161"/>
      <c r="AQ1574" s="161"/>
      <c r="AR1574" s="161"/>
      <c r="AS1574" s="71" t="s">
        <v>15594</v>
      </c>
      <c r="AT1574" s="161"/>
      <c r="AU1574" s="89"/>
      <c r="AV1574" s="80" t="s">
        <v>63</v>
      </c>
      <c r="AW1574" s="81"/>
    </row>
    <row r="1575" ht="15.75" customHeight="1">
      <c r="A1575" s="439" t="s">
        <v>11075</v>
      </c>
      <c r="B1575" s="73"/>
      <c r="C1575" s="57" t="s">
        <v>14806</v>
      </c>
      <c r="D1575" s="104">
        <v>48.9337785896872</v>
      </c>
      <c r="E1575" s="104">
        <v>38.4876987826306</v>
      </c>
      <c r="F1575" s="79">
        <v>1.0</v>
      </c>
      <c r="G1575" s="84" t="s">
        <v>15595</v>
      </c>
      <c r="H1575" s="73"/>
      <c r="I1575" s="75"/>
      <c r="J1575" s="71" t="s">
        <v>15596</v>
      </c>
      <c r="K1575" s="64"/>
      <c r="L1575" s="65" t="s">
        <v>3542</v>
      </c>
      <c r="M1575" s="93" t="s">
        <v>5524</v>
      </c>
      <c r="N1575" s="314"/>
      <c r="O1575" s="93" t="s">
        <v>10274</v>
      </c>
      <c r="P1575" s="67" t="str">
        <f t="shared" si="11"/>
        <v>48.9337785896872, 38.4876987826306</v>
      </c>
      <c r="Q1575" s="67" t="str">
        <f t="shared" si="2"/>
        <v>48.933535, 38.488423</v>
      </c>
      <c r="R1575" s="67">
        <f t="shared" si="3"/>
        <v>48.933535</v>
      </c>
      <c r="S1575" s="67">
        <f t="shared" si="4"/>
        <v>38.488423</v>
      </c>
      <c r="T1575" s="161"/>
      <c r="U1575" s="69"/>
      <c r="V1575" s="65" t="s">
        <v>15597</v>
      </c>
      <c r="W1575" s="71" t="s">
        <v>14741</v>
      </c>
      <c r="X1575" s="194"/>
      <c r="Y1575" s="61" t="s">
        <v>5820</v>
      </c>
      <c r="Z1575" s="73"/>
      <c r="AA1575" s="73"/>
      <c r="AB1575" s="73"/>
      <c r="AC1575" s="73"/>
      <c r="AD1575" s="73"/>
      <c r="AE1575" s="73"/>
      <c r="AF1575" s="73"/>
      <c r="AG1575" s="73"/>
      <c r="AH1575" s="73"/>
      <c r="AI1575" s="73"/>
      <c r="AJ1575" s="161"/>
      <c r="AK1575" s="76" t="s">
        <v>6276</v>
      </c>
      <c r="AL1575" s="83" t="s">
        <v>15598</v>
      </c>
      <c r="AM1575" s="71" t="s">
        <v>15599</v>
      </c>
      <c r="AN1575" s="84" t="s">
        <v>15600</v>
      </c>
      <c r="AO1575" s="71" t="s">
        <v>15601</v>
      </c>
      <c r="AP1575" s="161" t="str">
        <f>IMAGE("https://bellingcat-archive.nyc3.cdn.digitaloceanspaces.com/Ukraine_Witness_Datasheet/Worksheet/telegram_wTsmMoFxECRleOu0OqE7KZnF8a4aTuNduEKvXFwG_fRUOghZ1P3fNqnf7OJaxsxG119AuRSR8q9H5hsmY5bQHReuvJHDkz-KgEHHkK4L4MiHrIXaXQNpFVm7669dmkYA.jpg")</f>
        <v/>
      </c>
      <c r="AQ1575" s="161"/>
      <c r="AR1575" s="161"/>
      <c r="AS1575" s="71" t="s">
        <v>15602</v>
      </c>
      <c r="AT1575" s="161"/>
      <c r="AU1575" s="89"/>
      <c r="AV1575" s="80" t="s">
        <v>63</v>
      </c>
      <c r="AW1575" s="81"/>
    </row>
    <row r="1576" ht="15.75" customHeight="1">
      <c r="A1576" s="424" t="s">
        <v>11075</v>
      </c>
      <c r="B1576" s="73"/>
      <c r="C1576" s="57" t="s">
        <v>15275</v>
      </c>
      <c r="D1576" s="121"/>
      <c r="E1576" s="121"/>
      <c r="F1576" s="89"/>
      <c r="G1576" s="84" t="s">
        <v>15603</v>
      </c>
      <c r="H1576" s="73"/>
      <c r="I1576" s="75"/>
      <c r="J1576" s="71" t="s">
        <v>15604</v>
      </c>
      <c r="K1576" s="69"/>
      <c r="L1576" s="70"/>
      <c r="M1576" s="314"/>
      <c r="N1576" s="314"/>
      <c r="O1576" s="314"/>
      <c r="P1576" s="67" t="str">
        <f t="shared" si="11"/>
        <v/>
      </c>
      <c r="Q1576" s="67" t="str">
        <f t="shared" si="2"/>
        <v/>
      </c>
      <c r="R1576" s="67" t="str">
        <f t="shared" si="3"/>
        <v/>
      </c>
      <c r="S1576" s="67" t="str">
        <f t="shared" si="4"/>
        <v/>
      </c>
      <c r="T1576" s="161"/>
      <c r="U1576" s="69"/>
      <c r="V1576" s="65" t="s">
        <v>15605</v>
      </c>
      <c r="W1576" s="161"/>
      <c r="X1576" s="194"/>
      <c r="Y1576" s="61" t="s">
        <v>5820</v>
      </c>
      <c r="Z1576" s="73"/>
      <c r="AA1576" s="73"/>
      <c r="AB1576" s="73"/>
      <c r="AC1576" s="73"/>
      <c r="AD1576" s="73"/>
      <c r="AE1576" s="73"/>
      <c r="AF1576" s="73"/>
      <c r="AG1576" s="73"/>
      <c r="AH1576" s="73"/>
      <c r="AI1576" s="73"/>
      <c r="AJ1576" s="161"/>
      <c r="AK1576" s="76" t="s">
        <v>6276</v>
      </c>
      <c r="AL1576" s="83" t="s">
        <v>15606</v>
      </c>
      <c r="AM1576" s="71" t="s">
        <v>15607</v>
      </c>
      <c r="AN1576" s="84" t="s">
        <v>15608</v>
      </c>
      <c r="AO1576" s="71" t="s">
        <v>15609</v>
      </c>
      <c r="AP1576" s="161" t="str">
        <f>IMAGE("https://bellingcat-archive.nyc3.cdn.digitaloceanspaces.com/Ukraine_Witness_Datasheet/Worksheet/telegram_199281cb93/out7.jpg")</f>
        <v/>
      </c>
      <c r="AQ1576" s="84" t="s">
        <v>15610</v>
      </c>
      <c r="AR1576" s="84" t="s">
        <v>15603</v>
      </c>
      <c r="AS1576" s="71" t="s">
        <v>15611</v>
      </c>
      <c r="AT1576" s="71">
        <v>6.0</v>
      </c>
      <c r="AU1576" s="89"/>
      <c r="AV1576" s="162"/>
      <c r="AW1576" s="81"/>
    </row>
    <row r="1577" ht="15.75" customHeight="1">
      <c r="A1577" s="424" t="s">
        <v>11075</v>
      </c>
      <c r="B1577" s="73"/>
      <c r="C1577" s="57" t="s">
        <v>15275</v>
      </c>
      <c r="D1577" s="121"/>
      <c r="E1577" s="121"/>
      <c r="F1577" s="89"/>
      <c r="G1577" s="84" t="s">
        <v>15612</v>
      </c>
      <c r="H1577" s="73"/>
      <c r="I1577" s="75"/>
      <c r="J1577" s="161"/>
      <c r="K1577" s="69"/>
      <c r="L1577" s="70"/>
      <c r="M1577" s="314"/>
      <c r="N1577" s="314"/>
      <c r="O1577" s="314"/>
      <c r="P1577" s="67" t="str">
        <f t="shared" si="11"/>
        <v/>
      </c>
      <c r="Q1577" s="67" t="str">
        <f t="shared" si="2"/>
        <v/>
      </c>
      <c r="R1577" s="67" t="str">
        <f t="shared" si="3"/>
        <v/>
      </c>
      <c r="S1577" s="67" t="str">
        <f t="shared" si="4"/>
        <v/>
      </c>
      <c r="T1577" s="161"/>
      <c r="U1577" s="69"/>
      <c r="V1577" s="65" t="s">
        <v>15613</v>
      </c>
      <c r="W1577" s="161"/>
      <c r="X1577" s="194"/>
      <c r="Y1577" s="61" t="s">
        <v>5820</v>
      </c>
      <c r="Z1577" s="73"/>
      <c r="AA1577" s="73"/>
      <c r="AB1577" s="73"/>
      <c r="AC1577" s="73"/>
      <c r="AD1577" s="73"/>
      <c r="AE1577" s="73"/>
      <c r="AF1577" s="73"/>
      <c r="AG1577" s="73"/>
      <c r="AH1577" s="73"/>
      <c r="AI1577" s="73"/>
      <c r="AJ1577" s="161"/>
      <c r="AK1577" s="76" t="s">
        <v>6276</v>
      </c>
      <c r="AL1577" s="83" t="s">
        <v>15614</v>
      </c>
      <c r="AM1577" s="71" t="s">
        <v>15615</v>
      </c>
      <c r="AN1577" s="84" t="s">
        <v>15616</v>
      </c>
      <c r="AO1577" s="71" t="s">
        <v>15617</v>
      </c>
      <c r="AP1577" s="161"/>
      <c r="AQ1577" s="161"/>
      <c r="AR1577" s="161"/>
      <c r="AS1577" s="71" t="s">
        <v>15618</v>
      </c>
      <c r="AT1577" s="161"/>
      <c r="AU1577" s="89"/>
      <c r="AV1577" s="162"/>
      <c r="AW1577" s="81"/>
    </row>
    <row r="1578" ht="15.75" customHeight="1">
      <c r="A1578" s="208"/>
      <c r="B1578" s="73"/>
      <c r="C1578" s="176"/>
      <c r="D1578" s="121"/>
      <c r="E1578" s="121"/>
      <c r="F1578" s="79">
        <v>2.0</v>
      </c>
      <c r="G1578" s="84" t="s">
        <v>15619</v>
      </c>
      <c r="H1578" s="73"/>
      <c r="I1578" s="75"/>
      <c r="J1578" s="71" t="s">
        <v>15620</v>
      </c>
      <c r="K1578" s="69"/>
      <c r="L1578" s="65" t="s">
        <v>3542</v>
      </c>
      <c r="M1578" s="93" t="s">
        <v>5590</v>
      </c>
      <c r="N1578" s="314"/>
      <c r="O1578" s="93" t="s">
        <v>5626</v>
      </c>
      <c r="P1578" s="67" t="str">
        <f t="shared" si="11"/>
        <v/>
      </c>
      <c r="Q1578" s="67" t="str">
        <f t="shared" si="2"/>
        <v/>
      </c>
      <c r="R1578" s="67" t="str">
        <f t="shared" si="3"/>
        <v/>
      </c>
      <c r="S1578" s="67" t="str">
        <f t="shared" si="4"/>
        <v/>
      </c>
      <c r="T1578" s="161"/>
      <c r="U1578" s="69"/>
      <c r="V1578" s="65" t="s">
        <v>15621</v>
      </c>
      <c r="W1578" s="161"/>
      <c r="X1578" s="194"/>
      <c r="Y1578" s="73"/>
      <c r="Z1578" s="73"/>
      <c r="AA1578" s="73"/>
      <c r="AB1578" s="73"/>
      <c r="AC1578" s="73"/>
      <c r="AD1578" s="73"/>
      <c r="AE1578" s="73"/>
      <c r="AF1578" s="73"/>
      <c r="AG1578" s="73"/>
      <c r="AH1578" s="73"/>
      <c r="AI1578" s="73"/>
      <c r="AJ1578" s="161"/>
      <c r="AK1578" s="76" t="s">
        <v>798</v>
      </c>
      <c r="AL1578" s="83" t="s">
        <v>15622</v>
      </c>
      <c r="AM1578" s="71" t="s">
        <v>15623</v>
      </c>
      <c r="AN1578" s="84" t="s">
        <v>15624</v>
      </c>
      <c r="AO1578" s="71" t="s">
        <v>15625</v>
      </c>
      <c r="AP1578" s="161" t="str">
        <f>IMAGE("https://bellingcat-archive.nyc3.cdn.digitaloceanspaces.com/Ukraine_Witness_Datasheet/Worksheet/youtube_dl_1500860562913251329/out7.jpg")</f>
        <v/>
      </c>
      <c r="AQ1578" s="84" t="s">
        <v>15626</v>
      </c>
      <c r="AR1578" s="71" t="s">
        <v>15627</v>
      </c>
      <c r="AS1578" s="71" t="s">
        <v>15628</v>
      </c>
      <c r="AT1578" s="71">
        <v>8.466</v>
      </c>
      <c r="AU1578" s="89"/>
      <c r="AV1578" s="80" t="s">
        <v>63</v>
      </c>
      <c r="AW1578" s="81"/>
    </row>
    <row r="1579" ht="15.75" customHeight="1">
      <c r="A1579" s="72" t="s">
        <v>5457</v>
      </c>
      <c r="B1579" s="73"/>
      <c r="C1579" s="57" t="s">
        <v>15275</v>
      </c>
      <c r="D1579" s="104">
        <v>51.7947108</v>
      </c>
      <c r="E1579" s="104">
        <v>29.4902417</v>
      </c>
      <c r="F1579" s="79">
        <v>1.0</v>
      </c>
      <c r="G1579" s="130" t="s">
        <v>15629</v>
      </c>
      <c r="H1579" s="73"/>
      <c r="I1579" s="75"/>
      <c r="J1579" s="71" t="s">
        <v>15630</v>
      </c>
      <c r="K1579" s="69"/>
      <c r="L1579" s="65" t="s">
        <v>69</v>
      </c>
      <c r="M1579" s="93" t="s">
        <v>15631</v>
      </c>
      <c r="N1579" s="314"/>
      <c r="O1579" s="93" t="s">
        <v>1993</v>
      </c>
      <c r="P1579" s="67" t="str">
        <f t="shared" si="11"/>
        <v>51.7947108, 29.4902417</v>
      </c>
      <c r="Q1579" s="67" t="str">
        <f t="shared" si="2"/>
        <v>51.79451, 29.489221</v>
      </c>
      <c r="R1579" s="67">
        <f t="shared" si="3"/>
        <v>51.79451</v>
      </c>
      <c r="S1579" s="67">
        <f t="shared" si="4"/>
        <v>29.489221</v>
      </c>
      <c r="T1579" s="130" t="s">
        <v>15632</v>
      </c>
      <c r="U1579" s="69"/>
      <c r="V1579" s="65" t="s">
        <v>15633</v>
      </c>
      <c r="W1579" s="71" t="s">
        <v>6262</v>
      </c>
      <c r="X1579" s="72" t="s">
        <v>5504</v>
      </c>
      <c r="Y1579" s="61" t="s">
        <v>5820</v>
      </c>
      <c r="Z1579" s="73"/>
      <c r="AA1579" s="73"/>
      <c r="AB1579" s="73"/>
      <c r="AC1579" s="73"/>
      <c r="AD1579" s="73"/>
      <c r="AE1579" s="73"/>
      <c r="AF1579" s="73"/>
      <c r="AG1579" s="73"/>
      <c r="AH1579" s="73"/>
      <c r="AI1579" s="73"/>
      <c r="AJ1579" s="161"/>
      <c r="AK1579" s="76" t="s">
        <v>6276</v>
      </c>
      <c r="AL1579" s="83" t="s">
        <v>15634</v>
      </c>
      <c r="AM1579" s="71" t="s">
        <v>15635</v>
      </c>
      <c r="AN1579" s="84" t="s">
        <v>15636</v>
      </c>
      <c r="AO1579" s="71" t="s">
        <v>15637</v>
      </c>
      <c r="AP1579" s="161" t="str">
        <f>IMAGE("https://bellingcat-archive.nyc3.cdn.digitaloceanspaces.com/Ukraine_Witness_Datasheet/Worksheet/telegram_f5be81ada3/out7.jpg")</f>
        <v/>
      </c>
      <c r="AQ1579" s="84" t="s">
        <v>15638</v>
      </c>
      <c r="AR1579" s="84" t="s">
        <v>15629</v>
      </c>
      <c r="AS1579" s="71" t="s">
        <v>15639</v>
      </c>
      <c r="AT1579" s="71">
        <v>10.0</v>
      </c>
      <c r="AU1579" s="89"/>
      <c r="AV1579" s="80" t="s">
        <v>63</v>
      </c>
      <c r="AW1579" s="81"/>
    </row>
    <row r="1580" ht="15.75" customHeight="1">
      <c r="A1580" s="72" t="s">
        <v>5457</v>
      </c>
      <c r="B1580" s="73"/>
      <c r="C1580" s="57" t="s">
        <v>15275</v>
      </c>
      <c r="D1580" s="74">
        <v>49.988141</v>
      </c>
      <c r="E1580" s="74">
        <v>36.246607</v>
      </c>
      <c r="F1580" s="79">
        <v>2.0</v>
      </c>
      <c r="G1580" s="84" t="s">
        <v>15640</v>
      </c>
      <c r="H1580" s="73"/>
      <c r="I1580" s="75"/>
      <c r="J1580" s="71" t="s">
        <v>15641</v>
      </c>
      <c r="K1580" s="69"/>
      <c r="L1580" s="65" t="s">
        <v>3542</v>
      </c>
      <c r="M1580" s="93" t="s">
        <v>5590</v>
      </c>
      <c r="N1580" s="314"/>
      <c r="O1580" s="93" t="s">
        <v>5626</v>
      </c>
      <c r="P1580" s="67" t="str">
        <f t="shared" si="11"/>
        <v>49.988141, 36.246607</v>
      </c>
      <c r="Q1580" s="67" t="str">
        <f t="shared" si="2"/>
        <v>49.987541, 36.24701</v>
      </c>
      <c r="R1580" s="67">
        <f t="shared" si="3"/>
        <v>49.987541</v>
      </c>
      <c r="S1580" s="67">
        <f t="shared" si="4"/>
        <v>36.24701</v>
      </c>
      <c r="T1580" s="161"/>
      <c r="U1580" s="69"/>
      <c r="V1580" s="65" t="s">
        <v>15642</v>
      </c>
      <c r="W1580" s="71" t="s">
        <v>3601</v>
      </c>
      <c r="X1580" s="72" t="s">
        <v>5504</v>
      </c>
      <c r="Y1580" s="61" t="s">
        <v>5820</v>
      </c>
      <c r="Z1580" s="73"/>
      <c r="AA1580" s="73"/>
      <c r="AB1580" s="73"/>
      <c r="AC1580" s="73"/>
      <c r="AD1580" s="73"/>
      <c r="AE1580" s="73"/>
      <c r="AF1580" s="73"/>
      <c r="AG1580" s="73"/>
      <c r="AH1580" s="73"/>
      <c r="AI1580" s="73"/>
      <c r="AJ1580" s="161"/>
      <c r="AK1580" s="76" t="s">
        <v>798</v>
      </c>
      <c r="AL1580" s="83" t="s">
        <v>15643</v>
      </c>
      <c r="AM1580" s="71" t="s">
        <v>15644</v>
      </c>
      <c r="AN1580" s="84" t="s">
        <v>15645</v>
      </c>
      <c r="AO1580" s="71" t="s">
        <v>15646</v>
      </c>
      <c r="AP1580" s="161" t="str">
        <f>IMAGE("https://bellingcat-archive.nyc3.cdn.digitaloceanspaces.com/Ukraine_Witness_Datasheet/Worksheet/youtube_dl_1500746494781046784/out7.jpg")</f>
        <v/>
      </c>
      <c r="AQ1580" s="84" t="s">
        <v>15647</v>
      </c>
      <c r="AR1580" s="71" t="s">
        <v>15648</v>
      </c>
      <c r="AS1580" s="71" t="s">
        <v>15649</v>
      </c>
      <c r="AT1580" s="71">
        <v>50.233</v>
      </c>
      <c r="AU1580" s="89"/>
      <c r="AV1580" s="80" t="s">
        <v>63</v>
      </c>
      <c r="AW1580" s="81"/>
    </row>
    <row r="1581" ht="15.75" customHeight="1">
      <c r="A1581" s="208" t="s">
        <v>12532</v>
      </c>
      <c r="B1581" s="73"/>
      <c r="C1581" s="57"/>
      <c r="D1581" s="121"/>
      <c r="E1581" s="74"/>
      <c r="F1581" s="89"/>
      <c r="G1581" s="84" t="s">
        <v>15650</v>
      </c>
      <c r="H1581" s="73"/>
      <c r="I1581" s="75"/>
      <c r="J1581" s="161"/>
      <c r="K1581" s="69"/>
      <c r="L1581" s="70"/>
      <c r="M1581" s="314"/>
      <c r="N1581" s="314"/>
      <c r="O1581" s="314"/>
      <c r="P1581" s="67" t="str">
        <f t="shared" si="11"/>
        <v/>
      </c>
      <c r="Q1581" s="67" t="str">
        <f t="shared" si="2"/>
        <v/>
      </c>
      <c r="R1581" s="67" t="str">
        <f t="shared" si="3"/>
        <v/>
      </c>
      <c r="S1581" s="67" t="str">
        <f t="shared" si="4"/>
        <v/>
      </c>
      <c r="T1581" s="161"/>
      <c r="U1581" s="69"/>
      <c r="V1581" s="65" t="s">
        <v>15651</v>
      </c>
      <c r="W1581" s="161"/>
      <c r="X1581" s="194"/>
      <c r="Y1581" s="73"/>
      <c r="Z1581" s="73"/>
      <c r="AA1581" s="73"/>
      <c r="AB1581" s="73"/>
      <c r="AC1581" s="73"/>
      <c r="AD1581" s="73"/>
      <c r="AE1581" s="73"/>
      <c r="AF1581" s="73"/>
      <c r="AG1581" s="73"/>
      <c r="AH1581" s="73"/>
      <c r="AI1581" s="73"/>
      <c r="AJ1581" s="161"/>
      <c r="AK1581" s="76" t="s">
        <v>798</v>
      </c>
      <c r="AL1581" s="83" t="s">
        <v>15652</v>
      </c>
      <c r="AM1581" s="71" t="s">
        <v>15653</v>
      </c>
      <c r="AN1581" s="84" t="s">
        <v>15654</v>
      </c>
      <c r="AO1581" s="71" t="s">
        <v>15655</v>
      </c>
      <c r="AP1581" s="161" t="str">
        <f>IMAGE("https://bellingcat-archive.nyc3.cdn.digitaloceanspaces.com/Ukraine_Witness_Datasheet/Worksheet/youtube_dl_1500818800186478595/out7.jpg")</f>
        <v/>
      </c>
      <c r="AQ1581" s="84" t="s">
        <v>15656</v>
      </c>
      <c r="AR1581" s="71" t="s">
        <v>15657</v>
      </c>
      <c r="AS1581" s="71" t="s">
        <v>15658</v>
      </c>
      <c r="AT1581" s="71">
        <v>30.566</v>
      </c>
      <c r="AU1581" s="89"/>
      <c r="AV1581" s="162"/>
      <c r="AW1581" s="81"/>
    </row>
    <row r="1582" ht="15.75" customHeight="1">
      <c r="A1582" s="17" t="s">
        <v>63</v>
      </c>
      <c r="B1582" s="73"/>
      <c r="C1582" s="57" t="s">
        <v>15275</v>
      </c>
      <c r="D1582" s="300">
        <v>49.987992</v>
      </c>
      <c r="E1582" s="300">
        <v>36.245442</v>
      </c>
      <c r="F1582" s="79">
        <v>1.0</v>
      </c>
      <c r="G1582" s="84" t="s">
        <v>15659</v>
      </c>
      <c r="H1582" s="73"/>
      <c r="I1582" s="75"/>
      <c r="J1582" s="71" t="s">
        <v>8164</v>
      </c>
      <c r="K1582" s="69"/>
      <c r="L1582" s="65" t="s">
        <v>3542</v>
      </c>
      <c r="M1582" s="93" t="s">
        <v>5590</v>
      </c>
      <c r="N1582" s="314"/>
      <c r="O1582" s="93" t="s">
        <v>5626</v>
      </c>
      <c r="P1582" s="67" t="str">
        <f t="shared" si="11"/>
        <v>49.987992, 36.245442</v>
      </c>
      <c r="Q1582" s="67" t="str">
        <f t="shared" si="2"/>
        <v>49.987468, 36.246198</v>
      </c>
      <c r="R1582" s="67">
        <f t="shared" si="3"/>
        <v>49.987468</v>
      </c>
      <c r="S1582" s="67">
        <f t="shared" si="4"/>
        <v>36.246198</v>
      </c>
      <c r="T1582" s="161"/>
      <c r="U1582" s="69"/>
      <c r="V1582" s="65" t="s">
        <v>15660</v>
      </c>
      <c r="W1582" s="71" t="s">
        <v>3601</v>
      </c>
      <c r="X1582" s="513"/>
      <c r="Y1582" s="73"/>
      <c r="Z1582" s="73"/>
      <c r="AA1582" s="73"/>
      <c r="AB1582" s="73"/>
      <c r="AC1582" s="73"/>
      <c r="AD1582" s="73"/>
      <c r="AE1582" s="73"/>
      <c r="AF1582" s="73"/>
      <c r="AG1582" s="73"/>
      <c r="AH1582" s="73"/>
      <c r="AI1582" s="73"/>
      <c r="AJ1582" s="161"/>
      <c r="AK1582" s="76" t="s">
        <v>2108</v>
      </c>
      <c r="AL1582" s="83" t="s">
        <v>15661</v>
      </c>
      <c r="AM1582" s="71" t="s">
        <v>15662</v>
      </c>
      <c r="AN1582" s="84" t="s">
        <v>15663</v>
      </c>
      <c r="AO1582" s="71" t="s">
        <v>15664</v>
      </c>
      <c r="AP1582" s="161" t="str">
        <f>IMAGE("https://bellingcat-archive.nyc3.cdn.digitaloceanspaces.com/Ukraine_Witness_Datasheet/Worksheet/twitter__media_FNPuG28XsAIUKBY.jpg")</f>
        <v/>
      </c>
      <c r="AQ1582" s="161"/>
      <c r="AR1582" s="161"/>
      <c r="AS1582" s="71" t="s">
        <v>15665</v>
      </c>
      <c r="AT1582" s="161"/>
      <c r="AU1582" s="89"/>
      <c r="AV1582" s="162"/>
      <c r="AW1582" s="81"/>
    </row>
    <row r="1583" ht="15.75" customHeight="1">
      <c r="A1583" s="72" t="s">
        <v>5457</v>
      </c>
      <c r="B1583" s="73"/>
      <c r="C1583" s="57" t="s">
        <v>14806</v>
      </c>
      <c r="D1583" s="121">
        <v>50.04223</v>
      </c>
      <c r="E1583" s="121">
        <v>36.360317</v>
      </c>
      <c r="F1583" s="79">
        <v>2.0</v>
      </c>
      <c r="G1583" s="84" t="s">
        <v>15666</v>
      </c>
      <c r="H1583" s="73"/>
      <c r="I1583" s="75"/>
      <c r="J1583" s="71" t="s">
        <v>8164</v>
      </c>
      <c r="K1583" s="69"/>
      <c r="L1583" s="65" t="s">
        <v>3542</v>
      </c>
      <c r="M1583" s="93" t="s">
        <v>5590</v>
      </c>
      <c r="N1583" s="314"/>
      <c r="O1583" s="93" t="s">
        <v>5626</v>
      </c>
      <c r="P1583" s="67" t="str">
        <f t="shared" si="11"/>
        <v>50.04223, 36.360317</v>
      </c>
      <c r="Q1583" s="67" t="str">
        <f t="shared" si="2"/>
        <v>50.04201, 36.361275</v>
      </c>
      <c r="R1583" s="67">
        <f t="shared" si="3"/>
        <v>50.04201</v>
      </c>
      <c r="S1583" s="67">
        <f t="shared" si="4"/>
        <v>36.361275</v>
      </c>
      <c r="T1583" s="161"/>
      <c r="U1583" s="69"/>
      <c r="V1583" s="65" t="s">
        <v>15667</v>
      </c>
      <c r="W1583" s="71" t="s">
        <v>3601</v>
      </c>
      <c r="X1583" s="72" t="s">
        <v>5504</v>
      </c>
      <c r="Y1583" s="61" t="s">
        <v>5820</v>
      </c>
      <c r="Z1583" s="73"/>
      <c r="AA1583" s="73"/>
      <c r="AB1583" s="73"/>
      <c r="AC1583" s="73"/>
      <c r="AD1583" s="73"/>
      <c r="AE1583" s="73"/>
      <c r="AF1583" s="73"/>
      <c r="AG1583" s="73"/>
      <c r="AH1583" s="73"/>
      <c r="AI1583" s="73"/>
      <c r="AJ1583" s="161"/>
      <c r="AK1583" s="76" t="s">
        <v>798</v>
      </c>
      <c r="AL1583" s="83" t="s">
        <v>15668</v>
      </c>
      <c r="AM1583" s="71" t="s">
        <v>15669</v>
      </c>
      <c r="AN1583" s="84" t="s">
        <v>15670</v>
      </c>
      <c r="AO1583" s="71" t="s">
        <v>15671</v>
      </c>
      <c r="AP1583" s="161" t="str">
        <f>IMAGE("https://bellingcat-archive.nyc3.cdn.digitaloceanspaces.com/Ukraine_Witness_Datasheet/Worksheet/youtube_dl_1500729936625254401/out7.jpg")</f>
        <v/>
      </c>
      <c r="AQ1583" s="84" t="s">
        <v>15672</v>
      </c>
      <c r="AR1583" s="71" t="s">
        <v>15673</v>
      </c>
      <c r="AS1583" s="71" t="s">
        <v>15674</v>
      </c>
      <c r="AT1583" s="71">
        <v>21.3</v>
      </c>
      <c r="AU1583" s="89"/>
      <c r="AV1583" s="80" t="s">
        <v>63</v>
      </c>
      <c r="AW1583" s="81"/>
    </row>
    <row r="1584" ht="15.75" customHeight="1">
      <c r="A1584" s="72" t="s">
        <v>5457</v>
      </c>
      <c r="B1584" s="73"/>
      <c r="C1584" s="57" t="s">
        <v>14806</v>
      </c>
      <c r="D1584" s="121">
        <v>50.04223</v>
      </c>
      <c r="E1584" s="121">
        <v>36.360317</v>
      </c>
      <c r="F1584" s="79">
        <v>2.0</v>
      </c>
      <c r="G1584" s="84" t="s">
        <v>15675</v>
      </c>
      <c r="H1584" s="73"/>
      <c r="I1584" s="75"/>
      <c r="J1584" s="71" t="s">
        <v>8164</v>
      </c>
      <c r="K1584" s="69"/>
      <c r="L1584" s="65" t="s">
        <v>3542</v>
      </c>
      <c r="M1584" s="93" t="s">
        <v>5590</v>
      </c>
      <c r="N1584" s="314"/>
      <c r="O1584" s="93" t="s">
        <v>5626</v>
      </c>
      <c r="P1584" s="67" t="str">
        <f t="shared" si="11"/>
        <v>50.04223, 36.360317</v>
      </c>
      <c r="Q1584" s="67" t="str">
        <f t="shared" si="2"/>
        <v>50.04178, 36.360311</v>
      </c>
      <c r="R1584" s="67">
        <f t="shared" si="3"/>
        <v>50.04178</v>
      </c>
      <c r="S1584" s="67">
        <f t="shared" si="4"/>
        <v>36.360311</v>
      </c>
      <c r="T1584" s="161"/>
      <c r="U1584" s="69"/>
      <c r="V1584" s="65" t="s">
        <v>15676</v>
      </c>
      <c r="W1584" s="71" t="s">
        <v>3601</v>
      </c>
      <c r="X1584" s="72" t="s">
        <v>5504</v>
      </c>
      <c r="Y1584" s="61" t="s">
        <v>5820</v>
      </c>
      <c r="Z1584" s="73"/>
      <c r="AA1584" s="73"/>
      <c r="AB1584" s="73"/>
      <c r="AC1584" s="73"/>
      <c r="AD1584" s="73"/>
      <c r="AE1584" s="73"/>
      <c r="AF1584" s="73"/>
      <c r="AG1584" s="73"/>
      <c r="AH1584" s="73"/>
      <c r="AI1584" s="73"/>
      <c r="AJ1584" s="161"/>
      <c r="AK1584" s="76" t="s">
        <v>798</v>
      </c>
      <c r="AL1584" s="83" t="s">
        <v>15677</v>
      </c>
      <c r="AM1584" s="71" t="s">
        <v>15678</v>
      </c>
      <c r="AN1584" s="84" t="s">
        <v>15679</v>
      </c>
      <c r="AO1584" s="71" t="s">
        <v>15680</v>
      </c>
      <c r="AP1584" s="161" t="str">
        <f>IMAGE("https://bellingcat-archive.nyc3.cdn.digitaloceanspaces.com/Ukraine_Witness_Datasheet/Worksheet/youtube_dl_1500729901737029633/out7.jpg")</f>
        <v/>
      </c>
      <c r="AQ1584" s="84" t="s">
        <v>15681</v>
      </c>
      <c r="AR1584" s="71" t="s">
        <v>15673</v>
      </c>
      <c r="AS1584" s="71" t="s">
        <v>15682</v>
      </c>
      <c r="AT1584" s="71">
        <v>9.266</v>
      </c>
      <c r="AU1584" s="89"/>
      <c r="AV1584" s="80" t="s">
        <v>63</v>
      </c>
      <c r="AW1584" s="81"/>
    </row>
    <row r="1585" ht="15.75" customHeight="1">
      <c r="A1585" s="72" t="s">
        <v>5457</v>
      </c>
      <c r="B1585" s="73"/>
      <c r="C1585" s="57" t="s">
        <v>14806</v>
      </c>
      <c r="D1585" s="121">
        <v>50.04223</v>
      </c>
      <c r="E1585" s="121">
        <v>36.360317</v>
      </c>
      <c r="F1585" s="79">
        <v>2.0</v>
      </c>
      <c r="G1585" s="84" t="s">
        <v>15683</v>
      </c>
      <c r="H1585" s="73"/>
      <c r="I1585" s="75"/>
      <c r="J1585" s="71" t="s">
        <v>8164</v>
      </c>
      <c r="K1585" s="69"/>
      <c r="L1585" s="65" t="s">
        <v>3542</v>
      </c>
      <c r="M1585" s="93" t="s">
        <v>5590</v>
      </c>
      <c r="N1585" s="314"/>
      <c r="O1585" s="93" t="s">
        <v>5626</v>
      </c>
      <c r="P1585" s="67" t="str">
        <f t="shared" si="11"/>
        <v>50.04223, 36.360317</v>
      </c>
      <c r="Q1585" s="67" t="str">
        <f t="shared" si="2"/>
        <v>50.041891, 36.361261</v>
      </c>
      <c r="R1585" s="67">
        <f t="shared" si="3"/>
        <v>50.041891</v>
      </c>
      <c r="S1585" s="67">
        <f t="shared" si="4"/>
        <v>36.361261</v>
      </c>
      <c r="T1585" s="84" t="s">
        <v>15684</v>
      </c>
      <c r="U1585" s="69"/>
      <c r="V1585" s="65" t="s">
        <v>15685</v>
      </c>
      <c r="W1585" s="71" t="s">
        <v>3601</v>
      </c>
      <c r="X1585" s="72" t="s">
        <v>5504</v>
      </c>
      <c r="Y1585" s="61" t="s">
        <v>5820</v>
      </c>
      <c r="Z1585" s="73"/>
      <c r="AA1585" s="73"/>
      <c r="AB1585" s="73"/>
      <c r="AC1585" s="73"/>
      <c r="AD1585" s="73"/>
      <c r="AE1585" s="73"/>
      <c r="AF1585" s="73"/>
      <c r="AG1585" s="73"/>
      <c r="AH1585" s="73"/>
      <c r="AI1585" s="73"/>
      <c r="AJ1585" s="161"/>
      <c r="AK1585" s="76" t="s">
        <v>798</v>
      </c>
      <c r="AL1585" s="83" t="s">
        <v>15686</v>
      </c>
      <c r="AM1585" s="71" t="s">
        <v>15687</v>
      </c>
      <c r="AN1585" s="84" t="s">
        <v>15688</v>
      </c>
      <c r="AO1585" s="71" t="s">
        <v>15689</v>
      </c>
      <c r="AP1585" s="161" t="str">
        <f>IMAGE("https://bellingcat-archive.nyc3.cdn.digitaloceanspaces.com/Ukraine_Witness_Datasheet/Worksheet/youtube_dl_1500802723024969730/out7.jpg")</f>
        <v/>
      </c>
      <c r="AQ1585" s="84" t="s">
        <v>15690</v>
      </c>
      <c r="AR1585" s="71" t="s">
        <v>15691</v>
      </c>
      <c r="AS1585" s="71" t="s">
        <v>15692</v>
      </c>
      <c r="AT1585" s="71">
        <v>21.833</v>
      </c>
      <c r="AU1585" s="89"/>
      <c r="AV1585" s="80" t="s">
        <v>63</v>
      </c>
      <c r="AW1585" s="81"/>
    </row>
    <row r="1586" ht="15.75" customHeight="1">
      <c r="A1586" s="72" t="s">
        <v>5457</v>
      </c>
      <c r="B1586" s="73"/>
      <c r="C1586" s="57" t="s">
        <v>15275</v>
      </c>
      <c r="D1586" s="104">
        <v>50.035909</v>
      </c>
      <c r="E1586" s="74">
        <v>36.173642</v>
      </c>
      <c r="F1586" s="79">
        <v>2.0</v>
      </c>
      <c r="G1586" s="84" t="s">
        <v>15693</v>
      </c>
      <c r="H1586" s="73"/>
      <c r="I1586" s="75"/>
      <c r="J1586" s="71" t="s">
        <v>15694</v>
      </c>
      <c r="K1586" s="69"/>
      <c r="L1586" s="65" t="s">
        <v>3542</v>
      </c>
      <c r="M1586" s="93" t="s">
        <v>5590</v>
      </c>
      <c r="N1586" s="314"/>
      <c r="O1586" s="93" t="s">
        <v>5626</v>
      </c>
      <c r="P1586" s="67" t="str">
        <f t="shared" si="11"/>
        <v>50.035909, 36.173642</v>
      </c>
      <c r="Q1586" s="67" t="str">
        <f t="shared" si="2"/>
        <v>50.035501, 36.172913</v>
      </c>
      <c r="R1586" s="67">
        <f t="shared" si="3"/>
        <v>50.035501</v>
      </c>
      <c r="S1586" s="67">
        <f t="shared" si="4"/>
        <v>36.172913</v>
      </c>
      <c r="T1586" s="84" t="s">
        <v>15695</v>
      </c>
      <c r="U1586" s="69"/>
      <c r="V1586" s="65" t="s">
        <v>15696</v>
      </c>
      <c r="W1586" s="71" t="s">
        <v>3601</v>
      </c>
      <c r="X1586" s="72" t="s">
        <v>5504</v>
      </c>
      <c r="Y1586" s="61" t="s">
        <v>5820</v>
      </c>
      <c r="Z1586" s="73"/>
      <c r="AA1586" s="73"/>
      <c r="AB1586" s="73"/>
      <c r="AC1586" s="73"/>
      <c r="AD1586" s="73"/>
      <c r="AE1586" s="73"/>
      <c r="AF1586" s="73"/>
      <c r="AG1586" s="73"/>
      <c r="AH1586" s="73"/>
      <c r="AI1586" s="73"/>
      <c r="AJ1586" s="161"/>
      <c r="AK1586" s="76" t="s">
        <v>798</v>
      </c>
      <c r="AL1586" s="83" t="s">
        <v>15697</v>
      </c>
      <c r="AM1586" s="71" t="s">
        <v>15698</v>
      </c>
      <c r="AN1586" s="84" t="s">
        <v>15699</v>
      </c>
      <c r="AO1586" s="71" t="s">
        <v>15700</v>
      </c>
      <c r="AP1586" s="161" t="str">
        <f>IMAGE("https://bellingcat-archive.nyc3.cdn.digitaloceanspaces.com/Ukraine_Witness_Datasheet/Worksheet/youtube_dl_1500743199853363202/out20.jpg")</f>
        <v/>
      </c>
      <c r="AQ1586" s="84" t="s">
        <v>15701</v>
      </c>
      <c r="AR1586" s="71" t="s">
        <v>15702</v>
      </c>
      <c r="AS1586" s="71" t="s">
        <v>15703</v>
      </c>
      <c r="AT1586" s="71">
        <v>99.266</v>
      </c>
      <c r="AU1586" s="89"/>
      <c r="AV1586" s="80" t="s">
        <v>63</v>
      </c>
      <c r="AW1586" s="81"/>
    </row>
    <row r="1587" ht="15.75" customHeight="1">
      <c r="B1587" s="73"/>
      <c r="C1587" s="57" t="s">
        <v>15704</v>
      </c>
      <c r="D1587" s="121"/>
      <c r="E1587" s="121"/>
      <c r="F1587" s="89"/>
      <c r="G1587" s="84" t="s">
        <v>15705</v>
      </c>
      <c r="H1587" s="73"/>
      <c r="I1587" s="75"/>
      <c r="J1587" s="161"/>
      <c r="K1587" s="69"/>
      <c r="L1587" s="70"/>
      <c r="M1587" s="314"/>
      <c r="N1587" s="314"/>
      <c r="O1587" s="314"/>
      <c r="P1587" s="67" t="str">
        <f t="shared" si="11"/>
        <v/>
      </c>
      <c r="Q1587" s="67" t="str">
        <f t="shared" si="2"/>
        <v/>
      </c>
      <c r="R1587" s="67" t="str">
        <f t="shared" si="3"/>
        <v/>
      </c>
      <c r="S1587" s="67" t="str">
        <f t="shared" si="4"/>
        <v/>
      </c>
      <c r="T1587" s="161"/>
      <c r="U1587" s="69"/>
      <c r="V1587" s="65" t="s">
        <v>15706</v>
      </c>
      <c r="W1587" s="161"/>
      <c r="X1587" s="194"/>
      <c r="Y1587" s="73"/>
      <c r="Z1587" s="73"/>
      <c r="AA1587" s="73"/>
      <c r="AB1587" s="73"/>
      <c r="AC1587" s="73"/>
      <c r="AD1587" s="73"/>
      <c r="AE1587" s="73"/>
      <c r="AF1587" s="73"/>
      <c r="AG1587" s="73"/>
      <c r="AH1587" s="73"/>
      <c r="AI1587" s="73"/>
      <c r="AJ1587" s="161"/>
      <c r="AK1587" s="76" t="s">
        <v>798</v>
      </c>
      <c r="AL1587" s="83" t="s">
        <v>15707</v>
      </c>
      <c r="AM1587" s="71" t="s">
        <v>15708</v>
      </c>
      <c r="AN1587" s="84" t="s">
        <v>15709</v>
      </c>
      <c r="AO1587" s="71" t="s">
        <v>15710</v>
      </c>
      <c r="AP1587" s="161" t="str">
        <f>IMAGE("https://bellingcat-archive.nyc3.cdn.digitaloceanspaces.com/Ukraine_Witness_Datasheet/Worksheet/youtube_dl_1500731472189263879/out7.jpg")</f>
        <v/>
      </c>
      <c r="AQ1587" s="84" t="s">
        <v>15711</v>
      </c>
      <c r="AR1587" s="71" t="s">
        <v>15712</v>
      </c>
      <c r="AS1587" s="71" t="s">
        <v>15713</v>
      </c>
      <c r="AT1587" s="71">
        <v>32.2</v>
      </c>
      <c r="AU1587" s="89"/>
      <c r="AV1587" s="162"/>
      <c r="AW1587" s="81"/>
    </row>
    <row r="1588" ht="15.75" customHeight="1">
      <c r="A1588" s="72" t="s">
        <v>5457</v>
      </c>
      <c r="B1588" s="73"/>
      <c r="C1588" s="57" t="s">
        <v>15275</v>
      </c>
      <c r="D1588" s="104">
        <v>50.011427</v>
      </c>
      <c r="E1588" s="74">
        <v>36.234289</v>
      </c>
      <c r="F1588" s="79">
        <v>1.0</v>
      </c>
      <c r="G1588" s="84" t="s">
        <v>15714</v>
      </c>
      <c r="H1588" s="73"/>
      <c r="I1588" s="75"/>
      <c r="J1588" s="71" t="s">
        <v>15694</v>
      </c>
      <c r="K1588" s="69"/>
      <c r="L1588" s="65" t="s">
        <v>3542</v>
      </c>
      <c r="M1588" s="93" t="s">
        <v>5590</v>
      </c>
      <c r="N1588" s="314"/>
      <c r="O1588" s="93" t="s">
        <v>5626</v>
      </c>
      <c r="P1588" s="67" t="str">
        <f t="shared" si="11"/>
        <v>50.011427, 36.234289</v>
      </c>
      <c r="Q1588" s="67" t="str">
        <f t="shared" si="2"/>
        <v>50.011015, 36.233643</v>
      </c>
      <c r="R1588" s="67">
        <f t="shared" si="3"/>
        <v>50.011015</v>
      </c>
      <c r="S1588" s="67">
        <f t="shared" si="4"/>
        <v>36.233643</v>
      </c>
      <c r="T1588" s="161"/>
      <c r="U1588" s="69"/>
      <c r="V1588" s="65" t="s">
        <v>15715</v>
      </c>
      <c r="W1588" s="71" t="s">
        <v>3601</v>
      </c>
      <c r="X1588" s="72" t="s">
        <v>5504</v>
      </c>
      <c r="Y1588" s="61" t="s">
        <v>5820</v>
      </c>
      <c r="Z1588" s="73"/>
      <c r="AA1588" s="73"/>
      <c r="AB1588" s="73"/>
      <c r="AC1588" s="73"/>
      <c r="AD1588" s="73"/>
      <c r="AE1588" s="73"/>
      <c r="AF1588" s="73"/>
      <c r="AG1588" s="73"/>
      <c r="AH1588" s="73"/>
      <c r="AI1588" s="73"/>
      <c r="AJ1588" s="161"/>
      <c r="AK1588" s="76" t="s">
        <v>798</v>
      </c>
      <c r="AL1588" s="83" t="s">
        <v>15716</v>
      </c>
      <c r="AM1588" s="71" t="s">
        <v>15717</v>
      </c>
      <c r="AN1588" s="84" t="s">
        <v>15718</v>
      </c>
      <c r="AO1588" s="71" t="s">
        <v>15719</v>
      </c>
      <c r="AP1588" s="161" t="str">
        <f>IMAGE("https://bellingcat-archive.nyc3.cdn.digitaloceanspaces.com/Ukraine_Witness_Datasheet/Worksheet/youtube_dl_1500727269458944001/out7.jpg")</f>
        <v/>
      </c>
      <c r="AQ1588" s="84" t="s">
        <v>15720</v>
      </c>
      <c r="AR1588" s="71" t="s">
        <v>15721</v>
      </c>
      <c r="AS1588" s="71" t="s">
        <v>15722</v>
      </c>
      <c r="AT1588" s="71">
        <v>13.533</v>
      </c>
      <c r="AU1588" s="89"/>
      <c r="AV1588" s="80" t="s">
        <v>3944</v>
      </c>
      <c r="AW1588" s="81"/>
    </row>
    <row r="1589" ht="15.75" customHeight="1">
      <c r="A1589" s="204" t="s">
        <v>63</v>
      </c>
      <c r="B1589" s="73"/>
      <c r="C1589" s="57" t="s">
        <v>15275</v>
      </c>
      <c r="D1589" s="74">
        <v>50.768229</v>
      </c>
      <c r="E1589" s="74">
        <v>29.24071</v>
      </c>
      <c r="F1589" s="79">
        <v>2.0</v>
      </c>
      <c r="G1589" s="84" t="s">
        <v>15723</v>
      </c>
      <c r="H1589" s="73"/>
      <c r="I1589" s="75"/>
      <c r="J1589" s="71" t="s">
        <v>15724</v>
      </c>
      <c r="K1589" s="69"/>
      <c r="L1589" s="65" t="s">
        <v>3542</v>
      </c>
      <c r="M1589" s="92" t="s">
        <v>9200</v>
      </c>
      <c r="N1589" s="314"/>
      <c r="O1589" s="93" t="s">
        <v>15440</v>
      </c>
      <c r="P1589" s="67" t="str">
        <f t="shared" si="11"/>
        <v>50.768229, 29.24071</v>
      </c>
      <c r="Q1589" s="67" t="str">
        <f t="shared" si="2"/>
        <v>50.767765, 29.240632</v>
      </c>
      <c r="R1589" s="67">
        <f t="shared" si="3"/>
        <v>50.767765</v>
      </c>
      <c r="S1589" s="67">
        <f t="shared" si="4"/>
        <v>29.240632</v>
      </c>
      <c r="T1589" s="161"/>
      <c r="U1589" s="69"/>
      <c r="V1589" s="65" t="s">
        <v>15725</v>
      </c>
      <c r="W1589" s="71" t="s">
        <v>3601</v>
      </c>
      <c r="X1589" s="72" t="s">
        <v>2982</v>
      </c>
      <c r="Y1589" s="61" t="s">
        <v>5820</v>
      </c>
      <c r="Z1589" s="73"/>
      <c r="AA1589" s="73"/>
      <c r="AB1589" s="73"/>
      <c r="AC1589" s="73"/>
      <c r="AD1589" s="73"/>
      <c r="AE1589" s="73"/>
      <c r="AF1589" s="73"/>
      <c r="AG1589" s="73"/>
      <c r="AH1589" s="73"/>
      <c r="AI1589" s="73"/>
      <c r="AJ1589" s="161"/>
      <c r="AK1589" s="76" t="s">
        <v>2108</v>
      </c>
      <c r="AL1589" s="83" t="s">
        <v>15726</v>
      </c>
      <c r="AM1589" s="71" t="s">
        <v>15727</v>
      </c>
      <c r="AN1589" s="84" t="s">
        <v>15728</v>
      </c>
      <c r="AO1589" s="71" t="s">
        <v>15729</v>
      </c>
      <c r="AP1589" s="161" t="str">
        <f>IMAGE("https://bellingcat-archive.nyc3.cdn.digitaloceanspaces.com/Ukraine_Witness_Datasheet/Worksheet/twitter__media_FNOfkPHXsAEpEdp.jpg")</f>
        <v/>
      </c>
      <c r="AQ1589" s="161"/>
      <c r="AR1589" s="161"/>
      <c r="AS1589" s="71" t="s">
        <v>15730</v>
      </c>
      <c r="AT1589" s="161"/>
      <c r="AU1589" s="89"/>
      <c r="AV1589" s="80" t="s">
        <v>3944</v>
      </c>
      <c r="AW1589" s="81"/>
    </row>
    <row r="1590" ht="15.75" customHeight="1">
      <c r="A1590" s="208"/>
      <c r="B1590" s="73"/>
      <c r="C1590" s="57" t="s">
        <v>15704</v>
      </c>
      <c r="D1590" s="121"/>
      <c r="E1590" s="121"/>
      <c r="F1590" s="89"/>
      <c r="G1590" s="84" t="s">
        <v>15731</v>
      </c>
      <c r="H1590" s="73"/>
      <c r="I1590" s="75"/>
      <c r="J1590" s="161"/>
      <c r="K1590" s="69"/>
      <c r="L1590" s="70"/>
      <c r="M1590" s="314"/>
      <c r="N1590" s="314"/>
      <c r="O1590" s="314"/>
      <c r="P1590" s="67" t="str">
        <f t="shared" si="11"/>
        <v/>
      </c>
      <c r="Q1590" s="67" t="str">
        <f t="shared" si="2"/>
        <v/>
      </c>
      <c r="R1590" s="67" t="str">
        <f t="shared" si="3"/>
        <v/>
      </c>
      <c r="S1590" s="67" t="str">
        <f t="shared" si="4"/>
        <v/>
      </c>
      <c r="T1590" s="161"/>
      <c r="U1590" s="69"/>
      <c r="V1590" s="65" t="s">
        <v>15732</v>
      </c>
      <c r="W1590" s="161"/>
      <c r="X1590" s="194"/>
      <c r="Y1590" s="73"/>
      <c r="Z1590" s="73"/>
      <c r="AA1590" s="73"/>
      <c r="AB1590" s="73"/>
      <c r="AC1590" s="73"/>
      <c r="AD1590" s="73"/>
      <c r="AE1590" s="73"/>
      <c r="AF1590" s="73"/>
      <c r="AG1590" s="73"/>
      <c r="AH1590" s="73"/>
      <c r="AI1590" s="73"/>
      <c r="AJ1590" s="161"/>
      <c r="AK1590" s="76" t="s">
        <v>798</v>
      </c>
      <c r="AL1590" s="83" t="s">
        <v>15733</v>
      </c>
      <c r="AM1590" s="71" t="s">
        <v>15734</v>
      </c>
      <c r="AN1590" s="84" t="s">
        <v>15735</v>
      </c>
      <c r="AO1590" s="71" t="s">
        <v>15736</v>
      </c>
      <c r="AP1590" s="161" t="str">
        <f>IMAGE("https://bellingcat-archive.nyc3.cdn.digitaloceanspaces.com/Ukraine_Witness_Datasheet/Worksheet/youtube_dl_1500717628016545793/out7.jpg")</f>
        <v/>
      </c>
      <c r="AQ1590" s="84" t="s">
        <v>15737</v>
      </c>
      <c r="AR1590" s="71" t="s">
        <v>15738</v>
      </c>
      <c r="AS1590" s="71" t="s">
        <v>15739</v>
      </c>
      <c r="AT1590" s="71">
        <v>31.633</v>
      </c>
      <c r="AU1590" s="79" t="s">
        <v>63</v>
      </c>
      <c r="AV1590" s="162"/>
      <c r="AW1590" s="81"/>
    </row>
    <row r="1591" ht="15.75" customHeight="1">
      <c r="A1591" s="208"/>
      <c r="B1591" s="73"/>
      <c r="C1591" s="57" t="s">
        <v>15704</v>
      </c>
      <c r="D1591" s="121"/>
      <c r="E1591" s="121"/>
      <c r="F1591" s="89"/>
      <c r="G1591" s="84" t="s">
        <v>15740</v>
      </c>
      <c r="H1591" s="73"/>
      <c r="I1591" s="75"/>
      <c r="J1591" s="161"/>
      <c r="K1591" s="69"/>
      <c r="L1591" s="70"/>
      <c r="M1591" s="314"/>
      <c r="N1591" s="314"/>
      <c r="O1591" s="314"/>
      <c r="P1591" s="67" t="str">
        <f t="shared" si="11"/>
        <v/>
      </c>
      <c r="Q1591" s="67" t="str">
        <f t="shared" si="2"/>
        <v/>
      </c>
      <c r="R1591" s="67" t="str">
        <f t="shared" si="3"/>
        <v/>
      </c>
      <c r="S1591" s="67" t="str">
        <f t="shared" si="4"/>
        <v/>
      </c>
      <c r="T1591" s="161"/>
      <c r="U1591" s="69"/>
      <c r="V1591" s="65" t="s">
        <v>15741</v>
      </c>
      <c r="W1591" s="161"/>
      <c r="X1591" s="194"/>
      <c r="Y1591" s="73"/>
      <c r="Z1591" s="73"/>
      <c r="AA1591" s="73"/>
      <c r="AB1591" s="73"/>
      <c r="AC1591" s="73"/>
      <c r="AD1591" s="73"/>
      <c r="AE1591" s="73"/>
      <c r="AF1591" s="73"/>
      <c r="AG1591" s="73"/>
      <c r="AH1591" s="73"/>
      <c r="AI1591" s="73"/>
      <c r="AJ1591" s="161"/>
      <c r="AK1591" s="76" t="s">
        <v>798</v>
      </c>
      <c r="AL1591" s="83" t="s">
        <v>15742</v>
      </c>
      <c r="AM1591" s="71" t="s">
        <v>15743</v>
      </c>
      <c r="AN1591" s="84" t="s">
        <v>15744</v>
      </c>
      <c r="AO1591" s="71" t="s">
        <v>15745</v>
      </c>
      <c r="AP1591" s="161" t="str">
        <f t="shared" ref="AP1591:AP1592" si="13">IMAGE("https://bellingcat-archive.nyc3.cdn.digitaloceanspaces.com/Ukraine_Witness_Datasheet/Worksheet/youtube_dl_1500831170749255681/out7.jpg")</f>
        <v/>
      </c>
      <c r="AQ1591" s="84" t="s">
        <v>15746</v>
      </c>
      <c r="AR1591" s="71" t="s">
        <v>15747</v>
      </c>
      <c r="AS1591" s="71" t="s">
        <v>15748</v>
      </c>
      <c r="AT1591" s="71">
        <v>30.533</v>
      </c>
      <c r="AU1591" s="89"/>
      <c r="AV1591" s="162"/>
      <c r="AW1591" s="81"/>
    </row>
    <row r="1592" ht="15.75" customHeight="1">
      <c r="A1592" s="72" t="s">
        <v>5457</v>
      </c>
      <c r="B1592" s="73"/>
      <c r="C1592" s="57" t="s">
        <v>15275</v>
      </c>
      <c r="D1592" s="104">
        <v>46.841921</v>
      </c>
      <c r="E1592" s="104">
        <v>32.005158</v>
      </c>
      <c r="F1592" s="79">
        <v>2.0</v>
      </c>
      <c r="G1592" s="130" t="s">
        <v>15749</v>
      </c>
      <c r="H1592" s="73"/>
      <c r="I1592" s="75"/>
      <c r="J1592" s="71" t="s">
        <v>15750</v>
      </c>
      <c r="K1592" s="69"/>
      <c r="L1592" s="65" t="s">
        <v>3542</v>
      </c>
      <c r="M1592" s="93" t="s">
        <v>6563</v>
      </c>
      <c r="N1592" s="314"/>
      <c r="O1592" s="92" t="s">
        <v>15751</v>
      </c>
      <c r="P1592" s="67" t="str">
        <f t="shared" si="11"/>
        <v>46.841921, 32.005158</v>
      </c>
      <c r="Q1592" s="67" t="str">
        <f t="shared" si="2"/>
        <v>46.841299, 32.005003</v>
      </c>
      <c r="R1592" s="67">
        <f t="shared" si="3"/>
        <v>46.841299</v>
      </c>
      <c r="S1592" s="67">
        <f t="shared" si="4"/>
        <v>32.005003</v>
      </c>
      <c r="T1592" s="71" t="s">
        <v>15752</v>
      </c>
      <c r="U1592" s="69"/>
      <c r="V1592" s="65" t="s">
        <v>15753</v>
      </c>
      <c r="W1592" s="71" t="s">
        <v>9711</v>
      </c>
      <c r="X1592" s="72" t="s">
        <v>5504</v>
      </c>
      <c r="Y1592" s="61" t="s">
        <v>75</v>
      </c>
      <c r="Z1592" s="61" t="s">
        <v>14788</v>
      </c>
      <c r="AA1592" s="73"/>
      <c r="AB1592" s="73"/>
      <c r="AC1592" s="73"/>
      <c r="AD1592" s="73"/>
      <c r="AE1592" s="73"/>
      <c r="AF1592" s="73"/>
      <c r="AG1592" s="73"/>
      <c r="AH1592" s="73"/>
      <c r="AI1592" s="73"/>
      <c r="AJ1592" s="161"/>
      <c r="AK1592" s="76" t="s">
        <v>930</v>
      </c>
      <c r="AL1592" s="83" t="s">
        <v>15742</v>
      </c>
      <c r="AM1592" s="71" t="s">
        <v>15754</v>
      </c>
      <c r="AN1592" s="84" t="s">
        <v>15755</v>
      </c>
      <c r="AO1592" s="71" t="s">
        <v>15745</v>
      </c>
      <c r="AP1592" s="161" t="str">
        <f t="shared" si="13"/>
        <v/>
      </c>
      <c r="AQ1592" s="84" t="s">
        <v>15746</v>
      </c>
      <c r="AR1592" s="71" t="s">
        <v>15747</v>
      </c>
      <c r="AS1592" s="71" t="s">
        <v>15748</v>
      </c>
      <c r="AT1592" s="71">
        <v>30.533</v>
      </c>
      <c r="AU1592" s="89"/>
      <c r="AV1592" s="80" t="s">
        <v>63</v>
      </c>
      <c r="AW1592" s="81"/>
    </row>
    <row r="1593" ht="15.75" customHeight="1">
      <c r="A1593" s="17" t="s">
        <v>63</v>
      </c>
      <c r="B1593" s="73"/>
      <c r="C1593" s="57" t="s">
        <v>13542</v>
      </c>
      <c r="D1593" s="300">
        <v>50.024798</v>
      </c>
      <c r="E1593" s="300">
        <v>36.218957</v>
      </c>
      <c r="F1593" s="79">
        <v>1.0</v>
      </c>
      <c r="G1593" s="84" t="s">
        <v>15756</v>
      </c>
      <c r="H1593" s="73"/>
      <c r="I1593" s="75"/>
      <c r="J1593" s="71" t="s">
        <v>15694</v>
      </c>
      <c r="K1593" s="69"/>
      <c r="L1593" s="65" t="s">
        <v>3542</v>
      </c>
      <c r="M1593" s="93" t="s">
        <v>5590</v>
      </c>
      <c r="N1593" s="314"/>
      <c r="O1593" s="93" t="s">
        <v>5626</v>
      </c>
      <c r="P1593" s="67" t="str">
        <f t="shared" si="11"/>
        <v>50.024798, 36.218957</v>
      </c>
      <c r="Q1593" s="67" t="str">
        <f t="shared" si="2"/>
        <v>50.024397, 36.217998</v>
      </c>
      <c r="R1593" s="67">
        <f t="shared" si="3"/>
        <v>50.024397</v>
      </c>
      <c r="S1593" s="67">
        <f t="shared" si="4"/>
        <v>36.217998</v>
      </c>
      <c r="T1593" s="161"/>
      <c r="U1593" s="69"/>
      <c r="V1593" s="65" t="s">
        <v>15757</v>
      </c>
      <c r="W1593" s="71" t="s">
        <v>3601</v>
      </c>
      <c r="X1593" s="513"/>
      <c r="Y1593" s="61" t="s">
        <v>5820</v>
      </c>
      <c r="Z1593" s="73"/>
      <c r="AA1593" s="73"/>
      <c r="AB1593" s="73"/>
      <c r="AC1593" s="73"/>
      <c r="AD1593" s="73"/>
      <c r="AE1593" s="73"/>
      <c r="AF1593" s="73"/>
      <c r="AG1593" s="73"/>
      <c r="AH1593" s="73"/>
      <c r="AI1593" s="73"/>
      <c r="AJ1593" s="161"/>
      <c r="AK1593" s="76" t="s">
        <v>798</v>
      </c>
      <c r="AL1593" s="83" t="s">
        <v>15758</v>
      </c>
      <c r="AM1593" s="71" t="s">
        <v>15759</v>
      </c>
      <c r="AN1593" s="84" t="s">
        <v>15760</v>
      </c>
      <c r="AO1593" s="71" t="s">
        <v>15761</v>
      </c>
      <c r="AP1593" s="161" t="str">
        <f>IMAGE("https://bellingcat-archive.nyc3.cdn.digitaloceanspaces.com/Ukraine_Witness_Datasheet/Worksheet/youtube_dl_1500713592064204800/out7.jpg")</f>
        <v/>
      </c>
      <c r="AQ1593" s="84" t="s">
        <v>15762</v>
      </c>
      <c r="AR1593" s="71" t="s">
        <v>15763</v>
      </c>
      <c r="AS1593" s="71" t="s">
        <v>15764</v>
      </c>
      <c r="AT1593" s="71">
        <v>15.7</v>
      </c>
      <c r="AU1593" s="89"/>
      <c r="AV1593" s="162"/>
      <c r="AW1593" s="81"/>
    </row>
    <row r="1594" ht="15.75" customHeight="1">
      <c r="A1594" s="17" t="s">
        <v>63</v>
      </c>
      <c r="B1594" s="73"/>
      <c r="C1594" s="57" t="s">
        <v>15275</v>
      </c>
      <c r="D1594" s="300">
        <v>50.059978</v>
      </c>
      <c r="E1594" s="300">
        <v>36.196466</v>
      </c>
      <c r="F1594" s="79">
        <v>1.0</v>
      </c>
      <c r="G1594" s="84" t="s">
        <v>15765</v>
      </c>
      <c r="H1594" s="73"/>
      <c r="I1594" s="75"/>
      <c r="J1594" s="71" t="s">
        <v>15766</v>
      </c>
      <c r="K1594" s="69"/>
      <c r="L1594" s="65" t="s">
        <v>3542</v>
      </c>
      <c r="M1594" s="93" t="s">
        <v>5590</v>
      </c>
      <c r="N1594" s="314"/>
      <c r="O1594" s="93" t="s">
        <v>5626</v>
      </c>
      <c r="P1594" s="67" t="str">
        <f t="shared" si="11"/>
        <v>50.059978, 36.196466</v>
      </c>
      <c r="Q1594" s="67" t="str">
        <f t="shared" si="2"/>
        <v>50.059719, 36.196096</v>
      </c>
      <c r="R1594" s="67">
        <f t="shared" si="3"/>
        <v>50.059719</v>
      </c>
      <c r="S1594" s="67">
        <f t="shared" si="4"/>
        <v>36.196096</v>
      </c>
      <c r="T1594" s="161"/>
      <c r="U1594" s="69"/>
      <c r="V1594" s="65" t="s">
        <v>15767</v>
      </c>
      <c r="W1594" s="71" t="s">
        <v>3601</v>
      </c>
      <c r="X1594" s="513"/>
      <c r="Y1594" s="61" t="s">
        <v>5820</v>
      </c>
      <c r="Z1594" s="73"/>
      <c r="AA1594" s="73"/>
      <c r="AB1594" s="73"/>
      <c r="AC1594" s="73"/>
      <c r="AD1594" s="73"/>
      <c r="AE1594" s="73"/>
      <c r="AF1594" s="73"/>
      <c r="AG1594" s="73"/>
      <c r="AH1594" s="73"/>
      <c r="AI1594" s="73"/>
      <c r="AJ1594" s="161"/>
      <c r="AK1594" s="76" t="s">
        <v>2108</v>
      </c>
      <c r="AL1594" s="83" t="s">
        <v>15768</v>
      </c>
      <c r="AM1594" s="71" t="s">
        <v>15769</v>
      </c>
      <c r="AN1594" s="84" t="s">
        <v>15770</v>
      </c>
      <c r="AO1594" s="71" t="s">
        <v>15771</v>
      </c>
      <c r="AP1594" s="161" t="str">
        <f>IMAGE("https://bellingcat-archive.nyc3.cdn.digitaloceanspaces.com/Ukraine_Witness_Datasheet/Worksheet/twitter__media_FNOaGIwWQAENPDZ.jpg")</f>
        <v/>
      </c>
      <c r="AQ1594" s="161"/>
      <c r="AR1594" s="161"/>
      <c r="AS1594" s="71" t="s">
        <v>15772</v>
      </c>
      <c r="AT1594" s="161"/>
      <c r="AU1594" s="89"/>
      <c r="AV1594" s="162"/>
      <c r="AW1594" s="81"/>
    </row>
    <row r="1595" ht="15.75" customHeight="1">
      <c r="A1595" s="204" t="s">
        <v>63</v>
      </c>
      <c r="B1595" s="73"/>
      <c r="C1595" s="57" t="s">
        <v>15275</v>
      </c>
      <c r="D1595" s="74">
        <v>50.034942</v>
      </c>
      <c r="E1595" s="74">
        <v>36.22986</v>
      </c>
      <c r="F1595" s="79">
        <v>1.0</v>
      </c>
      <c r="G1595" s="84" t="s">
        <v>15773</v>
      </c>
      <c r="H1595" s="61" t="s">
        <v>5522</v>
      </c>
      <c r="I1595" s="75"/>
      <c r="J1595" s="71" t="s">
        <v>15694</v>
      </c>
      <c r="K1595" s="69"/>
      <c r="L1595" s="65" t="s">
        <v>3542</v>
      </c>
      <c r="M1595" s="93" t="s">
        <v>5590</v>
      </c>
      <c r="N1595" s="314"/>
      <c r="O1595" s="93" t="s">
        <v>5626</v>
      </c>
      <c r="P1595" s="67" t="str">
        <f t="shared" si="11"/>
        <v>50.034942, 36.22986</v>
      </c>
      <c r="Q1595" s="67" t="str">
        <f t="shared" si="2"/>
        <v>50.034894, 36.230769</v>
      </c>
      <c r="R1595" s="67">
        <f t="shared" si="3"/>
        <v>50.034894</v>
      </c>
      <c r="S1595" s="67">
        <f t="shared" si="4"/>
        <v>36.230769</v>
      </c>
      <c r="T1595" s="161"/>
      <c r="U1595" s="69"/>
      <c r="V1595" s="65" t="s">
        <v>15774</v>
      </c>
      <c r="W1595" s="71" t="s">
        <v>3601</v>
      </c>
      <c r="X1595" s="72" t="s">
        <v>5504</v>
      </c>
      <c r="Y1595" s="61" t="s">
        <v>5820</v>
      </c>
      <c r="Z1595" s="73"/>
      <c r="AA1595" s="73"/>
      <c r="AB1595" s="73"/>
      <c r="AC1595" s="73"/>
      <c r="AD1595" s="73"/>
      <c r="AE1595" s="73"/>
      <c r="AF1595" s="73"/>
      <c r="AG1595" s="73"/>
      <c r="AH1595" s="73"/>
      <c r="AI1595" s="73"/>
      <c r="AJ1595" s="161"/>
      <c r="AK1595" s="76" t="s">
        <v>798</v>
      </c>
      <c r="AL1595" s="83" t="s">
        <v>15775</v>
      </c>
      <c r="AM1595" s="71" t="s">
        <v>15776</v>
      </c>
      <c r="AN1595" s="84" t="s">
        <v>15777</v>
      </c>
      <c r="AO1595" s="71" t="s">
        <v>15778</v>
      </c>
      <c r="AP1595" s="161" t="str">
        <f>IMAGE("https://bellingcat-archive.nyc3.cdn.digitaloceanspaces.com/Ukraine_Witness_Datasheet/Worksheet/youtube_dl_1500743554448113664/out7.jpg")</f>
        <v/>
      </c>
      <c r="AQ1595" s="84" t="s">
        <v>15779</v>
      </c>
      <c r="AR1595" s="71" t="s">
        <v>15780</v>
      </c>
      <c r="AS1595" s="71" t="s">
        <v>15781</v>
      </c>
      <c r="AT1595" s="71">
        <v>17.8</v>
      </c>
      <c r="AU1595" s="79" t="s">
        <v>63</v>
      </c>
      <c r="AV1595" s="80" t="s">
        <v>3944</v>
      </c>
      <c r="AW1595" s="81"/>
    </row>
    <row r="1596" ht="15.75" customHeight="1">
      <c r="A1596" s="204" t="s">
        <v>63</v>
      </c>
      <c r="B1596" s="73"/>
      <c r="C1596" s="57" t="s">
        <v>15275</v>
      </c>
      <c r="D1596" s="74">
        <v>49.980568</v>
      </c>
      <c r="E1596" s="74">
        <v>36.38765</v>
      </c>
      <c r="F1596" s="79">
        <v>1.0</v>
      </c>
      <c r="G1596" s="84" t="s">
        <v>15782</v>
      </c>
      <c r="H1596" s="61" t="s">
        <v>5522</v>
      </c>
      <c r="I1596" s="75"/>
      <c r="J1596" s="71" t="s">
        <v>15783</v>
      </c>
      <c r="K1596" s="69"/>
      <c r="L1596" s="65" t="s">
        <v>3542</v>
      </c>
      <c r="M1596" s="93" t="s">
        <v>5590</v>
      </c>
      <c r="N1596" s="314"/>
      <c r="O1596" s="92" t="s">
        <v>5626</v>
      </c>
      <c r="P1596" s="67" t="str">
        <f t="shared" si="11"/>
        <v>49.980568, 36.38765</v>
      </c>
      <c r="Q1596" s="67" t="str">
        <f t="shared" si="2"/>
        <v>49.979942, 36.388011</v>
      </c>
      <c r="R1596" s="67">
        <f t="shared" si="3"/>
        <v>49.979942</v>
      </c>
      <c r="S1596" s="67">
        <f t="shared" si="4"/>
        <v>36.388011</v>
      </c>
      <c r="T1596" s="161"/>
      <c r="U1596" s="69"/>
      <c r="V1596" s="65" t="s">
        <v>15784</v>
      </c>
      <c r="W1596" s="71" t="s">
        <v>3601</v>
      </c>
      <c r="X1596" s="72" t="s">
        <v>5504</v>
      </c>
      <c r="Y1596" s="61" t="s">
        <v>5820</v>
      </c>
      <c r="Z1596" s="73"/>
      <c r="AA1596" s="73"/>
      <c r="AB1596" s="73"/>
      <c r="AC1596" s="73"/>
      <c r="AD1596" s="73"/>
      <c r="AE1596" s="73"/>
      <c r="AF1596" s="73"/>
      <c r="AG1596" s="73"/>
      <c r="AH1596" s="73"/>
      <c r="AI1596" s="73"/>
      <c r="AJ1596" s="161"/>
      <c r="AK1596" s="76" t="s">
        <v>798</v>
      </c>
      <c r="AL1596" s="83" t="s">
        <v>15785</v>
      </c>
      <c r="AM1596" s="71" t="s">
        <v>15786</v>
      </c>
      <c r="AN1596" s="84" t="s">
        <v>15787</v>
      </c>
      <c r="AO1596" s="71" t="s">
        <v>15788</v>
      </c>
      <c r="AP1596" s="161" t="str">
        <f>IMAGE("https://bellingcat-archive.nyc3.cdn.digitaloceanspaces.com/Ukraine_Witness_Datasheet/Worksheet/youtube_dl_1500816704959565824/out7.jpg")</f>
        <v/>
      </c>
      <c r="AQ1596" s="84" t="s">
        <v>15789</v>
      </c>
      <c r="AR1596" s="71" t="s">
        <v>15790</v>
      </c>
      <c r="AS1596" s="71" t="s">
        <v>15791</v>
      </c>
      <c r="AT1596" s="71">
        <v>29.966</v>
      </c>
      <c r="AU1596" s="79" t="s">
        <v>63</v>
      </c>
      <c r="AV1596" s="80" t="s">
        <v>3944</v>
      </c>
      <c r="AW1596" s="81"/>
    </row>
    <row r="1597" ht="15.75" customHeight="1">
      <c r="A1597" s="204" t="s">
        <v>63</v>
      </c>
      <c r="B1597" s="73"/>
      <c r="C1597" s="57" t="s">
        <v>15275</v>
      </c>
      <c r="D1597" s="74">
        <v>50.036407</v>
      </c>
      <c r="E1597" s="74">
        <v>36.228683</v>
      </c>
      <c r="F1597" s="79">
        <v>1.0</v>
      </c>
      <c r="G1597" s="84" t="s">
        <v>15792</v>
      </c>
      <c r="H1597" s="61" t="s">
        <v>5522</v>
      </c>
      <c r="I1597" s="75"/>
      <c r="J1597" s="71" t="s">
        <v>8164</v>
      </c>
      <c r="K1597" s="69"/>
      <c r="L1597" s="65" t="s">
        <v>3542</v>
      </c>
      <c r="M1597" s="93" t="s">
        <v>5590</v>
      </c>
      <c r="N1597" s="314"/>
      <c r="O1597" s="92" t="s">
        <v>5626</v>
      </c>
      <c r="P1597" s="67" t="str">
        <f t="shared" si="11"/>
        <v>50.036407, 36.228683</v>
      </c>
      <c r="Q1597" s="67" t="str">
        <f t="shared" si="2"/>
        <v>50.035695, 36.228589</v>
      </c>
      <c r="R1597" s="67">
        <f t="shared" si="3"/>
        <v>50.035695</v>
      </c>
      <c r="S1597" s="67">
        <f t="shared" si="4"/>
        <v>36.228589</v>
      </c>
      <c r="T1597" s="161"/>
      <c r="U1597" s="69"/>
      <c r="V1597" s="65" t="s">
        <v>15793</v>
      </c>
      <c r="W1597" s="71" t="s">
        <v>3601</v>
      </c>
      <c r="X1597" s="72" t="s">
        <v>5504</v>
      </c>
      <c r="Y1597" s="61" t="s">
        <v>5820</v>
      </c>
      <c r="Z1597" s="73"/>
      <c r="AA1597" s="73"/>
      <c r="AB1597" s="73"/>
      <c r="AC1597" s="73"/>
      <c r="AD1597" s="73"/>
      <c r="AE1597" s="73"/>
      <c r="AF1597" s="73"/>
      <c r="AG1597" s="73"/>
      <c r="AH1597" s="73"/>
      <c r="AI1597" s="73"/>
      <c r="AJ1597" s="161"/>
      <c r="AK1597" s="76" t="s">
        <v>798</v>
      </c>
      <c r="AL1597" s="83" t="s">
        <v>15794</v>
      </c>
      <c r="AM1597" s="71" t="s">
        <v>15795</v>
      </c>
      <c r="AN1597" s="84" t="s">
        <v>15796</v>
      </c>
      <c r="AO1597" s="71" t="s">
        <v>15797</v>
      </c>
      <c r="AP1597" s="161" t="str">
        <f>IMAGE("https://bellingcat-archive.nyc3.cdn.digitaloceanspaces.com/Ukraine_Witness_Datasheet/Worksheet/youtube_dl_1500836900105564163/out7.jpg")</f>
        <v/>
      </c>
      <c r="AQ1597" s="84" t="s">
        <v>15798</v>
      </c>
      <c r="AR1597" s="71" t="s">
        <v>15799</v>
      </c>
      <c r="AS1597" s="71" t="s">
        <v>15800</v>
      </c>
      <c r="AT1597" s="71">
        <v>17.766</v>
      </c>
      <c r="AU1597" s="79" t="s">
        <v>63</v>
      </c>
      <c r="AV1597" s="80" t="s">
        <v>3944</v>
      </c>
      <c r="AW1597" s="81"/>
    </row>
    <row r="1598" ht="15.75" customHeight="1">
      <c r="A1598" s="204" t="s">
        <v>63</v>
      </c>
      <c r="B1598" s="73"/>
      <c r="C1598" s="57" t="s">
        <v>15275</v>
      </c>
      <c r="D1598" s="74">
        <v>49.988447</v>
      </c>
      <c r="E1598" s="74">
        <v>36.244464</v>
      </c>
      <c r="F1598" s="79">
        <v>1.0</v>
      </c>
      <c r="G1598" s="84" t="s">
        <v>15801</v>
      </c>
      <c r="H1598" s="61" t="s">
        <v>5522</v>
      </c>
      <c r="I1598" s="75"/>
      <c r="J1598" s="71" t="s">
        <v>15802</v>
      </c>
      <c r="K1598" s="69"/>
      <c r="L1598" s="65" t="s">
        <v>3542</v>
      </c>
      <c r="M1598" s="93" t="s">
        <v>5590</v>
      </c>
      <c r="N1598" s="314"/>
      <c r="O1598" s="92" t="s">
        <v>5626</v>
      </c>
      <c r="P1598" s="67" t="str">
        <f t="shared" si="11"/>
        <v>49.988447, 36.244464</v>
      </c>
      <c r="Q1598" s="67" t="str">
        <f t="shared" si="2"/>
        <v>49.988237, 36.244988</v>
      </c>
      <c r="R1598" s="67">
        <f t="shared" si="3"/>
        <v>49.988237</v>
      </c>
      <c r="S1598" s="67">
        <f t="shared" si="4"/>
        <v>36.244988</v>
      </c>
      <c r="T1598" s="71" t="s">
        <v>15803</v>
      </c>
      <c r="U1598" s="69"/>
      <c r="V1598" s="65" t="s">
        <v>15804</v>
      </c>
      <c r="W1598" s="71" t="s">
        <v>3601</v>
      </c>
      <c r="X1598" s="72" t="s">
        <v>5504</v>
      </c>
      <c r="Y1598" s="61" t="s">
        <v>5820</v>
      </c>
      <c r="Z1598" s="73"/>
      <c r="AA1598" s="73"/>
      <c r="AB1598" s="73"/>
      <c r="AC1598" s="73"/>
      <c r="AD1598" s="73"/>
      <c r="AE1598" s="73"/>
      <c r="AF1598" s="73"/>
      <c r="AG1598" s="73"/>
      <c r="AH1598" s="73"/>
      <c r="AI1598" s="73"/>
      <c r="AJ1598" s="161"/>
      <c r="AK1598" s="76" t="s">
        <v>798</v>
      </c>
      <c r="AL1598" s="83" t="s">
        <v>15805</v>
      </c>
      <c r="AM1598" s="71" t="s">
        <v>15806</v>
      </c>
      <c r="AN1598" s="84" t="s">
        <v>15807</v>
      </c>
      <c r="AO1598" s="71" t="s">
        <v>15808</v>
      </c>
      <c r="AP1598" s="161" t="str">
        <f>IMAGE("https://bellingcat-archive.nyc3.cdn.digitaloceanspaces.com/Ukraine_Witness_Datasheet/Worksheet/youtube_dl_1500859879464087553/out7.jpg")</f>
        <v/>
      </c>
      <c r="AQ1598" s="84" t="s">
        <v>15809</v>
      </c>
      <c r="AR1598" s="71" t="s">
        <v>15810</v>
      </c>
      <c r="AS1598" s="71" t="s">
        <v>15811</v>
      </c>
      <c r="AT1598" s="71">
        <v>30.466</v>
      </c>
      <c r="AU1598" s="79" t="s">
        <v>63</v>
      </c>
      <c r="AV1598" s="80" t="s">
        <v>3944</v>
      </c>
      <c r="AW1598" s="81"/>
    </row>
    <row r="1599" ht="15.75" customHeight="1">
      <c r="A1599" s="208"/>
      <c r="B1599" s="73"/>
      <c r="C1599" s="57" t="s">
        <v>15704</v>
      </c>
      <c r="D1599" s="121"/>
      <c r="E1599" s="121"/>
      <c r="F1599" s="89"/>
      <c r="G1599" s="84" t="s">
        <v>15812</v>
      </c>
      <c r="H1599" s="73"/>
      <c r="I1599" s="75"/>
      <c r="J1599" s="161"/>
      <c r="K1599" s="69"/>
      <c r="L1599" s="70"/>
      <c r="M1599" s="314"/>
      <c r="N1599" s="314"/>
      <c r="O1599" s="314"/>
      <c r="P1599" s="67" t="str">
        <f t="shared" si="11"/>
        <v/>
      </c>
      <c r="Q1599" s="67" t="str">
        <f t="shared" si="2"/>
        <v/>
      </c>
      <c r="R1599" s="67" t="str">
        <f t="shared" si="3"/>
        <v/>
      </c>
      <c r="S1599" s="67" t="str">
        <f t="shared" si="4"/>
        <v/>
      </c>
      <c r="T1599" s="161"/>
      <c r="U1599" s="69"/>
      <c r="V1599" s="65" t="s">
        <v>15813</v>
      </c>
      <c r="W1599" s="161"/>
      <c r="X1599" s="194"/>
      <c r="Y1599" s="73"/>
      <c r="Z1599" s="73"/>
      <c r="AA1599" s="73"/>
      <c r="AB1599" s="73"/>
      <c r="AC1599" s="73"/>
      <c r="AD1599" s="73"/>
      <c r="AE1599" s="73"/>
      <c r="AF1599" s="73"/>
      <c r="AG1599" s="73"/>
      <c r="AH1599" s="73"/>
      <c r="AI1599" s="73"/>
      <c r="AJ1599" s="161"/>
      <c r="AK1599" s="76" t="s">
        <v>798</v>
      </c>
      <c r="AL1599" s="83" t="s">
        <v>15814</v>
      </c>
      <c r="AM1599" s="71" t="s">
        <v>15815</v>
      </c>
      <c r="AN1599" s="84" t="s">
        <v>15816</v>
      </c>
      <c r="AO1599" s="71" t="s">
        <v>15817</v>
      </c>
      <c r="AP1599" s="161" t="str">
        <f>IMAGE("https://bellingcat-archive.nyc3.cdn.digitaloceanspaces.com/Ukraine_Witness_Datasheet/Worksheet/youtube_dl_1500865973578084354/out7.jpg")</f>
        <v/>
      </c>
      <c r="AQ1599" s="84" t="s">
        <v>15818</v>
      </c>
      <c r="AR1599" s="71" t="s">
        <v>15819</v>
      </c>
      <c r="AS1599" s="71" t="s">
        <v>15820</v>
      </c>
      <c r="AT1599" s="71">
        <v>42.3</v>
      </c>
      <c r="AU1599" s="89"/>
      <c r="AV1599" s="162"/>
      <c r="AW1599" s="81"/>
    </row>
    <row r="1600" ht="15.75" customHeight="1">
      <c r="A1600" s="357" t="s">
        <v>8181</v>
      </c>
      <c r="B1600" s="73"/>
      <c r="C1600" s="57" t="s">
        <v>15275</v>
      </c>
      <c r="D1600" s="104">
        <v>47.9483856</v>
      </c>
      <c r="E1600" s="104">
        <v>33.433659</v>
      </c>
      <c r="F1600" s="79">
        <v>1.0</v>
      </c>
      <c r="G1600" s="84" t="s">
        <v>15821</v>
      </c>
      <c r="H1600" s="61" t="s">
        <v>5522</v>
      </c>
      <c r="I1600" s="75"/>
      <c r="J1600" s="71" t="s">
        <v>15822</v>
      </c>
      <c r="K1600" s="88" t="s">
        <v>15823</v>
      </c>
      <c r="L1600" s="65" t="s">
        <v>3542</v>
      </c>
      <c r="M1600" s="140" t="s">
        <v>6587</v>
      </c>
      <c r="N1600" s="314"/>
      <c r="O1600" s="93" t="s">
        <v>15824</v>
      </c>
      <c r="P1600" s="67" t="str">
        <f t="shared" si="11"/>
        <v>47.9483856, 33.433659</v>
      </c>
      <c r="Q1600" s="67" t="str">
        <f t="shared" si="2"/>
        <v>47.948156, 33.433143</v>
      </c>
      <c r="R1600" s="67">
        <f t="shared" si="3"/>
        <v>47.948156</v>
      </c>
      <c r="S1600" s="67">
        <f t="shared" si="4"/>
        <v>33.433143</v>
      </c>
      <c r="T1600" s="161"/>
      <c r="U1600" s="69"/>
      <c r="V1600" s="65" t="s">
        <v>15825</v>
      </c>
      <c r="W1600" s="71" t="s">
        <v>74</v>
      </c>
      <c r="X1600" s="72" t="s">
        <v>5504</v>
      </c>
      <c r="Y1600" s="61" t="s">
        <v>5820</v>
      </c>
      <c r="Z1600" s="73"/>
      <c r="AA1600" s="73"/>
      <c r="AB1600" s="73"/>
      <c r="AC1600" s="73"/>
      <c r="AD1600" s="73"/>
      <c r="AE1600" s="73"/>
      <c r="AF1600" s="73"/>
      <c r="AG1600" s="73"/>
      <c r="AH1600" s="73"/>
      <c r="AI1600" s="73"/>
      <c r="AJ1600" s="161"/>
      <c r="AK1600" s="76" t="s">
        <v>798</v>
      </c>
      <c r="AL1600" s="83" t="s">
        <v>15826</v>
      </c>
      <c r="AM1600" s="71" t="s">
        <v>15827</v>
      </c>
      <c r="AN1600" s="84" t="s">
        <v>15828</v>
      </c>
      <c r="AO1600" s="71" t="s">
        <v>15829</v>
      </c>
      <c r="AP1600" s="161" t="str">
        <f>IMAGE("https://bellingcat-archive.nyc3.cdn.digitaloceanspaces.com/Ukraine_Witness_Datasheet/Worksheet/youtube_dl_1500873366307315721/out7.jpg")</f>
        <v/>
      </c>
      <c r="AQ1600" s="84" t="s">
        <v>15830</v>
      </c>
      <c r="AR1600" s="71" t="s">
        <v>15831</v>
      </c>
      <c r="AS1600" s="71" t="s">
        <v>15832</v>
      </c>
      <c r="AT1600" s="71">
        <v>6.5</v>
      </c>
      <c r="AU1600" s="89"/>
      <c r="AV1600" s="80" t="s">
        <v>63</v>
      </c>
      <c r="AW1600" s="81"/>
    </row>
    <row r="1601" ht="15.75" customHeight="1">
      <c r="A1601" s="208" t="s">
        <v>12532</v>
      </c>
      <c r="B1601" s="73"/>
      <c r="C1601" s="57" t="s">
        <v>15275</v>
      </c>
      <c r="D1601" s="104">
        <v>50.041091</v>
      </c>
      <c r="E1601" s="104">
        <v>36.227578</v>
      </c>
      <c r="F1601" s="79">
        <v>3.0</v>
      </c>
      <c r="G1601" s="84" t="s">
        <v>15833</v>
      </c>
      <c r="H1601" s="61" t="s">
        <v>91</v>
      </c>
      <c r="I1601" s="75"/>
      <c r="J1601" s="71" t="s">
        <v>15834</v>
      </c>
      <c r="K1601" s="69"/>
      <c r="L1601" s="65" t="s">
        <v>3542</v>
      </c>
      <c r="M1601" s="93" t="s">
        <v>5590</v>
      </c>
      <c r="N1601" s="314"/>
      <c r="O1601" s="92" t="s">
        <v>5626</v>
      </c>
      <c r="P1601" s="67" t="str">
        <f t="shared" si="11"/>
        <v>50.041091, 36.227578</v>
      </c>
      <c r="Q1601" s="67" t="str">
        <f t="shared" si="2"/>
        <v>50.040712, 36.228205</v>
      </c>
      <c r="R1601" s="67">
        <f t="shared" si="3"/>
        <v>50.040712</v>
      </c>
      <c r="S1601" s="67">
        <f t="shared" si="4"/>
        <v>36.228205</v>
      </c>
      <c r="T1601" s="161"/>
      <c r="U1601" s="69"/>
      <c r="V1601" s="65" t="s">
        <v>15835</v>
      </c>
      <c r="W1601" s="71" t="s">
        <v>3601</v>
      </c>
      <c r="X1601" s="208"/>
      <c r="Y1601" s="61" t="s">
        <v>5820</v>
      </c>
      <c r="Z1601" s="73"/>
      <c r="AA1601" s="73"/>
      <c r="AB1601" s="73"/>
      <c r="AC1601" s="73"/>
      <c r="AD1601" s="73"/>
      <c r="AE1601" s="73"/>
      <c r="AF1601" s="73"/>
      <c r="AG1601" s="73"/>
      <c r="AH1601" s="73"/>
      <c r="AI1601" s="73"/>
      <c r="AJ1601" s="161"/>
      <c r="AK1601" s="76" t="s">
        <v>2108</v>
      </c>
      <c r="AL1601" s="83" t="s">
        <v>15836</v>
      </c>
      <c r="AM1601" s="71" t="s">
        <v>15837</v>
      </c>
      <c r="AN1601" s="84" t="s">
        <v>15838</v>
      </c>
      <c r="AO1601" s="71" t="s">
        <v>15839</v>
      </c>
      <c r="AP1601" s="161" t="str">
        <f>IMAGE("https://bellingcat-archive.nyc3.cdn.digitaloceanspaces.com/Ukraine_Witness_Datasheet/Worksheet/twitter__media_FNPAHA_X0AAmO4b.jpg")</f>
        <v/>
      </c>
      <c r="AQ1601" s="161"/>
      <c r="AR1601" s="161"/>
      <c r="AS1601" s="71" t="s">
        <v>15575</v>
      </c>
      <c r="AT1601" s="161"/>
      <c r="AU1601" s="89"/>
      <c r="AV1601" s="80" t="s">
        <v>63</v>
      </c>
      <c r="AW1601" s="81"/>
    </row>
    <row r="1602" ht="15.75" customHeight="1">
      <c r="A1602" s="514" t="s">
        <v>8181</v>
      </c>
      <c r="B1602" s="73"/>
      <c r="C1602" s="57" t="s">
        <v>15275</v>
      </c>
      <c r="D1602" s="104">
        <v>47.05356</v>
      </c>
      <c r="E1602" s="104">
        <v>31.920007</v>
      </c>
      <c r="F1602" s="79">
        <v>3.0</v>
      </c>
      <c r="G1602" s="84" t="s">
        <v>15840</v>
      </c>
      <c r="H1602" s="61" t="s">
        <v>5522</v>
      </c>
      <c r="I1602" s="75"/>
      <c r="J1602" s="71" t="s">
        <v>15841</v>
      </c>
      <c r="K1602" s="69"/>
      <c r="L1602" s="65" t="s">
        <v>3542</v>
      </c>
      <c r="M1602" s="93" t="s">
        <v>6563</v>
      </c>
      <c r="N1602" s="314"/>
      <c r="O1602" s="92" t="s">
        <v>15842</v>
      </c>
      <c r="P1602" s="67" t="str">
        <f t="shared" si="11"/>
        <v>47.05356, 31.920007</v>
      </c>
      <c r="Q1602" s="67" t="str">
        <f t="shared" si="2"/>
        <v>47.053545, 31.920814</v>
      </c>
      <c r="R1602" s="67">
        <f t="shared" si="3"/>
        <v>47.053545</v>
      </c>
      <c r="S1602" s="67">
        <f t="shared" si="4"/>
        <v>31.920814</v>
      </c>
      <c r="T1602" s="161"/>
      <c r="U1602" s="69"/>
      <c r="V1602" s="65" t="s">
        <v>15843</v>
      </c>
      <c r="W1602" s="515" t="s">
        <v>10760</v>
      </c>
      <c r="X1602" s="208"/>
      <c r="Y1602" s="61" t="s">
        <v>75</v>
      </c>
      <c r="Z1602" s="73"/>
      <c r="AA1602" s="73"/>
      <c r="AB1602" s="73"/>
      <c r="AC1602" s="73"/>
      <c r="AD1602" s="73"/>
      <c r="AE1602" s="73"/>
      <c r="AF1602" s="73"/>
      <c r="AG1602" s="73"/>
      <c r="AH1602" s="73"/>
      <c r="AI1602" s="73"/>
      <c r="AJ1602" s="161"/>
      <c r="AK1602" s="76" t="s">
        <v>798</v>
      </c>
      <c r="AL1602" s="83" t="s">
        <v>15844</v>
      </c>
      <c r="AM1602" s="71" t="s">
        <v>15845</v>
      </c>
      <c r="AN1602" s="84" t="s">
        <v>15846</v>
      </c>
      <c r="AO1602" s="71" t="s">
        <v>15847</v>
      </c>
      <c r="AP1602" s="161" t="str">
        <f>IMAGE("https://bellingcat-archive.nyc3.cdn.digitaloceanspaces.com/Ukraine_Witness_Datasheet/Worksheet/youtube_dl_1500951765579087873/out7.jpg")</f>
        <v/>
      </c>
      <c r="AQ1602" s="84" t="s">
        <v>15848</v>
      </c>
      <c r="AR1602" s="71" t="s">
        <v>15849</v>
      </c>
      <c r="AS1602" s="71" t="s">
        <v>15850</v>
      </c>
      <c r="AT1602" s="71">
        <v>18.833</v>
      </c>
      <c r="AU1602" s="89"/>
      <c r="AV1602" s="80" t="s">
        <v>63</v>
      </c>
      <c r="AW1602" s="203" t="s">
        <v>15851</v>
      </c>
    </row>
    <row r="1603" ht="15.75" customHeight="1">
      <c r="A1603" s="72" t="s">
        <v>8181</v>
      </c>
      <c r="B1603" s="73"/>
      <c r="C1603" s="57" t="s">
        <v>15852</v>
      </c>
      <c r="D1603" s="104">
        <v>46.938355</v>
      </c>
      <c r="E1603" s="104">
        <v>32.039818</v>
      </c>
      <c r="F1603" s="79">
        <v>2.0</v>
      </c>
      <c r="G1603" s="84" t="s">
        <v>15853</v>
      </c>
      <c r="H1603" s="61" t="s">
        <v>91</v>
      </c>
      <c r="I1603" s="215" t="s">
        <v>15854</v>
      </c>
      <c r="J1603" s="71" t="s">
        <v>15855</v>
      </c>
      <c r="K1603" s="69"/>
      <c r="L1603" s="65" t="s">
        <v>3542</v>
      </c>
      <c r="M1603" s="93" t="s">
        <v>6563</v>
      </c>
      <c r="N1603" s="314"/>
      <c r="O1603" s="93" t="s">
        <v>6658</v>
      </c>
      <c r="P1603" s="67" t="str">
        <f t="shared" si="11"/>
        <v>46.938355, 32.039818</v>
      </c>
      <c r="Q1603" s="67" t="str">
        <f t="shared" si="2"/>
        <v>46.938126, 32.039141</v>
      </c>
      <c r="R1603" s="67">
        <f t="shared" si="3"/>
        <v>46.938126</v>
      </c>
      <c r="S1603" s="67">
        <f t="shared" si="4"/>
        <v>32.039141</v>
      </c>
      <c r="T1603" s="161"/>
      <c r="U1603" s="69"/>
      <c r="V1603" s="65" t="s">
        <v>15856</v>
      </c>
      <c r="W1603" s="71" t="s">
        <v>5904</v>
      </c>
      <c r="X1603" s="72" t="s">
        <v>5504</v>
      </c>
      <c r="Y1603" s="61" t="s">
        <v>5820</v>
      </c>
      <c r="Z1603" s="73"/>
      <c r="AA1603" s="73"/>
      <c r="AB1603" s="73"/>
      <c r="AC1603" s="73"/>
      <c r="AD1603" s="73"/>
      <c r="AE1603" s="73"/>
      <c r="AF1603" s="73"/>
      <c r="AG1603" s="73"/>
      <c r="AH1603" s="73"/>
      <c r="AI1603" s="73"/>
      <c r="AJ1603" s="161"/>
      <c r="AK1603" s="76" t="s">
        <v>6276</v>
      </c>
      <c r="AL1603" s="83" t="s">
        <v>15857</v>
      </c>
      <c r="AM1603" s="71" t="s">
        <v>15858</v>
      </c>
      <c r="AN1603" s="84" t="s">
        <v>15859</v>
      </c>
      <c r="AO1603" s="71" t="s">
        <v>15860</v>
      </c>
      <c r="AP1603" s="161" t="str">
        <f>IMAGE("https://bellingcat-archive.nyc3.cdn.digitaloceanspaces.com/Ukraine_Witness_Datasheet/Worksheet/telegram_dCqUTE7M_CUj-UeeeOCS1XzZAAlfV-BifVynuzduxwEz2RhiEryaVg0X6jtokGvlIbjnhlnqiV1fOhxIDo7x2pFcKAz9CkWr_Mt_qnh370Nn25GzxdmZ_Wr1PEHkZLxA.jpg")</f>
        <v/>
      </c>
      <c r="AQ1603" s="161"/>
      <c r="AR1603" s="161"/>
      <c r="AS1603" s="71" t="s">
        <v>15861</v>
      </c>
      <c r="AT1603" s="161"/>
      <c r="AU1603" s="89"/>
      <c r="AV1603" s="80" t="s">
        <v>63</v>
      </c>
      <c r="AW1603" s="81"/>
    </row>
    <row r="1604" ht="15.75" customHeight="1">
      <c r="A1604" s="516" t="s">
        <v>15467</v>
      </c>
      <c r="B1604" s="73"/>
      <c r="C1604" s="57" t="s">
        <v>8024</v>
      </c>
      <c r="D1604" s="104">
        <v>50.040035</v>
      </c>
      <c r="E1604" s="74">
        <v>36.361671</v>
      </c>
      <c r="F1604" s="79">
        <v>1.0</v>
      </c>
      <c r="G1604" s="84" t="s">
        <v>15862</v>
      </c>
      <c r="H1604" s="61" t="s">
        <v>91</v>
      </c>
      <c r="I1604" s="517" t="s">
        <v>12782</v>
      </c>
      <c r="J1604" s="71" t="s">
        <v>15863</v>
      </c>
      <c r="K1604" s="69"/>
      <c r="L1604" s="65" t="s">
        <v>3542</v>
      </c>
      <c r="M1604" s="93" t="s">
        <v>5590</v>
      </c>
      <c r="N1604" s="93" t="s">
        <v>15864</v>
      </c>
      <c r="O1604" s="93" t="s">
        <v>5626</v>
      </c>
      <c r="P1604" s="67" t="str">
        <f t="shared" si="11"/>
        <v>50.040035, 36.361671</v>
      </c>
      <c r="Q1604" s="67" t="str">
        <f t="shared" si="2"/>
        <v>50.039401, 36.361751</v>
      </c>
      <c r="R1604" s="67">
        <f t="shared" si="3"/>
        <v>50.039401</v>
      </c>
      <c r="S1604" s="67">
        <f t="shared" si="4"/>
        <v>36.361751</v>
      </c>
      <c r="T1604" s="161"/>
      <c r="U1604" s="64" t="s">
        <v>9330</v>
      </c>
      <c r="V1604" s="65" t="s">
        <v>15865</v>
      </c>
      <c r="W1604" s="71" t="s">
        <v>15866</v>
      </c>
      <c r="X1604" s="72" t="s">
        <v>2982</v>
      </c>
      <c r="Y1604" s="61" t="s">
        <v>11347</v>
      </c>
      <c r="Z1604" s="73"/>
      <c r="AA1604" s="73"/>
      <c r="AB1604" s="73"/>
      <c r="AC1604" s="73"/>
      <c r="AD1604" s="73"/>
      <c r="AE1604" s="73"/>
      <c r="AF1604" s="73"/>
      <c r="AG1604" s="73"/>
      <c r="AH1604" s="73"/>
      <c r="AI1604" s="73"/>
      <c r="AJ1604" s="161"/>
      <c r="AK1604" s="76" t="s">
        <v>6276</v>
      </c>
      <c r="AL1604" s="83" t="s">
        <v>15867</v>
      </c>
      <c r="AM1604" s="71" t="s">
        <v>15868</v>
      </c>
      <c r="AN1604" s="84" t="s">
        <v>15869</v>
      </c>
      <c r="AO1604" s="71" t="s">
        <v>15870</v>
      </c>
      <c r="AP1604" s="161"/>
      <c r="AQ1604" s="161"/>
      <c r="AR1604" s="161"/>
      <c r="AS1604" s="71" t="s">
        <v>15871</v>
      </c>
      <c r="AT1604" s="161"/>
      <c r="AU1604" s="89"/>
      <c r="AV1604" s="80" t="s">
        <v>63</v>
      </c>
      <c r="AW1604" s="203"/>
    </row>
    <row r="1605" ht="15.75" customHeight="1">
      <c r="A1605" s="518" t="s">
        <v>15467</v>
      </c>
      <c r="B1605" s="73"/>
      <c r="C1605" s="57" t="s">
        <v>9028</v>
      </c>
      <c r="D1605" s="104">
        <v>50.003574</v>
      </c>
      <c r="E1605" s="74">
        <v>36.330547</v>
      </c>
      <c r="F1605" s="79">
        <v>1.0</v>
      </c>
      <c r="G1605" s="84" t="s">
        <v>15872</v>
      </c>
      <c r="H1605" s="61" t="s">
        <v>5522</v>
      </c>
      <c r="I1605" s="519" t="s">
        <v>12782</v>
      </c>
      <c r="J1605" s="71" t="s">
        <v>15873</v>
      </c>
      <c r="K1605" s="69"/>
      <c r="L1605" s="65" t="s">
        <v>3542</v>
      </c>
      <c r="M1605" s="93" t="s">
        <v>5590</v>
      </c>
      <c r="N1605" s="92" t="s">
        <v>15874</v>
      </c>
      <c r="O1605" s="93" t="s">
        <v>5626</v>
      </c>
      <c r="P1605" s="67" t="str">
        <f t="shared" si="11"/>
        <v>50.003574, 36.330547</v>
      </c>
      <c r="Q1605" s="67" t="str">
        <f t="shared" si="2"/>
        <v>50.002999, 36.330293</v>
      </c>
      <c r="R1605" s="67">
        <f t="shared" si="3"/>
        <v>50.002999</v>
      </c>
      <c r="S1605" s="67">
        <f t="shared" si="4"/>
        <v>36.330293</v>
      </c>
      <c r="T1605" s="161"/>
      <c r="U1605" s="64" t="s">
        <v>9330</v>
      </c>
      <c r="V1605" s="65" t="s">
        <v>15875</v>
      </c>
      <c r="W1605" s="71" t="s">
        <v>811</v>
      </c>
      <c r="X1605" s="72" t="s">
        <v>5504</v>
      </c>
      <c r="Y1605" s="61" t="s">
        <v>11347</v>
      </c>
      <c r="Z1605" s="73"/>
      <c r="AA1605" s="73"/>
      <c r="AB1605" s="73"/>
      <c r="AC1605" s="73"/>
      <c r="AD1605" s="73"/>
      <c r="AE1605" s="73"/>
      <c r="AF1605" s="73"/>
      <c r="AG1605" s="73"/>
      <c r="AH1605" s="73"/>
      <c r="AI1605" s="73"/>
      <c r="AJ1605" s="161"/>
      <c r="AK1605" s="76" t="s">
        <v>6276</v>
      </c>
      <c r="AL1605" s="83" t="s">
        <v>15876</v>
      </c>
      <c r="AM1605" s="71" t="s">
        <v>15877</v>
      </c>
      <c r="AN1605" s="84" t="s">
        <v>15878</v>
      </c>
      <c r="AO1605" s="71" t="s">
        <v>15879</v>
      </c>
      <c r="AP1605" s="161" t="str">
        <f>IMAGE("https://bellingcat-archive.nyc3.cdn.digitaloceanspaces.com/Ukraine_Witness_Datasheet/Worksheet/telegram_90d19ecb08/out7.jpg")</f>
        <v/>
      </c>
      <c r="AQ1605" s="84" t="s">
        <v>15880</v>
      </c>
      <c r="AR1605" s="84" t="s">
        <v>15872</v>
      </c>
      <c r="AS1605" s="71" t="s">
        <v>15881</v>
      </c>
      <c r="AT1605" s="71">
        <v>22.0</v>
      </c>
      <c r="AU1605" s="89"/>
      <c r="AV1605" s="80" t="s">
        <v>63</v>
      </c>
      <c r="AW1605" s="81"/>
    </row>
    <row r="1606" ht="15.75" customHeight="1">
      <c r="A1606" s="357" t="s">
        <v>8181</v>
      </c>
      <c r="B1606" s="73"/>
      <c r="C1606" s="57" t="s">
        <v>15852</v>
      </c>
      <c r="D1606" s="104">
        <v>50.761265</v>
      </c>
      <c r="E1606" s="104">
        <v>30.347845</v>
      </c>
      <c r="F1606" s="79">
        <v>3.0</v>
      </c>
      <c r="G1606" s="84" t="s">
        <v>15882</v>
      </c>
      <c r="H1606" s="61" t="s">
        <v>91</v>
      </c>
      <c r="I1606" s="75"/>
      <c r="J1606" s="71" t="s">
        <v>15883</v>
      </c>
      <c r="K1606" s="88" t="s">
        <v>15884</v>
      </c>
      <c r="L1606" s="65" t="s">
        <v>3542</v>
      </c>
      <c r="M1606" s="93" t="s">
        <v>5827</v>
      </c>
      <c r="N1606" s="314"/>
      <c r="O1606" s="93" t="s">
        <v>13383</v>
      </c>
      <c r="P1606" s="67" t="str">
        <f t="shared" si="11"/>
        <v>50.761265, 30.347845</v>
      </c>
      <c r="Q1606" s="67" t="str">
        <f t="shared" si="2"/>
        <v>50.761123, 30.347021</v>
      </c>
      <c r="R1606" s="67">
        <f t="shared" si="3"/>
        <v>50.761123</v>
      </c>
      <c r="S1606" s="67">
        <f t="shared" si="4"/>
        <v>30.347021</v>
      </c>
      <c r="T1606" s="161"/>
      <c r="U1606" s="69"/>
      <c r="V1606" s="65" t="s">
        <v>15885</v>
      </c>
      <c r="W1606" s="71" t="s">
        <v>5726</v>
      </c>
      <c r="X1606" s="72" t="s">
        <v>5504</v>
      </c>
      <c r="Y1606" s="61" t="s">
        <v>5820</v>
      </c>
      <c r="Z1606" s="73"/>
      <c r="AA1606" s="73"/>
      <c r="AB1606" s="73"/>
      <c r="AC1606" s="73"/>
      <c r="AD1606" s="73"/>
      <c r="AE1606" s="73"/>
      <c r="AF1606" s="73"/>
      <c r="AG1606" s="73"/>
      <c r="AH1606" s="73"/>
      <c r="AI1606" s="73"/>
      <c r="AJ1606" s="161"/>
      <c r="AK1606" s="76" t="s">
        <v>2108</v>
      </c>
      <c r="AL1606" s="83" t="s">
        <v>15886</v>
      </c>
      <c r="AM1606" s="71" t="s">
        <v>15887</v>
      </c>
      <c r="AN1606" s="84" t="s">
        <v>15888</v>
      </c>
      <c r="AO1606" s="71" t="s">
        <v>15889</v>
      </c>
      <c r="AP1606" s="161" t="str">
        <f>IMAGE("https://bellingcat-archive.nyc3.cdn.digitaloceanspaces.com/Ukraine_Witness_Datasheet/Worksheet/twitter__media_FNRS_lgXwAQ6O1U.jpg")</f>
        <v/>
      </c>
      <c r="AQ1606" s="161"/>
      <c r="AR1606" s="161"/>
      <c r="AS1606" s="71" t="s">
        <v>15890</v>
      </c>
      <c r="AT1606" s="161"/>
      <c r="AU1606" s="89"/>
      <c r="AV1606" s="80" t="s">
        <v>63</v>
      </c>
      <c r="AW1606" s="81"/>
    </row>
    <row r="1607" ht="15.75" customHeight="1">
      <c r="A1607" s="357" t="s">
        <v>8181</v>
      </c>
      <c r="B1607" s="73"/>
      <c r="C1607" s="57" t="s">
        <v>15852</v>
      </c>
      <c r="D1607" s="104">
        <v>50.70695</v>
      </c>
      <c r="E1607" s="104">
        <v>32.35099</v>
      </c>
      <c r="F1607" s="79">
        <v>3.0</v>
      </c>
      <c r="G1607" s="84" t="s">
        <v>15891</v>
      </c>
      <c r="H1607" s="61" t="s">
        <v>5522</v>
      </c>
      <c r="I1607" s="75"/>
      <c r="J1607" s="71" t="s">
        <v>15892</v>
      </c>
      <c r="K1607" s="345" t="s">
        <v>15893</v>
      </c>
      <c r="L1607" s="65" t="s">
        <v>3542</v>
      </c>
      <c r="M1607" s="93" t="s">
        <v>5880</v>
      </c>
      <c r="N1607" s="93" t="s">
        <v>15894</v>
      </c>
      <c r="O1607" s="93" t="s">
        <v>15895</v>
      </c>
      <c r="P1607" s="67" t="str">
        <f t="shared" si="11"/>
        <v>50.70695, 32.35099</v>
      </c>
      <c r="Q1607" s="67" t="str">
        <f t="shared" si="2"/>
        <v>50.706584, 32.3519</v>
      </c>
      <c r="R1607" s="67">
        <f t="shared" si="3"/>
        <v>50.706584</v>
      </c>
      <c r="S1607" s="67">
        <f t="shared" si="4"/>
        <v>32.3519</v>
      </c>
      <c r="T1607" s="161"/>
      <c r="U1607" s="69"/>
      <c r="V1607" s="65" t="s">
        <v>15896</v>
      </c>
      <c r="W1607" s="71" t="s">
        <v>7571</v>
      </c>
      <c r="X1607" s="72" t="s">
        <v>5504</v>
      </c>
      <c r="Y1607" s="61" t="s">
        <v>5820</v>
      </c>
      <c r="Z1607" s="73"/>
      <c r="AA1607" s="73"/>
      <c r="AB1607" s="73"/>
      <c r="AC1607" s="73"/>
      <c r="AD1607" s="73"/>
      <c r="AE1607" s="73"/>
      <c r="AF1607" s="73"/>
      <c r="AG1607" s="73"/>
      <c r="AH1607" s="73"/>
      <c r="AI1607" s="73"/>
      <c r="AJ1607" s="161"/>
      <c r="AK1607" s="76" t="s">
        <v>798</v>
      </c>
      <c r="AL1607" s="83" t="s">
        <v>15897</v>
      </c>
      <c r="AM1607" s="71" t="s">
        <v>15898</v>
      </c>
      <c r="AN1607" s="84" t="s">
        <v>15899</v>
      </c>
      <c r="AO1607" s="71" t="s">
        <v>15900</v>
      </c>
      <c r="AP1607" s="161" t="str">
        <f>IMAGE("https://bellingcat-archive.nyc3.cdn.digitaloceanspaces.com/Ukraine_Witness_Datasheet/Worksheet/youtube_dl_1500868256051216387/out7.jpg")</f>
        <v/>
      </c>
      <c r="AQ1607" s="84" t="s">
        <v>15901</v>
      </c>
      <c r="AR1607" s="71" t="s">
        <v>15902</v>
      </c>
      <c r="AS1607" s="71" t="s">
        <v>15903</v>
      </c>
      <c r="AT1607" s="71">
        <v>37.151</v>
      </c>
      <c r="AU1607" s="89"/>
      <c r="AV1607" s="80" t="s">
        <v>63</v>
      </c>
      <c r="AW1607" s="81"/>
    </row>
    <row r="1608" ht="15.75" customHeight="1">
      <c r="A1608" s="357" t="s">
        <v>8181</v>
      </c>
      <c r="B1608" s="73"/>
      <c r="C1608" s="57" t="s">
        <v>15852</v>
      </c>
      <c r="D1608" s="104">
        <v>50.63259</v>
      </c>
      <c r="E1608" s="104">
        <v>30.02434</v>
      </c>
      <c r="F1608" s="79">
        <v>1.0</v>
      </c>
      <c r="G1608" s="84" t="s">
        <v>15904</v>
      </c>
      <c r="H1608" s="61" t="s">
        <v>5522</v>
      </c>
      <c r="I1608" s="75"/>
      <c r="J1608" s="71" t="s">
        <v>15905</v>
      </c>
      <c r="K1608" s="88" t="s">
        <v>15906</v>
      </c>
      <c r="L1608" s="65" t="s">
        <v>3542</v>
      </c>
      <c r="M1608" s="93" t="s">
        <v>5827</v>
      </c>
      <c r="N1608" s="314"/>
      <c r="O1608" s="93" t="s">
        <v>15395</v>
      </c>
      <c r="P1608" s="67" t="str">
        <f t="shared" si="11"/>
        <v>50.63259, 30.02434</v>
      </c>
      <c r="Q1608" s="67" t="str">
        <f t="shared" si="2"/>
        <v>50.632445, 30.02536</v>
      </c>
      <c r="R1608" s="67">
        <f t="shared" si="3"/>
        <v>50.632445</v>
      </c>
      <c r="S1608" s="67">
        <f t="shared" si="4"/>
        <v>30.02536</v>
      </c>
      <c r="T1608" s="161"/>
      <c r="U1608" s="69"/>
      <c r="V1608" s="65" t="s">
        <v>15907</v>
      </c>
      <c r="W1608" s="71" t="s">
        <v>74</v>
      </c>
      <c r="X1608" s="72" t="s">
        <v>5504</v>
      </c>
      <c r="Y1608" s="61" t="s">
        <v>5820</v>
      </c>
      <c r="Z1608" s="73"/>
      <c r="AA1608" s="73"/>
      <c r="AB1608" s="73"/>
      <c r="AC1608" s="73"/>
      <c r="AD1608" s="73"/>
      <c r="AE1608" s="73"/>
      <c r="AF1608" s="73"/>
      <c r="AG1608" s="73"/>
      <c r="AH1608" s="73"/>
      <c r="AI1608" s="73"/>
      <c r="AJ1608" s="161"/>
      <c r="AK1608" s="76" t="s">
        <v>798</v>
      </c>
      <c r="AL1608" s="83" t="s">
        <v>15908</v>
      </c>
      <c r="AM1608" s="71" t="s">
        <v>15909</v>
      </c>
      <c r="AN1608" s="84" t="s">
        <v>15910</v>
      </c>
      <c r="AO1608" s="71" t="s">
        <v>15911</v>
      </c>
      <c r="AP1608" s="161" t="str">
        <f>IMAGE("https://bellingcat-archive.nyc3.cdn.digitaloceanspaces.com/Ukraine_Witness_Datasheet/Worksheet/youtube_dl_Ca0Sf71jQ9E/out20.jpg")</f>
        <v/>
      </c>
      <c r="AQ1608" s="84" t="s">
        <v>15912</v>
      </c>
      <c r="AR1608" s="71" t="s">
        <v>15913</v>
      </c>
      <c r="AS1608" s="71" t="s">
        <v>15914</v>
      </c>
      <c r="AT1608" s="161"/>
      <c r="AU1608" s="89"/>
      <c r="AV1608" s="80" t="s">
        <v>63</v>
      </c>
      <c r="AW1608" s="81"/>
    </row>
    <row r="1609" ht="15.75" customHeight="1">
      <c r="A1609" s="208"/>
      <c r="B1609" s="73"/>
      <c r="C1609" s="57" t="s">
        <v>15915</v>
      </c>
      <c r="D1609" s="121"/>
      <c r="E1609" s="121"/>
      <c r="F1609" s="79">
        <v>1.0</v>
      </c>
      <c r="G1609" s="84" t="s">
        <v>15916</v>
      </c>
      <c r="H1609" s="73"/>
      <c r="I1609" s="75"/>
      <c r="J1609" s="161"/>
      <c r="K1609" s="69"/>
      <c r="L1609" s="70"/>
      <c r="M1609" s="314"/>
      <c r="N1609" s="314"/>
      <c r="O1609" s="314"/>
      <c r="P1609" s="67" t="str">
        <f t="shared" si="11"/>
        <v/>
      </c>
      <c r="Q1609" s="67" t="str">
        <f t="shared" si="2"/>
        <v/>
      </c>
      <c r="R1609" s="67" t="str">
        <f t="shared" si="3"/>
        <v/>
      </c>
      <c r="S1609" s="67" t="str">
        <f t="shared" si="4"/>
        <v/>
      </c>
      <c r="T1609" s="161"/>
      <c r="U1609" s="69"/>
      <c r="V1609" s="65" t="s">
        <v>15917</v>
      </c>
      <c r="W1609" s="161"/>
      <c r="X1609" s="194"/>
      <c r="Y1609" s="73"/>
      <c r="Z1609" s="73"/>
      <c r="AA1609" s="73"/>
      <c r="AB1609" s="73"/>
      <c r="AC1609" s="73"/>
      <c r="AD1609" s="73"/>
      <c r="AE1609" s="73"/>
      <c r="AF1609" s="73"/>
      <c r="AG1609" s="73"/>
      <c r="AH1609" s="73"/>
      <c r="AI1609" s="73"/>
      <c r="AJ1609" s="161"/>
      <c r="AK1609" s="76" t="s">
        <v>2108</v>
      </c>
      <c r="AL1609" s="83" t="s">
        <v>15918</v>
      </c>
      <c r="AM1609" s="71" t="s">
        <v>15919</v>
      </c>
      <c r="AN1609" s="84" t="s">
        <v>15920</v>
      </c>
      <c r="AO1609" s="71" t="s">
        <v>15921</v>
      </c>
      <c r="AP1609" s="161" t="str">
        <f>IMAGE("https://bellingcat-archive.nyc3.cdn.digitaloceanspaces.com/Ukraine_Witness_Datasheet/Worksheet/twitter__media_FNJq2MsXEAA6wNU.jpg")</f>
        <v/>
      </c>
      <c r="AQ1609" s="161"/>
      <c r="AR1609" s="161"/>
      <c r="AS1609" s="71" t="s">
        <v>15922</v>
      </c>
      <c r="AT1609" s="161"/>
      <c r="AU1609" s="89"/>
      <c r="AV1609" s="162"/>
      <c r="AW1609" s="81"/>
    </row>
    <row r="1610" ht="15.75" customHeight="1">
      <c r="A1610" s="204" t="s">
        <v>63</v>
      </c>
      <c r="B1610" s="73"/>
      <c r="C1610" s="57" t="s">
        <v>14806</v>
      </c>
      <c r="D1610" s="74">
        <v>50.042083</v>
      </c>
      <c r="E1610" s="74">
        <v>36.360304</v>
      </c>
      <c r="F1610" s="79">
        <v>2.0</v>
      </c>
      <c r="G1610" s="84" t="s">
        <v>15923</v>
      </c>
      <c r="H1610" s="73"/>
      <c r="I1610" s="75"/>
      <c r="J1610" s="71" t="s">
        <v>8164</v>
      </c>
      <c r="K1610" s="69"/>
      <c r="L1610" s="65" t="s">
        <v>3542</v>
      </c>
      <c r="M1610" s="93" t="s">
        <v>5590</v>
      </c>
      <c r="N1610" s="314"/>
      <c r="O1610" s="93" t="s">
        <v>5626</v>
      </c>
      <c r="P1610" s="67" t="str">
        <f t="shared" si="11"/>
        <v>50.042083, 36.360304</v>
      </c>
      <c r="Q1610" s="67" t="str">
        <f t="shared" si="2"/>
        <v>50.04173, 36.360056</v>
      </c>
      <c r="R1610" s="67">
        <f t="shared" si="3"/>
        <v>50.04173</v>
      </c>
      <c r="S1610" s="67">
        <f t="shared" si="4"/>
        <v>36.360056</v>
      </c>
      <c r="T1610" s="161"/>
      <c r="U1610" s="69"/>
      <c r="V1610" s="65" t="s">
        <v>15924</v>
      </c>
      <c r="W1610" s="71" t="s">
        <v>3601</v>
      </c>
      <c r="X1610" s="72" t="s">
        <v>5504</v>
      </c>
      <c r="Y1610" s="73"/>
      <c r="Z1610" s="73"/>
      <c r="AA1610" s="73"/>
      <c r="AB1610" s="73"/>
      <c r="AC1610" s="73"/>
      <c r="AD1610" s="73"/>
      <c r="AE1610" s="73"/>
      <c r="AF1610" s="73"/>
      <c r="AG1610" s="73"/>
      <c r="AH1610" s="73"/>
      <c r="AI1610" s="73"/>
      <c r="AJ1610" s="161"/>
      <c r="AK1610" s="76" t="s">
        <v>930</v>
      </c>
      <c r="AL1610" s="83" t="s">
        <v>14893</v>
      </c>
      <c r="AM1610" s="71" t="s">
        <v>15925</v>
      </c>
      <c r="AN1610" s="84" t="s">
        <v>15926</v>
      </c>
      <c r="AO1610" s="71" t="s">
        <v>14896</v>
      </c>
      <c r="AP1610" s="161" t="str">
        <f>IMAGE("https://bellingcat-archive.nyc3.cdn.digitaloceanspaces.com/Ukraine_Witness_Datasheet/Worksheet/youtube_dl_1500374495877644288/out7.jpg")</f>
        <v/>
      </c>
      <c r="AQ1610" s="84" t="s">
        <v>14897</v>
      </c>
      <c r="AR1610" s="71" t="s">
        <v>14898</v>
      </c>
      <c r="AS1610" s="71" t="s">
        <v>14899</v>
      </c>
      <c r="AT1610" s="71">
        <v>23.366</v>
      </c>
      <c r="AU1610" s="79" t="s">
        <v>63</v>
      </c>
      <c r="AV1610" s="80" t="s">
        <v>3944</v>
      </c>
      <c r="AW1610" s="81"/>
    </row>
    <row r="1611" ht="15.75" customHeight="1">
      <c r="A1611" s="72" t="s">
        <v>3944</v>
      </c>
      <c r="B1611" s="73"/>
      <c r="C1611" s="57" t="s">
        <v>15275</v>
      </c>
      <c r="D1611" s="104">
        <v>50.640541</v>
      </c>
      <c r="E1611" s="104">
        <v>30.023239</v>
      </c>
      <c r="F1611" s="79">
        <v>1.0</v>
      </c>
      <c r="G1611" s="84" t="s">
        <v>15927</v>
      </c>
      <c r="H1611" s="61" t="s">
        <v>5522</v>
      </c>
      <c r="I1611" s="75"/>
      <c r="J1611" s="71" t="s">
        <v>15928</v>
      </c>
      <c r="K1611" s="69"/>
      <c r="L1611" s="65" t="s">
        <v>3542</v>
      </c>
      <c r="M1611" s="93" t="s">
        <v>5827</v>
      </c>
      <c r="N1611" s="314"/>
      <c r="O1611" s="93" t="s">
        <v>15395</v>
      </c>
      <c r="P1611" s="67" t="str">
        <f t="shared" si="11"/>
        <v>50.640541, 30.023239</v>
      </c>
      <c r="Q1611" s="67" t="str">
        <f t="shared" si="2"/>
        <v>50.640228, 30.022772</v>
      </c>
      <c r="R1611" s="67">
        <f t="shared" si="3"/>
        <v>50.640228</v>
      </c>
      <c r="S1611" s="67">
        <f t="shared" si="4"/>
        <v>30.022772</v>
      </c>
      <c r="T1611" s="161"/>
      <c r="U1611" s="69"/>
      <c r="V1611" s="65" t="s">
        <v>15929</v>
      </c>
      <c r="W1611" s="71" t="s">
        <v>74</v>
      </c>
      <c r="X1611" s="72" t="s">
        <v>5504</v>
      </c>
      <c r="Y1611" s="61" t="s">
        <v>5820</v>
      </c>
      <c r="Z1611" s="73"/>
      <c r="AA1611" s="73"/>
      <c r="AB1611" s="73"/>
      <c r="AC1611" s="73"/>
      <c r="AD1611" s="73"/>
      <c r="AE1611" s="73"/>
      <c r="AF1611" s="73"/>
      <c r="AG1611" s="73"/>
      <c r="AH1611" s="73"/>
      <c r="AI1611" s="73"/>
      <c r="AJ1611" s="161"/>
      <c r="AK1611" s="76" t="s">
        <v>930</v>
      </c>
      <c r="AL1611" s="83" t="s">
        <v>15397</v>
      </c>
      <c r="AM1611" s="71" t="s">
        <v>15930</v>
      </c>
      <c r="AN1611" s="84" t="s">
        <v>15931</v>
      </c>
      <c r="AO1611" s="71" t="s">
        <v>15400</v>
      </c>
      <c r="AP1611" s="161" t="str">
        <f>IMAGE("https://bellingcat-archive.nyc3.cdn.digitaloceanspaces.com/Ukraine_Witness_Datasheet/Worksheet/youtube_dl_1500766687959859200/out20.jpg")</f>
        <v/>
      </c>
      <c r="AQ1611" s="84" t="s">
        <v>15401</v>
      </c>
      <c r="AR1611" s="71" t="s">
        <v>15402</v>
      </c>
      <c r="AS1611" s="71" t="s">
        <v>15403</v>
      </c>
      <c r="AT1611" s="71">
        <v>60.866</v>
      </c>
      <c r="AU1611" s="89"/>
      <c r="AV1611" s="162"/>
      <c r="AW1611" s="81"/>
    </row>
    <row r="1612" ht="15.75" customHeight="1">
      <c r="A1612" s="258" t="s">
        <v>15932</v>
      </c>
      <c r="B1612" s="73"/>
      <c r="C1612" s="176"/>
      <c r="D1612" s="121"/>
      <c r="E1612" s="121"/>
      <c r="F1612" s="89"/>
      <c r="G1612" s="71" t="s">
        <v>15932</v>
      </c>
      <c r="H1612" s="73"/>
      <c r="I1612" s="75"/>
      <c r="J1612" s="161"/>
      <c r="K1612" s="69"/>
      <c r="L1612" s="70"/>
      <c r="M1612" s="314"/>
      <c r="N1612" s="314"/>
      <c r="O1612" s="314"/>
      <c r="P1612" s="67" t="str">
        <f t="shared" si="11"/>
        <v/>
      </c>
      <c r="Q1612" s="67" t="str">
        <f t="shared" si="2"/>
        <v/>
      </c>
      <c r="R1612" s="67" t="str">
        <f t="shared" si="3"/>
        <v/>
      </c>
      <c r="S1612" s="67" t="str">
        <f t="shared" si="4"/>
        <v/>
      </c>
      <c r="T1612" s="161"/>
      <c r="U1612" s="69"/>
      <c r="V1612" s="65" t="s">
        <v>15933</v>
      </c>
      <c r="W1612" s="161"/>
      <c r="X1612" s="194"/>
      <c r="Y1612" s="73"/>
      <c r="Z1612" s="73"/>
      <c r="AA1612" s="73"/>
      <c r="AB1612" s="73"/>
      <c r="AC1612" s="73"/>
      <c r="AD1612" s="73"/>
      <c r="AE1612" s="73"/>
      <c r="AF1612" s="73"/>
      <c r="AG1612" s="73"/>
      <c r="AH1612" s="73"/>
      <c r="AI1612" s="73"/>
      <c r="AJ1612" s="161"/>
      <c r="AK1612" s="76" t="s">
        <v>15934</v>
      </c>
      <c r="AL1612" s="269"/>
      <c r="AM1612" s="71" t="s">
        <v>15935</v>
      </c>
      <c r="AN1612" s="161"/>
      <c r="AO1612" s="161"/>
      <c r="AP1612" s="161"/>
      <c r="AQ1612" s="161"/>
      <c r="AR1612" s="161"/>
      <c r="AS1612" s="161"/>
      <c r="AT1612" s="161"/>
      <c r="AU1612" s="89"/>
      <c r="AV1612" s="162"/>
      <c r="AW1612" s="81"/>
    </row>
    <row r="1613" ht="15.75" customHeight="1">
      <c r="A1613" s="520"/>
      <c r="B1613" s="73"/>
      <c r="C1613" s="57" t="s">
        <v>5586</v>
      </c>
      <c r="D1613" s="121"/>
      <c r="E1613" s="121"/>
      <c r="F1613" s="79">
        <v>1.0</v>
      </c>
      <c r="G1613" s="84" t="s">
        <v>15936</v>
      </c>
      <c r="H1613" s="61" t="s">
        <v>91</v>
      </c>
      <c r="I1613" s="519" t="s">
        <v>12782</v>
      </c>
      <c r="J1613" s="71" t="s">
        <v>15937</v>
      </c>
      <c r="K1613" s="69"/>
      <c r="L1613" s="65" t="s">
        <v>3542</v>
      </c>
      <c r="M1613" s="73"/>
      <c r="N1613" s="73"/>
      <c r="O1613" s="61" t="s">
        <v>5626</v>
      </c>
      <c r="P1613" s="67" t="str">
        <f t="shared" si="11"/>
        <v/>
      </c>
      <c r="Q1613" s="67" t="str">
        <f t="shared" si="2"/>
        <v/>
      </c>
      <c r="R1613" s="67" t="str">
        <f t="shared" si="3"/>
        <v/>
      </c>
      <c r="S1613" s="67" t="str">
        <f t="shared" si="4"/>
        <v/>
      </c>
      <c r="T1613" s="161"/>
      <c r="U1613" s="64" t="s">
        <v>9330</v>
      </c>
      <c r="V1613" s="65" t="s">
        <v>15938</v>
      </c>
      <c r="W1613" s="71" t="s">
        <v>15866</v>
      </c>
      <c r="X1613" s="194"/>
      <c r="Y1613" s="73"/>
      <c r="Z1613" s="73"/>
      <c r="AA1613" s="73"/>
      <c r="AB1613" s="73"/>
      <c r="AC1613" s="73"/>
      <c r="AD1613" s="73"/>
      <c r="AE1613" s="73"/>
      <c r="AF1613" s="73"/>
      <c r="AG1613" s="73"/>
      <c r="AH1613" s="73"/>
      <c r="AI1613" s="73"/>
      <c r="AJ1613" s="161"/>
      <c r="AK1613" s="76" t="s">
        <v>1261</v>
      </c>
      <c r="AL1613" s="83" t="s">
        <v>15939</v>
      </c>
      <c r="AM1613" s="71" t="s">
        <v>15940</v>
      </c>
      <c r="AN1613" s="84" t="s">
        <v>15941</v>
      </c>
      <c r="AO1613" s="161"/>
      <c r="AP1613" s="161"/>
      <c r="AQ1613" s="161"/>
      <c r="AR1613" s="71" t="s">
        <v>10489</v>
      </c>
      <c r="AS1613" s="161"/>
      <c r="AT1613" s="161"/>
      <c r="AU1613" s="89"/>
      <c r="AV1613" s="162"/>
      <c r="AW1613" s="81"/>
    </row>
    <row r="1614" ht="15.75" customHeight="1">
      <c r="A1614" s="516" t="s">
        <v>8023</v>
      </c>
      <c r="B1614" s="73"/>
      <c r="C1614" s="57" t="s">
        <v>5586</v>
      </c>
      <c r="D1614" s="104">
        <v>47.7756721501902</v>
      </c>
      <c r="E1614" s="104">
        <v>37.2398523976332</v>
      </c>
      <c r="F1614" s="79">
        <v>1.0</v>
      </c>
      <c r="G1614" s="84" t="s">
        <v>15942</v>
      </c>
      <c r="H1614" s="61" t="s">
        <v>91</v>
      </c>
      <c r="I1614" s="517" t="s">
        <v>12782</v>
      </c>
      <c r="J1614" s="71" t="s">
        <v>15943</v>
      </c>
      <c r="K1614" s="69"/>
      <c r="L1614" s="65" t="s">
        <v>3542</v>
      </c>
      <c r="M1614" s="61" t="s">
        <v>5750</v>
      </c>
      <c r="N1614" s="73"/>
      <c r="O1614" s="61" t="s">
        <v>5716</v>
      </c>
      <c r="P1614" s="67" t="str">
        <f t="shared" si="11"/>
        <v>47.7756721501902, 37.2398523976332</v>
      </c>
      <c r="Q1614" s="67" t="str">
        <f t="shared" si="2"/>
        <v>47.77563, 37.239132</v>
      </c>
      <c r="R1614" s="67">
        <f t="shared" si="3"/>
        <v>47.77563</v>
      </c>
      <c r="S1614" s="67">
        <f t="shared" si="4"/>
        <v>37.239132</v>
      </c>
      <c r="T1614" s="71" t="s">
        <v>15944</v>
      </c>
      <c r="U1614" s="64" t="s">
        <v>15945</v>
      </c>
      <c r="V1614" s="65" t="s">
        <v>15946</v>
      </c>
      <c r="W1614" s="71" t="s">
        <v>15866</v>
      </c>
      <c r="X1614" s="72" t="s">
        <v>2982</v>
      </c>
      <c r="Y1614" s="73"/>
      <c r="Z1614" s="73"/>
      <c r="AA1614" s="73"/>
      <c r="AB1614" s="73"/>
      <c r="AC1614" s="73"/>
      <c r="AD1614" s="73"/>
      <c r="AE1614" s="73"/>
      <c r="AF1614" s="73"/>
      <c r="AG1614" s="73"/>
      <c r="AH1614" s="73"/>
      <c r="AI1614" s="73"/>
      <c r="AJ1614" s="161"/>
      <c r="AK1614" s="76" t="s">
        <v>1261</v>
      </c>
      <c r="AL1614" s="83" t="s">
        <v>15947</v>
      </c>
      <c r="AM1614" s="71" t="s">
        <v>15948</v>
      </c>
      <c r="AN1614" s="84" t="s">
        <v>15949</v>
      </c>
      <c r="AO1614" s="161"/>
      <c r="AP1614" s="161"/>
      <c r="AQ1614" s="161"/>
      <c r="AR1614" s="71" t="s">
        <v>7184</v>
      </c>
      <c r="AS1614" s="161"/>
      <c r="AT1614" s="161"/>
      <c r="AU1614" s="89"/>
      <c r="AV1614" s="80" t="s">
        <v>3944</v>
      </c>
      <c r="AW1614" s="81"/>
    </row>
    <row r="1615" ht="15.75" customHeight="1">
      <c r="A1615" s="516" t="s">
        <v>8023</v>
      </c>
      <c r="B1615" s="73"/>
      <c r="C1615" s="57" t="s">
        <v>5586</v>
      </c>
      <c r="D1615" s="104">
        <v>50.3964750129741</v>
      </c>
      <c r="E1615" s="104">
        <v>30.5055905737546</v>
      </c>
      <c r="F1615" s="79">
        <v>1.0</v>
      </c>
      <c r="G1615" s="84" t="s">
        <v>15950</v>
      </c>
      <c r="H1615" s="61" t="s">
        <v>5522</v>
      </c>
      <c r="I1615" s="517" t="s">
        <v>12782</v>
      </c>
      <c r="J1615" s="71" t="s">
        <v>15951</v>
      </c>
      <c r="K1615" s="69"/>
      <c r="L1615" s="65" t="s">
        <v>3542</v>
      </c>
      <c r="M1615" s="61" t="s">
        <v>5827</v>
      </c>
      <c r="N1615" s="73"/>
      <c r="O1615" s="61" t="s">
        <v>6121</v>
      </c>
      <c r="P1615" s="67" t="str">
        <f t="shared" si="11"/>
        <v>50.3964750129741, 30.5055905737546</v>
      </c>
      <c r="Q1615" s="67" t="str">
        <f t="shared" si="2"/>
        <v>50.395809, 30.505915</v>
      </c>
      <c r="R1615" s="67">
        <f t="shared" si="3"/>
        <v>50.395809</v>
      </c>
      <c r="S1615" s="67">
        <f t="shared" si="4"/>
        <v>30.505915</v>
      </c>
      <c r="T1615" s="71" t="s">
        <v>15952</v>
      </c>
      <c r="U1615" s="64" t="s">
        <v>15953</v>
      </c>
      <c r="V1615" s="65" t="s">
        <v>15954</v>
      </c>
      <c r="W1615" s="71" t="s">
        <v>15866</v>
      </c>
      <c r="X1615" s="72" t="s">
        <v>2982</v>
      </c>
      <c r="Y1615" s="73"/>
      <c r="Z1615" s="73"/>
      <c r="AA1615" s="73"/>
      <c r="AB1615" s="73"/>
      <c r="AC1615" s="73"/>
      <c r="AD1615" s="73"/>
      <c r="AE1615" s="73"/>
      <c r="AF1615" s="73"/>
      <c r="AG1615" s="73"/>
      <c r="AH1615" s="73"/>
      <c r="AI1615" s="73"/>
      <c r="AJ1615" s="161"/>
      <c r="AK1615" s="76" t="s">
        <v>798</v>
      </c>
      <c r="AL1615" s="83" t="s">
        <v>15955</v>
      </c>
      <c r="AM1615" s="71" t="s">
        <v>15956</v>
      </c>
      <c r="AN1615" s="84" t="s">
        <v>15957</v>
      </c>
      <c r="AO1615" s="71" t="s">
        <v>15958</v>
      </c>
      <c r="AP1615" s="161" t="str">
        <f>IMAGE("https://bellingcat-archive.nyc3.cdn.digitaloceanspaces.com/Ukraine_Witness_Datasheet/Worksheet/youtube_dl_1496734690971197444/out7.jpg")</f>
        <v/>
      </c>
      <c r="AQ1615" s="84" t="s">
        <v>15959</v>
      </c>
      <c r="AR1615" s="71" t="s">
        <v>15960</v>
      </c>
      <c r="AS1615" s="71" t="s">
        <v>15961</v>
      </c>
      <c r="AT1615" s="71">
        <v>38.75</v>
      </c>
      <c r="AU1615" s="89"/>
      <c r="AV1615" s="80" t="s">
        <v>3944</v>
      </c>
      <c r="AW1615" s="81"/>
    </row>
    <row r="1616" ht="15.75" customHeight="1">
      <c r="A1616" s="516" t="s">
        <v>8023</v>
      </c>
      <c r="B1616" s="73"/>
      <c r="C1616" s="57" t="s">
        <v>5586</v>
      </c>
      <c r="D1616" s="104">
        <v>50.0871964065418</v>
      </c>
      <c r="E1616" s="104">
        <v>36.2588003998821</v>
      </c>
      <c r="F1616" s="79">
        <v>1.0</v>
      </c>
      <c r="G1616" s="84" t="s">
        <v>15962</v>
      </c>
      <c r="H1616" s="61" t="s">
        <v>5522</v>
      </c>
      <c r="I1616" s="517" t="s">
        <v>12782</v>
      </c>
      <c r="J1616" s="71" t="s">
        <v>15963</v>
      </c>
      <c r="K1616" s="69"/>
      <c r="L1616" s="65" t="s">
        <v>3542</v>
      </c>
      <c r="M1616" s="61" t="s">
        <v>5590</v>
      </c>
      <c r="N1616" s="73"/>
      <c r="O1616" s="61" t="s">
        <v>5626</v>
      </c>
      <c r="P1616" s="67" t="str">
        <f t="shared" si="11"/>
        <v>50.0871964065418, 36.2588003998821</v>
      </c>
      <c r="Q1616" s="67" t="str">
        <f t="shared" si="2"/>
        <v>50.086818, 36.259579</v>
      </c>
      <c r="R1616" s="67">
        <f t="shared" si="3"/>
        <v>50.086818</v>
      </c>
      <c r="S1616" s="67">
        <f t="shared" si="4"/>
        <v>36.259579</v>
      </c>
      <c r="T1616" s="71" t="s">
        <v>15964</v>
      </c>
      <c r="U1616" s="64" t="s">
        <v>15965</v>
      </c>
      <c r="V1616" s="65" t="s">
        <v>15966</v>
      </c>
      <c r="W1616" s="71" t="s">
        <v>15866</v>
      </c>
      <c r="X1616" s="72" t="s">
        <v>2982</v>
      </c>
      <c r="Y1616" s="73"/>
      <c r="Z1616" s="73"/>
      <c r="AA1616" s="73"/>
      <c r="AB1616" s="73"/>
      <c r="AC1616" s="73"/>
      <c r="AD1616" s="73"/>
      <c r="AE1616" s="73"/>
      <c r="AF1616" s="73"/>
      <c r="AG1616" s="73"/>
      <c r="AH1616" s="73"/>
      <c r="AI1616" s="73"/>
      <c r="AJ1616" s="161"/>
      <c r="AK1616" s="76" t="s">
        <v>798</v>
      </c>
      <c r="AL1616" s="83" t="s">
        <v>15967</v>
      </c>
      <c r="AM1616" s="71" t="s">
        <v>15968</v>
      </c>
      <c r="AN1616" s="84" t="s">
        <v>15969</v>
      </c>
      <c r="AO1616" s="71" t="s">
        <v>15970</v>
      </c>
      <c r="AP1616" s="161" t="str">
        <f>IMAGE("https://bellingcat-archive.nyc3.cdn.digitaloceanspaces.com/Ukraine_Witness_Datasheet/Worksheet/youtube_dl_1496717506635079682/out7.jpg")</f>
        <v/>
      </c>
      <c r="AQ1616" s="84" t="s">
        <v>15971</v>
      </c>
      <c r="AR1616" s="71" t="s">
        <v>15972</v>
      </c>
      <c r="AS1616" s="71" t="s">
        <v>15973</v>
      </c>
      <c r="AT1616" s="71">
        <v>21.233</v>
      </c>
      <c r="AU1616" s="89"/>
      <c r="AV1616" s="80" t="s">
        <v>3944</v>
      </c>
      <c r="AW1616" s="81"/>
    </row>
    <row r="1617" ht="15.75" customHeight="1">
      <c r="A1617" s="520"/>
      <c r="B1617" s="73"/>
      <c r="C1617" s="57" t="s">
        <v>6118</v>
      </c>
      <c r="D1617" s="121"/>
      <c r="E1617" s="121"/>
      <c r="F1617" s="79">
        <v>1.0</v>
      </c>
      <c r="G1617" s="84" t="s">
        <v>15974</v>
      </c>
      <c r="H1617" s="61" t="s">
        <v>91</v>
      </c>
      <c r="I1617" s="519" t="s">
        <v>12782</v>
      </c>
      <c r="J1617" s="71" t="s">
        <v>15975</v>
      </c>
      <c r="K1617" s="69"/>
      <c r="L1617" s="65" t="s">
        <v>3542</v>
      </c>
      <c r="M1617" s="73"/>
      <c r="N1617" s="73"/>
      <c r="O1617" s="61" t="s">
        <v>5626</v>
      </c>
      <c r="P1617" s="67" t="str">
        <f t="shared" si="11"/>
        <v/>
      </c>
      <c r="Q1617" s="67" t="str">
        <f t="shared" si="2"/>
        <v/>
      </c>
      <c r="R1617" s="67" t="str">
        <f t="shared" si="3"/>
        <v/>
      </c>
      <c r="S1617" s="67" t="str">
        <f t="shared" si="4"/>
        <v/>
      </c>
      <c r="T1617" s="161"/>
      <c r="U1617" s="64" t="s">
        <v>9330</v>
      </c>
      <c r="V1617" s="65" t="s">
        <v>15976</v>
      </c>
      <c r="W1617" s="71" t="s">
        <v>15866</v>
      </c>
      <c r="X1617" s="194"/>
      <c r="Y1617" s="73"/>
      <c r="Z1617" s="73"/>
      <c r="AA1617" s="73"/>
      <c r="AB1617" s="73"/>
      <c r="AC1617" s="73"/>
      <c r="AD1617" s="73"/>
      <c r="AE1617" s="73"/>
      <c r="AF1617" s="73"/>
      <c r="AG1617" s="73"/>
      <c r="AH1617" s="73"/>
      <c r="AI1617" s="73"/>
      <c r="AJ1617" s="161"/>
      <c r="AK1617" s="76" t="s">
        <v>798</v>
      </c>
      <c r="AL1617" s="83" t="s">
        <v>15977</v>
      </c>
      <c r="AM1617" s="71" t="s">
        <v>15978</v>
      </c>
      <c r="AN1617" s="84" t="s">
        <v>15979</v>
      </c>
      <c r="AO1617" s="71" t="s">
        <v>15980</v>
      </c>
      <c r="AP1617" s="161" t="str">
        <f>IMAGE("https://bellingcat-archive.nyc3.cdn.digitaloceanspaces.com/Ukraine_Witness_Datasheet/Worksheet/youtube_dl_1497422148419432448/out7.jpg")</f>
        <v/>
      </c>
      <c r="AQ1617" s="84" t="s">
        <v>15981</v>
      </c>
      <c r="AR1617" s="71" t="s">
        <v>15982</v>
      </c>
      <c r="AS1617" s="71" t="s">
        <v>15983</v>
      </c>
      <c r="AT1617" s="71">
        <v>12.702</v>
      </c>
      <c r="AU1617" s="89"/>
      <c r="AV1617" s="162"/>
      <c r="AW1617" s="81"/>
    </row>
    <row r="1618" ht="15.75" customHeight="1">
      <c r="A1618" s="516" t="s">
        <v>8023</v>
      </c>
      <c r="B1618" s="73"/>
      <c r="C1618" s="57" t="s">
        <v>6118</v>
      </c>
      <c r="D1618" s="104">
        <v>49.9873121681653</v>
      </c>
      <c r="E1618" s="104">
        <v>36.261177195742</v>
      </c>
      <c r="F1618" s="79">
        <v>1.0</v>
      </c>
      <c r="G1618" s="84" t="s">
        <v>15984</v>
      </c>
      <c r="H1618" s="61" t="s">
        <v>91</v>
      </c>
      <c r="I1618" s="517" t="s">
        <v>12782</v>
      </c>
      <c r="J1618" s="71" t="s">
        <v>15985</v>
      </c>
      <c r="K1618" s="69"/>
      <c r="L1618" s="65" t="s">
        <v>3542</v>
      </c>
      <c r="M1618" s="61" t="s">
        <v>5590</v>
      </c>
      <c r="N1618" s="73"/>
      <c r="O1618" s="61" t="s">
        <v>5626</v>
      </c>
      <c r="P1618" s="67" t="str">
        <f t="shared" si="11"/>
        <v>49.9873121681653, 36.261177195742</v>
      </c>
      <c r="Q1618" s="67" t="str">
        <f t="shared" si="2"/>
        <v>49.987069, 36.260709</v>
      </c>
      <c r="R1618" s="67">
        <f t="shared" si="3"/>
        <v>49.987069</v>
      </c>
      <c r="S1618" s="67">
        <f t="shared" si="4"/>
        <v>36.260709</v>
      </c>
      <c r="T1618" s="71" t="s">
        <v>15986</v>
      </c>
      <c r="U1618" s="64" t="s">
        <v>15965</v>
      </c>
      <c r="V1618" s="65" t="s">
        <v>15987</v>
      </c>
      <c r="W1618" s="71" t="s">
        <v>15866</v>
      </c>
      <c r="X1618" s="72" t="s">
        <v>2982</v>
      </c>
      <c r="Y1618" s="61" t="s">
        <v>2542</v>
      </c>
      <c r="Z1618" s="61" t="s">
        <v>15988</v>
      </c>
      <c r="AA1618" s="73"/>
      <c r="AB1618" s="73"/>
      <c r="AC1618" s="73"/>
      <c r="AD1618" s="73"/>
      <c r="AE1618" s="73"/>
      <c r="AF1618" s="73"/>
      <c r="AG1618" s="73"/>
      <c r="AH1618" s="73"/>
      <c r="AI1618" s="73"/>
      <c r="AJ1618" s="161"/>
      <c r="AK1618" s="76" t="s">
        <v>2108</v>
      </c>
      <c r="AL1618" s="83" t="s">
        <v>15989</v>
      </c>
      <c r="AM1618" s="71" t="s">
        <v>15990</v>
      </c>
      <c r="AN1618" s="84" t="s">
        <v>15991</v>
      </c>
      <c r="AO1618" s="71" t="s">
        <v>15992</v>
      </c>
      <c r="AP1618" s="161" t="str">
        <f>IMAGE("https://bellingcat-archive.nyc3.cdn.digitaloceanspaces.com/Ukraine_Witness_Datasheet/Worksheet/twitter__media_FMoTd7ZXwAkRamb.jpg")</f>
        <v/>
      </c>
      <c r="AQ1618" s="161"/>
      <c r="AR1618" s="161"/>
      <c r="AS1618" s="71" t="s">
        <v>15993</v>
      </c>
      <c r="AT1618" s="161"/>
      <c r="AU1618" s="89"/>
      <c r="AV1618" s="80" t="s">
        <v>3944</v>
      </c>
      <c r="AW1618" s="81"/>
    </row>
    <row r="1619" ht="15.75" customHeight="1">
      <c r="A1619" s="520"/>
      <c r="B1619" s="73"/>
      <c r="C1619" s="57" t="s">
        <v>6118</v>
      </c>
      <c r="D1619" s="121"/>
      <c r="E1619" s="121"/>
      <c r="F1619" s="79">
        <v>1.0</v>
      </c>
      <c r="G1619" s="84" t="s">
        <v>15994</v>
      </c>
      <c r="H1619" s="61" t="s">
        <v>91</v>
      </c>
      <c r="I1619" s="519" t="s">
        <v>12782</v>
      </c>
      <c r="J1619" s="71" t="s">
        <v>15985</v>
      </c>
      <c r="K1619" s="69"/>
      <c r="L1619" s="65" t="s">
        <v>3542</v>
      </c>
      <c r="M1619" s="61" t="s">
        <v>5590</v>
      </c>
      <c r="N1619" s="73"/>
      <c r="O1619" s="61" t="s">
        <v>5626</v>
      </c>
      <c r="P1619" s="67" t="str">
        <f t="shared" si="11"/>
        <v/>
      </c>
      <c r="Q1619" s="67" t="str">
        <f t="shared" si="2"/>
        <v/>
      </c>
      <c r="R1619" s="67" t="str">
        <f t="shared" si="3"/>
        <v/>
      </c>
      <c r="S1619" s="67" t="str">
        <f t="shared" si="4"/>
        <v/>
      </c>
      <c r="T1619" s="161"/>
      <c r="U1619" s="64" t="s">
        <v>9330</v>
      </c>
      <c r="V1619" s="65" t="s">
        <v>15995</v>
      </c>
      <c r="W1619" s="71" t="s">
        <v>15866</v>
      </c>
      <c r="X1619" s="194"/>
      <c r="Y1619" s="73"/>
      <c r="Z1619" s="73"/>
      <c r="AA1619" s="73"/>
      <c r="AB1619" s="73"/>
      <c r="AC1619" s="73"/>
      <c r="AD1619" s="73"/>
      <c r="AE1619" s="73"/>
      <c r="AF1619" s="73"/>
      <c r="AG1619" s="73"/>
      <c r="AH1619" s="73"/>
      <c r="AI1619" s="73"/>
      <c r="AJ1619" s="161"/>
      <c r="AK1619" s="76" t="s">
        <v>6276</v>
      </c>
      <c r="AL1619" s="83" t="s">
        <v>15996</v>
      </c>
      <c r="AM1619" s="71" t="s">
        <v>15997</v>
      </c>
      <c r="AN1619" s="84" t="s">
        <v>15998</v>
      </c>
      <c r="AO1619" s="71" t="s">
        <v>15999</v>
      </c>
      <c r="AP1619" s="161"/>
      <c r="AQ1619" s="161"/>
      <c r="AR1619" s="161"/>
      <c r="AS1619" s="71" t="s">
        <v>16000</v>
      </c>
      <c r="AT1619" s="161"/>
      <c r="AU1619" s="89"/>
      <c r="AV1619" s="162"/>
      <c r="AW1619" s="81"/>
    </row>
    <row r="1620" ht="15.75" customHeight="1">
      <c r="A1620" s="520"/>
      <c r="B1620" s="73"/>
      <c r="C1620" s="57" t="s">
        <v>6118</v>
      </c>
      <c r="D1620" s="121"/>
      <c r="E1620" s="121"/>
      <c r="F1620" s="79">
        <v>1.0</v>
      </c>
      <c r="G1620" s="84" t="s">
        <v>16001</v>
      </c>
      <c r="H1620" s="61" t="s">
        <v>91</v>
      </c>
      <c r="I1620" s="519" t="s">
        <v>12782</v>
      </c>
      <c r="J1620" s="71" t="s">
        <v>16002</v>
      </c>
      <c r="K1620" s="69"/>
      <c r="L1620" s="65" t="s">
        <v>3542</v>
      </c>
      <c r="M1620" s="73"/>
      <c r="N1620" s="73"/>
      <c r="O1620" s="61" t="s">
        <v>5626</v>
      </c>
      <c r="P1620" s="67" t="str">
        <f t="shared" si="11"/>
        <v/>
      </c>
      <c r="Q1620" s="67" t="str">
        <f t="shared" si="2"/>
        <v/>
      </c>
      <c r="R1620" s="67" t="str">
        <f t="shared" si="3"/>
        <v/>
      </c>
      <c r="S1620" s="67" t="str">
        <f t="shared" si="4"/>
        <v/>
      </c>
      <c r="T1620" s="161"/>
      <c r="U1620" s="64" t="s">
        <v>9330</v>
      </c>
      <c r="V1620" s="65" t="s">
        <v>16003</v>
      </c>
      <c r="W1620" s="71" t="s">
        <v>15866</v>
      </c>
      <c r="X1620" s="194"/>
      <c r="Y1620" s="73"/>
      <c r="Z1620" s="73"/>
      <c r="AA1620" s="73"/>
      <c r="AB1620" s="73"/>
      <c r="AC1620" s="73"/>
      <c r="AD1620" s="73"/>
      <c r="AE1620" s="73"/>
      <c r="AF1620" s="73"/>
      <c r="AG1620" s="73"/>
      <c r="AH1620" s="73"/>
      <c r="AI1620" s="73"/>
      <c r="AJ1620" s="161"/>
      <c r="AK1620" s="76" t="s">
        <v>16004</v>
      </c>
      <c r="AL1620" s="269"/>
      <c r="AM1620" s="71" t="s">
        <v>16005</v>
      </c>
      <c r="AN1620" s="161"/>
      <c r="AO1620" s="161"/>
      <c r="AP1620" s="161"/>
      <c r="AQ1620" s="161"/>
      <c r="AR1620" s="161"/>
      <c r="AS1620" s="161"/>
      <c r="AT1620" s="161"/>
      <c r="AU1620" s="89"/>
      <c r="AV1620" s="162"/>
      <c r="AW1620" s="81"/>
    </row>
    <row r="1621" ht="15.75" customHeight="1">
      <c r="A1621" s="521" t="s">
        <v>12532</v>
      </c>
      <c r="B1621" s="73"/>
      <c r="C1621" s="57" t="s">
        <v>6118</v>
      </c>
      <c r="D1621" s="121"/>
      <c r="E1621" s="121"/>
      <c r="F1621" s="79"/>
      <c r="G1621" s="84" t="s">
        <v>16006</v>
      </c>
      <c r="H1621" s="61"/>
      <c r="I1621" s="519"/>
      <c r="J1621" s="161"/>
      <c r="K1621" s="69"/>
      <c r="L1621" s="65" t="s">
        <v>3542</v>
      </c>
      <c r="M1621" s="73"/>
      <c r="N1621" s="73"/>
      <c r="O1621" s="61" t="s">
        <v>16007</v>
      </c>
      <c r="P1621" s="67" t="str">
        <f t="shared" si="11"/>
        <v/>
      </c>
      <c r="Q1621" s="67" t="str">
        <f t="shared" si="2"/>
        <v/>
      </c>
      <c r="R1621" s="67" t="str">
        <f t="shared" si="3"/>
        <v/>
      </c>
      <c r="S1621" s="67" t="str">
        <f t="shared" si="4"/>
        <v/>
      </c>
      <c r="T1621" s="161"/>
      <c r="U1621" s="64" t="s">
        <v>16008</v>
      </c>
      <c r="V1621" s="65" t="s">
        <v>16009</v>
      </c>
      <c r="W1621" s="71" t="s">
        <v>15866</v>
      </c>
      <c r="X1621" s="194"/>
      <c r="Y1621" s="73"/>
      <c r="Z1621" s="73"/>
      <c r="AA1621" s="73"/>
      <c r="AB1621" s="73"/>
      <c r="AC1621" s="73"/>
      <c r="AD1621" s="73"/>
      <c r="AE1621" s="73"/>
      <c r="AF1621" s="73"/>
      <c r="AG1621" s="73"/>
      <c r="AH1621" s="73"/>
      <c r="AI1621" s="73"/>
      <c r="AJ1621" s="161"/>
      <c r="AK1621" s="76" t="s">
        <v>2108</v>
      </c>
      <c r="AL1621" s="83" t="s">
        <v>16010</v>
      </c>
      <c r="AM1621" s="71" t="s">
        <v>16011</v>
      </c>
      <c r="AN1621" s="84" t="s">
        <v>16012</v>
      </c>
      <c r="AO1621" s="71" t="s">
        <v>16013</v>
      </c>
      <c r="AP1621" s="161" t="str">
        <f>IMAGE("https://bellingcat-archive.nyc3.cdn.digitaloceanspaces.com/Ukraine_Witness_Datasheet/Worksheet/twitter__media_FMdZaBZXoAQwT9k.jpg")</f>
        <v/>
      </c>
      <c r="AQ1621" s="161"/>
      <c r="AR1621" s="161"/>
      <c r="AS1621" s="71" t="s">
        <v>16014</v>
      </c>
      <c r="AT1621" s="161"/>
      <c r="AU1621" s="89"/>
      <c r="AV1621" s="162"/>
      <c r="AW1621" s="81"/>
    </row>
    <row r="1622" ht="15.75" customHeight="1">
      <c r="A1622" s="520"/>
      <c r="B1622" s="73"/>
      <c r="C1622" s="57" t="s">
        <v>6118</v>
      </c>
      <c r="D1622" s="121"/>
      <c r="E1622" s="121"/>
      <c r="F1622" s="79">
        <v>1.0</v>
      </c>
      <c r="G1622" s="84" t="s">
        <v>16015</v>
      </c>
      <c r="H1622" s="61" t="s">
        <v>91</v>
      </c>
      <c r="I1622" s="519" t="s">
        <v>12782</v>
      </c>
      <c r="J1622" s="71" t="s">
        <v>16016</v>
      </c>
      <c r="K1622" s="69"/>
      <c r="L1622" s="65" t="s">
        <v>3542</v>
      </c>
      <c r="M1622" s="73"/>
      <c r="N1622" s="73"/>
      <c r="O1622" s="61" t="s">
        <v>16017</v>
      </c>
      <c r="P1622" s="67" t="str">
        <f t="shared" si="11"/>
        <v/>
      </c>
      <c r="Q1622" s="67" t="str">
        <f t="shared" si="2"/>
        <v/>
      </c>
      <c r="R1622" s="67" t="str">
        <f t="shared" si="3"/>
        <v/>
      </c>
      <c r="S1622" s="67" t="str">
        <f t="shared" si="4"/>
        <v/>
      </c>
      <c r="T1622" s="161"/>
      <c r="U1622" s="64" t="s">
        <v>9330</v>
      </c>
      <c r="V1622" s="65" t="s">
        <v>16018</v>
      </c>
      <c r="W1622" s="71" t="s">
        <v>15866</v>
      </c>
      <c r="X1622" s="194"/>
      <c r="Y1622" s="73"/>
      <c r="Z1622" s="73"/>
      <c r="AA1622" s="73"/>
      <c r="AB1622" s="73"/>
      <c r="AC1622" s="73"/>
      <c r="AD1622" s="73"/>
      <c r="AE1622" s="73"/>
      <c r="AF1622" s="73"/>
      <c r="AG1622" s="73"/>
      <c r="AH1622" s="73"/>
      <c r="AI1622" s="73"/>
      <c r="AJ1622" s="161"/>
      <c r="AK1622" s="76" t="s">
        <v>6276</v>
      </c>
      <c r="AL1622" s="83" t="s">
        <v>16019</v>
      </c>
      <c r="AM1622" s="71" t="s">
        <v>16020</v>
      </c>
      <c r="AN1622" s="84" t="s">
        <v>16021</v>
      </c>
      <c r="AO1622" s="71" t="s">
        <v>16022</v>
      </c>
      <c r="AP1622" s="161" t="str">
        <f>IMAGE("https://bellingcat-archive.nyc3.cdn.digitaloceanspaces.com/Ukraine_Witness_Datasheet/Worksheet/telegram_70561c9a2e/out20.jpg")</f>
        <v/>
      </c>
      <c r="AQ1622" s="84" t="s">
        <v>16023</v>
      </c>
      <c r="AR1622" s="84" t="s">
        <v>16024</v>
      </c>
      <c r="AS1622" s="71" t="s">
        <v>16025</v>
      </c>
      <c r="AT1622" s="71">
        <v>90.0</v>
      </c>
      <c r="AU1622" s="89"/>
      <c r="AV1622" s="162"/>
      <c r="AW1622" s="81"/>
    </row>
    <row r="1623" ht="15.75" customHeight="1">
      <c r="A1623" s="518" t="s">
        <v>15467</v>
      </c>
      <c r="B1623" s="73"/>
      <c r="C1623" s="57" t="s">
        <v>6118</v>
      </c>
      <c r="D1623" s="104">
        <v>50.022806</v>
      </c>
      <c r="E1623" s="66">
        <v>36.330828</v>
      </c>
      <c r="F1623" s="79">
        <v>1.0</v>
      </c>
      <c r="G1623" s="84" t="s">
        <v>16026</v>
      </c>
      <c r="H1623" s="104" t="s">
        <v>91</v>
      </c>
      <c r="I1623" s="522" t="s">
        <v>12782</v>
      </c>
      <c r="J1623" s="71" t="s">
        <v>16027</v>
      </c>
      <c r="K1623" s="69"/>
      <c r="L1623" s="65" t="s">
        <v>3542</v>
      </c>
      <c r="M1623" s="61" t="s">
        <v>5590</v>
      </c>
      <c r="N1623" s="61" t="s">
        <v>16028</v>
      </c>
      <c r="O1623" s="61" t="s">
        <v>5626</v>
      </c>
      <c r="P1623" s="67" t="str">
        <f t="shared" si="11"/>
        <v>50.022806, 36.330828</v>
      </c>
      <c r="Q1623" s="67" t="str">
        <f t="shared" si="2"/>
        <v>50.022155, 36.330684</v>
      </c>
      <c r="R1623" s="67">
        <f t="shared" si="3"/>
        <v>50.022155</v>
      </c>
      <c r="S1623" s="67">
        <f t="shared" si="4"/>
        <v>36.330684</v>
      </c>
      <c r="T1623" s="71" t="s">
        <v>16029</v>
      </c>
      <c r="U1623" s="64" t="s">
        <v>15965</v>
      </c>
      <c r="V1623" s="65" t="s">
        <v>16030</v>
      </c>
      <c r="W1623" s="71" t="s">
        <v>15866</v>
      </c>
      <c r="X1623" s="72" t="s">
        <v>5504</v>
      </c>
      <c r="Y1623" s="216" t="s">
        <v>5820</v>
      </c>
      <c r="Z1623" s="73"/>
      <c r="AA1623" s="73"/>
      <c r="AB1623" s="73"/>
      <c r="AC1623" s="73"/>
      <c r="AD1623" s="73"/>
      <c r="AE1623" s="73"/>
      <c r="AF1623" s="73"/>
      <c r="AG1623" s="73"/>
      <c r="AH1623" s="73"/>
      <c r="AI1623" s="73"/>
      <c r="AJ1623" s="161"/>
      <c r="AK1623" s="76" t="s">
        <v>2108</v>
      </c>
      <c r="AL1623" s="83" t="s">
        <v>16031</v>
      </c>
      <c r="AM1623" s="71" t="s">
        <v>16032</v>
      </c>
      <c r="AN1623" s="84" t="s">
        <v>16033</v>
      </c>
      <c r="AO1623" s="71" t="s">
        <v>16034</v>
      </c>
      <c r="AP1623" s="161" t="str">
        <f>IMAGE("https://bellingcat-archive.nyc3.cdn.digitaloceanspaces.com/Ukraine_Witness_Datasheet/Worksheet/twitter__media_FMoUueXWYAQETCQ.jpg")</f>
        <v/>
      </c>
      <c r="AQ1623" s="161"/>
      <c r="AR1623" s="161"/>
      <c r="AS1623" s="71" t="s">
        <v>16035</v>
      </c>
      <c r="AT1623" s="161"/>
      <c r="AU1623" s="89"/>
      <c r="AV1623" s="80" t="s">
        <v>63</v>
      </c>
      <c r="AW1623" s="203"/>
    </row>
    <row r="1624" ht="15.75" customHeight="1">
      <c r="A1624" s="258" t="s">
        <v>15932</v>
      </c>
      <c r="B1624" s="73"/>
      <c r="C1624" s="57"/>
      <c r="D1624" s="121"/>
      <c r="E1624" s="121"/>
      <c r="F1624" s="89"/>
      <c r="G1624" s="71" t="s">
        <v>15932</v>
      </c>
      <c r="H1624" s="73"/>
      <c r="I1624" s="519"/>
      <c r="J1624" s="161"/>
      <c r="K1624" s="69"/>
      <c r="L1624" s="65"/>
      <c r="M1624" s="73"/>
      <c r="N1624" s="73"/>
      <c r="O1624" s="61"/>
      <c r="P1624" s="67"/>
      <c r="Q1624" s="67"/>
      <c r="R1624" s="67"/>
      <c r="S1624" s="67"/>
      <c r="T1624" s="161"/>
      <c r="U1624" s="64"/>
      <c r="V1624" s="65" t="s">
        <v>16036</v>
      </c>
      <c r="W1624" s="71" t="s">
        <v>15866</v>
      </c>
      <c r="X1624" s="194"/>
      <c r="Y1624" s="73"/>
      <c r="Z1624" s="73"/>
      <c r="AA1624" s="73"/>
      <c r="AB1624" s="73"/>
      <c r="AC1624" s="73"/>
      <c r="AD1624" s="73"/>
      <c r="AE1624" s="73"/>
      <c r="AF1624" s="73"/>
      <c r="AG1624" s="73"/>
      <c r="AH1624" s="73"/>
      <c r="AI1624" s="73"/>
      <c r="AJ1624" s="161"/>
      <c r="AK1624" s="76" t="s">
        <v>15934</v>
      </c>
      <c r="AL1624" s="269"/>
      <c r="AM1624" s="71" t="s">
        <v>16037</v>
      </c>
      <c r="AN1624" s="161"/>
      <c r="AO1624" s="161"/>
      <c r="AP1624" s="161"/>
      <c r="AQ1624" s="161"/>
      <c r="AR1624" s="161"/>
      <c r="AS1624" s="161"/>
      <c r="AT1624" s="161"/>
      <c r="AU1624" s="89"/>
      <c r="AV1624" s="162"/>
      <c r="AW1624" s="81"/>
    </row>
    <row r="1625" ht="15.75" customHeight="1">
      <c r="A1625" s="520"/>
      <c r="B1625" s="73"/>
      <c r="C1625" s="57" t="s">
        <v>6118</v>
      </c>
      <c r="D1625" s="121"/>
      <c r="E1625" s="121"/>
      <c r="F1625" s="79">
        <v>1.0</v>
      </c>
      <c r="G1625" s="84" t="s">
        <v>16038</v>
      </c>
      <c r="H1625" s="61" t="s">
        <v>91</v>
      </c>
      <c r="I1625" s="519" t="s">
        <v>12782</v>
      </c>
      <c r="J1625" s="71" t="s">
        <v>15975</v>
      </c>
      <c r="K1625" s="69"/>
      <c r="L1625" s="65" t="s">
        <v>3542</v>
      </c>
      <c r="M1625" s="73"/>
      <c r="N1625" s="73"/>
      <c r="O1625" s="61" t="s">
        <v>5626</v>
      </c>
      <c r="P1625" s="67" t="str">
        <f t="shared" ref="P1625:P1697" si="14">IF(ISBLANK(D1625), "", CONCATENATE(D1625,", ", E1625))</f>
        <v/>
      </c>
      <c r="Q1625" s="67" t="str">
        <f t="shared" ref="Q1625:Q1697" si="15">IF(ISBLANK(D1625),"",CONCATENATE(R1625, ", ", S1625))</f>
        <v/>
      </c>
      <c r="R1625" s="67" t="str">
        <f t="shared" ref="R1625:R1697" si="16">IFERROR(IF(ISBLANK(D1625), "", ROUND(D1625-0.00001*SIN(MOD(POW(ROW()*1337,3/2),1)*PI())*(MOD(POW(ROW()*2337,3/2),1)*50+35),6)), "bad coordinate")</f>
        <v/>
      </c>
      <c r="S1625" s="67" t="str">
        <f t="shared" ref="S1625:S1697" si="17">IFERROR(IF(ISBLANK(E1625), "", ROUND(E1625+0.000015*COS(MOD(POW(ROW()*1337,3/2),1)*PI())*(MOD(POW(ROW()*2337,3/2),1)*50+35),6)), "bad coordinate")</f>
        <v/>
      </c>
      <c r="T1625" s="161"/>
      <c r="U1625" s="64" t="s">
        <v>9330</v>
      </c>
      <c r="V1625" s="65" t="s">
        <v>16039</v>
      </c>
      <c r="W1625" s="71" t="s">
        <v>15866</v>
      </c>
      <c r="X1625" s="194"/>
      <c r="Y1625" s="73"/>
      <c r="Z1625" s="73"/>
      <c r="AA1625" s="73"/>
      <c r="AB1625" s="73"/>
      <c r="AC1625" s="73"/>
      <c r="AD1625" s="73"/>
      <c r="AE1625" s="73"/>
      <c r="AF1625" s="73"/>
      <c r="AG1625" s="73"/>
      <c r="AH1625" s="73"/>
      <c r="AI1625" s="73"/>
      <c r="AJ1625" s="161"/>
      <c r="AK1625" s="76" t="s">
        <v>1261</v>
      </c>
      <c r="AL1625" s="83" t="s">
        <v>16040</v>
      </c>
      <c r="AM1625" s="71" t="s">
        <v>16041</v>
      </c>
      <c r="AN1625" s="84" t="s">
        <v>16042</v>
      </c>
      <c r="AO1625" s="161"/>
      <c r="AP1625" s="161"/>
      <c r="AQ1625" s="161"/>
      <c r="AR1625" s="71" t="s">
        <v>2228</v>
      </c>
      <c r="AS1625" s="161"/>
      <c r="AT1625" s="161"/>
      <c r="AU1625" s="89"/>
      <c r="AV1625" s="162"/>
      <c r="AW1625" s="81"/>
    </row>
    <row r="1626" ht="15.75" customHeight="1">
      <c r="A1626" s="520"/>
      <c r="B1626" s="73"/>
      <c r="C1626" s="57" t="s">
        <v>7672</v>
      </c>
      <c r="D1626" s="121"/>
      <c r="E1626" s="121"/>
      <c r="F1626" s="79">
        <v>1.0</v>
      </c>
      <c r="G1626" s="84" t="s">
        <v>16043</v>
      </c>
      <c r="H1626" s="61" t="s">
        <v>91</v>
      </c>
      <c r="I1626" s="519" t="s">
        <v>12782</v>
      </c>
      <c r="J1626" s="71" t="s">
        <v>16044</v>
      </c>
      <c r="K1626" s="69"/>
      <c r="L1626" s="65" t="s">
        <v>3542</v>
      </c>
      <c r="M1626" s="73"/>
      <c r="N1626" s="73"/>
      <c r="O1626" s="61" t="s">
        <v>16045</v>
      </c>
      <c r="P1626" s="67" t="str">
        <f t="shared" si="14"/>
        <v/>
      </c>
      <c r="Q1626" s="67" t="str">
        <f t="shared" si="15"/>
        <v/>
      </c>
      <c r="R1626" s="67" t="str">
        <f t="shared" si="16"/>
        <v/>
      </c>
      <c r="S1626" s="67" t="str">
        <f t="shared" si="17"/>
        <v/>
      </c>
      <c r="T1626" s="161"/>
      <c r="U1626" s="64" t="s">
        <v>16046</v>
      </c>
      <c r="V1626" s="65" t="s">
        <v>16047</v>
      </c>
      <c r="W1626" s="71" t="s">
        <v>15866</v>
      </c>
      <c r="X1626" s="194"/>
      <c r="Y1626" s="73"/>
      <c r="Z1626" s="73"/>
      <c r="AA1626" s="73"/>
      <c r="AB1626" s="73"/>
      <c r="AC1626" s="73"/>
      <c r="AD1626" s="73"/>
      <c r="AE1626" s="73"/>
      <c r="AF1626" s="73"/>
      <c r="AG1626" s="73"/>
      <c r="AH1626" s="73"/>
      <c r="AI1626" s="73"/>
      <c r="AJ1626" s="161"/>
      <c r="AK1626" s="76" t="s">
        <v>6276</v>
      </c>
      <c r="AL1626" s="83" t="s">
        <v>16048</v>
      </c>
      <c r="AM1626" s="71" t="s">
        <v>16049</v>
      </c>
      <c r="AN1626" s="84" t="s">
        <v>16050</v>
      </c>
      <c r="AO1626" s="71" t="s">
        <v>16051</v>
      </c>
      <c r="AP1626" s="161"/>
      <c r="AQ1626" s="161"/>
      <c r="AR1626" s="161"/>
      <c r="AS1626" s="71" t="s">
        <v>16052</v>
      </c>
      <c r="AT1626" s="161"/>
      <c r="AU1626" s="89"/>
      <c r="AV1626" s="162"/>
      <c r="AW1626" s="81"/>
    </row>
    <row r="1627" ht="15.75" customHeight="1">
      <c r="A1627" s="523" t="s">
        <v>16053</v>
      </c>
      <c r="B1627" s="73"/>
      <c r="C1627" s="57" t="s">
        <v>7672</v>
      </c>
      <c r="D1627" s="104">
        <v>50.000627</v>
      </c>
      <c r="E1627" s="104">
        <v>36.261793</v>
      </c>
      <c r="F1627" s="79">
        <v>1.0</v>
      </c>
      <c r="G1627" s="84" t="s">
        <v>16054</v>
      </c>
      <c r="H1627" s="61" t="s">
        <v>91</v>
      </c>
      <c r="I1627" s="519" t="s">
        <v>12782</v>
      </c>
      <c r="J1627" s="71" t="s">
        <v>15975</v>
      </c>
      <c r="K1627" s="88" t="s">
        <v>16055</v>
      </c>
      <c r="L1627" s="65" t="s">
        <v>3542</v>
      </c>
      <c r="M1627" s="61" t="s">
        <v>5626</v>
      </c>
      <c r="N1627" s="73"/>
      <c r="O1627" s="61" t="s">
        <v>5626</v>
      </c>
      <c r="P1627" s="67" t="str">
        <f t="shared" si="14"/>
        <v>50.000627, 36.261793</v>
      </c>
      <c r="Q1627" s="67" t="str">
        <f t="shared" si="15"/>
        <v>50.000581, 36.262893</v>
      </c>
      <c r="R1627" s="67">
        <f t="shared" si="16"/>
        <v>50.000581</v>
      </c>
      <c r="S1627" s="67">
        <f t="shared" si="17"/>
        <v>36.262893</v>
      </c>
      <c r="T1627" s="71" t="s">
        <v>16056</v>
      </c>
      <c r="U1627" s="64" t="s">
        <v>9330</v>
      </c>
      <c r="V1627" s="65" t="s">
        <v>16057</v>
      </c>
      <c r="W1627" s="71" t="s">
        <v>15866</v>
      </c>
      <c r="X1627" s="513"/>
      <c r="Y1627" s="61" t="s">
        <v>11347</v>
      </c>
      <c r="Z1627" s="73"/>
      <c r="AA1627" s="73"/>
      <c r="AB1627" s="61" t="s">
        <v>16058</v>
      </c>
      <c r="AC1627" s="73"/>
      <c r="AD1627" s="73"/>
      <c r="AE1627" s="73"/>
      <c r="AF1627" s="73"/>
      <c r="AG1627" s="73"/>
      <c r="AH1627" s="73"/>
      <c r="AI1627" s="73"/>
      <c r="AJ1627" s="161"/>
      <c r="AK1627" s="76" t="s">
        <v>6276</v>
      </c>
      <c r="AL1627" s="83" t="s">
        <v>16059</v>
      </c>
      <c r="AM1627" s="71" t="s">
        <v>16060</v>
      </c>
      <c r="AN1627" s="84" t="s">
        <v>16061</v>
      </c>
      <c r="AO1627" s="71" t="s">
        <v>16062</v>
      </c>
      <c r="AP1627" s="161"/>
      <c r="AQ1627" s="161"/>
      <c r="AR1627" s="161"/>
      <c r="AS1627" s="71" t="s">
        <v>16063</v>
      </c>
      <c r="AT1627" s="161"/>
      <c r="AU1627" s="79" t="s">
        <v>16053</v>
      </c>
      <c r="AV1627" s="80" t="s">
        <v>63</v>
      </c>
      <c r="AW1627" s="81"/>
    </row>
    <row r="1628" ht="15.75" customHeight="1">
      <c r="A1628" s="520"/>
      <c r="B1628" s="73"/>
      <c r="C1628" s="57" t="s">
        <v>7672</v>
      </c>
      <c r="D1628" s="121"/>
      <c r="E1628" s="121"/>
      <c r="F1628" s="79">
        <v>1.0</v>
      </c>
      <c r="G1628" s="84" t="s">
        <v>16064</v>
      </c>
      <c r="H1628" s="61" t="s">
        <v>91</v>
      </c>
      <c r="I1628" s="519" t="s">
        <v>12782</v>
      </c>
      <c r="J1628" s="71" t="s">
        <v>16065</v>
      </c>
      <c r="K1628" s="69"/>
      <c r="L1628" s="65" t="s">
        <v>3542</v>
      </c>
      <c r="M1628" s="73"/>
      <c r="N1628" s="73"/>
      <c r="O1628" s="61" t="s">
        <v>16066</v>
      </c>
      <c r="P1628" s="67" t="str">
        <f t="shared" si="14"/>
        <v/>
      </c>
      <c r="Q1628" s="67" t="str">
        <f t="shared" si="15"/>
        <v/>
      </c>
      <c r="R1628" s="67" t="str">
        <f t="shared" si="16"/>
        <v/>
      </c>
      <c r="S1628" s="67" t="str">
        <f t="shared" si="17"/>
        <v/>
      </c>
      <c r="T1628" s="161"/>
      <c r="U1628" s="64" t="s">
        <v>16008</v>
      </c>
      <c r="V1628" s="65" t="s">
        <v>16067</v>
      </c>
      <c r="W1628" s="71" t="s">
        <v>15866</v>
      </c>
      <c r="X1628" s="194"/>
      <c r="Y1628" s="73"/>
      <c r="Z1628" s="73"/>
      <c r="AA1628" s="73"/>
      <c r="AB1628" s="73"/>
      <c r="AC1628" s="73"/>
      <c r="AD1628" s="73"/>
      <c r="AE1628" s="73"/>
      <c r="AF1628" s="73"/>
      <c r="AG1628" s="73"/>
      <c r="AH1628" s="73"/>
      <c r="AI1628" s="73"/>
      <c r="AJ1628" s="161"/>
      <c r="AK1628" s="76" t="s">
        <v>2108</v>
      </c>
      <c r="AL1628" s="83" t="s">
        <v>16068</v>
      </c>
      <c r="AM1628" s="71" t="s">
        <v>16069</v>
      </c>
      <c r="AN1628" s="84" t="s">
        <v>16070</v>
      </c>
      <c r="AO1628" s="71" t="s">
        <v>16071</v>
      </c>
      <c r="AP1628" s="161" t="str">
        <f>IMAGE("https://bellingcat-archive.nyc3.cdn.digitaloceanspaces.com/Ukraine_Witness_Datasheet/Worksheet/twitter__media_FMgAiHhXEAAnz4s.jpg")</f>
        <v/>
      </c>
      <c r="AQ1628" s="161"/>
      <c r="AR1628" s="161"/>
      <c r="AS1628" s="71" t="s">
        <v>16072</v>
      </c>
      <c r="AT1628" s="161"/>
      <c r="AU1628" s="89"/>
      <c r="AV1628" s="162"/>
      <c r="AW1628" s="81"/>
    </row>
    <row r="1629" ht="15.75" customHeight="1">
      <c r="A1629" s="524" t="s">
        <v>15467</v>
      </c>
      <c r="B1629" s="73"/>
      <c r="C1629" s="57" t="s">
        <v>7672</v>
      </c>
      <c r="D1629" s="104">
        <v>50.003574</v>
      </c>
      <c r="E1629" s="74">
        <v>36.330547</v>
      </c>
      <c r="F1629" s="79">
        <v>1.0</v>
      </c>
      <c r="G1629" s="84" t="s">
        <v>16073</v>
      </c>
      <c r="H1629" s="104" t="s">
        <v>91</v>
      </c>
      <c r="I1629" s="522" t="s">
        <v>12782</v>
      </c>
      <c r="J1629" s="71" t="s">
        <v>15985</v>
      </c>
      <c r="K1629" s="69"/>
      <c r="L1629" s="65" t="s">
        <v>3542</v>
      </c>
      <c r="M1629" s="61" t="s">
        <v>5626</v>
      </c>
      <c r="N1629" s="92" t="s">
        <v>15874</v>
      </c>
      <c r="O1629" s="61" t="s">
        <v>5626</v>
      </c>
      <c r="P1629" s="67" t="str">
        <f t="shared" si="14"/>
        <v>50.003574, 36.330547</v>
      </c>
      <c r="Q1629" s="67" t="str">
        <f t="shared" si="15"/>
        <v>50.002832, 36.330969</v>
      </c>
      <c r="R1629" s="67">
        <f t="shared" si="16"/>
        <v>50.002832</v>
      </c>
      <c r="S1629" s="67">
        <f t="shared" si="17"/>
        <v>36.330969</v>
      </c>
      <c r="T1629" s="71" t="s">
        <v>16074</v>
      </c>
      <c r="U1629" s="64" t="s">
        <v>9330</v>
      </c>
      <c r="V1629" s="65" t="s">
        <v>16075</v>
      </c>
      <c r="W1629" s="71" t="s">
        <v>15866</v>
      </c>
      <c r="X1629" s="208"/>
      <c r="Y1629" s="73"/>
      <c r="Z1629" s="73"/>
      <c r="AA1629" s="73"/>
      <c r="AB1629" s="73"/>
      <c r="AC1629" s="73"/>
      <c r="AD1629" s="73"/>
      <c r="AE1629" s="73"/>
      <c r="AF1629" s="73"/>
      <c r="AG1629" s="73"/>
      <c r="AH1629" s="73"/>
      <c r="AI1629" s="73"/>
      <c r="AJ1629" s="161"/>
      <c r="AK1629" s="76" t="s">
        <v>1261</v>
      </c>
      <c r="AL1629" s="83" t="s">
        <v>16076</v>
      </c>
      <c r="AM1629" s="71" t="s">
        <v>16077</v>
      </c>
      <c r="AN1629" s="84" t="s">
        <v>16078</v>
      </c>
      <c r="AO1629" s="161"/>
      <c r="AP1629" s="161"/>
      <c r="AQ1629" s="161"/>
      <c r="AR1629" s="71" t="s">
        <v>10489</v>
      </c>
      <c r="AS1629" s="161"/>
      <c r="AT1629" s="161"/>
      <c r="AU1629" s="89"/>
      <c r="AV1629" s="80" t="s">
        <v>63</v>
      </c>
      <c r="AW1629" s="203" t="s">
        <v>16079</v>
      </c>
    </row>
    <row r="1630" ht="15.75" customHeight="1">
      <c r="A1630" s="520"/>
      <c r="B1630" s="73"/>
      <c r="C1630" s="57" t="s">
        <v>7672</v>
      </c>
      <c r="D1630" s="121"/>
      <c r="E1630" s="121"/>
      <c r="F1630" s="79">
        <v>1.0</v>
      </c>
      <c r="G1630" s="84" t="s">
        <v>16080</v>
      </c>
      <c r="H1630" s="61" t="s">
        <v>5522</v>
      </c>
      <c r="I1630" s="519" t="s">
        <v>12782</v>
      </c>
      <c r="J1630" s="71" t="s">
        <v>16081</v>
      </c>
      <c r="K1630" s="69"/>
      <c r="L1630" s="65" t="s">
        <v>3542</v>
      </c>
      <c r="M1630" s="73"/>
      <c r="N1630" s="73"/>
      <c r="O1630" s="61" t="s">
        <v>5626</v>
      </c>
      <c r="P1630" s="67" t="str">
        <f t="shared" si="14"/>
        <v/>
      </c>
      <c r="Q1630" s="67" t="str">
        <f t="shared" si="15"/>
        <v/>
      </c>
      <c r="R1630" s="67" t="str">
        <f t="shared" si="16"/>
        <v/>
      </c>
      <c r="S1630" s="67" t="str">
        <f t="shared" si="17"/>
        <v/>
      </c>
      <c r="T1630" s="161"/>
      <c r="U1630" s="64" t="s">
        <v>9330</v>
      </c>
      <c r="V1630" s="65" t="s">
        <v>16082</v>
      </c>
      <c r="W1630" s="71" t="s">
        <v>15866</v>
      </c>
      <c r="X1630" s="194"/>
      <c r="Y1630" s="73"/>
      <c r="Z1630" s="73"/>
      <c r="AA1630" s="73"/>
      <c r="AB1630" s="73"/>
      <c r="AC1630" s="73"/>
      <c r="AD1630" s="73"/>
      <c r="AE1630" s="73"/>
      <c r="AF1630" s="73"/>
      <c r="AG1630" s="73"/>
      <c r="AH1630" s="73"/>
      <c r="AI1630" s="73"/>
      <c r="AJ1630" s="161"/>
      <c r="AK1630" s="76" t="s">
        <v>798</v>
      </c>
      <c r="AL1630" s="83" t="s">
        <v>16083</v>
      </c>
      <c r="AM1630" s="71" t="s">
        <v>16084</v>
      </c>
      <c r="AN1630" s="84" t="s">
        <v>16085</v>
      </c>
      <c r="AO1630" s="71" t="s">
        <v>16086</v>
      </c>
      <c r="AP1630" s="161" t="str">
        <f>IMAGE("https://bellingcat-archive.nyc3.cdn.digitaloceanspaces.com/Ukraine_Witness_Datasheet/Worksheet/youtube_dl_1497422526946889734/out7.jpg")</f>
        <v/>
      </c>
      <c r="AQ1630" s="84" t="s">
        <v>16087</v>
      </c>
      <c r="AR1630" s="71" t="s">
        <v>16088</v>
      </c>
      <c r="AS1630" s="71" t="s">
        <v>16089</v>
      </c>
      <c r="AT1630" s="71">
        <v>21.619</v>
      </c>
      <c r="AU1630" s="89"/>
      <c r="AV1630" s="162"/>
      <c r="AW1630" s="81"/>
    </row>
    <row r="1631" ht="15.75" customHeight="1">
      <c r="A1631" s="521" t="s">
        <v>12532</v>
      </c>
      <c r="B1631" s="73"/>
      <c r="C1631" s="57" t="s">
        <v>7672</v>
      </c>
      <c r="D1631" s="121"/>
      <c r="E1631" s="121"/>
      <c r="F1631" s="79"/>
      <c r="G1631" s="84" t="s">
        <v>16090</v>
      </c>
      <c r="H1631" s="61"/>
      <c r="I1631" s="519"/>
      <c r="J1631" s="161"/>
      <c r="K1631" s="69"/>
      <c r="L1631" s="65" t="s">
        <v>3542</v>
      </c>
      <c r="M1631" s="73"/>
      <c r="N1631" s="73"/>
      <c r="O1631" s="61" t="s">
        <v>16066</v>
      </c>
      <c r="P1631" s="67" t="str">
        <f t="shared" si="14"/>
        <v/>
      </c>
      <c r="Q1631" s="67" t="str">
        <f t="shared" si="15"/>
        <v/>
      </c>
      <c r="R1631" s="67" t="str">
        <f t="shared" si="16"/>
        <v/>
      </c>
      <c r="S1631" s="67" t="str">
        <f t="shared" si="17"/>
        <v/>
      </c>
      <c r="T1631" s="161"/>
      <c r="U1631" s="64" t="s">
        <v>16008</v>
      </c>
      <c r="V1631" s="65" t="s">
        <v>16091</v>
      </c>
      <c r="W1631" s="71" t="s">
        <v>15866</v>
      </c>
      <c r="X1631" s="194"/>
      <c r="Y1631" s="73"/>
      <c r="Z1631" s="73"/>
      <c r="AA1631" s="73"/>
      <c r="AB1631" s="73"/>
      <c r="AC1631" s="73"/>
      <c r="AD1631" s="73"/>
      <c r="AE1631" s="73"/>
      <c r="AF1631" s="73"/>
      <c r="AG1631" s="73"/>
      <c r="AH1631" s="73"/>
      <c r="AI1631" s="73"/>
      <c r="AJ1631" s="161"/>
      <c r="AK1631" s="76" t="s">
        <v>2108</v>
      </c>
      <c r="AL1631" s="83" t="s">
        <v>16092</v>
      </c>
      <c r="AM1631" s="71" t="s">
        <v>16093</v>
      </c>
      <c r="AN1631" s="84" t="s">
        <v>16094</v>
      </c>
      <c r="AO1631" s="71" t="s">
        <v>16095</v>
      </c>
      <c r="AP1631" s="161" t="str">
        <f>IMAGE("https://bellingcat-archive.nyc3.cdn.digitaloceanspaces.com/Ukraine_Witness_Datasheet/Worksheet/twitter__media_FMgkZuDWUAAnmk-.jpg")</f>
        <v/>
      </c>
      <c r="AQ1631" s="161"/>
      <c r="AR1631" s="161"/>
      <c r="AS1631" s="71" t="s">
        <v>16096</v>
      </c>
      <c r="AT1631" s="161"/>
      <c r="AU1631" s="89"/>
      <c r="AV1631" s="162"/>
      <c r="AW1631" s="81"/>
    </row>
    <row r="1632" ht="15.75" customHeight="1">
      <c r="A1632" s="520"/>
      <c r="B1632" s="73"/>
      <c r="C1632" s="57" t="s">
        <v>7672</v>
      </c>
      <c r="D1632" s="121"/>
      <c r="E1632" s="121"/>
      <c r="F1632" s="79">
        <v>1.0</v>
      </c>
      <c r="G1632" s="84" t="s">
        <v>16097</v>
      </c>
      <c r="H1632" s="61" t="s">
        <v>91</v>
      </c>
      <c r="I1632" s="519" t="s">
        <v>12782</v>
      </c>
      <c r="J1632" s="71" t="s">
        <v>16098</v>
      </c>
      <c r="K1632" s="69"/>
      <c r="L1632" s="65" t="s">
        <v>3542</v>
      </c>
      <c r="M1632" s="73"/>
      <c r="N1632" s="73"/>
      <c r="O1632" s="61" t="s">
        <v>5626</v>
      </c>
      <c r="P1632" s="67" t="str">
        <f t="shared" si="14"/>
        <v/>
      </c>
      <c r="Q1632" s="67" t="str">
        <f t="shared" si="15"/>
        <v/>
      </c>
      <c r="R1632" s="67" t="str">
        <f t="shared" si="16"/>
        <v/>
      </c>
      <c r="S1632" s="67" t="str">
        <f t="shared" si="17"/>
        <v/>
      </c>
      <c r="T1632" s="161"/>
      <c r="U1632" s="64" t="s">
        <v>9330</v>
      </c>
      <c r="V1632" s="65" t="s">
        <v>16099</v>
      </c>
      <c r="W1632" s="71" t="s">
        <v>15866</v>
      </c>
      <c r="X1632" s="194"/>
      <c r="Y1632" s="73"/>
      <c r="Z1632" s="73"/>
      <c r="AA1632" s="73"/>
      <c r="AB1632" s="73"/>
      <c r="AC1632" s="73"/>
      <c r="AD1632" s="73"/>
      <c r="AE1632" s="73"/>
      <c r="AF1632" s="73"/>
      <c r="AG1632" s="73"/>
      <c r="AH1632" s="73"/>
      <c r="AI1632" s="73"/>
      <c r="AJ1632" s="161"/>
      <c r="AK1632" s="76" t="s">
        <v>6276</v>
      </c>
      <c r="AL1632" s="83" t="s">
        <v>16100</v>
      </c>
      <c r="AM1632" s="71" t="s">
        <v>16101</v>
      </c>
      <c r="AN1632" s="84" t="s">
        <v>16102</v>
      </c>
      <c r="AO1632" s="71" t="s">
        <v>16103</v>
      </c>
      <c r="AP1632" s="161" t="str">
        <f>IMAGE("https://bellingcat-archive.nyc3.cdn.digitaloceanspaces.com/Ukraine_Witness_Datasheet/Worksheet/telegram_zKDZfbHUL8cLORKX-A6ugNAuji-oepPGmGR8yhM6nQlzmwhZ9m7dyLiKhIKFLI2cgcDcPmvpL1A8MzuNMG2wGmfkr6hIZ777KpuFkvLybEHDhRw9D1cFzayRKp4CnPUg.jpg")</f>
        <v/>
      </c>
      <c r="AQ1632" s="161"/>
      <c r="AR1632" s="161"/>
      <c r="AS1632" s="71" t="s">
        <v>16104</v>
      </c>
      <c r="AT1632" s="161"/>
      <c r="AU1632" s="89"/>
      <c r="AV1632" s="162"/>
      <c r="AW1632" s="81"/>
    </row>
    <row r="1633" ht="15.75" customHeight="1">
      <c r="A1633" s="525" t="s">
        <v>15467</v>
      </c>
      <c r="B1633" s="73"/>
      <c r="C1633" s="57" t="s">
        <v>7672</v>
      </c>
      <c r="D1633" s="104">
        <v>50.0161056201669</v>
      </c>
      <c r="E1633" s="66">
        <v>36.2639462958941</v>
      </c>
      <c r="F1633" s="79">
        <v>1.0</v>
      </c>
      <c r="G1633" s="84" t="s">
        <v>16105</v>
      </c>
      <c r="H1633" s="61" t="s">
        <v>91</v>
      </c>
      <c r="I1633" s="517" t="s">
        <v>12782</v>
      </c>
      <c r="J1633" s="71" t="s">
        <v>16106</v>
      </c>
      <c r="K1633" s="526" t="s">
        <v>16107</v>
      </c>
      <c r="L1633" s="65" t="s">
        <v>3542</v>
      </c>
      <c r="M1633" s="73"/>
      <c r="N1633" s="73"/>
      <c r="O1633" s="61" t="s">
        <v>5626</v>
      </c>
      <c r="P1633" s="67" t="str">
        <f t="shared" si="14"/>
        <v>50.0161056201669, 36.2639462958941</v>
      </c>
      <c r="Q1633" s="67" t="str">
        <f t="shared" si="15"/>
        <v>50.015774, 36.264605</v>
      </c>
      <c r="R1633" s="67">
        <f t="shared" si="16"/>
        <v>50.015774</v>
      </c>
      <c r="S1633" s="67">
        <f t="shared" si="17"/>
        <v>36.264605</v>
      </c>
      <c r="T1633" s="161"/>
      <c r="U1633" s="64" t="s">
        <v>9330</v>
      </c>
      <c r="V1633" s="65" t="s">
        <v>16108</v>
      </c>
      <c r="W1633" s="71" t="s">
        <v>15866</v>
      </c>
      <c r="X1633" s="72" t="s">
        <v>2982</v>
      </c>
      <c r="Y1633" s="73"/>
      <c r="Z1633" s="73"/>
      <c r="AA1633" s="73"/>
      <c r="AB1633" s="73"/>
      <c r="AC1633" s="73"/>
      <c r="AD1633" s="73"/>
      <c r="AE1633" s="73"/>
      <c r="AF1633" s="73"/>
      <c r="AG1633" s="73"/>
      <c r="AH1633" s="73"/>
      <c r="AI1633" s="73"/>
      <c r="AJ1633" s="161"/>
      <c r="AK1633" s="76" t="s">
        <v>2108</v>
      </c>
      <c r="AL1633" s="83" t="s">
        <v>16109</v>
      </c>
      <c r="AM1633" s="71" t="s">
        <v>16110</v>
      </c>
      <c r="AN1633" s="84" t="s">
        <v>16111</v>
      </c>
      <c r="AO1633" s="71" t="s">
        <v>16112</v>
      </c>
      <c r="AP1633" s="161" t="str">
        <f>IMAGE("https://bellingcat-archive.nyc3.cdn.digitaloceanspaces.com/Ukraine_Witness_Datasheet/Worksheet/twitter__media_FMgB-MUXoAQO9hx.jpg")</f>
        <v/>
      </c>
      <c r="AQ1633" s="161"/>
      <c r="AR1633" s="161"/>
      <c r="AS1633" s="71" t="s">
        <v>16113</v>
      </c>
      <c r="AT1633" s="161"/>
      <c r="AU1633" s="89"/>
      <c r="AV1633" s="80" t="s">
        <v>3944</v>
      </c>
      <c r="AW1633" s="81"/>
    </row>
    <row r="1634" ht="15.75" customHeight="1">
      <c r="A1634" s="520"/>
      <c r="B1634" s="73"/>
      <c r="C1634" s="57" t="s">
        <v>7672</v>
      </c>
      <c r="D1634" s="121"/>
      <c r="E1634" s="121"/>
      <c r="F1634" s="79">
        <v>1.0</v>
      </c>
      <c r="G1634" s="84" t="s">
        <v>16114</v>
      </c>
      <c r="H1634" s="61" t="s">
        <v>91</v>
      </c>
      <c r="I1634" s="519" t="s">
        <v>12782</v>
      </c>
      <c r="J1634" s="71" t="s">
        <v>16115</v>
      </c>
      <c r="K1634" s="69"/>
      <c r="L1634" s="65" t="s">
        <v>3542</v>
      </c>
      <c r="M1634" s="73"/>
      <c r="N1634" s="73"/>
      <c r="O1634" s="61" t="s">
        <v>5626</v>
      </c>
      <c r="P1634" s="67" t="str">
        <f t="shared" si="14"/>
        <v/>
      </c>
      <c r="Q1634" s="67" t="str">
        <f t="shared" si="15"/>
        <v/>
      </c>
      <c r="R1634" s="67" t="str">
        <f t="shared" si="16"/>
        <v/>
      </c>
      <c r="S1634" s="67" t="str">
        <f t="shared" si="17"/>
        <v/>
      </c>
      <c r="T1634" s="161"/>
      <c r="U1634" s="64" t="s">
        <v>9330</v>
      </c>
      <c r="V1634" s="65" t="s">
        <v>16116</v>
      </c>
      <c r="W1634" s="71" t="s">
        <v>15866</v>
      </c>
      <c r="X1634" s="194"/>
      <c r="Y1634" s="73"/>
      <c r="Z1634" s="73"/>
      <c r="AA1634" s="73"/>
      <c r="AB1634" s="73"/>
      <c r="AC1634" s="73"/>
      <c r="AD1634" s="73"/>
      <c r="AE1634" s="73"/>
      <c r="AF1634" s="73"/>
      <c r="AG1634" s="73"/>
      <c r="AH1634" s="73"/>
      <c r="AI1634" s="73"/>
      <c r="AJ1634" s="161"/>
      <c r="AK1634" s="76" t="s">
        <v>6276</v>
      </c>
      <c r="AL1634" s="83" t="s">
        <v>16117</v>
      </c>
      <c r="AM1634" s="71" t="s">
        <v>16118</v>
      </c>
      <c r="AN1634" s="84" t="s">
        <v>16119</v>
      </c>
      <c r="AO1634" s="71" t="s">
        <v>16120</v>
      </c>
      <c r="AP1634" s="161"/>
      <c r="AQ1634" s="161"/>
      <c r="AR1634" s="161"/>
      <c r="AS1634" s="71" t="s">
        <v>16121</v>
      </c>
      <c r="AT1634" s="161"/>
      <c r="AU1634" s="89"/>
      <c r="AV1634" s="162"/>
      <c r="AW1634" s="81"/>
    </row>
    <row r="1635" ht="15.75" customHeight="1">
      <c r="A1635" s="521" t="s">
        <v>12532</v>
      </c>
      <c r="B1635" s="73"/>
      <c r="C1635" s="57" t="s">
        <v>7672</v>
      </c>
      <c r="D1635" s="121"/>
      <c r="E1635" s="121"/>
      <c r="F1635" s="79"/>
      <c r="G1635" s="71"/>
      <c r="H1635" s="61"/>
      <c r="I1635" s="519"/>
      <c r="J1635" s="71"/>
      <c r="K1635" s="69"/>
      <c r="L1635" s="65" t="s">
        <v>3542</v>
      </c>
      <c r="M1635" s="73"/>
      <c r="N1635" s="73"/>
      <c r="O1635" s="61" t="s">
        <v>5626</v>
      </c>
      <c r="P1635" s="67" t="str">
        <f t="shared" si="14"/>
        <v/>
      </c>
      <c r="Q1635" s="67" t="str">
        <f t="shared" si="15"/>
        <v/>
      </c>
      <c r="R1635" s="67" t="str">
        <f t="shared" si="16"/>
        <v/>
      </c>
      <c r="S1635" s="67" t="str">
        <f t="shared" si="17"/>
        <v/>
      </c>
      <c r="T1635" s="161"/>
      <c r="U1635" s="64" t="s">
        <v>9330</v>
      </c>
      <c r="V1635" s="65" t="s">
        <v>16122</v>
      </c>
      <c r="W1635" s="71" t="s">
        <v>15866</v>
      </c>
      <c r="X1635" s="194"/>
      <c r="Y1635" s="73"/>
      <c r="Z1635" s="73"/>
      <c r="AA1635" s="73"/>
      <c r="AB1635" s="73"/>
      <c r="AC1635" s="73"/>
      <c r="AD1635" s="73"/>
      <c r="AE1635" s="73"/>
      <c r="AF1635" s="73"/>
      <c r="AG1635" s="73"/>
      <c r="AH1635" s="73"/>
      <c r="AI1635" s="73"/>
      <c r="AJ1635" s="161"/>
      <c r="AK1635" s="76" t="s">
        <v>6276</v>
      </c>
      <c r="AL1635" s="83" t="s">
        <v>16123</v>
      </c>
      <c r="AM1635" s="71" t="s">
        <v>16124</v>
      </c>
      <c r="AN1635" s="84" t="s">
        <v>16125</v>
      </c>
      <c r="AO1635" s="71" t="s">
        <v>16126</v>
      </c>
      <c r="AP1635" s="161"/>
      <c r="AQ1635" s="161"/>
      <c r="AR1635" s="161"/>
      <c r="AS1635" s="71" t="s">
        <v>16127</v>
      </c>
      <c r="AT1635" s="161"/>
      <c r="AU1635" s="89"/>
      <c r="AV1635" s="162"/>
      <c r="AW1635" s="81"/>
    </row>
    <row r="1636" ht="15.75" customHeight="1">
      <c r="A1636" s="525" t="s">
        <v>16128</v>
      </c>
      <c r="B1636" s="73"/>
      <c r="C1636" s="57" t="s">
        <v>7672</v>
      </c>
      <c r="D1636" s="104">
        <v>50.0147164</v>
      </c>
      <c r="E1636" s="104">
        <v>36.272072</v>
      </c>
      <c r="F1636" s="79">
        <v>1.0</v>
      </c>
      <c r="G1636" s="84" t="s">
        <v>16129</v>
      </c>
      <c r="H1636" s="61" t="s">
        <v>5522</v>
      </c>
      <c r="I1636" s="517" t="s">
        <v>12782</v>
      </c>
      <c r="J1636" s="71" t="s">
        <v>16130</v>
      </c>
      <c r="K1636" s="88" t="s">
        <v>7811</v>
      </c>
      <c r="L1636" s="65" t="s">
        <v>3542</v>
      </c>
      <c r="M1636" s="61" t="s">
        <v>5590</v>
      </c>
      <c r="N1636" s="73"/>
      <c r="O1636" s="61" t="s">
        <v>5626</v>
      </c>
      <c r="P1636" s="67" t="str">
        <f t="shared" si="14"/>
        <v>50.0147164, 36.272072</v>
      </c>
      <c r="Q1636" s="67" t="str">
        <f t="shared" si="15"/>
        <v>50.014291, 36.272047</v>
      </c>
      <c r="R1636" s="67">
        <f t="shared" si="16"/>
        <v>50.014291</v>
      </c>
      <c r="S1636" s="67">
        <f t="shared" si="17"/>
        <v>36.272047</v>
      </c>
      <c r="T1636" s="161"/>
      <c r="U1636" s="64" t="s">
        <v>9330</v>
      </c>
      <c r="V1636" s="65" t="s">
        <v>16131</v>
      </c>
      <c r="W1636" s="71" t="s">
        <v>15866</v>
      </c>
      <c r="X1636" s="72" t="s">
        <v>2982</v>
      </c>
      <c r="Y1636" s="61" t="s">
        <v>5820</v>
      </c>
      <c r="Z1636" s="73"/>
      <c r="AA1636" s="73"/>
      <c r="AB1636" s="73"/>
      <c r="AC1636" s="73"/>
      <c r="AD1636" s="73"/>
      <c r="AE1636" s="73"/>
      <c r="AF1636" s="73"/>
      <c r="AG1636" s="73"/>
      <c r="AH1636" s="73"/>
      <c r="AI1636" s="73"/>
      <c r="AJ1636" s="161"/>
      <c r="AK1636" s="76" t="s">
        <v>930</v>
      </c>
      <c r="AL1636" s="83" t="s">
        <v>7813</v>
      </c>
      <c r="AM1636" s="71" t="s">
        <v>16132</v>
      </c>
      <c r="AN1636" s="84" t="s">
        <v>16133</v>
      </c>
      <c r="AO1636" s="71" t="s">
        <v>7816</v>
      </c>
      <c r="AP1636" s="161" t="str">
        <f>IMAGE("https://bellingcat-archive.nyc3.cdn.digitaloceanspaces.com/Ukraine_Witness_Datasheet/Worksheet/youtube_dl_1497448045637783553/out7.jpg")</f>
        <v/>
      </c>
      <c r="AQ1636" s="84" t="s">
        <v>7817</v>
      </c>
      <c r="AR1636" s="71" t="s">
        <v>7818</v>
      </c>
      <c r="AS1636" s="71" t="s">
        <v>16134</v>
      </c>
      <c r="AT1636" s="71">
        <v>44.766</v>
      </c>
      <c r="AU1636" s="89"/>
      <c r="AV1636" s="80" t="s">
        <v>3944</v>
      </c>
      <c r="AW1636" s="81"/>
    </row>
    <row r="1637" ht="15.75" customHeight="1">
      <c r="A1637" s="527" t="s">
        <v>16053</v>
      </c>
      <c r="B1637" s="73"/>
      <c r="C1637" s="57" t="s">
        <v>7672</v>
      </c>
      <c r="D1637" s="528">
        <v>49.9854207564796</v>
      </c>
      <c r="E1637" s="528">
        <v>36.3505457570171</v>
      </c>
      <c r="F1637" s="79">
        <v>1.0</v>
      </c>
      <c r="G1637" s="84" t="s">
        <v>16135</v>
      </c>
      <c r="H1637" s="61" t="s">
        <v>91</v>
      </c>
      <c r="I1637" s="519" t="s">
        <v>12782</v>
      </c>
      <c r="J1637" s="71" t="s">
        <v>16115</v>
      </c>
      <c r="K1637" s="69"/>
      <c r="L1637" s="65" t="s">
        <v>3542</v>
      </c>
      <c r="M1637" s="61" t="s">
        <v>5590</v>
      </c>
      <c r="N1637" s="73"/>
      <c r="O1637" s="61" t="s">
        <v>5626</v>
      </c>
      <c r="P1637" s="67" t="str">
        <f t="shared" si="14"/>
        <v>49.9854207564796, 36.3505457570171</v>
      </c>
      <c r="Q1637" s="67" t="str">
        <f t="shared" si="15"/>
        <v>49.984851, 36.351114</v>
      </c>
      <c r="R1637" s="67">
        <f t="shared" si="16"/>
        <v>49.984851</v>
      </c>
      <c r="S1637" s="67">
        <f t="shared" si="17"/>
        <v>36.351114</v>
      </c>
      <c r="T1637" s="161"/>
      <c r="U1637" s="64" t="s">
        <v>9330</v>
      </c>
      <c r="V1637" s="65" t="s">
        <v>16136</v>
      </c>
      <c r="W1637" s="71" t="s">
        <v>15866</v>
      </c>
      <c r="X1637" s="194"/>
      <c r="Y1637" s="61" t="s">
        <v>75</v>
      </c>
      <c r="Z1637" s="61" t="s">
        <v>16137</v>
      </c>
      <c r="AA1637" s="73"/>
      <c r="AB1637" s="73"/>
      <c r="AC1637" s="73"/>
      <c r="AD1637" s="73"/>
      <c r="AE1637" s="73"/>
      <c r="AF1637" s="73"/>
      <c r="AG1637" s="73"/>
      <c r="AH1637" s="73"/>
      <c r="AI1637" s="73"/>
      <c r="AJ1637" s="161"/>
      <c r="AK1637" s="76" t="s">
        <v>6276</v>
      </c>
      <c r="AL1637" s="83" t="s">
        <v>16138</v>
      </c>
      <c r="AM1637" s="71" t="s">
        <v>16139</v>
      </c>
      <c r="AN1637" s="84" t="s">
        <v>16140</v>
      </c>
      <c r="AO1637" s="71" t="s">
        <v>16141</v>
      </c>
      <c r="AP1637" s="161" t="str">
        <f>IMAGE("https://bellingcat-archive.nyc3.cdn.digitaloceanspaces.com/Ukraine_Witness_Datasheet/Worksheet/telegram_Ui5tgnZAm_oK3MmLmufO6akrCvVixlDh0pE8FcElN824YSolvOLTuN7Ozd5fQ2Ns0Zyz6tff-y9qnEI5zHetqDKfLrNMItcVxCyRCe-rNkhvEpg3rJpBdGCcKVpmbcFQ.jpg")</f>
        <v/>
      </c>
      <c r="AQ1637" s="161"/>
      <c r="AR1637" s="161"/>
      <c r="AS1637" s="71" t="s">
        <v>16142</v>
      </c>
      <c r="AT1637" s="161"/>
      <c r="AU1637" s="79" t="s">
        <v>16053</v>
      </c>
      <c r="AV1637" s="162"/>
      <c r="AW1637" s="81"/>
    </row>
    <row r="1638" ht="15.75" customHeight="1">
      <c r="A1638" s="520"/>
      <c r="B1638" s="73"/>
      <c r="C1638" s="57" t="s">
        <v>8024</v>
      </c>
      <c r="D1638" s="121"/>
      <c r="E1638" s="121"/>
      <c r="F1638" s="79">
        <v>1.0</v>
      </c>
      <c r="G1638" s="84" t="s">
        <v>16143</v>
      </c>
      <c r="H1638" s="61" t="s">
        <v>91</v>
      </c>
      <c r="I1638" s="519" t="s">
        <v>12782</v>
      </c>
      <c r="J1638" s="71" t="s">
        <v>16144</v>
      </c>
      <c r="K1638" s="69"/>
      <c r="L1638" s="65" t="s">
        <v>3542</v>
      </c>
      <c r="M1638" s="73"/>
      <c r="N1638" s="73"/>
      <c r="O1638" s="61" t="s">
        <v>16017</v>
      </c>
      <c r="P1638" s="67" t="str">
        <f t="shared" si="14"/>
        <v/>
      </c>
      <c r="Q1638" s="67" t="str">
        <f t="shared" si="15"/>
        <v/>
      </c>
      <c r="R1638" s="67" t="str">
        <f t="shared" si="16"/>
        <v/>
      </c>
      <c r="S1638" s="67" t="str">
        <f t="shared" si="17"/>
        <v/>
      </c>
      <c r="T1638" s="161"/>
      <c r="U1638" s="64" t="s">
        <v>9330</v>
      </c>
      <c r="V1638" s="65" t="s">
        <v>16145</v>
      </c>
      <c r="W1638" s="71" t="s">
        <v>15866</v>
      </c>
      <c r="X1638" s="194"/>
      <c r="Y1638" s="73"/>
      <c r="Z1638" s="73"/>
      <c r="AA1638" s="73"/>
      <c r="AB1638" s="73"/>
      <c r="AC1638" s="73"/>
      <c r="AD1638" s="73"/>
      <c r="AE1638" s="73"/>
      <c r="AF1638" s="73"/>
      <c r="AG1638" s="73"/>
      <c r="AH1638" s="73"/>
      <c r="AI1638" s="73"/>
      <c r="AJ1638" s="161"/>
      <c r="AK1638" s="76" t="s">
        <v>6276</v>
      </c>
      <c r="AL1638" s="83" t="s">
        <v>16146</v>
      </c>
      <c r="AM1638" s="71" t="s">
        <v>16147</v>
      </c>
      <c r="AN1638" s="84" t="s">
        <v>16148</v>
      </c>
      <c r="AO1638" s="71" t="s">
        <v>16149</v>
      </c>
      <c r="AP1638" s="161" t="str">
        <f>IMAGE("https://bellingcat-archive.nyc3.cdn.digitaloceanspaces.com/Ukraine_Witness_Datasheet/Worksheet/telegram_nVU9k6ChGsVmP3tKnsUEQImcJdYOlZGpha-9l9T9djVBTMUVNZRNFXghN7uxUgFK6PBNsBHatfCtJw1LftlGXWD1tYgbLkP0w6fGIH49FnOWpMoD3k-ItX9PsADeTyVg.jpg")</f>
        <v/>
      </c>
      <c r="AQ1638" s="161"/>
      <c r="AR1638" s="161"/>
      <c r="AS1638" s="71" t="s">
        <v>16150</v>
      </c>
      <c r="AT1638" s="161"/>
      <c r="AU1638" s="89"/>
      <c r="AV1638" s="162"/>
      <c r="AW1638" s="81"/>
    </row>
    <row r="1639" ht="15.75" customHeight="1">
      <c r="A1639" s="520"/>
      <c r="B1639" s="73"/>
      <c r="C1639" s="57" t="s">
        <v>8024</v>
      </c>
      <c r="D1639" s="121"/>
      <c r="E1639" s="121"/>
      <c r="F1639" s="79">
        <v>1.0</v>
      </c>
      <c r="G1639" s="84" t="s">
        <v>16151</v>
      </c>
      <c r="H1639" s="61" t="s">
        <v>91</v>
      </c>
      <c r="I1639" s="519" t="s">
        <v>12782</v>
      </c>
      <c r="J1639" s="71" t="s">
        <v>16152</v>
      </c>
      <c r="K1639" s="69"/>
      <c r="L1639" s="65" t="s">
        <v>3542</v>
      </c>
      <c r="M1639" s="73"/>
      <c r="N1639" s="73"/>
      <c r="O1639" s="61" t="s">
        <v>5626</v>
      </c>
      <c r="P1639" s="67" t="str">
        <f t="shared" si="14"/>
        <v/>
      </c>
      <c r="Q1639" s="67" t="str">
        <f t="shared" si="15"/>
        <v/>
      </c>
      <c r="R1639" s="67" t="str">
        <f t="shared" si="16"/>
        <v/>
      </c>
      <c r="S1639" s="67" t="str">
        <f t="shared" si="17"/>
        <v/>
      </c>
      <c r="T1639" s="161"/>
      <c r="U1639" s="64" t="s">
        <v>16153</v>
      </c>
      <c r="V1639" s="65" t="s">
        <v>16154</v>
      </c>
      <c r="W1639" s="71" t="s">
        <v>15866</v>
      </c>
      <c r="X1639" s="194"/>
      <c r="Y1639" s="73"/>
      <c r="Z1639" s="73"/>
      <c r="AA1639" s="73"/>
      <c r="AB1639" s="73"/>
      <c r="AC1639" s="73"/>
      <c r="AD1639" s="73"/>
      <c r="AE1639" s="73"/>
      <c r="AF1639" s="73"/>
      <c r="AG1639" s="73"/>
      <c r="AH1639" s="73"/>
      <c r="AI1639" s="73"/>
      <c r="AJ1639" s="161"/>
      <c r="AK1639" s="76" t="s">
        <v>6276</v>
      </c>
      <c r="AL1639" s="83" t="s">
        <v>16155</v>
      </c>
      <c r="AM1639" s="71" t="s">
        <v>16156</v>
      </c>
      <c r="AN1639" s="84" t="s">
        <v>16157</v>
      </c>
      <c r="AO1639" s="71" t="s">
        <v>16158</v>
      </c>
      <c r="AP1639" s="161"/>
      <c r="AQ1639" s="161"/>
      <c r="AR1639" s="161"/>
      <c r="AS1639" s="71" t="s">
        <v>16159</v>
      </c>
      <c r="AT1639" s="161"/>
      <c r="AU1639" s="89"/>
      <c r="AV1639" s="162"/>
      <c r="AW1639" s="81"/>
    </row>
    <row r="1640" ht="15.75" customHeight="1">
      <c r="A1640" s="520"/>
      <c r="B1640" s="73"/>
      <c r="C1640" s="57" t="s">
        <v>8024</v>
      </c>
      <c r="D1640" s="121"/>
      <c r="E1640" s="121"/>
      <c r="F1640" s="79">
        <v>1.0</v>
      </c>
      <c r="G1640" s="84" t="s">
        <v>16160</v>
      </c>
      <c r="H1640" s="61" t="s">
        <v>91</v>
      </c>
      <c r="I1640" s="519" t="s">
        <v>12782</v>
      </c>
      <c r="J1640" s="71" t="s">
        <v>16161</v>
      </c>
      <c r="K1640" s="69"/>
      <c r="L1640" s="65" t="s">
        <v>3542</v>
      </c>
      <c r="M1640" s="73"/>
      <c r="N1640" s="73"/>
      <c r="O1640" s="61" t="s">
        <v>16017</v>
      </c>
      <c r="P1640" s="67" t="str">
        <f t="shared" si="14"/>
        <v/>
      </c>
      <c r="Q1640" s="67" t="str">
        <f t="shared" si="15"/>
        <v/>
      </c>
      <c r="R1640" s="67" t="str">
        <f t="shared" si="16"/>
        <v/>
      </c>
      <c r="S1640" s="67" t="str">
        <f t="shared" si="17"/>
        <v/>
      </c>
      <c r="T1640" s="161"/>
      <c r="U1640" s="64" t="s">
        <v>9330</v>
      </c>
      <c r="V1640" s="65" t="s">
        <v>16162</v>
      </c>
      <c r="W1640" s="71" t="s">
        <v>15866</v>
      </c>
      <c r="X1640" s="194"/>
      <c r="Y1640" s="73"/>
      <c r="Z1640" s="73"/>
      <c r="AA1640" s="73"/>
      <c r="AB1640" s="73"/>
      <c r="AC1640" s="73"/>
      <c r="AD1640" s="73"/>
      <c r="AE1640" s="73"/>
      <c r="AF1640" s="73"/>
      <c r="AG1640" s="73"/>
      <c r="AH1640" s="73"/>
      <c r="AI1640" s="73"/>
      <c r="AJ1640" s="161"/>
      <c r="AK1640" s="76" t="s">
        <v>6276</v>
      </c>
      <c r="AL1640" s="83" t="s">
        <v>16163</v>
      </c>
      <c r="AM1640" s="71" t="s">
        <v>16164</v>
      </c>
      <c r="AN1640" s="84" t="s">
        <v>16165</v>
      </c>
      <c r="AO1640" s="71" t="s">
        <v>16166</v>
      </c>
      <c r="AP1640" s="161" t="str">
        <f>IMAGE("https://bellingcat-archive.nyc3.cdn.digitaloceanspaces.com/Ukraine_Witness_Datasheet/Worksheet/telegram_hfbJygou7R77SzmGitQ4qhx2t4pYzB_FCxlUnM91nOOXOiBuFNfcGxadWQzwBXFjAJppCUDhJyEeS3BI2RaKqFvkXUeMnGmxkLh06KDYS5M6sjSgImgg6AZWCtiT0cJQ.jpg")</f>
        <v/>
      </c>
      <c r="AQ1640" s="161"/>
      <c r="AR1640" s="161"/>
      <c r="AS1640" s="71" t="s">
        <v>16167</v>
      </c>
      <c r="AT1640" s="161"/>
      <c r="AU1640" s="89"/>
      <c r="AV1640" s="162"/>
      <c r="AW1640" s="81"/>
    </row>
    <row r="1641" ht="15.75" customHeight="1">
      <c r="A1641" s="520"/>
      <c r="B1641" s="73"/>
      <c r="C1641" s="57" t="s">
        <v>8024</v>
      </c>
      <c r="D1641" s="121"/>
      <c r="E1641" s="121"/>
      <c r="F1641" s="79">
        <v>1.0</v>
      </c>
      <c r="G1641" s="84" t="s">
        <v>16168</v>
      </c>
      <c r="H1641" s="61" t="s">
        <v>91</v>
      </c>
      <c r="I1641" s="519" t="s">
        <v>12782</v>
      </c>
      <c r="J1641" s="71" t="s">
        <v>16169</v>
      </c>
      <c r="K1641" s="69"/>
      <c r="L1641" s="65" t="s">
        <v>3542</v>
      </c>
      <c r="M1641" s="73"/>
      <c r="N1641" s="73"/>
      <c r="O1641" s="61" t="s">
        <v>5626</v>
      </c>
      <c r="P1641" s="67" t="str">
        <f t="shared" si="14"/>
        <v/>
      </c>
      <c r="Q1641" s="67" t="str">
        <f t="shared" si="15"/>
        <v/>
      </c>
      <c r="R1641" s="67" t="str">
        <f t="shared" si="16"/>
        <v/>
      </c>
      <c r="S1641" s="67" t="str">
        <f t="shared" si="17"/>
        <v/>
      </c>
      <c r="T1641" s="161"/>
      <c r="U1641" s="64" t="s">
        <v>9330</v>
      </c>
      <c r="V1641" s="65" t="s">
        <v>16170</v>
      </c>
      <c r="W1641" s="71" t="s">
        <v>15866</v>
      </c>
      <c r="X1641" s="194"/>
      <c r="Y1641" s="73"/>
      <c r="Z1641" s="73"/>
      <c r="AA1641" s="73"/>
      <c r="AB1641" s="73"/>
      <c r="AC1641" s="73"/>
      <c r="AD1641" s="73"/>
      <c r="AE1641" s="73"/>
      <c r="AF1641" s="73"/>
      <c r="AG1641" s="73"/>
      <c r="AH1641" s="73"/>
      <c r="AI1641" s="73"/>
      <c r="AJ1641" s="161"/>
      <c r="AK1641" s="76" t="s">
        <v>6276</v>
      </c>
      <c r="AL1641" s="83" t="s">
        <v>16171</v>
      </c>
      <c r="AM1641" s="71" t="s">
        <v>16172</v>
      </c>
      <c r="AN1641" s="84" t="s">
        <v>16173</v>
      </c>
      <c r="AO1641" s="71" t="s">
        <v>16174</v>
      </c>
      <c r="AP1641" s="161"/>
      <c r="AQ1641" s="161"/>
      <c r="AR1641" s="161"/>
      <c r="AS1641" s="71" t="s">
        <v>16175</v>
      </c>
      <c r="AT1641" s="161"/>
      <c r="AU1641" s="89"/>
      <c r="AV1641" s="162"/>
      <c r="AW1641" s="81"/>
    </row>
    <row r="1642" ht="15.75" customHeight="1">
      <c r="A1642" s="520"/>
      <c r="B1642" s="73"/>
      <c r="C1642" s="57" t="s">
        <v>8024</v>
      </c>
      <c r="D1642" s="121"/>
      <c r="E1642" s="121"/>
      <c r="F1642" s="79">
        <v>1.0</v>
      </c>
      <c r="G1642" s="84" t="s">
        <v>16176</v>
      </c>
      <c r="H1642" s="61" t="s">
        <v>91</v>
      </c>
      <c r="I1642" s="519" t="s">
        <v>12782</v>
      </c>
      <c r="J1642" s="71" t="s">
        <v>16161</v>
      </c>
      <c r="K1642" s="69"/>
      <c r="L1642" s="65" t="s">
        <v>3542</v>
      </c>
      <c r="M1642" s="73"/>
      <c r="N1642" s="73"/>
      <c r="O1642" s="61" t="s">
        <v>5626</v>
      </c>
      <c r="P1642" s="67" t="str">
        <f t="shared" si="14"/>
        <v/>
      </c>
      <c r="Q1642" s="67" t="str">
        <f t="shared" si="15"/>
        <v/>
      </c>
      <c r="R1642" s="67" t="str">
        <f t="shared" si="16"/>
        <v/>
      </c>
      <c r="S1642" s="67" t="str">
        <f t="shared" si="17"/>
        <v/>
      </c>
      <c r="T1642" s="161"/>
      <c r="U1642" s="64" t="s">
        <v>9330</v>
      </c>
      <c r="V1642" s="65" t="s">
        <v>16177</v>
      </c>
      <c r="W1642" s="71" t="s">
        <v>15866</v>
      </c>
      <c r="X1642" s="194"/>
      <c r="Y1642" s="73"/>
      <c r="Z1642" s="73"/>
      <c r="AA1642" s="73"/>
      <c r="AB1642" s="73"/>
      <c r="AC1642" s="73"/>
      <c r="AD1642" s="73"/>
      <c r="AE1642" s="73"/>
      <c r="AF1642" s="73"/>
      <c r="AG1642" s="73"/>
      <c r="AH1642" s="73"/>
      <c r="AI1642" s="73"/>
      <c r="AJ1642" s="161"/>
      <c r="AK1642" s="76" t="s">
        <v>2108</v>
      </c>
      <c r="AL1642" s="83" t="s">
        <v>16178</v>
      </c>
      <c r="AM1642" s="71" t="s">
        <v>16179</v>
      </c>
      <c r="AN1642" s="84" t="s">
        <v>16180</v>
      </c>
      <c r="AO1642" s="71" t="s">
        <v>16181</v>
      </c>
      <c r="AP1642" s="161" t="str">
        <f>IMAGE("https://bellingcat-archive.nyc3.cdn.digitaloceanspaces.com/Ukraine_Witness_Datasheet/Worksheet/twitter__media_FMmlXsrXMAIVP5r.jpg")</f>
        <v/>
      </c>
      <c r="AQ1642" s="161"/>
      <c r="AR1642" s="161"/>
      <c r="AS1642" s="71" t="s">
        <v>16182</v>
      </c>
      <c r="AT1642" s="161"/>
      <c r="AU1642" s="89"/>
      <c r="AV1642" s="162"/>
      <c r="AW1642" s="81"/>
    </row>
    <row r="1643" ht="15.75" customHeight="1">
      <c r="A1643" s="520"/>
      <c r="B1643" s="73"/>
      <c r="C1643" s="57" t="s">
        <v>8024</v>
      </c>
      <c r="D1643" s="121"/>
      <c r="E1643" s="121"/>
      <c r="F1643" s="79">
        <v>1.0</v>
      </c>
      <c r="G1643" s="84" t="s">
        <v>16183</v>
      </c>
      <c r="H1643" s="61" t="s">
        <v>91</v>
      </c>
      <c r="I1643" s="519" t="s">
        <v>12782</v>
      </c>
      <c r="J1643" s="71" t="s">
        <v>16161</v>
      </c>
      <c r="K1643" s="69"/>
      <c r="L1643" s="65" t="s">
        <v>3542</v>
      </c>
      <c r="M1643" s="73"/>
      <c r="N1643" s="73"/>
      <c r="O1643" s="61" t="s">
        <v>5626</v>
      </c>
      <c r="P1643" s="67" t="str">
        <f t="shared" si="14"/>
        <v/>
      </c>
      <c r="Q1643" s="67" t="str">
        <f t="shared" si="15"/>
        <v/>
      </c>
      <c r="R1643" s="67" t="str">
        <f t="shared" si="16"/>
        <v/>
      </c>
      <c r="S1643" s="67" t="str">
        <f t="shared" si="17"/>
        <v/>
      </c>
      <c r="T1643" s="161"/>
      <c r="U1643" s="64" t="s">
        <v>9330</v>
      </c>
      <c r="V1643" s="65" t="s">
        <v>16184</v>
      </c>
      <c r="W1643" s="71" t="s">
        <v>15866</v>
      </c>
      <c r="X1643" s="194"/>
      <c r="Y1643" s="73"/>
      <c r="Z1643" s="73"/>
      <c r="AA1643" s="73"/>
      <c r="AB1643" s="73"/>
      <c r="AC1643" s="73"/>
      <c r="AD1643" s="73"/>
      <c r="AE1643" s="73"/>
      <c r="AF1643" s="73"/>
      <c r="AG1643" s="73"/>
      <c r="AH1643" s="73"/>
      <c r="AI1643" s="73"/>
      <c r="AJ1643" s="161"/>
      <c r="AK1643" s="76" t="s">
        <v>2108</v>
      </c>
      <c r="AL1643" s="83" t="s">
        <v>16185</v>
      </c>
      <c r="AM1643" s="71" t="s">
        <v>16186</v>
      </c>
      <c r="AN1643" s="84" t="s">
        <v>16187</v>
      </c>
      <c r="AO1643" s="71" t="s">
        <v>16188</v>
      </c>
      <c r="AP1643" s="161" t="str">
        <f>IMAGE("https://bellingcat-archive.nyc3.cdn.digitaloceanspaces.com/Ukraine_Witness_Datasheet/Worksheet/twitter__media_FMmkyTQXwAY_IWa.jpg")</f>
        <v/>
      </c>
      <c r="AQ1643" s="161"/>
      <c r="AR1643" s="161"/>
      <c r="AS1643" s="71" t="s">
        <v>16189</v>
      </c>
      <c r="AT1643" s="161"/>
      <c r="AU1643" s="89"/>
      <c r="AV1643" s="162"/>
      <c r="AW1643" s="81"/>
    </row>
    <row r="1644" ht="15.75" customHeight="1">
      <c r="A1644" s="520"/>
      <c r="B1644" s="73"/>
      <c r="C1644" s="57" t="s">
        <v>8024</v>
      </c>
      <c r="D1644" s="121"/>
      <c r="E1644" s="121"/>
      <c r="F1644" s="79">
        <v>1.0</v>
      </c>
      <c r="G1644" s="84" t="s">
        <v>16190</v>
      </c>
      <c r="H1644" s="61" t="s">
        <v>5522</v>
      </c>
      <c r="I1644" s="519" t="s">
        <v>12782</v>
      </c>
      <c r="J1644" s="71" t="s">
        <v>16191</v>
      </c>
      <c r="K1644" s="69"/>
      <c r="L1644" s="65" t="s">
        <v>3542</v>
      </c>
      <c r="M1644" s="73"/>
      <c r="N1644" s="73"/>
      <c r="O1644" s="61" t="s">
        <v>6001</v>
      </c>
      <c r="P1644" s="67" t="str">
        <f t="shared" si="14"/>
        <v/>
      </c>
      <c r="Q1644" s="67" t="str">
        <f t="shared" si="15"/>
        <v/>
      </c>
      <c r="R1644" s="67" t="str">
        <f t="shared" si="16"/>
        <v/>
      </c>
      <c r="S1644" s="67" t="str">
        <f t="shared" si="17"/>
        <v/>
      </c>
      <c r="T1644" s="161"/>
      <c r="U1644" s="64" t="s">
        <v>16192</v>
      </c>
      <c r="V1644" s="65" t="s">
        <v>16193</v>
      </c>
      <c r="W1644" s="71" t="s">
        <v>15866</v>
      </c>
      <c r="X1644" s="194"/>
      <c r="Y1644" s="73"/>
      <c r="Z1644" s="73"/>
      <c r="AA1644" s="73"/>
      <c r="AB1644" s="73"/>
      <c r="AC1644" s="73"/>
      <c r="AD1644" s="73"/>
      <c r="AE1644" s="73"/>
      <c r="AF1644" s="73"/>
      <c r="AG1644" s="73"/>
      <c r="AH1644" s="73"/>
      <c r="AI1644" s="73"/>
      <c r="AJ1644" s="161"/>
      <c r="AK1644" s="76" t="s">
        <v>798</v>
      </c>
      <c r="AL1644" s="83" t="s">
        <v>16194</v>
      </c>
      <c r="AM1644" s="71" t="s">
        <v>16195</v>
      </c>
      <c r="AN1644" s="84" t="s">
        <v>16196</v>
      </c>
      <c r="AO1644" s="71" t="s">
        <v>16197</v>
      </c>
      <c r="AP1644" s="161" t="str">
        <f>IMAGE("https://bellingcat-archive.nyc3.cdn.digitaloceanspaces.com/Ukraine_Witness_Datasheet/Worksheet/youtube_dl_1497364297038635015/out7.jpg")</f>
        <v/>
      </c>
      <c r="AQ1644" s="84" t="s">
        <v>16198</v>
      </c>
      <c r="AR1644" s="71" t="s">
        <v>16199</v>
      </c>
      <c r="AS1644" s="71" t="s">
        <v>16200</v>
      </c>
      <c r="AT1644" s="71">
        <v>15.808</v>
      </c>
      <c r="AU1644" s="89"/>
      <c r="AV1644" s="162"/>
      <c r="AW1644" s="81"/>
    </row>
    <row r="1645" ht="15.75" customHeight="1">
      <c r="A1645" s="520"/>
      <c r="B1645" s="73"/>
      <c r="C1645" s="57" t="s">
        <v>8024</v>
      </c>
      <c r="D1645" s="121"/>
      <c r="E1645" s="121"/>
      <c r="F1645" s="79">
        <v>1.0</v>
      </c>
      <c r="G1645" s="84" t="s">
        <v>16201</v>
      </c>
      <c r="H1645" s="61" t="s">
        <v>91</v>
      </c>
      <c r="I1645" s="519" t="s">
        <v>12782</v>
      </c>
      <c r="J1645" s="71" t="s">
        <v>16202</v>
      </c>
      <c r="K1645" s="69"/>
      <c r="L1645" s="65" t="s">
        <v>3542</v>
      </c>
      <c r="M1645" s="73"/>
      <c r="N1645" s="73"/>
      <c r="O1645" s="61" t="s">
        <v>16017</v>
      </c>
      <c r="P1645" s="67" t="str">
        <f t="shared" si="14"/>
        <v/>
      </c>
      <c r="Q1645" s="67" t="str">
        <f t="shared" si="15"/>
        <v/>
      </c>
      <c r="R1645" s="67" t="str">
        <f t="shared" si="16"/>
        <v/>
      </c>
      <c r="S1645" s="67" t="str">
        <f t="shared" si="17"/>
        <v/>
      </c>
      <c r="T1645" s="161"/>
      <c r="U1645" s="64" t="s">
        <v>16008</v>
      </c>
      <c r="V1645" s="65" t="s">
        <v>16203</v>
      </c>
      <c r="W1645" s="71" t="s">
        <v>15866</v>
      </c>
      <c r="X1645" s="194"/>
      <c r="Y1645" s="73"/>
      <c r="Z1645" s="73"/>
      <c r="AA1645" s="73"/>
      <c r="AB1645" s="73"/>
      <c r="AC1645" s="73"/>
      <c r="AD1645" s="73"/>
      <c r="AE1645" s="73"/>
      <c r="AF1645" s="73"/>
      <c r="AG1645" s="73"/>
      <c r="AH1645" s="73"/>
      <c r="AI1645" s="73"/>
      <c r="AJ1645" s="161"/>
      <c r="AK1645" s="76" t="s">
        <v>2108</v>
      </c>
      <c r="AL1645" s="83" t="s">
        <v>16204</v>
      </c>
      <c r="AM1645" s="71" t="s">
        <v>16205</v>
      </c>
      <c r="AN1645" s="84" t="s">
        <v>16206</v>
      </c>
      <c r="AO1645" s="71" t="s">
        <v>16207</v>
      </c>
      <c r="AP1645" s="161" t="str">
        <f>IMAGE("https://bellingcat-archive.nyc3.cdn.digitaloceanspaces.com/Ukraine_Witness_Datasheet/Worksheet/twitter__media_FMoDGq0XEAIeR4a.jpg")</f>
        <v/>
      </c>
      <c r="AQ1645" s="161"/>
      <c r="AR1645" s="161"/>
      <c r="AS1645" s="71" t="s">
        <v>16208</v>
      </c>
      <c r="AT1645" s="161"/>
      <c r="AU1645" s="89"/>
      <c r="AV1645" s="162"/>
      <c r="AW1645" s="81"/>
    </row>
    <row r="1646" ht="15.75" customHeight="1">
      <c r="A1646" s="520" t="s">
        <v>12532</v>
      </c>
      <c r="B1646" s="73"/>
      <c r="C1646" s="57" t="s">
        <v>8024</v>
      </c>
      <c r="D1646" s="121"/>
      <c r="E1646" s="121"/>
      <c r="F1646" s="79">
        <v>1.0</v>
      </c>
      <c r="G1646" s="84" t="s">
        <v>16209</v>
      </c>
      <c r="H1646" s="61" t="s">
        <v>91</v>
      </c>
      <c r="I1646" s="519" t="s">
        <v>12782</v>
      </c>
      <c r="J1646" s="71" t="s">
        <v>16210</v>
      </c>
      <c r="K1646" s="69"/>
      <c r="L1646" s="65" t="s">
        <v>3542</v>
      </c>
      <c r="M1646" s="73"/>
      <c r="N1646" s="73"/>
      <c r="O1646" s="61" t="s">
        <v>5626</v>
      </c>
      <c r="P1646" s="67" t="str">
        <f t="shared" si="14"/>
        <v/>
      </c>
      <c r="Q1646" s="67" t="str">
        <f t="shared" si="15"/>
        <v/>
      </c>
      <c r="R1646" s="67" t="str">
        <f t="shared" si="16"/>
        <v/>
      </c>
      <c r="S1646" s="67" t="str">
        <f t="shared" si="17"/>
        <v/>
      </c>
      <c r="T1646" s="161"/>
      <c r="U1646" s="64" t="s">
        <v>9330</v>
      </c>
      <c r="V1646" s="65" t="s">
        <v>16211</v>
      </c>
      <c r="W1646" s="71" t="s">
        <v>15866</v>
      </c>
      <c r="X1646" s="194"/>
      <c r="Y1646" s="73"/>
      <c r="Z1646" s="73"/>
      <c r="AA1646" s="73"/>
      <c r="AB1646" s="73"/>
      <c r="AC1646" s="73"/>
      <c r="AD1646" s="73"/>
      <c r="AE1646" s="73"/>
      <c r="AF1646" s="73"/>
      <c r="AG1646" s="73"/>
      <c r="AH1646" s="73"/>
      <c r="AI1646" s="73"/>
      <c r="AJ1646" s="161"/>
      <c r="AK1646" s="76" t="s">
        <v>16212</v>
      </c>
      <c r="AL1646" s="269"/>
      <c r="AM1646" s="71" t="s">
        <v>16213</v>
      </c>
      <c r="AN1646" s="161"/>
      <c r="AO1646" s="161"/>
      <c r="AP1646" s="161"/>
      <c r="AQ1646" s="161"/>
      <c r="AR1646" s="161"/>
      <c r="AS1646" s="161"/>
      <c r="AT1646" s="161"/>
      <c r="AU1646" s="89"/>
      <c r="AV1646" s="162"/>
      <c r="AW1646" s="81"/>
    </row>
    <row r="1647" ht="15.75" customHeight="1">
      <c r="A1647" s="520"/>
      <c r="B1647" s="73"/>
      <c r="C1647" s="57" t="s">
        <v>8024</v>
      </c>
      <c r="D1647" s="121"/>
      <c r="E1647" s="121"/>
      <c r="F1647" s="79">
        <v>1.0</v>
      </c>
      <c r="G1647" s="84" t="s">
        <v>16214</v>
      </c>
      <c r="H1647" s="61" t="s">
        <v>5522</v>
      </c>
      <c r="I1647" s="519" t="s">
        <v>12782</v>
      </c>
      <c r="J1647" s="71" t="s">
        <v>16191</v>
      </c>
      <c r="K1647" s="69"/>
      <c r="L1647" s="65" t="s">
        <v>3542</v>
      </c>
      <c r="M1647" s="73"/>
      <c r="N1647" s="73"/>
      <c r="O1647" s="61" t="s">
        <v>5626</v>
      </c>
      <c r="P1647" s="67" t="str">
        <f t="shared" si="14"/>
        <v/>
      </c>
      <c r="Q1647" s="67" t="str">
        <f t="shared" si="15"/>
        <v/>
      </c>
      <c r="R1647" s="67" t="str">
        <f t="shared" si="16"/>
        <v/>
      </c>
      <c r="S1647" s="67" t="str">
        <f t="shared" si="17"/>
        <v/>
      </c>
      <c r="T1647" s="161"/>
      <c r="U1647" s="64" t="s">
        <v>9330</v>
      </c>
      <c r="V1647" s="65" t="s">
        <v>16215</v>
      </c>
      <c r="W1647" s="71" t="s">
        <v>15866</v>
      </c>
      <c r="X1647" s="194"/>
      <c r="Y1647" s="73"/>
      <c r="Z1647" s="73"/>
      <c r="AA1647" s="73"/>
      <c r="AB1647" s="73"/>
      <c r="AC1647" s="73"/>
      <c r="AD1647" s="73"/>
      <c r="AE1647" s="73"/>
      <c r="AF1647" s="73"/>
      <c r="AG1647" s="73"/>
      <c r="AH1647" s="73"/>
      <c r="AI1647" s="73"/>
      <c r="AJ1647" s="161"/>
      <c r="AK1647" s="76" t="s">
        <v>1261</v>
      </c>
      <c r="AL1647" s="83" t="s">
        <v>16216</v>
      </c>
      <c r="AM1647" s="71" t="s">
        <v>16217</v>
      </c>
      <c r="AN1647" s="84" t="s">
        <v>16218</v>
      </c>
      <c r="AO1647" s="161"/>
      <c r="AP1647" s="161"/>
      <c r="AQ1647" s="161"/>
      <c r="AR1647" s="71" t="s">
        <v>10489</v>
      </c>
      <c r="AS1647" s="161"/>
      <c r="AT1647" s="161"/>
      <c r="AU1647" s="89"/>
      <c r="AV1647" s="162"/>
      <c r="AW1647" s="81"/>
    </row>
    <row r="1648" ht="15.75" customHeight="1">
      <c r="A1648" s="520"/>
      <c r="B1648" s="73"/>
      <c r="C1648" s="57" t="s">
        <v>8024</v>
      </c>
      <c r="D1648" s="121"/>
      <c r="E1648" s="121"/>
      <c r="F1648" s="79">
        <v>1.0</v>
      </c>
      <c r="G1648" s="84" t="s">
        <v>16219</v>
      </c>
      <c r="H1648" s="61" t="s">
        <v>91</v>
      </c>
      <c r="I1648" s="519" t="s">
        <v>12782</v>
      </c>
      <c r="J1648" s="71" t="s">
        <v>16161</v>
      </c>
      <c r="K1648" s="69"/>
      <c r="L1648" s="65" t="s">
        <v>3542</v>
      </c>
      <c r="M1648" s="73"/>
      <c r="N1648" s="73"/>
      <c r="O1648" s="61" t="s">
        <v>5626</v>
      </c>
      <c r="P1648" s="67" t="str">
        <f t="shared" si="14"/>
        <v/>
      </c>
      <c r="Q1648" s="67" t="str">
        <f t="shared" si="15"/>
        <v/>
      </c>
      <c r="R1648" s="67" t="str">
        <f t="shared" si="16"/>
        <v/>
      </c>
      <c r="S1648" s="67" t="str">
        <f t="shared" si="17"/>
        <v/>
      </c>
      <c r="T1648" s="161"/>
      <c r="U1648" s="64" t="s">
        <v>9330</v>
      </c>
      <c r="V1648" s="65" t="s">
        <v>16220</v>
      </c>
      <c r="W1648" s="71" t="s">
        <v>15866</v>
      </c>
      <c r="X1648" s="194"/>
      <c r="Y1648" s="73"/>
      <c r="Z1648" s="73"/>
      <c r="AA1648" s="73"/>
      <c r="AB1648" s="73"/>
      <c r="AC1648" s="73"/>
      <c r="AD1648" s="73"/>
      <c r="AE1648" s="73"/>
      <c r="AF1648" s="73"/>
      <c r="AG1648" s="73"/>
      <c r="AH1648" s="73"/>
      <c r="AI1648" s="73"/>
      <c r="AJ1648" s="161"/>
      <c r="AK1648" s="76" t="s">
        <v>2108</v>
      </c>
      <c r="AL1648" s="83" t="s">
        <v>16221</v>
      </c>
      <c r="AM1648" s="71" t="s">
        <v>16222</v>
      </c>
      <c r="AN1648" s="84" t="s">
        <v>16223</v>
      </c>
      <c r="AO1648" s="71" t="s">
        <v>16224</v>
      </c>
      <c r="AP1648" s="161" t="str">
        <f>IMAGE("https://bellingcat-archive.nyc3.cdn.digitaloceanspaces.com/Ukraine_Witness_Datasheet/Worksheet/twitter__media_FMmjG4YXwAUunAx.jpg")</f>
        <v/>
      </c>
      <c r="AQ1648" s="161"/>
      <c r="AR1648" s="161"/>
      <c r="AS1648" s="71" t="s">
        <v>16225</v>
      </c>
      <c r="AT1648" s="161"/>
      <c r="AU1648" s="89"/>
      <c r="AV1648" s="162"/>
      <c r="AW1648" s="81"/>
    </row>
    <row r="1649" ht="15.75" customHeight="1">
      <c r="A1649" s="520"/>
      <c r="B1649" s="73"/>
      <c r="C1649" s="57" t="s">
        <v>8024</v>
      </c>
      <c r="D1649" s="121"/>
      <c r="E1649" s="121"/>
      <c r="F1649" s="79">
        <v>1.0</v>
      </c>
      <c r="G1649" s="84" t="s">
        <v>16226</v>
      </c>
      <c r="H1649" s="61" t="s">
        <v>5522</v>
      </c>
      <c r="I1649" s="519" t="s">
        <v>12782</v>
      </c>
      <c r="J1649" s="71" t="s">
        <v>16227</v>
      </c>
      <c r="K1649" s="69"/>
      <c r="L1649" s="65" t="s">
        <v>3542</v>
      </c>
      <c r="M1649" s="73"/>
      <c r="N1649" s="73"/>
      <c r="O1649" s="61" t="s">
        <v>5626</v>
      </c>
      <c r="P1649" s="67" t="str">
        <f t="shared" si="14"/>
        <v/>
      </c>
      <c r="Q1649" s="67" t="str">
        <f t="shared" si="15"/>
        <v/>
      </c>
      <c r="R1649" s="67" t="str">
        <f t="shared" si="16"/>
        <v/>
      </c>
      <c r="S1649" s="67" t="str">
        <f t="shared" si="17"/>
        <v/>
      </c>
      <c r="T1649" s="161"/>
      <c r="U1649" s="64" t="s">
        <v>9330</v>
      </c>
      <c r="V1649" s="65" t="s">
        <v>16228</v>
      </c>
      <c r="W1649" s="71" t="s">
        <v>15866</v>
      </c>
      <c r="X1649" s="194"/>
      <c r="Y1649" s="73"/>
      <c r="Z1649" s="73"/>
      <c r="AA1649" s="73"/>
      <c r="AB1649" s="73"/>
      <c r="AC1649" s="73"/>
      <c r="AD1649" s="73"/>
      <c r="AE1649" s="73"/>
      <c r="AF1649" s="73"/>
      <c r="AG1649" s="73"/>
      <c r="AH1649" s="73"/>
      <c r="AI1649" s="73"/>
      <c r="AJ1649" s="161"/>
      <c r="AK1649" s="76" t="s">
        <v>6276</v>
      </c>
      <c r="AL1649" s="83" t="s">
        <v>16229</v>
      </c>
      <c r="AM1649" s="71" t="s">
        <v>16230</v>
      </c>
      <c r="AN1649" s="84" t="s">
        <v>16231</v>
      </c>
      <c r="AO1649" s="71" t="s">
        <v>16232</v>
      </c>
      <c r="AP1649" s="161" t="str">
        <f>IMAGE("https://bellingcat-archive.nyc3.cdn.digitaloceanspaces.com/Ukraine_Witness_Datasheet/Worksheet/telegram_26c8d848f1/out7.jpg")</f>
        <v/>
      </c>
      <c r="AQ1649" s="84" t="s">
        <v>16233</v>
      </c>
      <c r="AR1649" s="84" t="s">
        <v>16226</v>
      </c>
      <c r="AS1649" s="71" t="s">
        <v>16234</v>
      </c>
      <c r="AT1649" s="71">
        <v>18.0</v>
      </c>
      <c r="AU1649" s="89"/>
      <c r="AV1649" s="162"/>
      <c r="AW1649" s="81"/>
    </row>
    <row r="1650" ht="15.75" customHeight="1">
      <c r="A1650" s="521" t="s">
        <v>12532</v>
      </c>
      <c r="B1650" s="73"/>
      <c r="C1650" s="57" t="s">
        <v>8024</v>
      </c>
      <c r="D1650" s="121"/>
      <c r="E1650" s="121"/>
      <c r="F1650" s="79"/>
      <c r="G1650" s="84" t="s">
        <v>16143</v>
      </c>
      <c r="H1650" s="61"/>
      <c r="I1650" s="519"/>
      <c r="J1650" s="71"/>
      <c r="K1650" s="69"/>
      <c r="L1650" s="65" t="s">
        <v>3542</v>
      </c>
      <c r="M1650" s="73"/>
      <c r="N1650" s="73"/>
      <c r="O1650" s="61" t="s">
        <v>16017</v>
      </c>
      <c r="P1650" s="67" t="str">
        <f t="shared" si="14"/>
        <v/>
      </c>
      <c r="Q1650" s="67" t="str">
        <f t="shared" si="15"/>
        <v/>
      </c>
      <c r="R1650" s="67" t="str">
        <f t="shared" si="16"/>
        <v/>
      </c>
      <c r="S1650" s="67" t="str">
        <f t="shared" si="17"/>
        <v/>
      </c>
      <c r="T1650" s="161"/>
      <c r="U1650" s="64" t="s">
        <v>9330</v>
      </c>
      <c r="V1650" s="65" t="s">
        <v>16235</v>
      </c>
      <c r="W1650" s="71" t="s">
        <v>15866</v>
      </c>
      <c r="X1650" s="194"/>
      <c r="Y1650" s="73"/>
      <c r="Z1650" s="73"/>
      <c r="AA1650" s="73"/>
      <c r="AB1650" s="73"/>
      <c r="AC1650" s="73"/>
      <c r="AD1650" s="73"/>
      <c r="AE1650" s="73"/>
      <c r="AF1650" s="73"/>
      <c r="AG1650" s="73"/>
      <c r="AH1650" s="73"/>
      <c r="AI1650" s="73"/>
      <c r="AJ1650" s="161"/>
      <c r="AK1650" s="76" t="s">
        <v>6276</v>
      </c>
      <c r="AL1650" s="83" t="s">
        <v>16146</v>
      </c>
      <c r="AM1650" s="71" t="s">
        <v>16236</v>
      </c>
      <c r="AN1650" s="84" t="s">
        <v>16237</v>
      </c>
      <c r="AO1650" s="71" t="s">
        <v>16238</v>
      </c>
      <c r="AP1650" s="161" t="str">
        <f>IMAGE("https://bellingcat-archive.nyc3.cdn.digitaloceanspaces.com/Ukraine_Witness_Datasheet/Worksheet/telegram_nVU9k6ChGsVmP3tKnsUEQImcJdYOlZGpha-9l9T9djVBTMUVNZRNFXghN7uxUgFK6PBNsBHatfCtJw1LftlGXWD1tYgbLkP0w6fGIH49FnOWpMoD3k-ItX9PsADeTyVg.jpg")</f>
        <v/>
      </c>
      <c r="AQ1650" s="161"/>
      <c r="AR1650" s="161"/>
      <c r="AS1650" s="71" t="s">
        <v>16150</v>
      </c>
      <c r="AT1650" s="161"/>
      <c r="AU1650" s="89"/>
      <c r="AV1650" s="162"/>
      <c r="AW1650" s="81"/>
    </row>
    <row r="1651" ht="15.75" customHeight="1">
      <c r="A1651" s="520"/>
      <c r="B1651" s="73"/>
      <c r="C1651" s="57" t="s">
        <v>8024</v>
      </c>
      <c r="D1651" s="121"/>
      <c r="E1651" s="121"/>
      <c r="F1651" s="79">
        <v>1.0</v>
      </c>
      <c r="G1651" s="84" t="s">
        <v>16239</v>
      </c>
      <c r="H1651" s="61" t="s">
        <v>91</v>
      </c>
      <c r="I1651" s="519" t="s">
        <v>12782</v>
      </c>
      <c r="J1651" s="71" t="s">
        <v>16240</v>
      </c>
      <c r="K1651" s="69"/>
      <c r="L1651" s="65" t="s">
        <v>3542</v>
      </c>
      <c r="M1651" s="73"/>
      <c r="N1651" s="73"/>
      <c r="O1651" s="61" t="s">
        <v>5626</v>
      </c>
      <c r="P1651" s="67" t="str">
        <f t="shared" si="14"/>
        <v/>
      </c>
      <c r="Q1651" s="67" t="str">
        <f t="shared" si="15"/>
        <v/>
      </c>
      <c r="R1651" s="67" t="str">
        <f t="shared" si="16"/>
        <v/>
      </c>
      <c r="S1651" s="67" t="str">
        <f t="shared" si="17"/>
        <v/>
      </c>
      <c r="T1651" s="161"/>
      <c r="U1651" s="64" t="s">
        <v>9330</v>
      </c>
      <c r="V1651" s="65" t="s">
        <v>16241</v>
      </c>
      <c r="W1651" s="71" t="s">
        <v>15866</v>
      </c>
      <c r="X1651" s="194"/>
      <c r="Y1651" s="73"/>
      <c r="Z1651" s="73"/>
      <c r="AA1651" s="73"/>
      <c r="AB1651" s="73"/>
      <c r="AC1651" s="73"/>
      <c r="AD1651" s="73"/>
      <c r="AE1651" s="73"/>
      <c r="AF1651" s="73"/>
      <c r="AG1651" s="73"/>
      <c r="AH1651" s="73"/>
      <c r="AI1651" s="73"/>
      <c r="AJ1651" s="161"/>
      <c r="AK1651" s="76" t="s">
        <v>6276</v>
      </c>
      <c r="AL1651" s="83" t="s">
        <v>16242</v>
      </c>
      <c r="AM1651" s="71" t="s">
        <v>16243</v>
      </c>
      <c r="AN1651" s="84" t="s">
        <v>16244</v>
      </c>
      <c r="AO1651" s="71" t="s">
        <v>16245</v>
      </c>
      <c r="AP1651" s="161" t="str">
        <f>IMAGE("https://bellingcat-archive.nyc3.cdn.digitaloceanspaces.com/Ukraine_Witness_Datasheet/Worksheet/telegram_fAiTmOlox6mSLhOc2CbdsM28SCejSyk69AnIkmzmvAnKfC_-DSbRX-j1eNWi2KP6A2ldjcIVy_yo67zDQIiNc1r2YZujoDkZVdQKFYwPY2EpwRKdU8M8QsmsWi27o4qg.jpg")</f>
        <v/>
      </c>
      <c r="AQ1651" s="161"/>
      <c r="AR1651" s="161"/>
      <c r="AS1651" s="71" t="s">
        <v>16246</v>
      </c>
      <c r="AT1651" s="161"/>
      <c r="AU1651" s="89"/>
      <c r="AV1651" s="162"/>
      <c r="AW1651" s="81"/>
    </row>
    <row r="1652" ht="15.75" customHeight="1">
      <c r="A1652" s="516" t="s">
        <v>8023</v>
      </c>
      <c r="B1652" s="73"/>
      <c r="C1652" s="57" t="s">
        <v>8024</v>
      </c>
      <c r="D1652" s="104">
        <v>50.035336</v>
      </c>
      <c r="E1652" s="104">
        <v>36.352933</v>
      </c>
      <c r="F1652" s="79">
        <v>1.0</v>
      </c>
      <c r="G1652" s="84" t="s">
        <v>16247</v>
      </c>
      <c r="H1652" s="61" t="s">
        <v>91</v>
      </c>
      <c r="I1652" s="517" t="s">
        <v>12782</v>
      </c>
      <c r="J1652" s="71" t="s">
        <v>16248</v>
      </c>
      <c r="K1652" s="69"/>
      <c r="L1652" s="65" t="s">
        <v>3542</v>
      </c>
      <c r="M1652" s="61" t="s">
        <v>5590</v>
      </c>
      <c r="N1652" s="73"/>
      <c r="O1652" s="61" t="s">
        <v>5626</v>
      </c>
      <c r="P1652" s="67" t="str">
        <f t="shared" si="14"/>
        <v>50.035336, 36.352933</v>
      </c>
      <c r="Q1652" s="67" t="str">
        <f t="shared" si="15"/>
        <v>50.034845, 36.353309</v>
      </c>
      <c r="R1652" s="67">
        <f t="shared" si="16"/>
        <v>50.034845</v>
      </c>
      <c r="S1652" s="67">
        <f t="shared" si="17"/>
        <v>36.353309</v>
      </c>
      <c r="T1652" s="71" t="s">
        <v>16249</v>
      </c>
      <c r="U1652" s="64" t="s">
        <v>9330</v>
      </c>
      <c r="V1652" s="65" t="s">
        <v>16250</v>
      </c>
      <c r="W1652" s="71" t="s">
        <v>15866</v>
      </c>
      <c r="X1652" s="72" t="s">
        <v>2982</v>
      </c>
      <c r="Y1652" s="73"/>
      <c r="Z1652" s="73"/>
      <c r="AA1652" s="73"/>
      <c r="AB1652" s="73"/>
      <c r="AC1652" s="73"/>
      <c r="AD1652" s="73"/>
      <c r="AE1652" s="73"/>
      <c r="AF1652" s="73"/>
      <c r="AG1652" s="73"/>
      <c r="AH1652" s="73"/>
      <c r="AI1652" s="73"/>
      <c r="AJ1652" s="161"/>
      <c r="AK1652" s="76" t="s">
        <v>6276</v>
      </c>
      <c r="AL1652" s="83" t="s">
        <v>16251</v>
      </c>
      <c r="AM1652" s="71" t="s">
        <v>16252</v>
      </c>
      <c r="AN1652" s="84" t="s">
        <v>16253</v>
      </c>
      <c r="AO1652" s="71" t="s">
        <v>16254</v>
      </c>
      <c r="AP1652" s="161" t="str">
        <f>IMAGE("https://bellingcat-archive.nyc3.cdn.digitaloceanspaces.com/Ukraine_Witness_Datasheet/Worksheet/telegram_91f03468f2/out7.jpg")</f>
        <v/>
      </c>
      <c r="AQ1652" s="84" t="s">
        <v>16255</v>
      </c>
      <c r="AR1652" s="84" t="s">
        <v>16247</v>
      </c>
      <c r="AS1652" s="71" t="s">
        <v>16256</v>
      </c>
      <c r="AT1652" s="71">
        <v>16.0</v>
      </c>
      <c r="AU1652" s="89"/>
      <c r="AV1652" s="80" t="s">
        <v>3944</v>
      </c>
      <c r="AW1652" s="81"/>
    </row>
    <row r="1653" ht="15.75" customHeight="1">
      <c r="A1653" s="520" t="s">
        <v>12532</v>
      </c>
      <c r="B1653" s="73"/>
      <c r="C1653" s="57" t="s">
        <v>8024</v>
      </c>
      <c r="D1653" s="121"/>
      <c r="E1653" s="121"/>
      <c r="F1653" s="79">
        <v>1.0</v>
      </c>
      <c r="G1653" s="84" t="s">
        <v>16160</v>
      </c>
      <c r="H1653" s="61" t="s">
        <v>91</v>
      </c>
      <c r="I1653" s="519" t="s">
        <v>12782</v>
      </c>
      <c r="J1653" s="71" t="s">
        <v>16257</v>
      </c>
      <c r="K1653" s="69"/>
      <c r="L1653" s="65" t="s">
        <v>3542</v>
      </c>
      <c r="M1653" s="73"/>
      <c r="N1653" s="73"/>
      <c r="O1653" s="61" t="s">
        <v>16017</v>
      </c>
      <c r="P1653" s="67" t="str">
        <f t="shared" si="14"/>
        <v/>
      </c>
      <c r="Q1653" s="67" t="str">
        <f t="shared" si="15"/>
        <v/>
      </c>
      <c r="R1653" s="67" t="str">
        <f t="shared" si="16"/>
        <v/>
      </c>
      <c r="S1653" s="67" t="str">
        <f t="shared" si="17"/>
        <v/>
      </c>
      <c r="T1653" s="161"/>
      <c r="U1653" s="64" t="s">
        <v>9330</v>
      </c>
      <c r="V1653" s="65" t="s">
        <v>16258</v>
      </c>
      <c r="W1653" s="71" t="s">
        <v>15866</v>
      </c>
      <c r="X1653" s="194"/>
      <c r="Y1653" s="73"/>
      <c r="Z1653" s="73"/>
      <c r="AA1653" s="73"/>
      <c r="AB1653" s="73"/>
      <c r="AC1653" s="73"/>
      <c r="AD1653" s="73"/>
      <c r="AE1653" s="73"/>
      <c r="AF1653" s="73"/>
      <c r="AG1653" s="73"/>
      <c r="AH1653" s="73"/>
      <c r="AI1653" s="73"/>
      <c r="AJ1653" s="161"/>
      <c r="AK1653" s="76" t="s">
        <v>6276</v>
      </c>
      <c r="AL1653" s="83" t="s">
        <v>16163</v>
      </c>
      <c r="AM1653" s="71" t="s">
        <v>16259</v>
      </c>
      <c r="AN1653" s="84" t="s">
        <v>16260</v>
      </c>
      <c r="AO1653" s="71" t="s">
        <v>16261</v>
      </c>
      <c r="AP1653" s="161" t="str">
        <f>IMAGE("https://bellingcat-archive.nyc3.cdn.digitaloceanspaces.com/Ukraine_Witness_Datasheet/Worksheet/telegram_hfbJygou7R77SzmGitQ4qhx2t4pYzB_FCxlUnM91nOOXOiBuFNfcGxadWQzwBXFjAJppCUDhJyEeS3BI2RaKqFvkXUeMnGmxkLh06KDYS5M6sjSgImgg6AZWCtiT0cJQ.jpg")</f>
        <v/>
      </c>
      <c r="AQ1653" s="161"/>
      <c r="AR1653" s="161"/>
      <c r="AS1653" s="71" t="s">
        <v>16167</v>
      </c>
      <c r="AT1653" s="161"/>
      <c r="AU1653" s="89"/>
      <c r="AV1653" s="162"/>
      <c r="AW1653" s="81"/>
    </row>
    <row r="1654" ht="15.75" customHeight="1">
      <c r="A1654" s="258" t="s">
        <v>15932</v>
      </c>
      <c r="B1654" s="73"/>
      <c r="C1654" s="57"/>
      <c r="D1654" s="121"/>
      <c r="E1654" s="121"/>
      <c r="F1654" s="89"/>
      <c r="G1654" s="71" t="s">
        <v>15932</v>
      </c>
      <c r="H1654" s="73"/>
      <c r="I1654" s="519"/>
      <c r="J1654" s="161"/>
      <c r="K1654" s="69"/>
      <c r="L1654" s="65"/>
      <c r="M1654" s="73"/>
      <c r="N1654" s="73"/>
      <c r="O1654" s="61"/>
      <c r="P1654" s="67" t="str">
        <f t="shared" si="14"/>
        <v/>
      </c>
      <c r="Q1654" s="67" t="str">
        <f t="shared" si="15"/>
        <v/>
      </c>
      <c r="R1654" s="67" t="str">
        <f t="shared" si="16"/>
        <v/>
      </c>
      <c r="S1654" s="67" t="str">
        <f t="shared" si="17"/>
        <v/>
      </c>
      <c r="T1654" s="161"/>
      <c r="U1654" s="64"/>
      <c r="V1654" s="65" t="s">
        <v>16262</v>
      </c>
      <c r="W1654" s="71" t="s">
        <v>15866</v>
      </c>
      <c r="X1654" s="194"/>
      <c r="Y1654" s="73"/>
      <c r="Z1654" s="73"/>
      <c r="AA1654" s="73"/>
      <c r="AB1654" s="73"/>
      <c r="AC1654" s="73"/>
      <c r="AD1654" s="73"/>
      <c r="AE1654" s="73"/>
      <c r="AF1654" s="73"/>
      <c r="AG1654" s="73"/>
      <c r="AH1654" s="73"/>
      <c r="AI1654" s="73"/>
      <c r="AJ1654" s="161"/>
      <c r="AK1654" s="76" t="s">
        <v>2108</v>
      </c>
      <c r="AL1654" s="83" t="s">
        <v>16263</v>
      </c>
      <c r="AM1654" s="71" t="s">
        <v>16264</v>
      </c>
      <c r="AN1654" s="84" t="s">
        <v>16265</v>
      </c>
      <c r="AO1654" s="71" t="s">
        <v>16266</v>
      </c>
      <c r="AP1654" s="161" t="str">
        <f>IMAGE("https://bellingcat-archive.nyc3.cdn.digitaloceanspaces.com/Ukraine_Witness_Datasheet/Worksheet/twitter__media_FMmTC7rXMAINRSm.jpg")</f>
        <v/>
      </c>
      <c r="AQ1654" s="161"/>
      <c r="AR1654" s="161"/>
      <c r="AS1654" s="71" t="s">
        <v>16267</v>
      </c>
      <c r="AT1654" s="161"/>
      <c r="AU1654" s="89"/>
      <c r="AV1654" s="162"/>
      <c r="AW1654" s="81"/>
    </row>
    <row r="1655" ht="15.75" customHeight="1">
      <c r="A1655" s="258" t="s">
        <v>15932</v>
      </c>
      <c r="B1655" s="73"/>
      <c r="C1655" s="57"/>
      <c r="D1655" s="121"/>
      <c r="E1655" s="121"/>
      <c r="F1655" s="89"/>
      <c r="G1655" s="71" t="s">
        <v>15932</v>
      </c>
      <c r="H1655" s="73"/>
      <c r="I1655" s="519"/>
      <c r="J1655" s="161"/>
      <c r="K1655" s="69"/>
      <c r="L1655" s="65"/>
      <c r="M1655" s="73"/>
      <c r="N1655" s="73"/>
      <c r="O1655" s="61"/>
      <c r="P1655" s="67" t="str">
        <f t="shared" si="14"/>
        <v/>
      </c>
      <c r="Q1655" s="67" t="str">
        <f t="shared" si="15"/>
        <v/>
      </c>
      <c r="R1655" s="67" t="str">
        <f t="shared" si="16"/>
        <v/>
      </c>
      <c r="S1655" s="67" t="str">
        <f t="shared" si="17"/>
        <v/>
      </c>
      <c r="T1655" s="161"/>
      <c r="U1655" s="64"/>
      <c r="V1655" s="65" t="s">
        <v>16268</v>
      </c>
      <c r="W1655" s="71" t="s">
        <v>15866</v>
      </c>
      <c r="X1655" s="194"/>
      <c r="Y1655" s="73"/>
      <c r="Z1655" s="73"/>
      <c r="AA1655" s="73"/>
      <c r="AB1655" s="73"/>
      <c r="AC1655" s="73"/>
      <c r="AD1655" s="73"/>
      <c r="AE1655" s="73"/>
      <c r="AF1655" s="73"/>
      <c r="AG1655" s="73"/>
      <c r="AH1655" s="73"/>
      <c r="AI1655" s="73"/>
      <c r="AJ1655" s="161"/>
      <c r="AK1655" s="76" t="s">
        <v>16269</v>
      </c>
      <c r="AL1655" s="83" t="s">
        <v>16216</v>
      </c>
      <c r="AM1655" s="71" t="s">
        <v>16270</v>
      </c>
      <c r="AN1655" s="84" t="s">
        <v>16218</v>
      </c>
      <c r="AO1655" s="161"/>
      <c r="AP1655" s="161"/>
      <c r="AQ1655" s="161"/>
      <c r="AR1655" s="71" t="s">
        <v>10489</v>
      </c>
      <c r="AS1655" s="161"/>
      <c r="AT1655" s="161"/>
      <c r="AU1655" s="89"/>
      <c r="AV1655" s="162"/>
      <c r="AW1655" s="81"/>
    </row>
    <row r="1656" ht="15.75" customHeight="1">
      <c r="A1656" s="520"/>
      <c r="B1656" s="73"/>
      <c r="C1656" s="57" t="s">
        <v>8024</v>
      </c>
      <c r="D1656" s="121"/>
      <c r="E1656" s="121"/>
      <c r="F1656" s="79">
        <v>1.0</v>
      </c>
      <c r="G1656" s="84" t="s">
        <v>16271</v>
      </c>
      <c r="H1656" s="61" t="s">
        <v>91</v>
      </c>
      <c r="I1656" s="519" t="s">
        <v>12782</v>
      </c>
      <c r="J1656" s="71" t="s">
        <v>16248</v>
      </c>
      <c r="K1656" s="69"/>
      <c r="L1656" s="65" t="s">
        <v>3542</v>
      </c>
      <c r="M1656" s="73"/>
      <c r="N1656" s="73"/>
      <c r="O1656" s="61" t="s">
        <v>5626</v>
      </c>
      <c r="P1656" s="67" t="str">
        <f t="shared" si="14"/>
        <v/>
      </c>
      <c r="Q1656" s="67" t="str">
        <f t="shared" si="15"/>
        <v/>
      </c>
      <c r="R1656" s="67" t="str">
        <f t="shared" si="16"/>
        <v/>
      </c>
      <c r="S1656" s="67" t="str">
        <f t="shared" si="17"/>
        <v/>
      </c>
      <c r="T1656" s="161"/>
      <c r="U1656" s="64" t="s">
        <v>9330</v>
      </c>
      <c r="V1656" s="65" t="s">
        <v>16272</v>
      </c>
      <c r="W1656" s="71" t="s">
        <v>15866</v>
      </c>
      <c r="X1656" s="194"/>
      <c r="Y1656" s="73"/>
      <c r="Z1656" s="73"/>
      <c r="AA1656" s="73"/>
      <c r="AB1656" s="73"/>
      <c r="AC1656" s="73"/>
      <c r="AD1656" s="73"/>
      <c r="AE1656" s="73"/>
      <c r="AF1656" s="73"/>
      <c r="AG1656" s="73"/>
      <c r="AH1656" s="73"/>
      <c r="AI1656" s="73"/>
      <c r="AJ1656" s="161"/>
      <c r="AK1656" s="76" t="s">
        <v>2108</v>
      </c>
      <c r="AL1656" s="83" t="s">
        <v>16273</v>
      </c>
      <c r="AM1656" s="71" t="s">
        <v>16274</v>
      </c>
      <c r="AN1656" s="84" t="s">
        <v>16275</v>
      </c>
      <c r="AO1656" s="71" t="s">
        <v>16276</v>
      </c>
      <c r="AP1656" s="161" t="str">
        <f>IMAGE("https://bellingcat-archive.nyc3.cdn.digitaloceanspaces.com/Ukraine_Witness_Datasheet/Worksheet/twitter__media_FMmiFtPXMAAV9ss.jpg")</f>
        <v/>
      </c>
      <c r="AQ1656" s="161"/>
      <c r="AR1656" s="161"/>
      <c r="AS1656" s="71" t="s">
        <v>16277</v>
      </c>
      <c r="AT1656" s="161"/>
      <c r="AU1656" s="89"/>
      <c r="AV1656" s="162"/>
      <c r="AW1656" s="81"/>
    </row>
    <row r="1657" ht="15.75" customHeight="1">
      <c r="A1657" s="520"/>
      <c r="B1657" s="73"/>
      <c r="C1657" s="57" t="s">
        <v>8024</v>
      </c>
      <c r="D1657" s="121"/>
      <c r="E1657" s="121"/>
      <c r="F1657" s="79">
        <v>1.0</v>
      </c>
      <c r="G1657" s="84" t="s">
        <v>16278</v>
      </c>
      <c r="H1657" s="61" t="s">
        <v>91</v>
      </c>
      <c r="I1657" s="519" t="s">
        <v>12782</v>
      </c>
      <c r="J1657" s="71" t="s">
        <v>16161</v>
      </c>
      <c r="K1657" s="69"/>
      <c r="L1657" s="65" t="s">
        <v>3542</v>
      </c>
      <c r="M1657" s="73"/>
      <c r="N1657" s="73"/>
      <c r="O1657" s="61" t="s">
        <v>5626</v>
      </c>
      <c r="P1657" s="67" t="str">
        <f t="shared" si="14"/>
        <v/>
      </c>
      <c r="Q1657" s="67" t="str">
        <f t="shared" si="15"/>
        <v/>
      </c>
      <c r="R1657" s="67" t="str">
        <f t="shared" si="16"/>
        <v/>
      </c>
      <c r="S1657" s="67" t="str">
        <f t="shared" si="17"/>
        <v/>
      </c>
      <c r="T1657" s="161"/>
      <c r="U1657" s="64" t="s">
        <v>9330</v>
      </c>
      <c r="V1657" s="65" t="s">
        <v>16279</v>
      </c>
      <c r="W1657" s="71" t="s">
        <v>15866</v>
      </c>
      <c r="X1657" s="194"/>
      <c r="Y1657" s="73"/>
      <c r="Z1657" s="73"/>
      <c r="AA1657" s="73"/>
      <c r="AB1657" s="73"/>
      <c r="AC1657" s="73"/>
      <c r="AD1657" s="73"/>
      <c r="AE1657" s="73"/>
      <c r="AF1657" s="73"/>
      <c r="AG1657" s="73"/>
      <c r="AH1657" s="73"/>
      <c r="AI1657" s="73"/>
      <c r="AJ1657" s="161"/>
      <c r="AK1657" s="76" t="s">
        <v>2108</v>
      </c>
      <c r="AL1657" s="83" t="s">
        <v>16280</v>
      </c>
      <c r="AM1657" s="71" t="s">
        <v>16281</v>
      </c>
      <c r="AN1657" s="84" t="s">
        <v>16282</v>
      </c>
      <c r="AO1657" s="71" t="s">
        <v>16283</v>
      </c>
      <c r="AP1657" s="161" t="str">
        <f>IMAGE("https://bellingcat-archive.nyc3.cdn.digitaloceanspaces.com/Ukraine_Witness_Datasheet/Worksheet/twitter__media_FMmkjjsXoAAlmfg.jpg")</f>
        <v/>
      </c>
      <c r="AQ1657" s="161"/>
      <c r="AR1657" s="161"/>
      <c r="AS1657" s="71" t="s">
        <v>16284</v>
      </c>
      <c r="AT1657" s="161"/>
      <c r="AU1657" s="89"/>
      <c r="AV1657" s="162"/>
      <c r="AW1657" s="81"/>
    </row>
    <row r="1658" ht="15.75" customHeight="1">
      <c r="A1658" s="520"/>
      <c r="B1658" s="73"/>
      <c r="C1658" s="57" t="s">
        <v>8024</v>
      </c>
      <c r="D1658" s="121"/>
      <c r="E1658" s="121"/>
      <c r="F1658" s="79">
        <v>1.0</v>
      </c>
      <c r="G1658" s="84" t="s">
        <v>16285</v>
      </c>
      <c r="H1658" s="61" t="s">
        <v>91</v>
      </c>
      <c r="I1658" s="519" t="s">
        <v>12782</v>
      </c>
      <c r="J1658" s="71" t="s">
        <v>16161</v>
      </c>
      <c r="K1658" s="69"/>
      <c r="L1658" s="65" t="s">
        <v>3542</v>
      </c>
      <c r="M1658" s="73"/>
      <c r="N1658" s="73"/>
      <c r="O1658" s="61" t="s">
        <v>5626</v>
      </c>
      <c r="P1658" s="67" t="str">
        <f t="shared" si="14"/>
        <v/>
      </c>
      <c r="Q1658" s="67" t="str">
        <f t="shared" si="15"/>
        <v/>
      </c>
      <c r="R1658" s="67" t="str">
        <f t="shared" si="16"/>
        <v/>
      </c>
      <c r="S1658" s="67" t="str">
        <f t="shared" si="17"/>
        <v/>
      </c>
      <c r="T1658" s="161"/>
      <c r="U1658" s="64" t="s">
        <v>9330</v>
      </c>
      <c r="V1658" s="65" t="s">
        <v>16286</v>
      </c>
      <c r="W1658" s="71" t="s">
        <v>15866</v>
      </c>
      <c r="X1658" s="194"/>
      <c r="Y1658" s="73"/>
      <c r="Z1658" s="73"/>
      <c r="AA1658" s="73"/>
      <c r="AB1658" s="73"/>
      <c r="AC1658" s="73"/>
      <c r="AD1658" s="73"/>
      <c r="AE1658" s="73"/>
      <c r="AF1658" s="73"/>
      <c r="AG1658" s="73"/>
      <c r="AH1658" s="73"/>
      <c r="AI1658" s="73"/>
      <c r="AJ1658" s="161"/>
      <c r="AK1658" s="76" t="s">
        <v>6276</v>
      </c>
      <c r="AL1658" s="83" t="s">
        <v>16287</v>
      </c>
      <c r="AM1658" s="71" t="s">
        <v>16288</v>
      </c>
      <c r="AN1658" s="84" t="s">
        <v>16289</v>
      </c>
      <c r="AO1658" s="71" t="s">
        <v>16290</v>
      </c>
      <c r="AP1658" s="161"/>
      <c r="AQ1658" s="161"/>
      <c r="AR1658" s="161"/>
      <c r="AS1658" s="71" t="s">
        <v>16291</v>
      </c>
      <c r="AT1658" s="161"/>
      <c r="AU1658" s="89"/>
      <c r="AV1658" s="162"/>
      <c r="AW1658" s="81"/>
    </row>
    <row r="1659" ht="15.75" customHeight="1">
      <c r="A1659" s="258" t="s">
        <v>15932</v>
      </c>
      <c r="B1659" s="73"/>
      <c r="C1659" s="57"/>
      <c r="D1659" s="121"/>
      <c r="E1659" s="121"/>
      <c r="F1659" s="89"/>
      <c r="G1659" s="71" t="s">
        <v>15932</v>
      </c>
      <c r="H1659" s="73"/>
      <c r="I1659" s="519"/>
      <c r="J1659" s="161"/>
      <c r="K1659" s="69"/>
      <c r="L1659" s="65"/>
      <c r="M1659" s="73"/>
      <c r="N1659" s="73"/>
      <c r="O1659" s="61"/>
      <c r="P1659" s="67" t="str">
        <f t="shared" si="14"/>
        <v/>
      </c>
      <c r="Q1659" s="67" t="str">
        <f t="shared" si="15"/>
        <v/>
      </c>
      <c r="R1659" s="67" t="str">
        <f t="shared" si="16"/>
        <v/>
      </c>
      <c r="S1659" s="67" t="str">
        <f t="shared" si="17"/>
        <v/>
      </c>
      <c r="T1659" s="161"/>
      <c r="U1659" s="64"/>
      <c r="V1659" s="65"/>
      <c r="W1659" s="71"/>
      <c r="X1659" s="194"/>
      <c r="Y1659" s="73"/>
      <c r="Z1659" s="73"/>
      <c r="AA1659" s="73"/>
      <c r="AB1659" s="73"/>
      <c r="AC1659" s="73"/>
      <c r="AD1659" s="73"/>
      <c r="AE1659" s="73"/>
      <c r="AF1659" s="73"/>
      <c r="AG1659" s="73"/>
      <c r="AH1659" s="73"/>
      <c r="AI1659" s="73"/>
      <c r="AJ1659" s="161"/>
      <c r="AK1659" s="76" t="s">
        <v>6276</v>
      </c>
      <c r="AL1659" s="83" t="s">
        <v>16146</v>
      </c>
      <c r="AM1659" s="71" t="s">
        <v>16292</v>
      </c>
      <c r="AN1659" s="84" t="s">
        <v>16293</v>
      </c>
      <c r="AO1659" s="71" t="s">
        <v>16294</v>
      </c>
      <c r="AP1659" s="161" t="str">
        <f>IMAGE("https://bellingcat-archive.nyc3.cdn.digitaloceanspaces.com/Ukraine_Witness_Datasheet/Worksheet/telegram_nVU9k6ChGsVmP3tKnsUEQImcJdYOlZGpha-9l9T9djVBTMUVNZRNFXghN7uxUgFK6PBNsBHatfCtJw1LftlGXWD1tYgbLkP0w6fGIH49FnOWpMoD3k-ItX9PsADeTyVg.jpg")</f>
        <v/>
      </c>
      <c r="AQ1659" s="161"/>
      <c r="AR1659" s="161"/>
      <c r="AS1659" s="71" t="s">
        <v>16150</v>
      </c>
      <c r="AT1659" s="161"/>
      <c r="AU1659" s="89"/>
      <c r="AV1659" s="162"/>
      <c r="AW1659" s="81"/>
    </row>
    <row r="1660" ht="15.75" customHeight="1">
      <c r="A1660" s="520"/>
      <c r="B1660" s="73"/>
      <c r="C1660" s="57" t="s">
        <v>9028</v>
      </c>
      <c r="D1660" s="121"/>
      <c r="E1660" s="121"/>
      <c r="F1660" s="79">
        <v>1.0</v>
      </c>
      <c r="G1660" s="60" t="s">
        <v>16295</v>
      </c>
      <c r="H1660" s="61" t="s">
        <v>5522</v>
      </c>
      <c r="I1660" s="519" t="s">
        <v>12782</v>
      </c>
      <c r="J1660" s="71" t="s">
        <v>16296</v>
      </c>
      <c r="K1660" s="69"/>
      <c r="L1660" s="65" t="s">
        <v>3542</v>
      </c>
      <c r="M1660" s="73"/>
      <c r="N1660" s="73"/>
      <c r="O1660" s="61" t="s">
        <v>5626</v>
      </c>
      <c r="P1660" s="67" t="str">
        <f t="shared" si="14"/>
        <v/>
      </c>
      <c r="Q1660" s="67" t="str">
        <f t="shared" si="15"/>
        <v/>
      </c>
      <c r="R1660" s="67" t="str">
        <f t="shared" si="16"/>
        <v/>
      </c>
      <c r="S1660" s="67" t="str">
        <f t="shared" si="17"/>
        <v/>
      </c>
      <c r="T1660" s="161"/>
      <c r="U1660" s="64" t="s">
        <v>9330</v>
      </c>
      <c r="V1660" s="65" t="s">
        <v>16297</v>
      </c>
      <c r="W1660" s="71" t="s">
        <v>15866</v>
      </c>
      <c r="X1660" s="194"/>
      <c r="Y1660" s="73"/>
      <c r="Z1660" s="73"/>
      <c r="AA1660" s="73"/>
      <c r="AB1660" s="73"/>
      <c r="AC1660" s="73"/>
      <c r="AD1660" s="73"/>
      <c r="AE1660" s="73"/>
      <c r="AF1660" s="73"/>
      <c r="AG1660" s="73"/>
      <c r="AH1660" s="73"/>
      <c r="AI1660" s="73"/>
      <c r="AJ1660" s="161"/>
      <c r="AK1660" s="76" t="s">
        <v>798</v>
      </c>
      <c r="AL1660" s="83" t="s">
        <v>16298</v>
      </c>
      <c r="AM1660" s="71" t="s">
        <v>16299</v>
      </c>
      <c r="AN1660" s="84" t="s">
        <v>16300</v>
      </c>
      <c r="AO1660" s="71" t="s">
        <v>16301</v>
      </c>
      <c r="AP1660" s="161" t="str">
        <f>IMAGE("https://bellingcat-archive.nyc3.cdn.digitaloceanspaces.com/Ukraine_Witness_Datasheet/Worksheet/youtube_dl_1498268564922449923/out7.jpg")</f>
        <v/>
      </c>
      <c r="AQ1660" s="84" t="s">
        <v>16302</v>
      </c>
      <c r="AR1660" s="71" t="s">
        <v>16303</v>
      </c>
      <c r="AS1660" s="71" t="s">
        <v>16304</v>
      </c>
      <c r="AT1660" s="71">
        <v>15.566</v>
      </c>
      <c r="AU1660" s="89"/>
      <c r="AV1660" s="162"/>
      <c r="AW1660" s="81"/>
    </row>
    <row r="1661" ht="15.75" customHeight="1">
      <c r="A1661" s="520"/>
      <c r="B1661" s="73"/>
      <c r="C1661" s="57" t="s">
        <v>9028</v>
      </c>
      <c r="D1661" s="121"/>
      <c r="E1661" s="121"/>
      <c r="F1661" s="79">
        <v>1.0</v>
      </c>
      <c r="G1661" s="84" t="s">
        <v>16305</v>
      </c>
      <c r="H1661" s="61" t="s">
        <v>91</v>
      </c>
      <c r="I1661" s="519" t="s">
        <v>12782</v>
      </c>
      <c r="J1661" s="71" t="s">
        <v>16257</v>
      </c>
      <c r="K1661" s="69"/>
      <c r="L1661" s="65" t="s">
        <v>3542</v>
      </c>
      <c r="M1661" s="73"/>
      <c r="N1661" s="73"/>
      <c r="O1661" s="61" t="s">
        <v>5626</v>
      </c>
      <c r="P1661" s="67" t="str">
        <f t="shared" si="14"/>
        <v/>
      </c>
      <c r="Q1661" s="67" t="str">
        <f t="shared" si="15"/>
        <v/>
      </c>
      <c r="R1661" s="67" t="str">
        <f t="shared" si="16"/>
        <v/>
      </c>
      <c r="S1661" s="67" t="str">
        <f t="shared" si="17"/>
        <v/>
      </c>
      <c r="T1661" s="161"/>
      <c r="U1661" s="64" t="s">
        <v>9330</v>
      </c>
      <c r="V1661" s="65" t="s">
        <v>16306</v>
      </c>
      <c r="W1661" s="71" t="s">
        <v>15866</v>
      </c>
      <c r="X1661" s="194"/>
      <c r="Y1661" s="73"/>
      <c r="Z1661" s="73"/>
      <c r="AA1661" s="73"/>
      <c r="AB1661" s="73"/>
      <c r="AC1661" s="73"/>
      <c r="AD1661" s="73"/>
      <c r="AE1661" s="73"/>
      <c r="AF1661" s="73"/>
      <c r="AG1661" s="73"/>
      <c r="AH1661" s="73"/>
      <c r="AI1661" s="73"/>
      <c r="AJ1661" s="161"/>
      <c r="AK1661" s="76" t="s">
        <v>1261</v>
      </c>
      <c r="AL1661" s="83" t="s">
        <v>16307</v>
      </c>
      <c r="AM1661" s="71" t="s">
        <v>16308</v>
      </c>
      <c r="AN1661" s="84" t="s">
        <v>16309</v>
      </c>
      <c r="AO1661" s="161"/>
      <c r="AP1661" s="161"/>
      <c r="AQ1661" s="161"/>
      <c r="AR1661" s="71" t="s">
        <v>10489</v>
      </c>
      <c r="AS1661" s="161"/>
      <c r="AT1661" s="161"/>
      <c r="AU1661" s="89"/>
      <c r="AV1661" s="162"/>
      <c r="AW1661" s="81"/>
    </row>
    <row r="1662" ht="15.75" customHeight="1">
      <c r="A1662" s="529" t="s">
        <v>6924</v>
      </c>
      <c r="B1662" s="73"/>
      <c r="C1662" s="57" t="s">
        <v>9028</v>
      </c>
      <c r="D1662" s="260"/>
      <c r="E1662" s="260"/>
      <c r="F1662" s="79">
        <v>1.0</v>
      </c>
      <c r="G1662" s="84" t="s">
        <v>16310</v>
      </c>
      <c r="H1662" s="61" t="s">
        <v>91</v>
      </c>
      <c r="I1662" s="519" t="s">
        <v>12782</v>
      </c>
      <c r="J1662" s="71" t="s">
        <v>16311</v>
      </c>
      <c r="K1662" s="69"/>
      <c r="L1662" s="65" t="s">
        <v>3542</v>
      </c>
      <c r="M1662" s="73"/>
      <c r="N1662" s="73"/>
      <c r="O1662" s="61" t="s">
        <v>5626</v>
      </c>
      <c r="P1662" s="67" t="str">
        <f t="shared" si="14"/>
        <v/>
      </c>
      <c r="Q1662" s="67" t="str">
        <f t="shared" si="15"/>
        <v/>
      </c>
      <c r="R1662" s="67" t="str">
        <f t="shared" si="16"/>
        <v/>
      </c>
      <c r="S1662" s="67" t="str">
        <f t="shared" si="17"/>
        <v/>
      </c>
      <c r="T1662" s="161"/>
      <c r="U1662" s="64" t="s">
        <v>9330</v>
      </c>
      <c r="V1662" s="65" t="s">
        <v>16312</v>
      </c>
      <c r="W1662" s="71" t="s">
        <v>15866</v>
      </c>
      <c r="X1662" s="194"/>
      <c r="Y1662" s="216" t="s">
        <v>5820</v>
      </c>
      <c r="Z1662" s="73"/>
      <c r="AA1662" s="73"/>
      <c r="AB1662" s="73"/>
      <c r="AC1662" s="73"/>
      <c r="AD1662" s="73"/>
      <c r="AE1662" s="73"/>
      <c r="AF1662" s="73"/>
      <c r="AG1662" s="73"/>
      <c r="AH1662" s="73"/>
      <c r="AI1662" s="73"/>
      <c r="AJ1662" s="161"/>
      <c r="AK1662" s="76" t="s">
        <v>798</v>
      </c>
      <c r="AL1662" s="83" t="s">
        <v>16313</v>
      </c>
      <c r="AM1662" s="71" t="s">
        <v>16314</v>
      </c>
      <c r="AN1662" s="84" t="s">
        <v>16315</v>
      </c>
      <c r="AO1662" s="71" t="s">
        <v>16316</v>
      </c>
      <c r="AP1662" s="161" t="str">
        <f>IMAGE("https://bellingcat-archive.nyc3.cdn.digitaloceanspaces.com/Ukraine_Witness_Datasheet/Worksheet/youtube_dl_1498284698690363393/out7.jpg")</f>
        <v/>
      </c>
      <c r="AQ1662" s="84" t="s">
        <v>16317</v>
      </c>
      <c r="AR1662" s="71" t="s">
        <v>16318</v>
      </c>
      <c r="AS1662" s="71" t="s">
        <v>16319</v>
      </c>
      <c r="AT1662" s="71">
        <v>19.966</v>
      </c>
      <c r="AU1662" s="89"/>
      <c r="AV1662" s="162"/>
      <c r="AW1662" s="81"/>
    </row>
    <row r="1663" ht="15.75" customHeight="1">
      <c r="A1663" s="520"/>
      <c r="B1663" s="73"/>
      <c r="C1663" s="57" t="s">
        <v>9028</v>
      </c>
      <c r="D1663" s="121"/>
      <c r="E1663" s="121"/>
      <c r="F1663" s="79">
        <v>1.0</v>
      </c>
      <c r="G1663" s="84" t="s">
        <v>16320</v>
      </c>
      <c r="H1663" s="61" t="s">
        <v>5522</v>
      </c>
      <c r="I1663" s="519" t="s">
        <v>12782</v>
      </c>
      <c r="J1663" s="71" t="s">
        <v>16321</v>
      </c>
      <c r="K1663" s="69"/>
      <c r="L1663" s="65" t="s">
        <v>3542</v>
      </c>
      <c r="M1663" s="73"/>
      <c r="N1663" s="73"/>
      <c r="O1663" s="61" t="s">
        <v>5626</v>
      </c>
      <c r="P1663" s="67" t="str">
        <f t="shared" si="14"/>
        <v/>
      </c>
      <c r="Q1663" s="67" t="str">
        <f t="shared" si="15"/>
        <v/>
      </c>
      <c r="R1663" s="67" t="str">
        <f t="shared" si="16"/>
        <v/>
      </c>
      <c r="S1663" s="67" t="str">
        <f t="shared" si="17"/>
        <v/>
      </c>
      <c r="T1663" s="161"/>
      <c r="U1663" s="64" t="s">
        <v>9330</v>
      </c>
      <c r="V1663" s="65" t="s">
        <v>16322</v>
      </c>
      <c r="W1663" s="71" t="s">
        <v>15866</v>
      </c>
      <c r="X1663" s="194"/>
      <c r="Y1663" s="73"/>
      <c r="Z1663" s="73"/>
      <c r="AA1663" s="73"/>
      <c r="AB1663" s="73"/>
      <c r="AC1663" s="73"/>
      <c r="AD1663" s="73"/>
      <c r="AE1663" s="73"/>
      <c r="AF1663" s="73"/>
      <c r="AG1663" s="73"/>
      <c r="AH1663" s="73"/>
      <c r="AI1663" s="73"/>
      <c r="AJ1663" s="161"/>
      <c r="AK1663" s="76" t="s">
        <v>6276</v>
      </c>
      <c r="AL1663" s="83" t="s">
        <v>16323</v>
      </c>
      <c r="AM1663" s="71" t="s">
        <v>16324</v>
      </c>
      <c r="AN1663" s="84" t="s">
        <v>16325</v>
      </c>
      <c r="AO1663" s="71" t="s">
        <v>16326</v>
      </c>
      <c r="AP1663" s="161" t="str">
        <f>IMAGE("https://bellingcat-archive.nyc3.cdn.digitaloceanspaces.com/Ukraine_Witness_Datasheet/Worksheet/telegram_b1a11baffc/out7.jpg")</f>
        <v/>
      </c>
      <c r="AQ1663" s="84" t="s">
        <v>16327</v>
      </c>
      <c r="AR1663" s="84" t="s">
        <v>16320</v>
      </c>
      <c r="AS1663" s="71" t="s">
        <v>16328</v>
      </c>
      <c r="AT1663" s="71">
        <v>25.0</v>
      </c>
      <c r="AU1663" s="89"/>
      <c r="AV1663" s="162"/>
      <c r="AW1663" s="81"/>
    </row>
    <row r="1664" ht="15.75" customHeight="1">
      <c r="A1664" s="520"/>
      <c r="B1664" s="73"/>
      <c r="C1664" s="57" t="s">
        <v>9028</v>
      </c>
      <c r="D1664" s="121"/>
      <c r="E1664" s="121"/>
      <c r="F1664" s="79">
        <v>1.0</v>
      </c>
      <c r="G1664" s="84" t="s">
        <v>16329</v>
      </c>
      <c r="H1664" s="61" t="s">
        <v>91</v>
      </c>
      <c r="I1664" s="519" t="s">
        <v>12782</v>
      </c>
      <c r="J1664" s="71" t="s">
        <v>16191</v>
      </c>
      <c r="K1664" s="69"/>
      <c r="L1664" s="65" t="s">
        <v>3542</v>
      </c>
      <c r="M1664" s="73"/>
      <c r="N1664" s="73"/>
      <c r="O1664" s="61" t="s">
        <v>5626</v>
      </c>
      <c r="P1664" s="67" t="str">
        <f t="shared" si="14"/>
        <v/>
      </c>
      <c r="Q1664" s="67" t="str">
        <f t="shared" si="15"/>
        <v/>
      </c>
      <c r="R1664" s="67" t="str">
        <f t="shared" si="16"/>
        <v/>
      </c>
      <c r="S1664" s="67" t="str">
        <f t="shared" si="17"/>
        <v/>
      </c>
      <c r="T1664" s="161"/>
      <c r="U1664" s="64" t="s">
        <v>9330</v>
      </c>
      <c r="V1664" s="65" t="s">
        <v>16330</v>
      </c>
      <c r="W1664" s="71" t="s">
        <v>15866</v>
      </c>
      <c r="X1664" s="194"/>
      <c r="Y1664" s="73"/>
      <c r="Z1664" s="73"/>
      <c r="AA1664" s="73"/>
      <c r="AB1664" s="73"/>
      <c r="AC1664" s="73"/>
      <c r="AD1664" s="73"/>
      <c r="AE1664" s="73"/>
      <c r="AF1664" s="73"/>
      <c r="AG1664" s="73"/>
      <c r="AH1664" s="73"/>
      <c r="AI1664" s="73"/>
      <c r="AJ1664" s="161"/>
      <c r="AK1664" s="76" t="s">
        <v>6276</v>
      </c>
      <c r="AL1664" s="83" t="s">
        <v>16331</v>
      </c>
      <c r="AM1664" s="71" t="s">
        <v>16332</v>
      </c>
      <c r="AN1664" s="84" t="s">
        <v>16333</v>
      </c>
      <c r="AO1664" s="71" t="s">
        <v>16334</v>
      </c>
      <c r="AP1664" s="161" t="str">
        <f>IMAGE("https://bellingcat-archive.nyc3.cdn.digitaloceanspaces.com/Ukraine_Witness_Datasheet/Worksheet/telegram_PA7w5OhgwyWivF1ei0Fev6kSArlMPSn09iy4jd0bAi55qLOYZp3Iy70Iw2q20MftUwNY6dn_2P6aSLFpmyuQ4A-O_RVwHjtQi9N1xGRCvsenWlLlGkpIhIOkUCwYUMKA.jpg")</f>
        <v/>
      </c>
      <c r="AQ1664" s="161"/>
      <c r="AR1664" s="161"/>
      <c r="AS1664" s="71" t="s">
        <v>16335</v>
      </c>
      <c r="AT1664" s="161"/>
      <c r="AU1664" s="89"/>
      <c r="AV1664" s="162"/>
      <c r="AW1664" s="81"/>
    </row>
    <row r="1665" ht="15.75" customHeight="1">
      <c r="A1665" s="520"/>
      <c r="B1665" s="73"/>
      <c r="C1665" s="57" t="s">
        <v>9028</v>
      </c>
      <c r="D1665" s="121"/>
      <c r="E1665" s="121"/>
      <c r="F1665" s="79">
        <v>1.0</v>
      </c>
      <c r="G1665" s="84" t="s">
        <v>16336</v>
      </c>
      <c r="H1665" s="61" t="s">
        <v>91</v>
      </c>
      <c r="I1665" s="519" t="s">
        <v>12782</v>
      </c>
      <c r="J1665" s="71" t="s">
        <v>16337</v>
      </c>
      <c r="K1665" s="69"/>
      <c r="L1665" s="65" t="s">
        <v>3542</v>
      </c>
      <c r="M1665" s="73"/>
      <c r="N1665" s="73"/>
      <c r="O1665" s="61" t="s">
        <v>5626</v>
      </c>
      <c r="P1665" s="67" t="str">
        <f t="shared" si="14"/>
        <v/>
      </c>
      <c r="Q1665" s="67" t="str">
        <f t="shared" si="15"/>
        <v/>
      </c>
      <c r="R1665" s="67" t="str">
        <f t="shared" si="16"/>
        <v/>
      </c>
      <c r="S1665" s="67" t="str">
        <f t="shared" si="17"/>
        <v/>
      </c>
      <c r="T1665" s="161"/>
      <c r="U1665" s="64" t="s">
        <v>9330</v>
      </c>
      <c r="V1665" s="65" t="s">
        <v>16338</v>
      </c>
      <c r="W1665" s="71" t="s">
        <v>15866</v>
      </c>
      <c r="X1665" s="194"/>
      <c r="Y1665" s="73"/>
      <c r="Z1665" s="73"/>
      <c r="AA1665" s="73"/>
      <c r="AB1665" s="73"/>
      <c r="AC1665" s="73"/>
      <c r="AD1665" s="73"/>
      <c r="AE1665" s="73"/>
      <c r="AF1665" s="73"/>
      <c r="AG1665" s="73"/>
      <c r="AH1665" s="73"/>
      <c r="AI1665" s="73"/>
      <c r="AJ1665" s="161"/>
      <c r="AK1665" s="76" t="s">
        <v>6276</v>
      </c>
      <c r="AL1665" s="83" t="s">
        <v>16339</v>
      </c>
      <c r="AM1665" s="71" t="s">
        <v>16340</v>
      </c>
      <c r="AN1665" s="84" t="s">
        <v>16341</v>
      </c>
      <c r="AO1665" s="71" t="s">
        <v>16342</v>
      </c>
      <c r="AP1665" s="161" t="str">
        <f t="shared" ref="AP1665:AP1666" si="18">IMAGE("https://bellingcat-archive.nyc3.cdn.digitaloceanspaces.com/Ukraine_Witness_Datasheet/Worksheet/telegram_dc5b75093c/out7.jpg")</f>
        <v/>
      </c>
      <c r="AQ1665" s="84" t="s">
        <v>16343</v>
      </c>
      <c r="AR1665" s="84" t="s">
        <v>16336</v>
      </c>
      <c r="AS1665" s="71" t="s">
        <v>16344</v>
      </c>
      <c r="AT1665" s="71">
        <v>26.0</v>
      </c>
      <c r="AU1665" s="89"/>
      <c r="AV1665" s="162"/>
      <c r="AW1665" s="81"/>
    </row>
    <row r="1666" ht="15.75" customHeight="1">
      <c r="A1666" s="258" t="s">
        <v>15932</v>
      </c>
      <c r="B1666" s="73"/>
      <c r="C1666" s="57"/>
      <c r="D1666" s="121"/>
      <c r="E1666" s="121"/>
      <c r="F1666" s="89"/>
      <c r="G1666" s="71"/>
      <c r="H1666" s="73"/>
      <c r="I1666" s="519"/>
      <c r="J1666" s="161"/>
      <c r="K1666" s="69"/>
      <c r="L1666" s="65"/>
      <c r="M1666" s="73"/>
      <c r="N1666" s="73"/>
      <c r="O1666" s="61"/>
      <c r="P1666" s="67" t="str">
        <f t="shared" si="14"/>
        <v/>
      </c>
      <c r="Q1666" s="67" t="str">
        <f t="shared" si="15"/>
        <v/>
      </c>
      <c r="R1666" s="67" t="str">
        <f t="shared" si="16"/>
        <v/>
      </c>
      <c r="S1666" s="67" t="str">
        <f t="shared" si="17"/>
        <v/>
      </c>
      <c r="T1666" s="161"/>
      <c r="U1666" s="64"/>
      <c r="V1666" s="65"/>
      <c r="W1666" s="71"/>
      <c r="X1666" s="194"/>
      <c r="Y1666" s="73"/>
      <c r="Z1666" s="73"/>
      <c r="AA1666" s="73"/>
      <c r="AB1666" s="73"/>
      <c r="AC1666" s="73"/>
      <c r="AD1666" s="73"/>
      <c r="AE1666" s="73"/>
      <c r="AF1666" s="73"/>
      <c r="AG1666" s="73"/>
      <c r="AH1666" s="73"/>
      <c r="AI1666" s="73"/>
      <c r="AJ1666" s="161"/>
      <c r="AK1666" s="76" t="s">
        <v>4410</v>
      </c>
      <c r="AL1666" s="83" t="s">
        <v>16339</v>
      </c>
      <c r="AM1666" s="71" t="s">
        <v>16345</v>
      </c>
      <c r="AN1666" s="84" t="s">
        <v>16346</v>
      </c>
      <c r="AO1666" s="71" t="s">
        <v>16342</v>
      </c>
      <c r="AP1666" s="161" t="str">
        <f t="shared" si="18"/>
        <v/>
      </c>
      <c r="AQ1666" s="84" t="s">
        <v>16343</v>
      </c>
      <c r="AR1666" s="84" t="s">
        <v>16336</v>
      </c>
      <c r="AS1666" s="71" t="s">
        <v>16344</v>
      </c>
      <c r="AT1666" s="71">
        <v>26.0</v>
      </c>
      <c r="AU1666" s="89"/>
      <c r="AV1666" s="162"/>
      <c r="AW1666" s="81"/>
    </row>
    <row r="1667" ht="15.75" customHeight="1">
      <c r="A1667" s="520"/>
      <c r="B1667" s="73"/>
      <c r="C1667" s="57" t="s">
        <v>9028</v>
      </c>
      <c r="D1667" s="121"/>
      <c r="E1667" s="121"/>
      <c r="F1667" s="79">
        <v>1.0</v>
      </c>
      <c r="G1667" s="84" t="s">
        <v>16305</v>
      </c>
      <c r="H1667" s="61" t="s">
        <v>91</v>
      </c>
      <c r="I1667" s="519" t="s">
        <v>12782</v>
      </c>
      <c r="J1667" s="71" t="s">
        <v>16347</v>
      </c>
      <c r="K1667" s="69"/>
      <c r="L1667" s="65" t="s">
        <v>3542</v>
      </c>
      <c r="M1667" s="73"/>
      <c r="N1667" s="73"/>
      <c r="O1667" s="61" t="s">
        <v>5626</v>
      </c>
      <c r="P1667" s="67" t="str">
        <f t="shared" si="14"/>
        <v/>
      </c>
      <c r="Q1667" s="67" t="str">
        <f t="shared" si="15"/>
        <v/>
      </c>
      <c r="R1667" s="67" t="str">
        <f t="shared" si="16"/>
        <v/>
      </c>
      <c r="S1667" s="67" t="str">
        <f t="shared" si="17"/>
        <v/>
      </c>
      <c r="T1667" s="161"/>
      <c r="U1667" s="64" t="s">
        <v>9330</v>
      </c>
      <c r="V1667" s="65" t="s">
        <v>16348</v>
      </c>
      <c r="W1667" s="71" t="s">
        <v>15866</v>
      </c>
      <c r="X1667" s="194"/>
      <c r="Y1667" s="73"/>
      <c r="Z1667" s="73"/>
      <c r="AA1667" s="73"/>
      <c r="AB1667" s="73"/>
      <c r="AC1667" s="73"/>
      <c r="AD1667" s="73"/>
      <c r="AE1667" s="73"/>
      <c r="AF1667" s="73"/>
      <c r="AG1667" s="73"/>
      <c r="AH1667" s="73"/>
      <c r="AI1667" s="73"/>
      <c r="AJ1667" s="161"/>
      <c r="AK1667" s="76" t="s">
        <v>16269</v>
      </c>
      <c r="AL1667" s="83" t="s">
        <v>16307</v>
      </c>
      <c r="AM1667" s="71" t="s">
        <v>16349</v>
      </c>
      <c r="AN1667" s="84" t="s">
        <v>16309</v>
      </c>
      <c r="AO1667" s="161"/>
      <c r="AP1667" s="161"/>
      <c r="AQ1667" s="161"/>
      <c r="AR1667" s="71" t="s">
        <v>10489</v>
      </c>
      <c r="AS1667" s="161"/>
      <c r="AT1667" s="161"/>
      <c r="AU1667" s="89"/>
      <c r="AV1667" s="162"/>
      <c r="AW1667" s="81"/>
    </row>
    <row r="1668" ht="15.75" customHeight="1">
      <c r="A1668" s="520"/>
      <c r="B1668" s="73"/>
      <c r="C1668" s="57" t="s">
        <v>9028</v>
      </c>
      <c r="D1668" s="121"/>
      <c r="E1668" s="121"/>
      <c r="F1668" s="79">
        <v>1.0</v>
      </c>
      <c r="G1668" s="84" t="s">
        <v>16336</v>
      </c>
      <c r="H1668" s="61" t="s">
        <v>91</v>
      </c>
      <c r="I1668" s="519" t="s">
        <v>12782</v>
      </c>
      <c r="J1668" s="71" t="s">
        <v>16347</v>
      </c>
      <c r="K1668" s="69"/>
      <c r="L1668" s="65" t="s">
        <v>3542</v>
      </c>
      <c r="M1668" s="73"/>
      <c r="N1668" s="73"/>
      <c r="O1668" s="61" t="s">
        <v>5626</v>
      </c>
      <c r="P1668" s="67" t="str">
        <f t="shared" si="14"/>
        <v/>
      </c>
      <c r="Q1668" s="67" t="str">
        <f t="shared" si="15"/>
        <v/>
      </c>
      <c r="R1668" s="67" t="str">
        <f t="shared" si="16"/>
        <v/>
      </c>
      <c r="S1668" s="67" t="str">
        <f t="shared" si="17"/>
        <v/>
      </c>
      <c r="T1668" s="161"/>
      <c r="U1668" s="64" t="s">
        <v>9330</v>
      </c>
      <c r="V1668" s="65" t="s">
        <v>16350</v>
      </c>
      <c r="W1668" s="71" t="s">
        <v>15866</v>
      </c>
      <c r="X1668" s="194"/>
      <c r="Y1668" s="73"/>
      <c r="Z1668" s="73"/>
      <c r="AA1668" s="73"/>
      <c r="AB1668" s="73"/>
      <c r="AC1668" s="73"/>
      <c r="AD1668" s="73"/>
      <c r="AE1668" s="73"/>
      <c r="AF1668" s="73"/>
      <c r="AG1668" s="73"/>
      <c r="AH1668" s="73"/>
      <c r="AI1668" s="73"/>
      <c r="AJ1668" s="161"/>
      <c r="AK1668" s="76" t="s">
        <v>4410</v>
      </c>
      <c r="AL1668" s="83" t="s">
        <v>16339</v>
      </c>
      <c r="AM1668" s="71" t="s">
        <v>16351</v>
      </c>
      <c r="AN1668" s="84" t="s">
        <v>16352</v>
      </c>
      <c r="AO1668" s="71" t="s">
        <v>16342</v>
      </c>
      <c r="AP1668" s="161" t="str">
        <f>IMAGE("https://bellingcat-archive.nyc3.cdn.digitaloceanspaces.com/Ukraine_Witness_Datasheet/Worksheet/telegram_dc5b75093c/out7.jpg")</f>
        <v/>
      </c>
      <c r="AQ1668" s="84" t="s">
        <v>16343</v>
      </c>
      <c r="AR1668" s="84" t="s">
        <v>16336</v>
      </c>
      <c r="AS1668" s="71" t="s">
        <v>16344</v>
      </c>
      <c r="AT1668" s="71">
        <v>26.0</v>
      </c>
      <c r="AU1668" s="89"/>
      <c r="AV1668" s="162"/>
      <c r="AW1668" s="81"/>
    </row>
    <row r="1669" ht="15.75" customHeight="1">
      <c r="A1669" s="521" t="s">
        <v>12532</v>
      </c>
      <c r="B1669" s="73"/>
      <c r="C1669" s="57" t="s">
        <v>9028</v>
      </c>
      <c r="D1669" s="121"/>
      <c r="E1669" s="121"/>
      <c r="F1669" s="89"/>
      <c r="G1669" s="84" t="s">
        <v>16329</v>
      </c>
      <c r="H1669" s="73"/>
      <c r="I1669" s="519"/>
      <c r="J1669" s="161"/>
      <c r="K1669" s="69"/>
      <c r="L1669" s="65" t="s">
        <v>3542</v>
      </c>
      <c r="M1669" s="73"/>
      <c r="N1669" s="73"/>
      <c r="O1669" s="61" t="s">
        <v>5626</v>
      </c>
      <c r="P1669" s="67" t="str">
        <f t="shared" si="14"/>
        <v/>
      </c>
      <c r="Q1669" s="67" t="str">
        <f t="shared" si="15"/>
        <v/>
      </c>
      <c r="R1669" s="67" t="str">
        <f t="shared" si="16"/>
        <v/>
      </c>
      <c r="S1669" s="67" t="str">
        <f t="shared" si="17"/>
        <v/>
      </c>
      <c r="T1669" s="161"/>
      <c r="U1669" s="64" t="s">
        <v>9330</v>
      </c>
      <c r="V1669" s="65" t="s">
        <v>16353</v>
      </c>
      <c r="W1669" s="71" t="s">
        <v>15866</v>
      </c>
      <c r="X1669" s="194"/>
      <c r="Y1669" s="73"/>
      <c r="Z1669" s="73"/>
      <c r="AA1669" s="73"/>
      <c r="AB1669" s="73"/>
      <c r="AC1669" s="73"/>
      <c r="AD1669" s="73"/>
      <c r="AE1669" s="73"/>
      <c r="AF1669" s="73"/>
      <c r="AG1669" s="73"/>
      <c r="AH1669" s="73"/>
      <c r="AI1669" s="73"/>
      <c r="AJ1669" s="161"/>
      <c r="AK1669" s="76" t="s">
        <v>6276</v>
      </c>
      <c r="AL1669" s="83" t="s">
        <v>16331</v>
      </c>
      <c r="AM1669" s="71" t="s">
        <v>16354</v>
      </c>
      <c r="AN1669" s="84" t="s">
        <v>16355</v>
      </c>
      <c r="AO1669" s="71" t="s">
        <v>16356</v>
      </c>
      <c r="AP1669" s="161" t="str">
        <f>IMAGE("https://bellingcat-archive.nyc3.cdn.digitaloceanspaces.com/Ukraine_Witness_Datasheet/Worksheet/telegram_PA7w5OhgwyWivF1ei0Fev6kSArlMPSn09iy4jd0bAi55qLOYZp3Iy70Iw2q20MftUwNY6dn_2P6aSLFpmyuQ4A-O_RVwHjtQi9N1xGRCvsenWlLlGkpIhIOkUCwYUMKA.jpg")</f>
        <v/>
      </c>
      <c r="AQ1669" s="161"/>
      <c r="AR1669" s="161"/>
      <c r="AS1669" s="71" t="s">
        <v>16335</v>
      </c>
      <c r="AT1669" s="161"/>
      <c r="AU1669" s="89"/>
      <c r="AV1669" s="162"/>
      <c r="AW1669" s="81"/>
    </row>
    <row r="1670" ht="15.75" customHeight="1">
      <c r="A1670" s="516" t="s">
        <v>15467</v>
      </c>
      <c r="B1670" s="73"/>
      <c r="C1670" s="57" t="s">
        <v>9028</v>
      </c>
      <c r="D1670" s="104">
        <v>50.034316</v>
      </c>
      <c r="E1670" s="66">
        <v>36.245151</v>
      </c>
      <c r="F1670" s="79">
        <v>1.0</v>
      </c>
      <c r="G1670" s="84" t="s">
        <v>16357</v>
      </c>
      <c r="H1670" s="61" t="s">
        <v>91</v>
      </c>
      <c r="I1670" s="517" t="s">
        <v>12782</v>
      </c>
      <c r="J1670" s="71" t="s">
        <v>16358</v>
      </c>
      <c r="K1670" s="69"/>
      <c r="L1670" s="65" t="s">
        <v>3542</v>
      </c>
      <c r="M1670" s="61" t="s">
        <v>5590</v>
      </c>
      <c r="N1670" s="73"/>
      <c r="O1670" s="61" t="s">
        <v>5626</v>
      </c>
      <c r="P1670" s="67" t="str">
        <f t="shared" si="14"/>
        <v>50.034316, 36.245151</v>
      </c>
      <c r="Q1670" s="67" t="str">
        <f t="shared" si="15"/>
        <v>50.033864, 36.244685</v>
      </c>
      <c r="R1670" s="67">
        <f t="shared" si="16"/>
        <v>50.033864</v>
      </c>
      <c r="S1670" s="67">
        <f t="shared" si="17"/>
        <v>36.244685</v>
      </c>
      <c r="T1670" s="161"/>
      <c r="U1670" s="64" t="s">
        <v>9330</v>
      </c>
      <c r="V1670" s="65" t="s">
        <v>16359</v>
      </c>
      <c r="W1670" s="71" t="s">
        <v>15866</v>
      </c>
      <c r="X1670" s="72" t="s">
        <v>2982</v>
      </c>
      <c r="Y1670" s="73"/>
      <c r="Z1670" s="73"/>
      <c r="AA1670" s="73"/>
      <c r="AB1670" s="73"/>
      <c r="AC1670" s="73"/>
      <c r="AD1670" s="73"/>
      <c r="AE1670" s="73"/>
      <c r="AF1670" s="73"/>
      <c r="AG1670" s="73"/>
      <c r="AH1670" s="73"/>
      <c r="AI1670" s="73"/>
      <c r="AJ1670" s="161"/>
      <c r="AK1670" s="76" t="s">
        <v>6276</v>
      </c>
      <c r="AL1670" s="83" t="s">
        <v>16360</v>
      </c>
      <c r="AM1670" s="71" t="s">
        <v>16361</v>
      </c>
      <c r="AN1670" s="84" t="s">
        <v>16362</v>
      </c>
      <c r="AO1670" s="71" t="s">
        <v>16363</v>
      </c>
      <c r="AP1670" s="161" t="str">
        <f>IMAGE("https://bellingcat-archive.nyc3.cdn.digitaloceanspaces.com/Ukraine_Witness_Datasheet/Worksheet/telegram_1hAWziw8uvCljFxrIHuTnd1Q1XUxJoGXTTco3tWmYwPGfxPsymIXI3vWcMar0hwLgHlYo4xNJC8qwB3M8_efq9nbWHYxFLldrCQmfjRJ7z920-njENUSVAz97Q_JOvfg.jpg")</f>
        <v/>
      </c>
      <c r="AQ1670" s="161"/>
      <c r="AR1670" s="161"/>
      <c r="AS1670" s="71" t="s">
        <v>16364</v>
      </c>
      <c r="AT1670" s="161"/>
      <c r="AU1670" s="89"/>
      <c r="AV1670" s="80" t="s">
        <v>3944</v>
      </c>
      <c r="AW1670" s="81"/>
    </row>
    <row r="1671" ht="15.75" customHeight="1">
      <c r="A1671" s="520"/>
      <c r="B1671" s="73"/>
      <c r="C1671" s="57" t="s">
        <v>9028</v>
      </c>
      <c r="D1671" s="121"/>
      <c r="E1671" s="121"/>
      <c r="F1671" s="79">
        <v>1.0</v>
      </c>
      <c r="G1671" s="84" t="s">
        <v>16365</v>
      </c>
      <c r="H1671" s="61" t="s">
        <v>91</v>
      </c>
      <c r="I1671" s="519" t="s">
        <v>12782</v>
      </c>
      <c r="J1671" s="71" t="s">
        <v>16161</v>
      </c>
      <c r="K1671" s="69"/>
      <c r="L1671" s="65" t="s">
        <v>3542</v>
      </c>
      <c r="M1671" s="73"/>
      <c r="N1671" s="73"/>
      <c r="O1671" s="61" t="s">
        <v>5626</v>
      </c>
      <c r="P1671" s="67" t="str">
        <f t="shared" si="14"/>
        <v/>
      </c>
      <c r="Q1671" s="67" t="str">
        <f t="shared" si="15"/>
        <v/>
      </c>
      <c r="R1671" s="67" t="str">
        <f t="shared" si="16"/>
        <v/>
      </c>
      <c r="S1671" s="67" t="str">
        <f t="shared" si="17"/>
        <v/>
      </c>
      <c r="T1671" s="161"/>
      <c r="U1671" s="64" t="s">
        <v>9330</v>
      </c>
      <c r="V1671" s="65" t="s">
        <v>16366</v>
      </c>
      <c r="W1671" s="71" t="s">
        <v>15866</v>
      </c>
      <c r="X1671" s="194"/>
      <c r="Y1671" s="73"/>
      <c r="Z1671" s="73"/>
      <c r="AA1671" s="73"/>
      <c r="AB1671" s="73"/>
      <c r="AC1671" s="73"/>
      <c r="AD1671" s="73"/>
      <c r="AE1671" s="73"/>
      <c r="AF1671" s="73"/>
      <c r="AG1671" s="73"/>
      <c r="AH1671" s="73"/>
      <c r="AI1671" s="73"/>
      <c r="AJ1671" s="161"/>
      <c r="AK1671" s="76" t="s">
        <v>2108</v>
      </c>
      <c r="AL1671" s="83" t="s">
        <v>16367</v>
      </c>
      <c r="AM1671" s="71" t="s">
        <v>16368</v>
      </c>
      <c r="AN1671" s="84" t="s">
        <v>16369</v>
      </c>
      <c r="AO1671" s="71" t="s">
        <v>16370</v>
      </c>
      <c r="AP1671" s="161" t="str">
        <f>IMAGE("https://bellingcat-archive.nyc3.cdn.digitaloceanspaces.com/Ukraine_Witness_Datasheet/Worksheet/twitter__media_FMrJ_dOXEAYMYiN.jpg")</f>
        <v/>
      </c>
      <c r="AQ1671" s="161"/>
      <c r="AR1671" s="161"/>
      <c r="AS1671" s="71" t="s">
        <v>16371</v>
      </c>
      <c r="AT1671" s="161"/>
      <c r="AU1671" s="89"/>
      <c r="AV1671" s="162"/>
      <c r="AW1671" s="81"/>
    </row>
    <row r="1672" ht="15.75" customHeight="1">
      <c r="A1672" s="520"/>
      <c r="B1672" s="73"/>
      <c r="C1672" s="57" t="s">
        <v>9028</v>
      </c>
      <c r="D1672" s="121"/>
      <c r="E1672" s="121"/>
      <c r="F1672" s="79">
        <v>1.0</v>
      </c>
      <c r="G1672" s="84" t="s">
        <v>16372</v>
      </c>
      <c r="H1672" s="61" t="s">
        <v>91</v>
      </c>
      <c r="I1672" s="519" t="s">
        <v>12782</v>
      </c>
      <c r="J1672" s="71" t="s">
        <v>16161</v>
      </c>
      <c r="K1672" s="69"/>
      <c r="L1672" s="65" t="s">
        <v>3542</v>
      </c>
      <c r="M1672" s="73"/>
      <c r="N1672" s="73"/>
      <c r="O1672" s="61" t="s">
        <v>5626</v>
      </c>
      <c r="P1672" s="67" t="str">
        <f t="shared" si="14"/>
        <v/>
      </c>
      <c r="Q1672" s="67" t="str">
        <f t="shared" si="15"/>
        <v/>
      </c>
      <c r="R1672" s="67" t="str">
        <f t="shared" si="16"/>
        <v/>
      </c>
      <c r="S1672" s="67" t="str">
        <f t="shared" si="17"/>
        <v/>
      </c>
      <c r="T1672" s="161"/>
      <c r="U1672" s="64" t="s">
        <v>9330</v>
      </c>
      <c r="V1672" s="65" t="s">
        <v>16373</v>
      </c>
      <c r="W1672" s="71" t="s">
        <v>15866</v>
      </c>
      <c r="X1672" s="194"/>
      <c r="Y1672" s="73"/>
      <c r="Z1672" s="73"/>
      <c r="AA1672" s="73"/>
      <c r="AB1672" s="73"/>
      <c r="AC1672" s="73"/>
      <c r="AD1672" s="73"/>
      <c r="AE1672" s="73"/>
      <c r="AF1672" s="73"/>
      <c r="AG1672" s="73"/>
      <c r="AH1672" s="73"/>
      <c r="AI1672" s="73"/>
      <c r="AJ1672" s="161"/>
      <c r="AK1672" s="76" t="s">
        <v>2108</v>
      </c>
      <c r="AL1672" s="83" t="s">
        <v>16374</v>
      </c>
      <c r="AM1672" s="71" t="s">
        <v>16375</v>
      </c>
      <c r="AN1672" s="84" t="s">
        <v>16376</v>
      </c>
      <c r="AO1672" s="71" t="s">
        <v>16377</v>
      </c>
      <c r="AP1672" s="161" t="str">
        <f>IMAGE("https://bellingcat-archive.nyc3.cdn.digitaloceanspaces.com/Ukraine_Witness_Datasheet/Worksheet/twitter__media_FMsG6GsXEAM90wi.jpg")</f>
        <v/>
      </c>
      <c r="AQ1672" s="161"/>
      <c r="AR1672" s="161"/>
      <c r="AS1672" s="71" t="s">
        <v>16378</v>
      </c>
      <c r="AT1672" s="161"/>
      <c r="AU1672" s="89"/>
      <c r="AV1672" s="162"/>
      <c r="AW1672" s="81"/>
    </row>
    <row r="1673" ht="15.75" customHeight="1">
      <c r="A1673" s="520"/>
      <c r="B1673" s="73"/>
      <c r="C1673" s="57" t="s">
        <v>9028</v>
      </c>
      <c r="D1673" s="121"/>
      <c r="E1673" s="121"/>
      <c r="F1673" s="79">
        <v>1.0</v>
      </c>
      <c r="G1673" s="84" t="s">
        <v>16379</v>
      </c>
      <c r="H1673" s="61" t="s">
        <v>91</v>
      </c>
      <c r="I1673" s="519" t="s">
        <v>12782</v>
      </c>
      <c r="J1673" s="71" t="s">
        <v>16161</v>
      </c>
      <c r="K1673" s="69"/>
      <c r="L1673" s="65" t="s">
        <v>3542</v>
      </c>
      <c r="M1673" s="73"/>
      <c r="N1673" s="73"/>
      <c r="O1673" s="61" t="s">
        <v>5626</v>
      </c>
      <c r="P1673" s="67" t="str">
        <f t="shared" si="14"/>
        <v/>
      </c>
      <c r="Q1673" s="67" t="str">
        <f t="shared" si="15"/>
        <v/>
      </c>
      <c r="R1673" s="67" t="str">
        <f t="shared" si="16"/>
        <v/>
      </c>
      <c r="S1673" s="67" t="str">
        <f t="shared" si="17"/>
        <v/>
      </c>
      <c r="T1673" s="161"/>
      <c r="U1673" s="64" t="s">
        <v>9330</v>
      </c>
      <c r="V1673" s="65" t="s">
        <v>16380</v>
      </c>
      <c r="W1673" s="71" t="s">
        <v>15866</v>
      </c>
      <c r="X1673" s="194"/>
      <c r="Y1673" s="73"/>
      <c r="Z1673" s="73"/>
      <c r="AA1673" s="73"/>
      <c r="AB1673" s="73"/>
      <c r="AC1673" s="73"/>
      <c r="AD1673" s="73"/>
      <c r="AE1673" s="73"/>
      <c r="AF1673" s="73"/>
      <c r="AG1673" s="73"/>
      <c r="AH1673" s="73"/>
      <c r="AI1673" s="73"/>
      <c r="AJ1673" s="161"/>
      <c r="AK1673" s="76" t="s">
        <v>6276</v>
      </c>
      <c r="AL1673" s="83" t="s">
        <v>16381</v>
      </c>
      <c r="AM1673" s="71" t="s">
        <v>16382</v>
      </c>
      <c r="AN1673" s="84" t="s">
        <v>16383</v>
      </c>
      <c r="AO1673" s="71" t="s">
        <v>16384</v>
      </c>
      <c r="AP1673" s="161"/>
      <c r="AQ1673" s="161"/>
      <c r="AR1673" s="161"/>
      <c r="AS1673" s="71" t="s">
        <v>16385</v>
      </c>
      <c r="AT1673" s="161"/>
      <c r="AU1673" s="89"/>
      <c r="AV1673" s="162"/>
      <c r="AW1673" s="81"/>
    </row>
    <row r="1674" ht="15.75" customHeight="1">
      <c r="A1674" s="520"/>
      <c r="B1674" s="73"/>
      <c r="C1674" s="57" t="s">
        <v>9028</v>
      </c>
      <c r="D1674" s="121"/>
      <c r="E1674" s="121"/>
      <c r="F1674" s="79">
        <v>1.0</v>
      </c>
      <c r="G1674" s="84" t="s">
        <v>16386</v>
      </c>
      <c r="H1674" s="61" t="s">
        <v>91</v>
      </c>
      <c r="I1674" s="519" t="s">
        <v>12782</v>
      </c>
      <c r="J1674" s="71" t="s">
        <v>16387</v>
      </c>
      <c r="K1674" s="69"/>
      <c r="L1674" s="65" t="s">
        <v>3542</v>
      </c>
      <c r="M1674" s="73"/>
      <c r="N1674" s="73"/>
      <c r="O1674" s="61" t="s">
        <v>5626</v>
      </c>
      <c r="P1674" s="67" t="str">
        <f t="shared" si="14"/>
        <v/>
      </c>
      <c r="Q1674" s="67" t="str">
        <f t="shared" si="15"/>
        <v/>
      </c>
      <c r="R1674" s="67" t="str">
        <f t="shared" si="16"/>
        <v/>
      </c>
      <c r="S1674" s="67" t="str">
        <f t="shared" si="17"/>
        <v/>
      </c>
      <c r="T1674" s="161"/>
      <c r="U1674" s="64" t="s">
        <v>9330</v>
      </c>
      <c r="V1674" s="65" t="s">
        <v>16388</v>
      </c>
      <c r="W1674" s="71" t="s">
        <v>15866</v>
      </c>
      <c r="X1674" s="194"/>
      <c r="Y1674" s="73"/>
      <c r="Z1674" s="73"/>
      <c r="AA1674" s="73"/>
      <c r="AB1674" s="73"/>
      <c r="AC1674" s="73"/>
      <c r="AD1674" s="73"/>
      <c r="AE1674" s="73"/>
      <c r="AF1674" s="73"/>
      <c r="AG1674" s="73"/>
      <c r="AH1674" s="73"/>
      <c r="AI1674" s="73"/>
      <c r="AJ1674" s="161"/>
      <c r="AK1674" s="76" t="s">
        <v>2108</v>
      </c>
      <c r="AL1674" s="83" t="s">
        <v>16389</v>
      </c>
      <c r="AM1674" s="71" t="s">
        <v>16390</v>
      </c>
      <c r="AN1674" s="84" t="s">
        <v>16391</v>
      </c>
      <c r="AO1674" s="71" t="s">
        <v>16392</v>
      </c>
      <c r="AP1674" s="161" t="str">
        <f>IMAGE("https://bellingcat-archive.nyc3.cdn.digitaloceanspaces.com/Ukraine_Witness_Datasheet/Worksheet/twitter__media_FMrSsZMXwAAxdC3.jpg")</f>
        <v/>
      </c>
      <c r="AQ1674" s="161"/>
      <c r="AR1674" s="161"/>
      <c r="AS1674" s="71" t="s">
        <v>16393</v>
      </c>
      <c r="AT1674" s="161"/>
      <c r="AU1674" s="89"/>
      <c r="AV1674" s="162"/>
      <c r="AW1674" s="81"/>
    </row>
    <row r="1675" ht="15.75" customHeight="1">
      <c r="A1675" s="520"/>
      <c r="B1675" s="73"/>
      <c r="C1675" s="57" t="s">
        <v>9028</v>
      </c>
      <c r="D1675" s="121"/>
      <c r="E1675" s="121"/>
      <c r="F1675" s="79">
        <v>1.0</v>
      </c>
      <c r="G1675" s="84" t="s">
        <v>16394</v>
      </c>
      <c r="H1675" s="61" t="s">
        <v>91</v>
      </c>
      <c r="I1675" s="530" t="s">
        <v>12782</v>
      </c>
      <c r="J1675" s="71" t="s">
        <v>16395</v>
      </c>
      <c r="K1675" s="69"/>
      <c r="L1675" s="65" t="s">
        <v>3542</v>
      </c>
      <c r="M1675" s="73"/>
      <c r="N1675" s="73"/>
      <c r="O1675" s="61" t="s">
        <v>5626</v>
      </c>
      <c r="P1675" s="67" t="str">
        <f t="shared" si="14"/>
        <v/>
      </c>
      <c r="Q1675" s="67" t="str">
        <f t="shared" si="15"/>
        <v/>
      </c>
      <c r="R1675" s="67" t="str">
        <f t="shared" si="16"/>
        <v/>
      </c>
      <c r="S1675" s="67" t="str">
        <f t="shared" si="17"/>
        <v/>
      </c>
      <c r="T1675" s="161"/>
      <c r="U1675" s="64" t="s">
        <v>9330</v>
      </c>
      <c r="V1675" s="65" t="s">
        <v>16396</v>
      </c>
      <c r="W1675" s="71" t="s">
        <v>15866</v>
      </c>
      <c r="X1675" s="194"/>
      <c r="Y1675" s="73"/>
      <c r="Z1675" s="73"/>
      <c r="AA1675" s="73"/>
      <c r="AB1675" s="73"/>
      <c r="AC1675" s="73"/>
      <c r="AD1675" s="73"/>
      <c r="AE1675" s="73"/>
      <c r="AF1675" s="73"/>
      <c r="AG1675" s="73"/>
      <c r="AH1675" s="73"/>
      <c r="AI1675" s="73"/>
      <c r="AJ1675" s="161"/>
      <c r="AK1675" s="76" t="s">
        <v>1261</v>
      </c>
      <c r="AL1675" s="83" t="s">
        <v>16397</v>
      </c>
      <c r="AM1675" s="71" t="s">
        <v>16398</v>
      </c>
      <c r="AN1675" s="84" t="s">
        <v>16399</v>
      </c>
      <c r="AO1675" s="161"/>
      <c r="AP1675" s="161"/>
      <c r="AQ1675" s="161"/>
      <c r="AR1675" s="71" t="s">
        <v>16400</v>
      </c>
      <c r="AS1675" s="161"/>
      <c r="AT1675" s="161"/>
      <c r="AU1675" s="89"/>
      <c r="AV1675" s="162"/>
      <c r="AW1675" s="81"/>
    </row>
    <row r="1676" ht="15.75" customHeight="1">
      <c r="A1676" s="521" t="s">
        <v>12532</v>
      </c>
      <c r="B1676" s="73"/>
      <c r="C1676" s="57" t="s">
        <v>9028</v>
      </c>
      <c r="D1676" s="121"/>
      <c r="E1676" s="121"/>
      <c r="F1676" s="89"/>
      <c r="G1676" s="84" t="s">
        <v>16336</v>
      </c>
      <c r="H1676" s="73"/>
      <c r="I1676" s="519"/>
      <c r="J1676" s="161"/>
      <c r="K1676" s="69"/>
      <c r="L1676" s="65" t="s">
        <v>3542</v>
      </c>
      <c r="M1676" s="73"/>
      <c r="N1676" s="73"/>
      <c r="O1676" s="61" t="s">
        <v>5626</v>
      </c>
      <c r="P1676" s="67" t="str">
        <f t="shared" si="14"/>
        <v/>
      </c>
      <c r="Q1676" s="67" t="str">
        <f t="shared" si="15"/>
        <v/>
      </c>
      <c r="R1676" s="67" t="str">
        <f t="shared" si="16"/>
        <v/>
      </c>
      <c r="S1676" s="67" t="str">
        <f t="shared" si="17"/>
        <v/>
      </c>
      <c r="T1676" s="161"/>
      <c r="U1676" s="64" t="s">
        <v>9330</v>
      </c>
      <c r="V1676" s="65" t="s">
        <v>16401</v>
      </c>
      <c r="W1676" s="71" t="s">
        <v>15866</v>
      </c>
      <c r="X1676" s="194"/>
      <c r="Y1676" s="73"/>
      <c r="Z1676" s="73"/>
      <c r="AA1676" s="73"/>
      <c r="AB1676" s="73"/>
      <c r="AC1676" s="73"/>
      <c r="AD1676" s="73"/>
      <c r="AE1676" s="73"/>
      <c r="AF1676" s="73"/>
      <c r="AG1676" s="73"/>
      <c r="AH1676" s="73"/>
      <c r="AI1676" s="73"/>
      <c r="AJ1676" s="161"/>
      <c r="AK1676" s="76" t="s">
        <v>4410</v>
      </c>
      <c r="AL1676" s="83" t="s">
        <v>16339</v>
      </c>
      <c r="AM1676" s="71" t="s">
        <v>16402</v>
      </c>
      <c r="AN1676" s="84" t="s">
        <v>16403</v>
      </c>
      <c r="AO1676" s="71" t="s">
        <v>16342</v>
      </c>
      <c r="AP1676" s="161" t="str">
        <f>IMAGE("https://bellingcat-archive.nyc3.cdn.digitaloceanspaces.com/Ukraine_Witness_Datasheet/Worksheet/telegram_dc5b75093c/out7.jpg")</f>
        <v/>
      </c>
      <c r="AQ1676" s="84" t="s">
        <v>16343</v>
      </c>
      <c r="AR1676" s="84" t="s">
        <v>16336</v>
      </c>
      <c r="AS1676" s="71" t="s">
        <v>16344</v>
      </c>
      <c r="AT1676" s="71">
        <v>26.0</v>
      </c>
      <c r="AU1676" s="89"/>
      <c r="AV1676" s="162"/>
      <c r="AW1676" s="81"/>
    </row>
    <row r="1677" ht="15.75" customHeight="1">
      <c r="A1677" s="520"/>
      <c r="B1677" s="73"/>
      <c r="C1677" s="57" t="s">
        <v>9028</v>
      </c>
      <c r="D1677" s="121"/>
      <c r="E1677" s="121"/>
      <c r="F1677" s="79">
        <v>1.0</v>
      </c>
      <c r="G1677" s="84" t="s">
        <v>16404</v>
      </c>
      <c r="H1677" s="61" t="s">
        <v>91</v>
      </c>
      <c r="I1677" s="519" t="s">
        <v>12782</v>
      </c>
      <c r="J1677" s="71" t="s">
        <v>16405</v>
      </c>
      <c r="K1677" s="69"/>
      <c r="L1677" s="65" t="s">
        <v>3542</v>
      </c>
      <c r="M1677" s="73"/>
      <c r="N1677" s="73"/>
      <c r="O1677" s="61" t="s">
        <v>5626</v>
      </c>
      <c r="P1677" s="67" t="str">
        <f t="shared" si="14"/>
        <v/>
      </c>
      <c r="Q1677" s="67" t="str">
        <f t="shared" si="15"/>
        <v/>
      </c>
      <c r="R1677" s="67" t="str">
        <f t="shared" si="16"/>
        <v/>
      </c>
      <c r="S1677" s="67" t="str">
        <f t="shared" si="17"/>
        <v/>
      </c>
      <c r="T1677" s="161"/>
      <c r="U1677" s="64" t="s">
        <v>9330</v>
      </c>
      <c r="V1677" s="65" t="s">
        <v>16406</v>
      </c>
      <c r="W1677" s="71" t="s">
        <v>15866</v>
      </c>
      <c r="X1677" s="194"/>
      <c r="Y1677" s="73"/>
      <c r="Z1677" s="73"/>
      <c r="AA1677" s="73"/>
      <c r="AB1677" s="73"/>
      <c r="AC1677" s="73"/>
      <c r="AD1677" s="73"/>
      <c r="AE1677" s="73"/>
      <c r="AF1677" s="73"/>
      <c r="AG1677" s="73"/>
      <c r="AH1677" s="73"/>
      <c r="AI1677" s="73"/>
      <c r="AJ1677" s="161"/>
      <c r="AK1677" s="76" t="s">
        <v>798</v>
      </c>
      <c r="AL1677" s="83" t="s">
        <v>16407</v>
      </c>
      <c r="AM1677" s="71" t="s">
        <v>16408</v>
      </c>
      <c r="AN1677" s="84" t="s">
        <v>16409</v>
      </c>
      <c r="AO1677" s="71" t="s">
        <v>16410</v>
      </c>
      <c r="AP1677" s="161" t="str">
        <f>IMAGE("https://bellingcat-archive.nyc3.cdn.digitaloceanspaces.com/Ukraine_Witness_Datasheet/Worksheet/youtube_dl_1498275098758889475/out7.jpg")</f>
        <v/>
      </c>
      <c r="AQ1677" s="84" t="s">
        <v>16411</v>
      </c>
      <c r="AR1677" s="71" t="s">
        <v>16412</v>
      </c>
      <c r="AS1677" s="71" t="s">
        <v>16413</v>
      </c>
      <c r="AT1677" s="71">
        <v>12.773</v>
      </c>
      <c r="AU1677" s="89"/>
      <c r="AV1677" s="162"/>
      <c r="AW1677" s="81"/>
    </row>
    <row r="1678" ht="15.75" customHeight="1">
      <c r="A1678" s="521" t="s">
        <v>12532</v>
      </c>
      <c r="B1678" s="73"/>
      <c r="C1678" s="57" t="s">
        <v>9028</v>
      </c>
      <c r="D1678" s="121"/>
      <c r="E1678" s="121"/>
      <c r="F1678" s="89"/>
      <c r="G1678" s="84" t="s">
        <v>16305</v>
      </c>
      <c r="H1678" s="73"/>
      <c r="I1678" s="519"/>
      <c r="J1678" s="161"/>
      <c r="K1678" s="69"/>
      <c r="L1678" s="65" t="s">
        <v>3542</v>
      </c>
      <c r="M1678" s="73"/>
      <c r="N1678" s="73"/>
      <c r="O1678" s="61" t="s">
        <v>5626</v>
      </c>
      <c r="P1678" s="67" t="str">
        <f t="shared" si="14"/>
        <v/>
      </c>
      <c r="Q1678" s="67" t="str">
        <f t="shared" si="15"/>
        <v/>
      </c>
      <c r="R1678" s="67" t="str">
        <f t="shared" si="16"/>
        <v/>
      </c>
      <c r="S1678" s="67" t="str">
        <f t="shared" si="17"/>
        <v/>
      </c>
      <c r="T1678" s="161"/>
      <c r="U1678" s="64" t="s">
        <v>9330</v>
      </c>
      <c r="V1678" s="65" t="s">
        <v>16414</v>
      </c>
      <c r="W1678" s="71" t="s">
        <v>15866</v>
      </c>
      <c r="X1678" s="194"/>
      <c r="Y1678" s="73"/>
      <c r="Z1678" s="73"/>
      <c r="AA1678" s="73"/>
      <c r="AB1678" s="73"/>
      <c r="AC1678" s="73"/>
      <c r="AD1678" s="73"/>
      <c r="AE1678" s="73"/>
      <c r="AF1678" s="73"/>
      <c r="AG1678" s="73"/>
      <c r="AH1678" s="73"/>
      <c r="AI1678" s="73"/>
      <c r="AJ1678" s="161"/>
      <c r="AK1678" s="76" t="s">
        <v>16415</v>
      </c>
      <c r="AL1678" s="83" t="s">
        <v>16307</v>
      </c>
      <c r="AM1678" s="71" t="s">
        <v>16416</v>
      </c>
      <c r="AN1678" s="84" t="s">
        <v>16309</v>
      </c>
      <c r="AO1678" s="161"/>
      <c r="AP1678" s="161"/>
      <c r="AQ1678" s="161"/>
      <c r="AR1678" s="71" t="s">
        <v>10489</v>
      </c>
      <c r="AS1678" s="161"/>
      <c r="AT1678" s="161"/>
      <c r="AU1678" s="89"/>
      <c r="AV1678" s="162"/>
      <c r="AW1678" s="81"/>
    </row>
    <row r="1679" ht="15.75" customHeight="1">
      <c r="A1679" s="520"/>
      <c r="B1679" s="73"/>
      <c r="C1679" s="57" t="s">
        <v>9028</v>
      </c>
      <c r="D1679" s="121"/>
      <c r="E1679" s="121"/>
      <c r="F1679" s="79">
        <v>1.0</v>
      </c>
      <c r="G1679" s="84" t="s">
        <v>16417</v>
      </c>
      <c r="H1679" s="61" t="s">
        <v>91</v>
      </c>
      <c r="I1679" s="519" t="s">
        <v>12782</v>
      </c>
      <c r="J1679" s="71" t="s">
        <v>16405</v>
      </c>
      <c r="K1679" s="69"/>
      <c r="L1679" s="65" t="s">
        <v>3542</v>
      </c>
      <c r="M1679" s="73"/>
      <c r="N1679" s="73"/>
      <c r="O1679" s="61" t="s">
        <v>5626</v>
      </c>
      <c r="P1679" s="67" t="str">
        <f t="shared" si="14"/>
        <v/>
      </c>
      <c r="Q1679" s="67" t="str">
        <f t="shared" si="15"/>
        <v/>
      </c>
      <c r="R1679" s="67" t="str">
        <f t="shared" si="16"/>
        <v/>
      </c>
      <c r="S1679" s="67" t="str">
        <f t="shared" si="17"/>
        <v/>
      </c>
      <c r="T1679" s="161"/>
      <c r="U1679" s="64" t="s">
        <v>9330</v>
      </c>
      <c r="V1679" s="65" t="s">
        <v>16418</v>
      </c>
      <c r="W1679" s="71" t="s">
        <v>15866</v>
      </c>
      <c r="X1679" s="194"/>
      <c r="Y1679" s="73"/>
      <c r="Z1679" s="73"/>
      <c r="AA1679" s="73"/>
      <c r="AB1679" s="73"/>
      <c r="AC1679" s="73"/>
      <c r="AD1679" s="73"/>
      <c r="AE1679" s="73"/>
      <c r="AF1679" s="73"/>
      <c r="AG1679" s="73"/>
      <c r="AH1679" s="73"/>
      <c r="AI1679" s="73"/>
      <c r="AJ1679" s="161"/>
      <c r="AK1679" s="76" t="s">
        <v>2108</v>
      </c>
      <c r="AL1679" s="83" t="s">
        <v>16419</v>
      </c>
      <c r="AM1679" s="71" t="s">
        <v>16420</v>
      </c>
      <c r="AN1679" s="84" t="s">
        <v>16421</v>
      </c>
      <c r="AO1679" s="71" t="s">
        <v>16422</v>
      </c>
      <c r="AP1679" s="161" t="str">
        <f>IMAGE("https://bellingcat-archive.nyc3.cdn.digitaloceanspaces.com/Ukraine_Witness_Datasheet/Worksheet/twitter__media_FMr7McRXwAAjkAg.jpg")</f>
        <v/>
      </c>
      <c r="AQ1679" s="161"/>
      <c r="AR1679" s="161"/>
      <c r="AS1679" s="71" t="s">
        <v>16423</v>
      </c>
      <c r="AT1679" s="161"/>
      <c r="AU1679" s="89"/>
      <c r="AV1679" s="162"/>
      <c r="AW1679" s="81"/>
    </row>
    <row r="1680" ht="15.75" customHeight="1">
      <c r="A1680" s="520"/>
      <c r="B1680" s="73"/>
      <c r="C1680" s="57" t="s">
        <v>9028</v>
      </c>
      <c r="D1680" s="121"/>
      <c r="E1680" s="121"/>
      <c r="F1680" s="79">
        <v>1.0</v>
      </c>
      <c r="G1680" s="84" t="s">
        <v>16424</v>
      </c>
      <c r="H1680" s="61" t="s">
        <v>91</v>
      </c>
      <c r="I1680" s="519" t="s">
        <v>12782</v>
      </c>
      <c r="J1680" s="71" t="s">
        <v>16405</v>
      </c>
      <c r="K1680" s="69"/>
      <c r="L1680" s="65" t="s">
        <v>3542</v>
      </c>
      <c r="M1680" s="73"/>
      <c r="N1680" s="73"/>
      <c r="O1680" s="61" t="s">
        <v>5626</v>
      </c>
      <c r="P1680" s="67" t="str">
        <f t="shared" si="14"/>
        <v/>
      </c>
      <c r="Q1680" s="67" t="str">
        <f t="shared" si="15"/>
        <v/>
      </c>
      <c r="R1680" s="67" t="str">
        <f t="shared" si="16"/>
        <v/>
      </c>
      <c r="S1680" s="67" t="str">
        <f t="shared" si="17"/>
        <v/>
      </c>
      <c r="T1680" s="161"/>
      <c r="U1680" s="64" t="s">
        <v>9330</v>
      </c>
      <c r="V1680" s="65" t="s">
        <v>16425</v>
      </c>
      <c r="W1680" s="71" t="s">
        <v>15866</v>
      </c>
      <c r="X1680" s="194"/>
      <c r="Y1680" s="73"/>
      <c r="Z1680" s="73"/>
      <c r="AA1680" s="73"/>
      <c r="AB1680" s="73"/>
      <c r="AC1680" s="73"/>
      <c r="AD1680" s="73"/>
      <c r="AE1680" s="73"/>
      <c r="AF1680" s="73"/>
      <c r="AG1680" s="73"/>
      <c r="AH1680" s="73"/>
      <c r="AI1680" s="73"/>
      <c r="AJ1680" s="161"/>
      <c r="AK1680" s="76" t="s">
        <v>798</v>
      </c>
      <c r="AL1680" s="83" t="s">
        <v>16426</v>
      </c>
      <c r="AM1680" s="71" t="s">
        <v>16427</v>
      </c>
      <c r="AN1680" s="84" t="s">
        <v>16428</v>
      </c>
      <c r="AO1680" s="71" t="s">
        <v>16429</v>
      </c>
      <c r="AP1680" s="161" t="str">
        <f>IMAGE("https://bellingcat-archive.nyc3.cdn.digitaloceanspaces.com/Ukraine_Witness_Datasheet/Worksheet/youtube_dl_1498174894890262530/out7.jpg")</f>
        <v/>
      </c>
      <c r="AQ1680" s="84" t="s">
        <v>16430</v>
      </c>
      <c r="AR1680" s="71" t="s">
        <v>16431</v>
      </c>
      <c r="AS1680" s="71" t="s">
        <v>16432</v>
      </c>
      <c r="AT1680" s="71">
        <v>18.666</v>
      </c>
      <c r="AU1680" s="89"/>
      <c r="AV1680" s="162"/>
      <c r="AW1680" s="81"/>
    </row>
    <row r="1681" ht="15.75" customHeight="1">
      <c r="A1681" s="520"/>
      <c r="B1681" s="73"/>
      <c r="C1681" s="57" t="s">
        <v>9028</v>
      </c>
      <c r="D1681" s="121"/>
      <c r="E1681" s="121"/>
      <c r="F1681" s="79">
        <v>1.0</v>
      </c>
      <c r="G1681" s="84" t="s">
        <v>16433</v>
      </c>
      <c r="H1681" s="61" t="s">
        <v>5522</v>
      </c>
      <c r="I1681" s="519" t="s">
        <v>12782</v>
      </c>
      <c r="J1681" s="71" t="s">
        <v>16434</v>
      </c>
      <c r="K1681" s="69"/>
      <c r="L1681" s="65" t="s">
        <v>3542</v>
      </c>
      <c r="M1681" s="73"/>
      <c r="N1681" s="73"/>
      <c r="O1681" s="61" t="s">
        <v>5626</v>
      </c>
      <c r="P1681" s="67" t="str">
        <f t="shared" si="14"/>
        <v/>
      </c>
      <c r="Q1681" s="67" t="str">
        <f t="shared" si="15"/>
        <v/>
      </c>
      <c r="R1681" s="67" t="str">
        <f t="shared" si="16"/>
        <v/>
      </c>
      <c r="S1681" s="67" t="str">
        <f t="shared" si="17"/>
        <v/>
      </c>
      <c r="T1681" s="161"/>
      <c r="U1681" s="64" t="s">
        <v>16435</v>
      </c>
      <c r="V1681" s="65" t="s">
        <v>16436</v>
      </c>
      <c r="W1681" s="71" t="s">
        <v>15866</v>
      </c>
      <c r="X1681" s="194"/>
      <c r="Y1681" s="73"/>
      <c r="Z1681" s="73"/>
      <c r="AA1681" s="73"/>
      <c r="AB1681" s="73"/>
      <c r="AC1681" s="73"/>
      <c r="AD1681" s="73"/>
      <c r="AE1681" s="73"/>
      <c r="AF1681" s="73"/>
      <c r="AG1681" s="73"/>
      <c r="AH1681" s="73"/>
      <c r="AI1681" s="73"/>
      <c r="AJ1681" s="161"/>
      <c r="AK1681" s="76" t="s">
        <v>798</v>
      </c>
      <c r="AL1681" s="83" t="s">
        <v>16437</v>
      </c>
      <c r="AM1681" s="71" t="s">
        <v>16438</v>
      </c>
      <c r="AN1681" s="84" t="s">
        <v>16439</v>
      </c>
      <c r="AO1681" s="71" t="s">
        <v>16440</v>
      </c>
      <c r="AP1681" s="161" t="str">
        <f>IMAGE("https://bellingcat-archive.nyc3.cdn.digitaloceanspaces.com/Ukraine_Witness_Datasheet/Worksheet/youtube_dl_1498608481590411267/out7.jpg")</f>
        <v/>
      </c>
      <c r="AQ1681" s="84" t="s">
        <v>16441</v>
      </c>
      <c r="AR1681" s="71" t="s">
        <v>16442</v>
      </c>
      <c r="AS1681" s="71" t="s">
        <v>16443</v>
      </c>
      <c r="AT1681" s="71">
        <v>2.733</v>
      </c>
      <c r="AU1681" s="89"/>
      <c r="AV1681" s="162"/>
      <c r="AW1681" s="81"/>
    </row>
    <row r="1682" ht="15.75" customHeight="1">
      <c r="A1682" s="520"/>
      <c r="B1682" s="73"/>
      <c r="C1682" s="57" t="s">
        <v>9028</v>
      </c>
      <c r="D1682" s="121"/>
      <c r="E1682" s="121"/>
      <c r="F1682" s="79">
        <v>1.0</v>
      </c>
      <c r="G1682" s="84" t="s">
        <v>16444</v>
      </c>
      <c r="H1682" s="61" t="s">
        <v>91</v>
      </c>
      <c r="I1682" s="519" t="s">
        <v>12782</v>
      </c>
      <c r="J1682" s="71" t="s">
        <v>16445</v>
      </c>
      <c r="K1682" s="69"/>
      <c r="L1682" s="65" t="s">
        <v>3542</v>
      </c>
      <c r="M1682" s="73"/>
      <c r="N1682" s="73"/>
      <c r="O1682" s="61" t="s">
        <v>5626</v>
      </c>
      <c r="P1682" s="67" t="str">
        <f t="shared" si="14"/>
        <v/>
      </c>
      <c r="Q1682" s="67" t="str">
        <f t="shared" si="15"/>
        <v/>
      </c>
      <c r="R1682" s="67" t="str">
        <f t="shared" si="16"/>
        <v/>
      </c>
      <c r="S1682" s="67" t="str">
        <f t="shared" si="17"/>
        <v/>
      </c>
      <c r="T1682" s="161"/>
      <c r="U1682" s="64" t="s">
        <v>16435</v>
      </c>
      <c r="V1682" s="65" t="s">
        <v>16446</v>
      </c>
      <c r="W1682" s="71" t="s">
        <v>15866</v>
      </c>
      <c r="X1682" s="194"/>
      <c r="Y1682" s="73"/>
      <c r="Z1682" s="73"/>
      <c r="AA1682" s="73"/>
      <c r="AB1682" s="73"/>
      <c r="AC1682" s="73"/>
      <c r="AD1682" s="73"/>
      <c r="AE1682" s="73"/>
      <c r="AF1682" s="73"/>
      <c r="AG1682" s="73"/>
      <c r="AH1682" s="73"/>
      <c r="AI1682" s="73"/>
      <c r="AJ1682" s="161"/>
      <c r="AK1682" s="76" t="s">
        <v>6276</v>
      </c>
      <c r="AL1682" s="83" t="s">
        <v>16447</v>
      </c>
      <c r="AM1682" s="71" t="s">
        <v>16448</v>
      </c>
      <c r="AN1682" s="84" t="s">
        <v>16449</v>
      </c>
      <c r="AO1682" s="71" t="s">
        <v>16450</v>
      </c>
      <c r="AP1682" s="161" t="str">
        <f>IMAGE("https://bellingcat-archive.nyc3.cdn.digitaloceanspaces.com/Ukraine_Witness_Datasheet/Worksheet/telegram__tCf9-iYJV_OCEMnFTQc_ClFWDX80sqikrUAU7mYJSUts_6Rz29PKnLr_37-PujyWD9-rQwnRnEtjOSnZl61K2Xg6ZSblyKwALqT3e2UhztcA1Fg1QCGjuIWhpgD-rwA.jpg")</f>
        <v/>
      </c>
      <c r="AQ1682" s="161"/>
      <c r="AR1682" s="161"/>
      <c r="AS1682" s="71" t="s">
        <v>16451</v>
      </c>
      <c r="AT1682" s="161"/>
      <c r="AU1682" s="89"/>
      <c r="AV1682" s="162"/>
      <c r="AW1682" s="81"/>
    </row>
    <row r="1683" ht="15.75" customHeight="1">
      <c r="A1683" s="520"/>
      <c r="B1683" s="73"/>
      <c r="C1683" s="57" t="s">
        <v>9028</v>
      </c>
      <c r="D1683" s="121"/>
      <c r="E1683" s="121"/>
      <c r="F1683" s="79">
        <v>1.0</v>
      </c>
      <c r="G1683" s="84" t="s">
        <v>16452</v>
      </c>
      <c r="H1683" s="61" t="s">
        <v>5522</v>
      </c>
      <c r="I1683" s="519" t="s">
        <v>12782</v>
      </c>
      <c r="J1683" s="71" t="s">
        <v>16453</v>
      </c>
      <c r="K1683" s="69"/>
      <c r="L1683" s="65" t="s">
        <v>3542</v>
      </c>
      <c r="M1683" s="73"/>
      <c r="N1683" s="73"/>
      <c r="O1683" s="61" t="s">
        <v>5626</v>
      </c>
      <c r="P1683" s="67" t="str">
        <f t="shared" si="14"/>
        <v/>
      </c>
      <c r="Q1683" s="67" t="str">
        <f t="shared" si="15"/>
        <v/>
      </c>
      <c r="R1683" s="67" t="str">
        <f t="shared" si="16"/>
        <v/>
      </c>
      <c r="S1683" s="67" t="str">
        <f t="shared" si="17"/>
        <v/>
      </c>
      <c r="T1683" s="161"/>
      <c r="U1683" s="64" t="s">
        <v>9330</v>
      </c>
      <c r="V1683" s="65" t="s">
        <v>16454</v>
      </c>
      <c r="W1683" s="71" t="s">
        <v>15866</v>
      </c>
      <c r="X1683" s="194"/>
      <c r="Y1683" s="73"/>
      <c r="Z1683" s="73"/>
      <c r="AA1683" s="73"/>
      <c r="AB1683" s="73"/>
      <c r="AC1683" s="73"/>
      <c r="AD1683" s="73"/>
      <c r="AE1683" s="73"/>
      <c r="AF1683" s="73"/>
      <c r="AG1683" s="73"/>
      <c r="AH1683" s="73"/>
      <c r="AI1683" s="73"/>
      <c r="AJ1683" s="161"/>
      <c r="AK1683" s="76" t="s">
        <v>6276</v>
      </c>
      <c r="AL1683" s="83" t="s">
        <v>16455</v>
      </c>
      <c r="AM1683" s="71" t="s">
        <v>16456</v>
      </c>
      <c r="AN1683" s="84" t="s">
        <v>16457</v>
      </c>
      <c r="AO1683" s="71" t="s">
        <v>16458</v>
      </c>
      <c r="AP1683" s="161" t="str">
        <f>IMAGE("https://bellingcat-archive.nyc3.cdn.digitaloceanspaces.com/Ukraine_Witness_Datasheet/Worksheet/telegram_53f66f1ed5/out7.jpg")</f>
        <v/>
      </c>
      <c r="AQ1683" s="84" t="s">
        <v>16459</v>
      </c>
      <c r="AR1683" s="84" t="s">
        <v>16452</v>
      </c>
      <c r="AS1683" s="71" t="s">
        <v>16460</v>
      </c>
      <c r="AT1683" s="71">
        <v>40.0</v>
      </c>
      <c r="AU1683" s="89"/>
      <c r="AV1683" s="162"/>
      <c r="AW1683" s="81"/>
    </row>
    <row r="1684" ht="15.75" customHeight="1">
      <c r="A1684" s="521" t="s">
        <v>12532</v>
      </c>
      <c r="B1684" s="73"/>
      <c r="C1684" s="57" t="s">
        <v>9028</v>
      </c>
      <c r="D1684" s="121"/>
      <c r="E1684" s="121"/>
      <c r="F1684" s="89"/>
      <c r="G1684" s="84" t="s">
        <v>16305</v>
      </c>
      <c r="H1684" s="73"/>
      <c r="I1684" s="519"/>
      <c r="J1684" s="161"/>
      <c r="K1684" s="69"/>
      <c r="L1684" s="65" t="s">
        <v>3542</v>
      </c>
      <c r="M1684" s="73"/>
      <c r="N1684" s="73"/>
      <c r="O1684" s="61" t="s">
        <v>5626</v>
      </c>
      <c r="P1684" s="67" t="str">
        <f t="shared" si="14"/>
        <v/>
      </c>
      <c r="Q1684" s="67" t="str">
        <f t="shared" si="15"/>
        <v/>
      </c>
      <c r="R1684" s="67" t="str">
        <f t="shared" si="16"/>
        <v/>
      </c>
      <c r="S1684" s="67" t="str">
        <f t="shared" si="17"/>
        <v/>
      </c>
      <c r="T1684" s="161"/>
      <c r="U1684" s="64" t="s">
        <v>9330</v>
      </c>
      <c r="V1684" s="65" t="s">
        <v>16461</v>
      </c>
      <c r="W1684" s="71" t="s">
        <v>15866</v>
      </c>
      <c r="X1684" s="194"/>
      <c r="Y1684" s="73"/>
      <c r="Z1684" s="73"/>
      <c r="AA1684" s="73"/>
      <c r="AB1684" s="73"/>
      <c r="AC1684" s="73"/>
      <c r="AD1684" s="73"/>
      <c r="AE1684" s="73"/>
      <c r="AF1684" s="73"/>
      <c r="AG1684" s="73"/>
      <c r="AH1684" s="73"/>
      <c r="AI1684" s="73"/>
      <c r="AJ1684" s="161"/>
      <c r="AK1684" s="76" t="s">
        <v>16462</v>
      </c>
      <c r="AL1684" s="83" t="s">
        <v>16307</v>
      </c>
      <c r="AM1684" s="71" t="s">
        <v>16463</v>
      </c>
      <c r="AN1684" s="84" t="s">
        <v>16309</v>
      </c>
      <c r="AO1684" s="161"/>
      <c r="AP1684" s="161"/>
      <c r="AQ1684" s="161"/>
      <c r="AR1684" s="71" t="s">
        <v>10489</v>
      </c>
      <c r="AS1684" s="161"/>
      <c r="AT1684" s="161"/>
      <c r="AU1684" s="89"/>
      <c r="AV1684" s="162"/>
      <c r="AW1684" s="81"/>
    </row>
    <row r="1685" ht="15.75" customHeight="1">
      <c r="A1685" s="516" t="s">
        <v>8023</v>
      </c>
      <c r="B1685" s="73"/>
      <c r="C1685" s="57" t="s">
        <v>9028</v>
      </c>
      <c r="D1685" s="104">
        <v>50.003314</v>
      </c>
      <c r="E1685" s="104">
        <v>36.33063</v>
      </c>
      <c r="F1685" s="79">
        <v>1.0</v>
      </c>
      <c r="G1685" s="84" t="s">
        <v>16464</v>
      </c>
      <c r="H1685" s="61" t="s">
        <v>66</v>
      </c>
      <c r="I1685" s="517" t="s">
        <v>12782</v>
      </c>
      <c r="J1685" s="71" t="s">
        <v>16465</v>
      </c>
      <c r="K1685" s="69"/>
      <c r="L1685" s="65" t="s">
        <v>3542</v>
      </c>
      <c r="M1685" s="61" t="s">
        <v>5590</v>
      </c>
      <c r="N1685" s="73"/>
      <c r="O1685" s="61" t="s">
        <v>5626</v>
      </c>
      <c r="P1685" s="67" t="str">
        <f t="shared" si="14"/>
        <v>50.003314, 36.33063</v>
      </c>
      <c r="Q1685" s="67" t="str">
        <f t="shared" si="15"/>
        <v>50.003201, 36.33129</v>
      </c>
      <c r="R1685" s="67">
        <f t="shared" si="16"/>
        <v>50.003201</v>
      </c>
      <c r="S1685" s="67">
        <f t="shared" si="17"/>
        <v>36.33129</v>
      </c>
      <c r="T1685" s="71" t="s">
        <v>16466</v>
      </c>
      <c r="U1685" s="64" t="s">
        <v>16467</v>
      </c>
      <c r="V1685" s="65" t="s">
        <v>16468</v>
      </c>
      <c r="W1685" s="71" t="s">
        <v>15866</v>
      </c>
      <c r="X1685" s="72" t="s">
        <v>2982</v>
      </c>
      <c r="Y1685" s="73"/>
      <c r="Z1685" s="73"/>
      <c r="AA1685" s="73"/>
      <c r="AB1685" s="73"/>
      <c r="AC1685" s="73"/>
      <c r="AD1685" s="73"/>
      <c r="AE1685" s="73"/>
      <c r="AF1685" s="73"/>
      <c r="AG1685" s="73"/>
      <c r="AH1685" s="73"/>
      <c r="AI1685" s="73"/>
      <c r="AJ1685" s="161"/>
      <c r="AK1685" s="76" t="s">
        <v>798</v>
      </c>
      <c r="AL1685" s="83" t="s">
        <v>16469</v>
      </c>
      <c r="AM1685" s="71" t="s">
        <v>16470</v>
      </c>
      <c r="AN1685" s="84" t="s">
        <v>16471</v>
      </c>
      <c r="AO1685" s="71" t="s">
        <v>16472</v>
      </c>
      <c r="AP1685" s="161" t="str">
        <f>IMAGE("https://bellingcat-archive.nyc3.cdn.digitaloceanspaces.com/Ukraine_Witness_Datasheet/Worksheet/youtube_dl_1498291251539591169/out7.jpg")</f>
        <v/>
      </c>
      <c r="AQ1685" s="84" t="s">
        <v>16473</v>
      </c>
      <c r="AR1685" s="71" t="s">
        <v>16474</v>
      </c>
      <c r="AS1685" s="71" t="s">
        <v>16475</v>
      </c>
      <c r="AT1685" s="71">
        <v>12.527</v>
      </c>
      <c r="AU1685" s="89"/>
      <c r="AV1685" s="80" t="s">
        <v>3944</v>
      </c>
      <c r="AW1685" s="81"/>
    </row>
    <row r="1686" ht="15.75" customHeight="1">
      <c r="A1686" s="520"/>
      <c r="B1686" s="73"/>
      <c r="C1686" s="57" t="s">
        <v>9028</v>
      </c>
      <c r="D1686" s="104"/>
      <c r="E1686" s="121"/>
      <c r="F1686" s="89"/>
      <c r="G1686" s="84" t="s">
        <v>16476</v>
      </c>
      <c r="H1686" s="73"/>
      <c r="I1686" s="519" t="s">
        <v>12782</v>
      </c>
      <c r="J1686" s="71" t="s">
        <v>16477</v>
      </c>
      <c r="K1686" s="69"/>
      <c r="L1686" s="65" t="s">
        <v>3542</v>
      </c>
      <c r="M1686" s="73"/>
      <c r="N1686" s="73"/>
      <c r="O1686" s="61" t="s">
        <v>5626</v>
      </c>
      <c r="P1686" s="67" t="str">
        <f t="shared" si="14"/>
        <v/>
      </c>
      <c r="Q1686" s="67" t="str">
        <f t="shared" si="15"/>
        <v/>
      </c>
      <c r="R1686" s="67" t="str">
        <f t="shared" si="16"/>
        <v/>
      </c>
      <c r="S1686" s="67" t="str">
        <f t="shared" si="17"/>
        <v/>
      </c>
      <c r="T1686" s="161"/>
      <c r="U1686" s="64" t="s">
        <v>16478</v>
      </c>
      <c r="V1686" s="65" t="s">
        <v>16479</v>
      </c>
      <c r="W1686" s="71" t="s">
        <v>15866</v>
      </c>
      <c r="X1686" s="194"/>
      <c r="Y1686" s="73"/>
      <c r="Z1686" s="73"/>
      <c r="AA1686" s="73"/>
      <c r="AB1686" s="73"/>
      <c r="AC1686" s="73"/>
      <c r="AD1686" s="73"/>
      <c r="AE1686" s="73"/>
      <c r="AF1686" s="73"/>
      <c r="AG1686" s="73"/>
      <c r="AH1686" s="73"/>
      <c r="AI1686" s="73"/>
      <c r="AJ1686" s="161"/>
      <c r="AK1686" s="76" t="s">
        <v>2108</v>
      </c>
      <c r="AL1686" s="83" t="s">
        <v>16480</v>
      </c>
      <c r="AM1686" s="71" t="s">
        <v>16481</v>
      </c>
      <c r="AN1686" s="84" t="s">
        <v>16482</v>
      </c>
      <c r="AO1686" s="71" t="s">
        <v>16483</v>
      </c>
      <c r="AP1686" s="161" t="str">
        <f>IMAGE("https://bellingcat-archive.nyc3.cdn.digitaloceanspaces.com/Ukraine_Witness_Datasheet/Worksheet/twitter__media_FMrKZjsWQAAk1xd.jpg")</f>
        <v/>
      </c>
      <c r="AQ1686" s="161"/>
      <c r="AR1686" s="161"/>
      <c r="AS1686" s="71" t="s">
        <v>16484</v>
      </c>
      <c r="AT1686" s="161"/>
      <c r="AU1686" s="89"/>
      <c r="AV1686" s="162"/>
      <c r="AW1686" s="81"/>
    </row>
    <row r="1687" ht="15.75" customHeight="1">
      <c r="A1687" s="516" t="s">
        <v>8023</v>
      </c>
      <c r="B1687" s="73"/>
      <c r="C1687" s="57" t="s">
        <v>9028</v>
      </c>
      <c r="D1687" s="300">
        <v>50.003617</v>
      </c>
      <c r="E1687" s="300">
        <v>36.330739</v>
      </c>
      <c r="F1687" s="79">
        <v>1.0</v>
      </c>
      <c r="G1687" s="84" t="s">
        <v>16485</v>
      </c>
      <c r="H1687" s="61" t="s">
        <v>66</v>
      </c>
      <c r="I1687" s="517" t="s">
        <v>12782</v>
      </c>
      <c r="J1687" s="71" t="s">
        <v>16486</v>
      </c>
      <c r="K1687" s="69"/>
      <c r="L1687" s="65" t="s">
        <v>3542</v>
      </c>
      <c r="M1687" s="61" t="s">
        <v>5590</v>
      </c>
      <c r="N1687" s="73"/>
      <c r="O1687" s="61" t="s">
        <v>5626</v>
      </c>
      <c r="P1687" s="67" t="str">
        <f t="shared" si="14"/>
        <v>50.003617, 36.330739</v>
      </c>
      <c r="Q1687" s="67" t="str">
        <f t="shared" si="15"/>
        <v>50.00333, 36.330359</v>
      </c>
      <c r="R1687" s="67">
        <f t="shared" si="16"/>
        <v>50.00333</v>
      </c>
      <c r="S1687" s="67">
        <f t="shared" si="17"/>
        <v>36.330359</v>
      </c>
      <c r="T1687" s="71" t="s">
        <v>16487</v>
      </c>
      <c r="U1687" s="64" t="s">
        <v>9330</v>
      </c>
      <c r="V1687" s="65" t="s">
        <v>16488</v>
      </c>
      <c r="W1687" s="71" t="s">
        <v>15866</v>
      </c>
      <c r="X1687" s="72" t="s">
        <v>2982</v>
      </c>
      <c r="Y1687" s="61" t="s">
        <v>5820</v>
      </c>
      <c r="Z1687" s="73"/>
      <c r="AA1687" s="73"/>
      <c r="AB1687" s="73"/>
      <c r="AC1687" s="73"/>
      <c r="AD1687" s="73"/>
      <c r="AE1687" s="73"/>
      <c r="AF1687" s="73"/>
      <c r="AG1687" s="73"/>
      <c r="AH1687" s="73"/>
      <c r="AI1687" s="73"/>
      <c r="AJ1687" s="161"/>
      <c r="AK1687" s="76" t="s">
        <v>798</v>
      </c>
      <c r="AL1687" s="83" t="s">
        <v>16489</v>
      </c>
      <c r="AM1687" s="71" t="s">
        <v>16490</v>
      </c>
      <c r="AN1687" s="84" t="s">
        <v>16491</v>
      </c>
      <c r="AO1687" s="71" t="s">
        <v>16492</v>
      </c>
      <c r="AP1687" s="161" t="str">
        <f>IMAGE("https://bellingcat-archive.nyc3.cdn.digitaloceanspaces.com/Ukraine_Witness_Datasheet/Worksheet/youtube_dl_1498325168095125504/out7.jpg")</f>
        <v/>
      </c>
      <c r="AQ1687" s="84" t="s">
        <v>16493</v>
      </c>
      <c r="AR1687" s="71" t="s">
        <v>16494</v>
      </c>
      <c r="AS1687" s="71" t="s">
        <v>16495</v>
      </c>
      <c r="AT1687" s="71">
        <v>14.9</v>
      </c>
      <c r="AU1687" s="89"/>
      <c r="AV1687" s="80" t="s">
        <v>3944</v>
      </c>
      <c r="AW1687" s="81"/>
    </row>
    <row r="1688" ht="15.75" customHeight="1">
      <c r="A1688" s="520"/>
      <c r="B1688" s="73"/>
      <c r="C1688" s="57" t="s">
        <v>9028</v>
      </c>
      <c r="D1688" s="121"/>
      <c r="E1688" s="121"/>
      <c r="F1688" s="79">
        <v>1.0</v>
      </c>
      <c r="G1688" s="84" t="s">
        <v>16496</v>
      </c>
      <c r="H1688" s="61" t="s">
        <v>91</v>
      </c>
      <c r="I1688" s="519" t="s">
        <v>12782</v>
      </c>
      <c r="J1688" s="71" t="s">
        <v>16115</v>
      </c>
      <c r="K1688" s="69"/>
      <c r="L1688" s="65" t="s">
        <v>3542</v>
      </c>
      <c r="M1688" s="73"/>
      <c r="N1688" s="73"/>
      <c r="O1688" s="61" t="s">
        <v>5626</v>
      </c>
      <c r="P1688" s="67" t="str">
        <f t="shared" si="14"/>
        <v/>
      </c>
      <c r="Q1688" s="67" t="str">
        <f t="shared" si="15"/>
        <v/>
      </c>
      <c r="R1688" s="67" t="str">
        <f t="shared" si="16"/>
        <v/>
      </c>
      <c r="S1688" s="67" t="str">
        <f t="shared" si="17"/>
        <v/>
      </c>
      <c r="T1688" s="161"/>
      <c r="U1688" s="64" t="s">
        <v>9330</v>
      </c>
      <c r="V1688" s="65" t="s">
        <v>16497</v>
      </c>
      <c r="W1688" s="71" t="s">
        <v>15866</v>
      </c>
      <c r="X1688" s="194"/>
      <c r="Y1688" s="73"/>
      <c r="Z1688" s="73"/>
      <c r="AA1688" s="73"/>
      <c r="AB1688" s="73"/>
      <c r="AC1688" s="73"/>
      <c r="AD1688" s="73"/>
      <c r="AE1688" s="73"/>
      <c r="AF1688" s="73"/>
      <c r="AG1688" s="73"/>
      <c r="AH1688" s="73"/>
      <c r="AI1688" s="73"/>
      <c r="AJ1688" s="161"/>
      <c r="AK1688" s="76" t="s">
        <v>2108</v>
      </c>
      <c r="AL1688" s="83" t="s">
        <v>16498</v>
      </c>
      <c r="AM1688" s="71" t="s">
        <v>16499</v>
      </c>
      <c r="AN1688" s="84" t="s">
        <v>16500</v>
      </c>
      <c r="AO1688" s="71" t="s">
        <v>16501</v>
      </c>
      <c r="AP1688" s="161" t="str">
        <f>IMAGE("https://bellingcat-archive.nyc3.cdn.digitaloceanspaces.com/Ukraine_Witness_Datasheet/Worksheet/twitter__media_FMsRIM7WQAEbDU2.jpg")</f>
        <v/>
      </c>
      <c r="AQ1688" s="161"/>
      <c r="AR1688" s="161"/>
      <c r="AS1688" s="71" t="s">
        <v>16502</v>
      </c>
      <c r="AT1688" s="161"/>
      <c r="AU1688" s="89"/>
      <c r="AV1688" s="162"/>
      <c r="AW1688" s="81"/>
    </row>
    <row r="1689" ht="15.75" customHeight="1">
      <c r="A1689" s="520"/>
      <c r="B1689" s="73"/>
      <c r="C1689" s="57" t="s">
        <v>9028</v>
      </c>
      <c r="D1689" s="121"/>
      <c r="E1689" s="121"/>
      <c r="F1689" s="79">
        <v>1.0</v>
      </c>
      <c r="G1689" s="84" t="s">
        <v>16503</v>
      </c>
      <c r="H1689" s="61" t="s">
        <v>91</v>
      </c>
      <c r="I1689" s="519" t="s">
        <v>12782</v>
      </c>
      <c r="J1689" s="71" t="s">
        <v>16504</v>
      </c>
      <c r="K1689" s="69"/>
      <c r="L1689" s="65" t="s">
        <v>3542</v>
      </c>
      <c r="M1689" s="73"/>
      <c r="N1689" s="73"/>
      <c r="O1689" s="61" t="s">
        <v>5626</v>
      </c>
      <c r="P1689" s="67" t="str">
        <f t="shared" si="14"/>
        <v/>
      </c>
      <c r="Q1689" s="67" t="str">
        <f t="shared" si="15"/>
        <v/>
      </c>
      <c r="R1689" s="67" t="str">
        <f t="shared" si="16"/>
        <v/>
      </c>
      <c r="S1689" s="67" t="str">
        <f t="shared" si="17"/>
        <v/>
      </c>
      <c r="T1689" s="161"/>
      <c r="U1689" s="64" t="s">
        <v>9330</v>
      </c>
      <c r="V1689" s="65" t="s">
        <v>16505</v>
      </c>
      <c r="W1689" s="71" t="s">
        <v>15866</v>
      </c>
      <c r="X1689" s="194"/>
      <c r="Y1689" s="73"/>
      <c r="Z1689" s="73"/>
      <c r="AA1689" s="73"/>
      <c r="AB1689" s="73"/>
      <c r="AC1689" s="73"/>
      <c r="AD1689" s="73"/>
      <c r="AE1689" s="73"/>
      <c r="AF1689" s="73"/>
      <c r="AG1689" s="73"/>
      <c r="AH1689" s="73"/>
      <c r="AI1689" s="73"/>
      <c r="AJ1689" s="161"/>
      <c r="AK1689" s="76" t="s">
        <v>2108</v>
      </c>
      <c r="AL1689" s="83" t="s">
        <v>16506</v>
      </c>
      <c r="AM1689" s="71" t="s">
        <v>16507</v>
      </c>
      <c r="AN1689" s="84" t="s">
        <v>16508</v>
      </c>
      <c r="AO1689" s="71" t="s">
        <v>16509</v>
      </c>
      <c r="AP1689" s="161" t="str">
        <f>IMAGE("https://bellingcat-archive.nyc3.cdn.digitaloceanspaces.com/Ukraine_Witness_Datasheet/Worksheet/twitter__media_FMsa7TnWQAcY04s.jpg")</f>
        <v/>
      </c>
      <c r="AQ1689" s="161"/>
      <c r="AR1689" s="161"/>
      <c r="AS1689" s="71" t="s">
        <v>16510</v>
      </c>
      <c r="AT1689" s="161"/>
      <c r="AU1689" s="89"/>
      <c r="AV1689" s="162"/>
      <c r="AW1689" s="81"/>
    </row>
    <row r="1690" ht="15.75" customHeight="1">
      <c r="A1690" s="520"/>
      <c r="B1690" s="73"/>
      <c r="C1690" s="57" t="s">
        <v>9941</v>
      </c>
      <c r="D1690" s="121"/>
      <c r="E1690" s="121"/>
      <c r="F1690" s="79">
        <v>1.0</v>
      </c>
      <c r="G1690" s="84" t="s">
        <v>16511</v>
      </c>
      <c r="H1690" s="61" t="s">
        <v>91</v>
      </c>
      <c r="I1690" s="519" t="s">
        <v>12782</v>
      </c>
      <c r="J1690" s="71" t="s">
        <v>16512</v>
      </c>
      <c r="K1690" s="69"/>
      <c r="L1690" s="65" t="s">
        <v>3542</v>
      </c>
      <c r="M1690" s="73"/>
      <c r="N1690" s="73"/>
      <c r="O1690" s="61" t="s">
        <v>5626</v>
      </c>
      <c r="P1690" s="67" t="str">
        <f t="shared" si="14"/>
        <v/>
      </c>
      <c r="Q1690" s="67" t="str">
        <f t="shared" si="15"/>
        <v/>
      </c>
      <c r="R1690" s="67" t="str">
        <f t="shared" si="16"/>
        <v/>
      </c>
      <c r="S1690" s="67" t="str">
        <f t="shared" si="17"/>
        <v/>
      </c>
      <c r="T1690" s="161"/>
      <c r="U1690" s="64" t="s">
        <v>9330</v>
      </c>
      <c r="V1690" s="65" t="s">
        <v>16513</v>
      </c>
      <c r="W1690" s="71" t="s">
        <v>15866</v>
      </c>
      <c r="X1690" s="194"/>
      <c r="Y1690" s="73"/>
      <c r="Z1690" s="73"/>
      <c r="AA1690" s="73"/>
      <c r="AB1690" s="73"/>
      <c r="AC1690" s="73"/>
      <c r="AD1690" s="73"/>
      <c r="AE1690" s="73"/>
      <c r="AF1690" s="73"/>
      <c r="AG1690" s="73"/>
      <c r="AH1690" s="73"/>
      <c r="AI1690" s="73"/>
      <c r="AJ1690" s="161"/>
      <c r="AK1690" s="76" t="s">
        <v>6276</v>
      </c>
      <c r="AL1690" s="83" t="s">
        <v>16514</v>
      </c>
      <c r="AM1690" s="71" t="s">
        <v>16515</v>
      </c>
      <c r="AN1690" s="84" t="s">
        <v>16516</v>
      </c>
      <c r="AO1690" s="71" t="s">
        <v>16517</v>
      </c>
      <c r="AP1690" s="161" t="str">
        <f>IMAGE("https://bellingcat-archive.nyc3.cdn.digitaloceanspaces.com/Ukraine_Witness_Datasheet/Worksheet/telegram_4HxM5YK4dozuZjG7UBwU2hcdbvtIMbhCQpRUc_Q75bUl6nmrbTxMiY99Toc4WbfD2uOpkZ7e1qbmrY6OL0E3POpiT_Q_066LnISIufMLQCqzQjxV_C2g6I-Wmh80o6yw.jpg")</f>
        <v/>
      </c>
      <c r="AQ1690" s="161"/>
      <c r="AR1690" s="161"/>
      <c r="AS1690" s="71" t="s">
        <v>16518</v>
      </c>
      <c r="AT1690" s="161"/>
      <c r="AU1690" s="89"/>
      <c r="AV1690" s="162"/>
      <c r="AW1690" s="81"/>
    </row>
    <row r="1691" ht="15.75" customHeight="1">
      <c r="A1691" s="520"/>
      <c r="B1691" s="73"/>
      <c r="C1691" s="57" t="s">
        <v>9941</v>
      </c>
      <c r="D1691" s="121"/>
      <c r="E1691" s="121"/>
      <c r="F1691" s="79">
        <v>1.0</v>
      </c>
      <c r="G1691" s="84" t="s">
        <v>16519</v>
      </c>
      <c r="H1691" s="61" t="s">
        <v>91</v>
      </c>
      <c r="I1691" s="519" t="s">
        <v>12782</v>
      </c>
      <c r="J1691" s="71" t="s">
        <v>16520</v>
      </c>
      <c r="K1691" s="69"/>
      <c r="L1691" s="65" t="s">
        <v>3542</v>
      </c>
      <c r="M1691" s="73"/>
      <c r="N1691" s="73"/>
      <c r="O1691" s="61" t="s">
        <v>16521</v>
      </c>
      <c r="P1691" s="67" t="str">
        <f t="shared" si="14"/>
        <v/>
      </c>
      <c r="Q1691" s="67" t="str">
        <f t="shared" si="15"/>
        <v/>
      </c>
      <c r="R1691" s="67" t="str">
        <f t="shared" si="16"/>
        <v/>
      </c>
      <c r="S1691" s="67" t="str">
        <f t="shared" si="17"/>
        <v/>
      </c>
      <c r="T1691" s="71"/>
      <c r="U1691" s="64" t="s">
        <v>16522</v>
      </c>
      <c r="V1691" s="65" t="s">
        <v>16523</v>
      </c>
      <c r="W1691" s="71" t="s">
        <v>15866</v>
      </c>
      <c r="X1691" s="194"/>
      <c r="Y1691" s="73"/>
      <c r="Z1691" s="73"/>
      <c r="AA1691" s="73"/>
      <c r="AB1691" s="73"/>
      <c r="AC1691" s="73"/>
      <c r="AD1691" s="73"/>
      <c r="AE1691" s="73"/>
      <c r="AF1691" s="73"/>
      <c r="AG1691" s="73"/>
      <c r="AH1691" s="73"/>
      <c r="AI1691" s="73"/>
      <c r="AJ1691" s="161"/>
      <c r="AK1691" s="76" t="s">
        <v>2108</v>
      </c>
      <c r="AL1691" s="83" t="s">
        <v>16524</v>
      </c>
      <c r="AM1691" s="71" t="s">
        <v>16525</v>
      </c>
      <c r="AN1691" s="84" t="s">
        <v>16526</v>
      </c>
      <c r="AO1691" s="71" t="s">
        <v>16527</v>
      </c>
      <c r="AP1691" s="161" t="str">
        <f>IMAGE("https://bellingcat-archive.nyc3.cdn.digitaloceanspaces.com/Ukraine_Witness_Datasheet/Worksheet/twitter__media_FMyAxfHWYAobGcL.jpg")</f>
        <v/>
      </c>
      <c r="AQ1691" s="161"/>
      <c r="AR1691" s="161"/>
      <c r="AS1691" s="71" t="s">
        <v>16528</v>
      </c>
      <c r="AT1691" s="161"/>
      <c r="AU1691" s="89"/>
      <c r="AV1691" s="162"/>
      <c r="AW1691" s="81"/>
    </row>
    <row r="1692" ht="15.75" customHeight="1">
      <c r="A1692" s="520"/>
      <c r="B1692" s="73"/>
      <c r="C1692" s="57" t="s">
        <v>9941</v>
      </c>
      <c r="D1692" s="121"/>
      <c r="E1692" s="121"/>
      <c r="F1692" s="79">
        <v>1.0</v>
      </c>
      <c r="G1692" s="84" t="s">
        <v>16529</v>
      </c>
      <c r="H1692" s="61" t="s">
        <v>91</v>
      </c>
      <c r="I1692" s="519" t="s">
        <v>12782</v>
      </c>
      <c r="J1692" s="71" t="s">
        <v>16530</v>
      </c>
      <c r="K1692" s="69"/>
      <c r="L1692" s="65" t="s">
        <v>3542</v>
      </c>
      <c r="M1692" s="73"/>
      <c r="N1692" s="73"/>
      <c r="O1692" s="61" t="s">
        <v>6109</v>
      </c>
      <c r="P1692" s="67" t="str">
        <f t="shared" si="14"/>
        <v/>
      </c>
      <c r="Q1692" s="67" t="str">
        <f t="shared" si="15"/>
        <v/>
      </c>
      <c r="R1692" s="67" t="str">
        <f t="shared" si="16"/>
        <v/>
      </c>
      <c r="S1692" s="67" t="str">
        <f t="shared" si="17"/>
        <v/>
      </c>
      <c r="T1692" s="161"/>
      <c r="U1692" s="64" t="s">
        <v>16008</v>
      </c>
      <c r="V1692" s="65" t="s">
        <v>16531</v>
      </c>
      <c r="W1692" s="71" t="s">
        <v>15866</v>
      </c>
      <c r="X1692" s="194"/>
      <c r="Y1692" s="73"/>
      <c r="Z1692" s="73"/>
      <c r="AA1692" s="73"/>
      <c r="AB1692" s="73"/>
      <c r="AC1692" s="73"/>
      <c r="AD1692" s="73"/>
      <c r="AE1692" s="73"/>
      <c r="AF1692" s="73"/>
      <c r="AG1692" s="73"/>
      <c r="AH1692" s="73"/>
      <c r="AI1692" s="73"/>
      <c r="AJ1692" s="161"/>
      <c r="AK1692" s="76" t="s">
        <v>2108</v>
      </c>
      <c r="AL1692" s="83" t="s">
        <v>16532</v>
      </c>
      <c r="AM1692" s="71" t="s">
        <v>16533</v>
      </c>
      <c r="AN1692" s="84" t="s">
        <v>16534</v>
      </c>
      <c r="AO1692" s="71" t="s">
        <v>16535</v>
      </c>
      <c r="AP1692" s="161" t="str">
        <f>IMAGE("https://bellingcat-archive.nyc3.cdn.digitaloceanspaces.com/Ukraine_Witness_Datasheet/Worksheet/twitter__media_FMw7MV3XoAYIutn.jpg")</f>
        <v/>
      </c>
      <c r="AQ1692" s="161"/>
      <c r="AR1692" s="161"/>
      <c r="AS1692" s="71" t="s">
        <v>16536</v>
      </c>
      <c r="AT1692" s="161"/>
      <c r="AU1692" s="89"/>
      <c r="AV1692" s="162"/>
      <c r="AW1692" s="81"/>
    </row>
    <row r="1693" ht="15.75" customHeight="1">
      <c r="A1693" s="521" t="s">
        <v>12532</v>
      </c>
      <c r="B1693" s="73"/>
      <c r="C1693" s="57" t="s">
        <v>9941</v>
      </c>
      <c r="D1693" s="121"/>
      <c r="E1693" s="121"/>
      <c r="F1693" s="89"/>
      <c r="G1693" s="84" t="s">
        <v>16537</v>
      </c>
      <c r="H1693" s="73"/>
      <c r="I1693" s="519"/>
      <c r="J1693" s="71" t="s">
        <v>16538</v>
      </c>
      <c r="K1693" s="69"/>
      <c r="L1693" s="65" t="s">
        <v>3542</v>
      </c>
      <c r="M1693" s="73"/>
      <c r="N1693" s="73"/>
      <c r="O1693" s="61" t="s">
        <v>6109</v>
      </c>
      <c r="P1693" s="67" t="str">
        <f t="shared" si="14"/>
        <v/>
      </c>
      <c r="Q1693" s="67" t="str">
        <f t="shared" si="15"/>
        <v/>
      </c>
      <c r="R1693" s="67" t="str">
        <f t="shared" si="16"/>
        <v/>
      </c>
      <c r="S1693" s="67" t="str">
        <f t="shared" si="17"/>
        <v/>
      </c>
      <c r="T1693" s="161"/>
      <c r="U1693" s="64" t="s">
        <v>16008</v>
      </c>
      <c r="V1693" s="65" t="s">
        <v>16539</v>
      </c>
      <c r="W1693" s="71" t="s">
        <v>15866</v>
      </c>
      <c r="X1693" s="194"/>
      <c r="Y1693" s="73"/>
      <c r="Z1693" s="73"/>
      <c r="AA1693" s="73"/>
      <c r="AB1693" s="73"/>
      <c r="AC1693" s="73"/>
      <c r="AD1693" s="73"/>
      <c r="AE1693" s="73"/>
      <c r="AF1693" s="73"/>
      <c r="AG1693" s="73"/>
      <c r="AH1693" s="73"/>
      <c r="AI1693" s="73"/>
      <c r="AJ1693" s="161"/>
      <c r="AK1693" s="76" t="s">
        <v>2108</v>
      </c>
      <c r="AL1693" s="83" t="s">
        <v>12786</v>
      </c>
      <c r="AM1693" s="71" t="s">
        <v>16540</v>
      </c>
      <c r="AN1693" s="84" t="s">
        <v>16541</v>
      </c>
      <c r="AO1693" s="71" t="s">
        <v>16542</v>
      </c>
      <c r="AP1693" s="161" t="str">
        <f>IMAGE("https://bellingcat-archive.nyc3.cdn.digitaloceanspaces.com/Ukraine_Witness_Datasheet/Worksheet/twitter__media_FMyNypLXIAALJCq.jpg")</f>
        <v/>
      </c>
      <c r="AQ1693" s="161"/>
      <c r="AR1693" s="161"/>
      <c r="AS1693" s="71" t="s">
        <v>12790</v>
      </c>
      <c r="AT1693" s="161"/>
      <c r="AU1693" s="89"/>
      <c r="AV1693" s="162"/>
      <c r="AW1693" s="81"/>
    </row>
    <row r="1694" ht="15.75" customHeight="1">
      <c r="A1694" s="520"/>
      <c r="B1694" s="73"/>
      <c r="C1694" s="57" t="s">
        <v>10973</v>
      </c>
      <c r="D1694" s="121"/>
      <c r="E1694" s="121"/>
      <c r="F1694" s="79">
        <v>1.0</v>
      </c>
      <c r="G1694" s="84" t="s">
        <v>16543</v>
      </c>
      <c r="H1694" s="61" t="s">
        <v>91</v>
      </c>
      <c r="I1694" s="519" t="s">
        <v>12782</v>
      </c>
      <c r="J1694" s="71" t="s">
        <v>16477</v>
      </c>
      <c r="K1694" s="69"/>
      <c r="L1694" s="65" t="s">
        <v>3542</v>
      </c>
      <c r="M1694" s="73"/>
      <c r="N1694" s="73"/>
      <c r="O1694" s="61" t="s">
        <v>12193</v>
      </c>
      <c r="P1694" s="67" t="str">
        <f t="shared" si="14"/>
        <v/>
      </c>
      <c r="Q1694" s="67" t="str">
        <f t="shared" si="15"/>
        <v/>
      </c>
      <c r="R1694" s="67" t="str">
        <f t="shared" si="16"/>
        <v/>
      </c>
      <c r="S1694" s="67" t="str">
        <f t="shared" si="17"/>
        <v/>
      </c>
      <c r="T1694" s="161"/>
      <c r="U1694" s="64" t="s">
        <v>16046</v>
      </c>
      <c r="V1694" s="65" t="s">
        <v>16544</v>
      </c>
      <c r="W1694" s="71" t="s">
        <v>15866</v>
      </c>
      <c r="X1694" s="194"/>
      <c r="Y1694" s="73"/>
      <c r="Z1694" s="73"/>
      <c r="AA1694" s="73"/>
      <c r="AB1694" s="73"/>
      <c r="AC1694" s="73"/>
      <c r="AD1694" s="73"/>
      <c r="AE1694" s="73"/>
      <c r="AF1694" s="73"/>
      <c r="AG1694" s="73"/>
      <c r="AH1694" s="73"/>
      <c r="AI1694" s="73"/>
      <c r="AJ1694" s="161"/>
      <c r="AK1694" s="76" t="s">
        <v>2108</v>
      </c>
      <c r="AL1694" s="83" t="s">
        <v>14177</v>
      </c>
      <c r="AM1694" s="71" t="s">
        <v>16545</v>
      </c>
      <c r="AN1694" s="84" t="s">
        <v>16546</v>
      </c>
      <c r="AO1694" s="71" t="s">
        <v>16547</v>
      </c>
      <c r="AP1694" s="161" t="str">
        <f>IMAGE("https://bellingcat-archive.nyc3.cdn.digitaloceanspaces.com/Ukraine_Witness_Datasheet/Worksheet/twitter__media_FM8UbhYWUAE7l71.jpg")</f>
        <v/>
      </c>
      <c r="AQ1694" s="161"/>
      <c r="AR1694" s="161"/>
      <c r="AS1694" s="71" t="s">
        <v>14181</v>
      </c>
      <c r="AT1694" s="161"/>
      <c r="AU1694" s="89"/>
      <c r="AV1694" s="162"/>
      <c r="AW1694" s="81"/>
    </row>
    <row r="1695" ht="15.75" customHeight="1">
      <c r="A1695" s="521" t="s">
        <v>12532</v>
      </c>
      <c r="B1695" s="73"/>
      <c r="C1695" s="57" t="s">
        <v>10973</v>
      </c>
      <c r="D1695" s="121"/>
      <c r="E1695" s="121"/>
      <c r="F1695" s="89"/>
      <c r="G1695" s="60" t="s">
        <v>16548</v>
      </c>
      <c r="H1695" s="73"/>
      <c r="I1695" s="519"/>
      <c r="J1695" s="161"/>
      <c r="K1695" s="69"/>
      <c r="L1695" s="65" t="s">
        <v>3542</v>
      </c>
      <c r="M1695" s="73"/>
      <c r="N1695" s="73"/>
      <c r="O1695" s="61" t="s">
        <v>5626</v>
      </c>
      <c r="P1695" s="67" t="str">
        <f t="shared" si="14"/>
        <v/>
      </c>
      <c r="Q1695" s="67" t="str">
        <f t="shared" si="15"/>
        <v/>
      </c>
      <c r="R1695" s="67" t="str">
        <f t="shared" si="16"/>
        <v/>
      </c>
      <c r="S1695" s="67" t="str">
        <f t="shared" si="17"/>
        <v/>
      </c>
      <c r="T1695" s="161"/>
      <c r="U1695" s="64" t="s">
        <v>9330</v>
      </c>
      <c r="V1695" s="65" t="s">
        <v>16549</v>
      </c>
      <c r="W1695" s="71" t="s">
        <v>15866</v>
      </c>
      <c r="X1695" s="194"/>
      <c r="Y1695" s="73"/>
      <c r="Z1695" s="73"/>
      <c r="AA1695" s="73"/>
      <c r="AB1695" s="73"/>
      <c r="AC1695" s="73"/>
      <c r="AD1695" s="73"/>
      <c r="AE1695" s="73"/>
      <c r="AF1695" s="73"/>
      <c r="AG1695" s="73"/>
      <c r="AH1695" s="73"/>
      <c r="AI1695" s="73"/>
      <c r="AJ1695" s="161"/>
      <c r="AK1695" s="76" t="s">
        <v>6276</v>
      </c>
      <c r="AL1695" s="83" t="s">
        <v>16550</v>
      </c>
      <c r="AM1695" s="71" t="s">
        <v>16551</v>
      </c>
      <c r="AN1695" s="84" t="s">
        <v>16552</v>
      </c>
      <c r="AO1695" s="71" t="s">
        <v>16553</v>
      </c>
      <c r="AP1695" s="161" t="str">
        <f>IMAGE("https://bellingcat-archive.nyc3.cdn.digitaloceanspaces.com/Ukraine_Witness_Datasheet/Worksheet/telegram_a5VUVsppzTQbeIMVemiCO6Pfxkyynx7Vgl6jPFZRrYx44ehCIwSw200DnBPJzeNVoLUiCCRaTlTcJxD1VgxYgfta8ST65vR-wUcfRDu_BEj2ORckQdqAPwfYZvFdJbaA.jpg")</f>
        <v/>
      </c>
      <c r="AQ1695" s="161"/>
      <c r="AR1695" s="161"/>
      <c r="AS1695" s="71" t="s">
        <v>16554</v>
      </c>
      <c r="AT1695" s="161"/>
      <c r="AU1695" s="89"/>
      <c r="AV1695" s="162"/>
      <c r="AW1695" s="81"/>
    </row>
    <row r="1696" ht="15.75" customHeight="1">
      <c r="A1696" s="520"/>
      <c r="B1696" s="73"/>
      <c r="C1696" s="57" t="s">
        <v>10973</v>
      </c>
      <c r="D1696" s="121"/>
      <c r="E1696" s="121"/>
      <c r="F1696" s="79">
        <v>1.0</v>
      </c>
      <c r="G1696" s="84" t="s">
        <v>16555</v>
      </c>
      <c r="H1696" s="61" t="s">
        <v>91</v>
      </c>
      <c r="I1696" s="519" t="s">
        <v>12782</v>
      </c>
      <c r="J1696" s="71" t="s">
        <v>16556</v>
      </c>
      <c r="K1696" s="69"/>
      <c r="L1696" s="65" t="s">
        <v>3542</v>
      </c>
      <c r="M1696" s="73"/>
      <c r="N1696" s="73"/>
      <c r="O1696" s="61" t="s">
        <v>5626</v>
      </c>
      <c r="P1696" s="67" t="str">
        <f t="shared" si="14"/>
        <v/>
      </c>
      <c r="Q1696" s="67" t="str">
        <f t="shared" si="15"/>
        <v/>
      </c>
      <c r="R1696" s="67" t="str">
        <f t="shared" si="16"/>
        <v/>
      </c>
      <c r="S1696" s="67" t="str">
        <f t="shared" si="17"/>
        <v/>
      </c>
      <c r="T1696" s="161"/>
      <c r="U1696" s="64" t="s">
        <v>9330</v>
      </c>
      <c r="V1696" s="65" t="s">
        <v>16557</v>
      </c>
      <c r="W1696" s="71" t="s">
        <v>15866</v>
      </c>
      <c r="X1696" s="194"/>
      <c r="Y1696" s="73"/>
      <c r="Z1696" s="73"/>
      <c r="AA1696" s="73"/>
      <c r="AB1696" s="73"/>
      <c r="AC1696" s="73"/>
      <c r="AD1696" s="73"/>
      <c r="AE1696" s="73"/>
      <c r="AF1696" s="73"/>
      <c r="AG1696" s="73"/>
      <c r="AH1696" s="73"/>
      <c r="AI1696" s="73"/>
      <c r="AJ1696" s="161"/>
      <c r="AK1696" s="76" t="s">
        <v>6276</v>
      </c>
      <c r="AL1696" s="83" t="s">
        <v>16558</v>
      </c>
      <c r="AM1696" s="71" t="s">
        <v>16559</v>
      </c>
      <c r="AN1696" s="84" t="s">
        <v>16560</v>
      </c>
      <c r="AO1696" s="71" t="s">
        <v>16561</v>
      </c>
      <c r="AP1696" s="161"/>
      <c r="AQ1696" s="161"/>
      <c r="AR1696" s="161"/>
      <c r="AS1696" s="71" t="s">
        <v>16562</v>
      </c>
      <c r="AT1696" s="161"/>
      <c r="AU1696" s="89"/>
      <c r="AV1696" s="162"/>
      <c r="AW1696" s="81"/>
    </row>
    <row r="1697" ht="15.75" customHeight="1">
      <c r="A1697" s="520"/>
      <c r="B1697" s="73"/>
      <c r="C1697" s="57" t="s">
        <v>10973</v>
      </c>
      <c r="D1697" s="121"/>
      <c r="E1697" s="121"/>
      <c r="F1697" s="79">
        <v>1.0</v>
      </c>
      <c r="G1697" s="84" t="s">
        <v>16563</v>
      </c>
      <c r="H1697" s="61" t="s">
        <v>91</v>
      </c>
      <c r="I1697" s="519" t="s">
        <v>12782</v>
      </c>
      <c r="J1697" s="71" t="s">
        <v>16115</v>
      </c>
      <c r="K1697" s="69"/>
      <c r="L1697" s="65" t="s">
        <v>3542</v>
      </c>
      <c r="M1697" s="73"/>
      <c r="N1697" s="73"/>
      <c r="O1697" s="61" t="s">
        <v>16564</v>
      </c>
      <c r="P1697" s="67" t="str">
        <f t="shared" si="14"/>
        <v/>
      </c>
      <c r="Q1697" s="67" t="str">
        <f t="shared" si="15"/>
        <v/>
      </c>
      <c r="R1697" s="67" t="str">
        <f t="shared" si="16"/>
        <v/>
      </c>
      <c r="S1697" s="67" t="str">
        <f t="shared" si="17"/>
        <v/>
      </c>
      <c r="T1697" s="161"/>
      <c r="U1697" s="64" t="s">
        <v>9330</v>
      </c>
      <c r="V1697" s="65" t="s">
        <v>16565</v>
      </c>
      <c r="W1697" s="71" t="s">
        <v>15866</v>
      </c>
      <c r="X1697" s="194"/>
      <c r="Y1697" s="73"/>
      <c r="Z1697" s="73"/>
      <c r="AA1697" s="73"/>
      <c r="AB1697" s="73"/>
      <c r="AC1697" s="73"/>
      <c r="AD1697" s="73"/>
      <c r="AE1697" s="73"/>
      <c r="AF1697" s="73"/>
      <c r="AG1697" s="73"/>
      <c r="AH1697" s="73"/>
      <c r="AI1697" s="73"/>
      <c r="AJ1697" s="161"/>
      <c r="AK1697" s="76" t="s">
        <v>16566</v>
      </c>
      <c r="AL1697" s="269"/>
      <c r="AM1697" s="71" t="s">
        <v>16567</v>
      </c>
      <c r="AN1697" s="161"/>
      <c r="AO1697" s="161"/>
      <c r="AP1697" s="161"/>
      <c r="AQ1697" s="161"/>
      <c r="AR1697" s="161"/>
      <c r="AS1697" s="161"/>
      <c r="AT1697" s="161"/>
      <c r="AU1697" s="89"/>
      <c r="AV1697" s="162"/>
      <c r="AW1697" s="81"/>
    </row>
    <row r="1698" ht="15.75" customHeight="1">
      <c r="A1698" s="520"/>
      <c r="B1698" s="73"/>
      <c r="C1698" s="57" t="s">
        <v>10973</v>
      </c>
      <c r="D1698" s="104"/>
      <c r="E1698" s="104"/>
      <c r="F1698" s="79">
        <v>1.0</v>
      </c>
      <c r="G1698" s="84" t="s">
        <v>16568</v>
      </c>
      <c r="H1698" s="61" t="s">
        <v>91</v>
      </c>
      <c r="I1698" s="519" t="s">
        <v>12782</v>
      </c>
      <c r="J1698" s="71" t="s">
        <v>16248</v>
      </c>
      <c r="K1698" s="69"/>
      <c r="L1698" s="65" t="s">
        <v>3542</v>
      </c>
      <c r="M1698" s="61" t="s">
        <v>5590</v>
      </c>
      <c r="N1698" s="73"/>
      <c r="O1698" s="61" t="s">
        <v>5626</v>
      </c>
      <c r="P1698" s="67" t="str">
        <f>IF(ISBLANK(#REF!), "", CONCATENATE(#REF!,", ", #REF!))</f>
        <v>#REF!</v>
      </c>
      <c r="Q1698" s="67" t="str">
        <f>IF(ISBLANK(#REF!),"",CONCATENATE(R1698, ", ", S1698))</f>
        <v>bad coordinate, bad coordinate</v>
      </c>
      <c r="R1698" s="67" t="str">
        <f>IFERROR(IF(ISBLANK(#REF!), "", ROUND(#REF!-0.00001*SIN(MOD(POW(ROW()*1337,3/2),1)*PI())*(MOD(POW(ROW()*2337,3/2),1)*50+35),6)), "bad coordinate")</f>
        <v>bad coordinate</v>
      </c>
      <c r="S1698" s="67" t="str">
        <f>IFERROR(IF(ISBLANK(#REF!), "", ROUND(#REF!+0.000015*COS(MOD(POW(ROW()*1337,3/2),1)*PI())*(MOD(POW(ROW()*2337,3/2),1)*50+35),6)), "bad coordinate")</f>
        <v>bad coordinate</v>
      </c>
      <c r="T1698" s="71" t="s">
        <v>16569</v>
      </c>
      <c r="U1698" s="64" t="s">
        <v>9330</v>
      </c>
      <c r="V1698" s="65" t="s">
        <v>16570</v>
      </c>
      <c r="W1698" s="71" t="s">
        <v>15866</v>
      </c>
      <c r="X1698" s="194"/>
      <c r="Y1698" s="73"/>
      <c r="Z1698" s="73"/>
      <c r="AA1698" s="73"/>
      <c r="AB1698" s="73"/>
      <c r="AC1698" s="73"/>
      <c r="AD1698" s="73"/>
      <c r="AE1698" s="73"/>
      <c r="AF1698" s="73"/>
      <c r="AG1698" s="73"/>
      <c r="AH1698" s="73"/>
      <c r="AI1698" s="73"/>
      <c r="AJ1698" s="161"/>
      <c r="AK1698" s="76" t="s">
        <v>798</v>
      </c>
      <c r="AL1698" s="83" t="s">
        <v>16571</v>
      </c>
      <c r="AM1698" s="71" t="s">
        <v>16572</v>
      </c>
      <c r="AN1698" s="84" t="s">
        <v>16573</v>
      </c>
      <c r="AO1698" s="71" t="s">
        <v>16574</v>
      </c>
      <c r="AP1698" s="161" t="str">
        <f>IMAGE("https://bellingcat-archive.nyc3.cdn.digitaloceanspaces.com/Ukraine_Witness_Datasheet/Worksheet/youtube_dl_AFMeF2GJB34/out20.jpg")</f>
        <v/>
      </c>
      <c r="AQ1698" s="84" t="s">
        <v>16575</v>
      </c>
      <c r="AR1698" s="71" t="s">
        <v>16576</v>
      </c>
      <c r="AS1698" s="71" t="s">
        <v>11235</v>
      </c>
      <c r="AT1698" s="71">
        <v>90.0</v>
      </c>
      <c r="AU1698" s="89"/>
      <c r="AV1698" s="162"/>
      <c r="AW1698" s="81"/>
    </row>
    <row r="1699" ht="15.75" customHeight="1">
      <c r="A1699" s="520"/>
      <c r="B1699" s="73"/>
      <c r="C1699" s="57" t="s">
        <v>10973</v>
      </c>
      <c r="F1699" s="79">
        <v>1.0</v>
      </c>
      <c r="G1699" s="84" t="s">
        <v>16577</v>
      </c>
      <c r="H1699" s="61" t="s">
        <v>91</v>
      </c>
      <c r="I1699" s="519" t="s">
        <v>12782</v>
      </c>
      <c r="J1699" s="71" t="s">
        <v>16578</v>
      </c>
      <c r="K1699" s="69"/>
      <c r="L1699" s="65" t="s">
        <v>3542</v>
      </c>
      <c r="N1699" s="73"/>
      <c r="O1699" s="61" t="s">
        <v>16017</v>
      </c>
      <c r="P1699" s="67"/>
      <c r="Q1699" s="67"/>
      <c r="R1699" s="67"/>
      <c r="S1699" s="67"/>
      <c r="T1699" s="71"/>
      <c r="U1699" s="64" t="s">
        <v>9330</v>
      </c>
      <c r="V1699" s="65" t="s">
        <v>16579</v>
      </c>
      <c r="W1699" s="71" t="s">
        <v>15866</v>
      </c>
      <c r="X1699" s="194"/>
      <c r="Y1699" s="73"/>
      <c r="Z1699" s="73"/>
      <c r="AA1699" s="73"/>
      <c r="AB1699" s="73"/>
      <c r="AC1699" s="73"/>
      <c r="AD1699" s="73"/>
      <c r="AE1699" s="73"/>
      <c r="AF1699" s="73"/>
      <c r="AG1699" s="73"/>
      <c r="AH1699" s="73"/>
      <c r="AI1699" s="73"/>
      <c r="AJ1699" s="161"/>
      <c r="AK1699" s="76" t="s">
        <v>2108</v>
      </c>
      <c r="AL1699" s="83" t="s">
        <v>16580</v>
      </c>
      <c r="AM1699" s="71" t="s">
        <v>16581</v>
      </c>
      <c r="AN1699" s="84" t="s">
        <v>16582</v>
      </c>
      <c r="AO1699" s="71" t="s">
        <v>16583</v>
      </c>
      <c r="AP1699" s="161" t="str">
        <f>IMAGE("https://bellingcat-archive.nyc3.cdn.digitaloceanspaces.com/Ukraine_Witness_Datasheet/Worksheet/twitter__media_FM3Ly0QVgAItyqU.jpg")</f>
        <v/>
      </c>
      <c r="AQ1699" s="161"/>
      <c r="AR1699" s="161"/>
      <c r="AS1699" s="71" t="s">
        <v>16584</v>
      </c>
      <c r="AT1699" s="161"/>
      <c r="AU1699" s="89"/>
      <c r="AV1699" s="162"/>
      <c r="AW1699" s="81"/>
    </row>
    <row r="1700" ht="15.75" customHeight="1">
      <c r="A1700" s="518" t="s">
        <v>8023</v>
      </c>
      <c r="B1700" s="73"/>
      <c r="C1700" s="57" t="s">
        <v>10973</v>
      </c>
      <c r="D1700" s="104">
        <v>50.0037925155946</v>
      </c>
      <c r="E1700" s="104">
        <v>36.2298858651062</v>
      </c>
      <c r="F1700" s="79">
        <v>1.0</v>
      </c>
      <c r="G1700" s="84" t="s">
        <v>16585</v>
      </c>
      <c r="H1700" s="61" t="s">
        <v>91</v>
      </c>
      <c r="I1700" s="519" t="s">
        <v>12782</v>
      </c>
      <c r="J1700" s="71" t="s">
        <v>16321</v>
      </c>
      <c r="K1700" s="69"/>
      <c r="L1700" s="65" t="s">
        <v>3542</v>
      </c>
      <c r="M1700" s="61" t="s">
        <v>5590</v>
      </c>
      <c r="N1700" s="73"/>
      <c r="O1700" s="61" t="s">
        <v>5626</v>
      </c>
      <c r="P1700" s="67" t="str">
        <f t="shared" ref="P1700:P1890" si="19">IF(ISBLANK(D1700), "", CONCATENATE(D1700,", ", E1700))</f>
        <v>50.0037925155946, 36.2298858651062</v>
      </c>
      <c r="Q1700" s="67" t="str">
        <f t="shared" ref="Q1700:Q1897" si="20">IF(ISBLANK(D1700),"",CONCATENATE(R1700, ", ", S1700))</f>
        <v>50.003692, 36.228802</v>
      </c>
      <c r="R1700" s="67">
        <f t="shared" ref="R1700:R1897" si="21">IFERROR(IF(ISBLANK(D1700), "", ROUND(D1700-0.00001*SIN(MOD(POW(ROW()*1337,3/2),1)*PI())*(MOD(POW(ROW()*2337,3/2),1)*50+35),6)), "bad coordinate")</f>
        <v>50.003692</v>
      </c>
      <c r="S1700" s="67">
        <f t="shared" ref="S1700:S1897" si="22">IFERROR(IF(ISBLANK(E1700), "", ROUND(E1700+0.000015*COS(MOD(POW(ROW()*1337,3/2),1)*PI())*(MOD(POW(ROW()*2337,3/2),1)*50+35),6)), "bad coordinate")</f>
        <v>36.228802</v>
      </c>
      <c r="T1700" s="71" t="s">
        <v>16586</v>
      </c>
      <c r="U1700" s="64" t="s">
        <v>9330</v>
      </c>
      <c r="V1700" s="65" t="s">
        <v>16587</v>
      </c>
      <c r="W1700" s="71" t="s">
        <v>15866</v>
      </c>
      <c r="X1700" s="72" t="s">
        <v>5504</v>
      </c>
      <c r="Y1700" s="216" t="s">
        <v>5820</v>
      </c>
      <c r="Z1700" s="73"/>
      <c r="AA1700" s="73"/>
      <c r="AB1700" s="73"/>
      <c r="AC1700" s="73"/>
      <c r="AD1700" s="73"/>
      <c r="AE1700" s="73"/>
      <c r="AF1700" s="73"/>
      <c r="AG1700" s="73"/>
      <c r="AH1700" s="73"/>
      <c r="AI1700" s="73"/>
      <c r="AJ1700" s="161"/>
      <c r="AK1700" s="76" t="s">
        <v>6276</v>
      </c>
      <c r="AL1700" s="83" t="s">
        <v>16588</v>
      </c>
      <c r="AM1700" s="71" t="s">
        <v>16589</v>
      </c>
      <c r="AN1700" s="84" t="s">
        <v>16590</v>
      </c>
      <c r="AO1700" s="71" t="s">
        <v>16591</v>
      </c>
      <c r="AP1700" s="161"/>
      <c r="AQ1700" s="161"/>
      <c r="AR1700" s="161"/>
      <c r="AS1700" s="71" t="s">
        <v>16592</v>
      </c>
      <c r="AT1700" s="161"/>
      <c r="AU1700" s="89"/>
      <c r="AV1700" s="80" t="s">
        <v>3944</v>
      </c>
      <c r="AW1700" s="81"/>
    </row>
    <row r="1701" ht="15.75" customHeight="1">
      <c r="A1701" s="518" t="s">
        <v>8023</v>
      </c>
      <c r="B1701" s="73"/>
      <c r="C1701" s="57" t="s">
        <v>10973</v>
      </c>
      <c r="D1701" s="104">
        <v>50.4017595146353</v>
      </c>
      <c r="E1701" s="104">
        <v>30.5589556792588</v>
      </c>
      <c r="F1701" s="79">
        <v>1.0</v>
      </c>
      <c r="G1701" s="84" t="s">
        <v>16593</v>
      </c>
      <c r="H1701" s="61" t="s">
        <v>91</v>
      </c>
      <c r="I1701" s="519" t="s">
        <v>12782</v>
      </c>
      <c r="J1701" s="71" t="s">
        <v>16594</v>
      </c>
      <c r="K1701" s="69"/>
      <c r="L1701" s="65" t="s">
        <v>3542</v>
      </c>
      <c r="M1701" s="73"/>
      <c r="N1701" s="73"/>
      <c r="O1701" s="61" t="s">
        <v>6121</v>
      </c>
      <c r="P1701" s="67" t="str">
        <f t="shared" si="19"/>
        <v>50.4017595146353, 30.5589556792588</v>
      </c>
      <c r="Q1701" s="67" t="str">
        <f t="shared" si="20"/>
        <v>50.401384, 30.559059</v>
      </c>
      <c r="R1701" s="67">
        <f t="shared" si="21"/>
        <v>50.401384</v>
      </c>
      <c r="S1701" s="67">
        <f t="shared" si="22"/>
        <v>30.559059</v>
      </c>
      <c r="T1701" s="71" t="s">
        <v>16595</v>
      </c>
      <c r="U1701" s="64" t="s">
        <v>16596</v>
      </c>
      <c r="V1701" s="65" t="s">
        <v>16597</v>
      </c>
      <c r="W1701" s="71" t="s">
        <v>15866</v>
      </c>
      <c r="X1701" s="72" t="s">
        <v>5504</v>
      </c>
      <c r="Y1701" s="216" t="s">
        <v>5820</v>
      </c>
      <c r="Z1701" s="73"/>
      <c r="AA1701" s="73"/>
      <c r="AB1701" s="73"/>
      <c r="AC1701" s="73"/>
      <c r="AD1701" s="73"/>
      <c r="AE1701" s="73"/>
      <c r="AF1701" s="73"/>
      <c r="AG1701" s="73"/>
      <c r="AH1701" s="73"/>
      <c r="AI1701" s="73"/>
      <c r="AJ1701" s="161"/>
      <c r="AK1701" s="76" t="s">
        <v>2108</v>
      </c>
      <c r="AL1701" s="83" t="s">
        <v>16598</v>
      </c>
      <c r="AM1701" s="71" t="s">
        <v>16599</v>
      </c>
      <c r="AN1701" s="84" t="s">
        <v>16600</v>
      </c>
      <c r="AO1701" s="71" t="s">
        <v>16601</v>
      </c>
      <c r="AP1701" s="161" t="str">
        <f>IMAGE("https://bellingcat-archive.nyc3.cdn.digitaloceanspaces.com/Ukraine_Witness_Datasheet/Worksheet/twitter__media_FM73F02XwAEtRF_.jpg")</f>
        <v/>
      </c>
      <c r="AQ1701" s="161"/>
      <c r="AR1701" s="161"/>
      <c r="AS1701" s="71" t="s">
        <v>16602</v>
      </c>
      <c r="AT1701" s="161"/>
      <c r="AU1701" s="89"/>
      <c r="AV1701" s="80" t="s">
        <v>63</v>
      </c>
      <c r="AW1701" s="81"/>
    </row>
    <row r="1702" ht="15.75" customHeight="1">
      <c r="A1702" s="529" t="s">
        <v>6924</v>
      </c>
      <c r="B1702" s="73"/>
      <c r="C1702" s="57" t="s">
        <v>10973</v>
      </c>
      <c r="D1702" s="241" t="s">
        <v>16603</v>
      </c>
      <c r="E1702" s="241" t="s">
        <v>16604</v>
      </c>
      <c r="F1702" s="79">
        <v>1.0</v>
      </c>
      <c r="G1702" s="84" t="s">
        <v>16605</v>
      </c>
      <c r="H1702" s="61" t="s">
        <v>91</v>
      </c>
      <c r="I1702" s="519" t="s">
        <v>12782</v>
      </c>
      <c r="J1702" s="476" t="s">
        <v>16606</v>
      </c>
      <c r="K1702" s="69"/>
      <c r="L1702" s="65" t="s">
        <v>3542</v>
      </c>
      <c r="M1702" s="73"/>
      <c r="N1702" s="73"/>
      <c r="O1702" s="61" t="s">
        <v>5626</v>
      </c>
      <c r="P1702" s="67" t="str">
        <f t="shared" si="19"/>
        <v>50.025977, 36.341683</v>
      </c>
      <c r="Q1702" s="67" t="str">
        <f t="shared" si="20"/>
        <v>50.02583, 36.340559</v>
      </c>
      <c r="R1702" s="67">
        <f t="shared" si="21"/>
        <v>50.02583</v>
      </c>
      <c r="S1702" s="67">
        <f t="shared" si="22"/>
        <v>36.340559</v>
      </c>
      <c r="T1702" s="161"/>
      <c r="U1702" s="64" t="s">
        <v>9330</v>
      </c>
      <c r="V1702" s="65" t="s">
        <v>16607</v>
      </c>
      <c r="W1702" s="71" t="s">
        <v>15866</v>
      </c>
      <c r="X1702" s="194"/>
      <c r="Y1702" s="216" t="s">
        <v>5820</v>
      </c>
      <c r="Z1702" s="73"/>
      <c r="AA1702" s="73"/>
      <c r="AB1702" s="73"/>
      <c r="AC1702" s="73"/>
      <c r="AD1702" s="73"/>
      <c r="AE1702" s="73"/>
      <c r="AF1702" s="73"/>
      <c r="AG1702" s="73"/>
      <c r="AH1702" s="73"/>
      <c r="AI1702" s="73"/>
      <c r="AJ1702" s="161"/>
      <c r="AK1702" s="76" t="s">
        <v>6276</v>
      </c>
      <c r="AL1702" s="83" t="s">
        <v>16608</v>
      </c>
      <c r="AM1702" s="71" t="s">
        <v>16609</v>
      </c>
      <c r="AN1702" s="84" t="s">
        <v>16610</v>
      </c>
      <c r="AO1702" s="71" t="s">
        <v>16611</v>
      </c>
      <c r="AP1702" s="161" t="str">
        <f>IMAGE("https://bellingcat-archive.nyc3.cdn.digitaloceanspaces.com/Ukraine_Witness_Datasheet/Worksheet/telegram_n75d-M_E2AW7pBbwy7ZJ-lIedxg1uyGgevn3jky9ST5rf8eHWAq4G_9vDqsvbeEqow6FiwZb1k1kGUu3ZahnSyzAY50N0GnP8dGxjMBUzJ6oXku7bIxLVsDs4qlncE0w.jpg")</f>
        <v/>
      </c>
      <c r="AQ1702" s="161"/>
      <c r="AR1702" s="161"/>
      <c r="AS1702" s="71" t="s">
        <v>16612</v>
      </c>
      <c r="AT1702" s="161"/>
      <c r="AU1702" s="89"/>
      <c r="AV1702" s="162"/>
      <c r="AW1702" s="81"/>
    </row>
    <row r="1703" ht="15.75" customHeight="1">
      <c r="A1703" s="531" t="s">
        <v>6682</v>
      </c>
      <c r="B1703" s="73"/>
      <c r="C1703" s="57" t="s">
        <v>10973</v>
      </c>
      <c r="D1703" s="241" t="s">
        <v>16613</v>
      </c>
      <c r="E1703" s="241" t="s">
        <v>16614</v>
      </c>
      <c r="F1703" s="79">
        <v>1.0</v>
      </c>
      <c r="G1703" s="84" t="s">
        <v>16615</v>
      </c>
      <c r="H1703" s="104" t="s">
        <v>91</v>
      </c>
      <c r="I1703" s="522" t="s">
        <v>12782</v>
      </c>
      <c r="J1703" s="476" t="s">
        <v>16616</v>
      </c>
      <c r="K1703" s="69"/>
      <c r="L1703" s="65" t="s">
        <v>3542</v>
      </c>
      <c r="M1703" s="61" t="s">
        <v>5590</v>
      </c>
      <c r="N1703" s="73"/>
      <c r="O1703" s="61" t="s">
        <v>5626</v>
      </c>
      <c r="P1703" s="67" t="str">
        <f t="shared" si="19"/>
        <v>50.026061, 36.240783</v>
      </c>
      <c r="Q1703" s="67" t="str">
        <f t="shared" si="20"/>
        <v>50.025752, 36.241504</v>
      </c>
      <c r="R1703" s="67">
        <f t="shared" si="21"/>
        <v>50.025752</v>
      </c>
      <c r="S1703" s="67">
        <f t="shared" si="22"/>
        <v>36.241504</v>
      </c>
      <c r="T1703" s="161"/>
      <c r="U1703" s="64" t="s">
        <v>9330</v>
      </c>
      <c r="V1703" s="65" t="s">
        <v>16617</v>
      </c>
      <c r="W1703" s="71" t="s">
        <v>15866</v>
      </c>
      <c r="X1703" s="72" t="s">
        <v>5504</v>
      </c>
      <c r="Y1703" s="216" t="s">
        <v>5820</v>
      </c>
      <c r="Z1703" s="73"/>
      <c r="AA1703" s="73"/>
      <c r="AB1703" s="73"/>
      <c r="AC1703" s="73"/>
      <c r="AD1703" s="73"/>
      <c r="AE1703" s="73"/>
      <c r="AF1703" s="73"/>
      <c r="AG1703" s="73"/>
      <c r="AH1703" s="73"/>
      <c r="AI1703" s="73"/>
      <c r="AJ1703" s="161"/>
      <c r="AK1703" s="76" t="s">
        <v>6276</v>
      </c>
      <c r="AL1703" s="83" t="s">
        <v>16618</v>
      </c>
      <c r="AM1703" s="71" t="s">
        <v>16619</v>
      </c>
      <c r="AN1703" s="84" t="s">
        <v>16620</v>
      </c>
      <c r="AO1703" s="71" t="s">
        <v>16621</v>
      </c>
      <c r="AP1703" s="161" t="str">
        <f>IMAGE("https://bellingcat-archive.nyc3.cdn.digitaloceanspaces.com/Ukraine_Witness_Datasheet/Worksheet/telegram_1f1c462aa3/out3.jpg")</f>
        <v/>
      </c>
      <c r="AQ1703" s="84" t="s">
        <v>16622</v>
      </c>
      <c r="AR1703" s="84" t="s">
        <v>16615</v>
      </c>
      <c r="AS1703" s="71" t="s">
        <v>16623</v>
      </c>
      <c r="AT1703" s="71">
        <v>2.0</v>
      </c>
      <c r="AU1703" s="89"/>
      <c r="AV1703" s="80" t="s">
        <v>63</v>
      </c>
      <c r="AW1703" s="203"/>
    </row>
    <row r="1704" ht="15.75" customHeight="1">
      <c r="A1704" s="520"/>
      <c r="B1704" s="73"/>
      <c r="C1704" s="57" t="s">
        <v>10973</v>
      </c>
      <c r="D1704" s="121"/>
      <c r="E1704" s="121"/>
      <c r="F1704" s="79">
        <v>1.0</v>
      </c>
      <c r="G1704" s="84" t="s">
        <v>16624</v>
      </c>
      <c r="H1704" s="61" t="s">
        <v>5522</v>
      </c>
      <c r="I1704" s="519" t="s">
        <v>12782</v>
      </c>
      <c r="J1704" s="71" t="s">
        <v>16625</v>
      </c>
      <c r="K1704" s="69"/>
      <c r="L1704" s="65" t="s">
        <v>3542</v>
      </c>
      <c r="M1704" s="73"/>
      <c r="N1704" s="73"/>
      <c r="O1704" s="61" t="s">
        <v>5626</v>
      </c>
      <c r="P1704" s="67" t="str">
        <f t="shared" si="19"/>
        <v/>
      </c>
      <c r="Q1704" s="67" t="str">
        <f t="shared" si="20"/>
        <v/>
      </c>
      <c r="R1704" s="67" t="str">
        <f t="shared" si="21"/>
        <v/>
      </c>
      <c r="S1704" s="67" t="str">
        <f t="shared" si="22"/>
        <v/>
      </c>
      <c r="T1704" s="161"/>
      <c r="U1704" s="64" t="s">
        <v>16153</v>
      </c>
      <c r="V1704" s="65" t="s">
        <v>16626</v>
      </c>
      <c r="W1704" s="71" t="s">
        <v>15866</v>
      </c>
      <c r="X1704" s="194"/>
      <c r="Y1704" s="73"/>
      <c r="Z1704" s="73"/>
      <c r="AA1704" s="73"/>
      <c r="AB1704" s="73"/>
      <c r="AC1704" s="73"/>
      <c r="AD1704" s="73"/>
      <c r="AE1704" s="73"/>
      <c r="AF1704" s="73"/>
      <c r="AG1704" s="73"/>
      <c r="AH1704" s="73"/>
      <c r="AI1704" s="73"/>
      <c r="AJ1704" s="161"/>
      <c r="AK1704" s="76" t="s">
        <v>798</v>
      </c>
      <c r="AL1704" s="83" t="s">
        <v>16627</v>
      </c>
      <c r="AM1704" s="71" t="s">
        <v>16628</v>
      </c>
      <c r="AN1704" s="84" t="s">
        <v>16629</v>
      </c>
      <c r="AO1704" s="71" t="s">
        <v>16630</v>
      </c>
      <c r="AP1704" s="161" t="str">
        <f>IMAGE("https://bellingcat-archive.nyc3.cdn.digitaloceanspaces.com/Ukraine_Witness_Datasheet/Worksheet/youtube_dl_1498900283010822147/out7.jpg")</f>
        <v/>
      </c>
      <c r="AQ1704" s="84" t="s">
        <v>16631</v>
      </c>
      <c r="AR1704" s="71" t="s">
        <v>16632</v>
      </c>
      <c r="AS1704" s="71" t="s">
        <v>16633</v>
      </c>
      <c r="AT1704" s="71">
        <v>23.466</v>
      </c>
      <c r="AU1704" s="89"/>
      <c r="AV1704" s="162"/>
      <c r="AW1704" s="81"/>
    </row>
    <row r="1705" ht="15.75" customHeight="1">
      <c r="A1705" s="521" t="s">
        <v>12532</v>
      </c>
      <c r="B1705" s="73"/>
      <c r="C1705" s="57" t="s">
        <v>10973</v>
      </c>
      <c r="D1705" s="121"/>
      <c r="E1705" s="121"/>
      <c r="F1705" s="89"/>
      <c r="G1705" s="84" t="s">
        <v>16548</v>
      </c>
      <c r="H1705" s="73"/>
      <c r="I1705" s="519"/>
      <c r="J1705" s="161"/>
      <c r="K1705" s="69"/>
      <c r="L1705" s="65" t="s">
        <v>3542</v>
      </c>
      <c r="M1705" s="73"/>
      <c r="N1705" s="73"/>
      <c r="O1705" s="61" t="s">
        <v>5626</v>
      </c>
      <c r="P1705" s="67" t="str">
        <f t="shared" si="19"/>
        <v/>
      </c>
      <c r="Q1705" s="67" t="str">
        <f t="shared" si="20"/>
        <v/>
      </c>
      <c r="R1705" s="67" t="str">
        <f t="shared" si="21"/>
        <v/>
      </c>
      <c r="S1705" s="67" t="str">
        <f t="shared" si="22"/>
        <v/>
      </c>
      <c r="T1705" s="161"/>
      <c r="U1705" s="64" t="s">
        <v>9330</v>
      </c>
      <c r="V1705" s="65" t="s">
        <v>16634</v>
      </c>
      <c r="W1705" s="71" t="s">
        <v>15866</v>
      </c>
      <c r="X1705" s="194"/>
      <c r="Y1705" s="73"/>
      <c r="Z1705" s="73"/>
      <c r="AA1705" s="73"/>
      <c r="AB1705" s="73"/>
      <c r="AC1705" s="73"/>
      <c r="AD1705" s="73"/>
      <c r="AE1705" s="73"/>
      <c r="AF1705" s="73"/>
      <c r="AG1705" s="73"/>
      <c r="AH1705" s="73"/>
      <c r="AI1705" s="73"/>
      <c r="AJ1705" s="161"/>
      <c r="AK1705" s="76" t="s">
        <v>6276</v>
      </c>
      <c r="AL1705" s="83" t="s">
        <v>16550</v>
      </c>
      <c r="AM1705" s="71" t="s">
        <v>16635</v>
      </c>
      <c r="AN1705" s="84" t="s">
        <v>16636</v>
      </c>
      <c r="AO1705" s="71" t="s">
        <v>16637</v>
      </c>
      <c r="AP1705" s="161" t="str">
        <f>IMAGE("https://bellingcat-archive.nyc3.cdn.digitaloceanspaces.com/Ukraine_Witness_Datasheet/Worksheet/telegram_a5VUVsppzTQbeIMVemiCO6Pfxkyynx7Vgl6jPFZRrYx44ehCIwSw200DnBPJzeNVoLUiCCRaTlTcJxD1VgxYgfta8ST65vR-wUcfRDu_BEj2ORckQdqAPwfYZvFdJbaA.jpg")</f>
        <v/>
      </c>
      <c r="AQ1705" s="161"/>
      <c r="AR1705" s="161"/>
      <c r="AS1705" s="71" t="s">
        <v>16554</v>
      </c>
      <c r="AT1705" s="161"/>
      <c r="AU1705" s="89"/>
      <c r="AV1705" s="162"/>
      <c r="AW1705" s="81"/>
    </row>
    <row r="1706" ht="15.75" customHeight="1">
      <c r="A1706" s="520"/>
      <c r="B1706" s="73"/>
      <c r="C1706" s="57" t="s">
        <v>12959</v>
      </c>
      <c r="D1706" s="121"/>
      <c r="E1706" s="121"/>
      <c r="F1706" s="79">
        <v>1.0</v>
      </c>
      <c r="G1706" s="84" t="s">
        <v>16638</v>
      </c>
      <c r="H1706" s="61" t="s">
        <v>91</v>
      </c>
      <c r="I1706" s="519" t="s">
        <v>12782</v>
      </c>
      <c r="J1706" s="71" t="s">
        <v>16639</v>
      </c>
      <c r="K1706" s="69"/>
      <c r="L1706" s="65" t="s">
        <v>3542</v>
      </c>
      <c r="M1706" s="73"/>
      <c r="N1706" s="73"/>
      <c r="O1706" s="61" t="s">
        <v>16017</v>
      </c>
      <c r="P1706" s="67" t="str">
        <f t="shared" si="19"/>
        <v/>
      </c>
      <c r="Q1706" s="67" t="str">
        <f t="shared" si="20"/>
        <v/>
      </c>
      <c r="R1706" s="67" t="str">
        <f t="shared" si="21"/>
        <v/>
      </c>
      <c r="S1706" s="67" t="str">
        <f t="shared" si="22"/>
        <v/>
      </c>
      <c r="T1706" s="161"/>
      <c r="U1706" s="64" t="s">
        <v>16522</v>
      </c>
      <c r="V1706" s="65" t="s">
        <v>16640</v>
      </c>
      <c r="W1706" s="71" t="s">
        <v>15866</v>
      </c>
      <c r="X1706" s="194"/>
      <c r="Y1706" s="73"/>
      <c r="Z1706" s="73"/>
      <c r="AA1706" s="73"/>
      <c r="AB1706" s="73"/>
      <c r="AC1706" s="73"/>
      <c r="AD1706" s="73"/>
      <c r="AE1706" s="73"/>
      <c r="AF1706" s="73"/>
      <c r="AG1706" s="73"/>
      <c r="AH1706" s="73"/>
      <c r="AI1706" s="73"/>
      <c r="AJ1706" s="161"/>
      <c r="AK1706" s="76" t="s">
        <v>2108</v>
      </c>
      <c r="AL1706" s="83" t="s">
        <v>16641</v>
      </c>
      <c r="AM1706" s="71" t="s">
        <v>16642</v>
      </c>
      <c r="AN1706" s="84" t="s">
        <v>16643</v>
      </c>
      <c r="AO1706" s="71" t="s">
        <v>16644</v>
      </c>
      <c r="AP1706" s="161" t="str">
        <f>IMAGE("https://bellingcat-archive.nyc3.cdn.digitaloceanspaces.com/Ukraine_Witness_Datasheet/Worksheet/twitter__media_FM_cnXDX0AIwemx.jpg")</f>
        <v/>
      </c>
      <c r="AQ1706" s="161"/>
      <c r="AR1706" s="161"/>
      <c r="AS1706" s="71" t="s">
        <v>16645</v>
      </c>
      <c r="AT1706" s="161"/>
      <c r="AU1706" s="89"/>
      <c r="AV1706" s="162"/>
      <c r="AW1706" s="81"/>
    </row>
    <row r="1707" ht="15.75" customHeight="1">
      <c r="A1707" s="520"/>
      <c r="B1707" s="73"/>
      <c r="C1707" s="57" t="s">
        <v>12959</v>
      </c>
      <c r="D1707" s="121"/>
      <c r="E1707" s="121"/>
      <c r="F1707" s="79">
        <v>1.0</v>
      </c>
      <c r="G1707" s="84" t="s">
        <v>16646</v>
      </c>
      <c r="H1707" s="61" t="s">
        <v>91</v>
      </c>
      <c r="I1707" s="519" t="s">
        <v>12782</v>
      </c>
      <c r="J1707" s="71" t="s">
        <v>16647</v>
      </c>
      <c r="K1707" s="69"/>
      <c r="L1707" s="65" t="s">
        <v>3542</v>
      </c>
      <c r="M1707" s="73"/>
      <c r="N1707" s="73"/>
      <c r="O1707" s="61" t="s">
        <v>16648</v>
      </c>
      <c r="P1707" s="67" t="str">
        <f t="shared" si="19"/>
        <v/>
      </c>
      <c r="Q1707" s="67" t="str">
        <f t="shared" si="20"/>
        <v/>
      </c>
      <c r="R1707" s="67" t="str">
        <f t="shared" si="21"/>
        <v/>
      </c>
      <c r="S1707" s="67" t="str">
        <f t="shared" si="22"/>
        <v/>
      </c>
      <c r="T1707" s="161"/>
      <c r="U1707" s="64" t="s">
        <v>16649</v>
      </c>
      <c r="V1707" s="65" t="s">
        <v>16650</v>
      </c>
      <c r="W1707" s="71" t="s">
        <v>15866</v>
      </c>
      <c r="X1707" s="194"/>
      <c r="Y1707" s="73"/>
      <c r="Z1707" s="73"/>
      <c r="AA1707" s="73"/>
      <c r="AB1707" s="73"/>
      <c r="AC1707" s="73"/>
      <c r="AD1707" s="73"/>
      <c r="AE1707" s="73"/>
      <c r="AF1707" s="73"/>
      <c r="AG1707" s="73"/>
      <c r="AH1707" s="73"/>
      <c r="AI1707" s="73"/>
      <c r="AJ1707" s="161"/>
      <c r="AK1707" s="76" t="s">
        <v>6276</v>
      </c>
      <c r="AL1707" s="83" t="s">
        <v>16651</v>
      </c>
      <c r="AM1707" s="71" t="s">
        <v>16652</v>
      </c>
      <c r="AN1707" s="84" t="s">
        <v>16653</v>
      </c>
      <c r="AO1707" s="71" t="s">
        <v>16654</v>
      </c>
      <c r="AP1707" s="161" t="str">
        <f>IMAGE("https://bellingcat-archive.nyc3.cdn.digitaloceanspaces.com/Ukraine_Witness_Datasheet/Worksheet/telegram_lQYc7L60IK0NtkWljOhJEMqp63Z5fCgO1ciAinDh5DpN5txo1VhkcMYE5AD6hkHBfvVozCALmVqU4k2FedSnmyT9k3F4KrUSN-xNxSgjgN64EnB1TY9bWHiSeGs98aow.jpg")</f>
        <v/>
      </c>
      <c r="AQ1707" s="161"/>
      <c r="AR1707" s="161"/>
      <c r="AS1707" s="71" t="s">
        <v>16655</v>
      </c>
      <c r="AT1707" s="161"/>
      <c r="AU1707" s="89"/>
      <c r="AV1707" s="162"/>
      <c r="AW1707" s="81"/>
    </row>
    <row r="1708" ht="15.75" customHeight="1">
      <c r="A1708" s="520"/>
      <c r="B1708" s="73"/>
      <c r="C1708" s="57" t="s">
        <v>12959</v>
      </c>
      <c r="D1708" s="121"/>
      <c r="E1708" s="121"/>
      <c r="F1708" s="79">
        <v>1.0</v>
      </c>
      <c r="G1708" s="84" t="s">
        <v>16656</v>
      </c>
      <c r="H1708" s="61" t="s">
        <v>91</v>
      </c>
      <c r="I1708" s="519" t="s">
        <v>12782</v>
      </c>
      <c r="J1708" s="71" t="s">
        <v>16657</v>
      </c>
      <c r="K1708" s="69"/>
      <c r="L1708" s="65" t="s">
        <v>3542</v>
      </c>
      <c r="M1708" s="73"/>
      <c r="N1708" s="73"/>
      <c r="O1708" s="61" t="s">
        <v>5626</v>
      </c>
      <c r="P1708" s="67" t="str">
        <f t="shared" si="19"/>
        <v/>
      </c>
      <c r="Q1708" s="67" t="str">
        <f t="shared" si="20"/>
        <v/>
      </c>
      <c r="R1708" s="67" t="str">
        <f t="shared" si="21"/>
        <v/>
      </c>
      <c r="S1708" s="67" t="str">
        <f t="shared" si="22"/>
        <v/>
      </c>
      <c r="T1708" s="161"/>
      <c r="U1708" s="64" t="s">
        <v>16153</v>
      </c>
      <c r="V1708" s="65" t="s">
        <v>16658</v>
      </c>
      <c r="W1708" s="71" t="s">
        <v>15866</v>
      </c>
      <c r="X1708" s="194"/>
      <c r="Y1708" s="73"/>
      <c r="Z1708" s="73"/>
      <c r="AA1708" s="73"/>
      <c r="AB1708" s="73"/>
      <c r="AC1708" s="73"/>
      <c r="AD1708" s="73"/>
      <c r="AE1708" s="73"/>
      <c r="AF1708" s="73"/>
      <c r="AG1708" s="73"/>
      <c r="AH1708" s="73"/>
      <c r="AI1708" s="73"/>
      <c r="AJ1708" s="161"/>
      <c r="AK1708" s="76" t="s">
        <v>1261</v>
      </c>
      <c r="AL1708" s="83" t="s">
        <v>16659</v>
      </c>
      <c r="AM1708" s="71" t="s">
        <v>16660</v>
      </c>
      <c r="AN1708" s="84" t="s">
        <v>16661</v>
      </c>
      <c r="AO1708" s="161"/>
      <c r="AP1708" s="161"/>
      <c r="AQ1708" s="161"/>
      <c r="AR1708" s="71" t="s">
        <v>10489</v>
      </c>
      <c r="AS1708" s="161"/>
      <c r="AT1708" s="161"/>
      <c r="AU1708" s="89"/>
      <c r="AV1708" s="162"/>
      <c r="AW1708" s="81"/>
    </row>
    <row r="1709" ht="15.75" customHeight="1">
      <c r="A1709" s="520"/>
      <c r="B1709" s="73"/>
      <c r="C1709" s="57" t="s">
        <v>12959</v>
      </c>
      <c r="D1709" s="121"/>
      <c r="E1709" s="121"/>
      <c r="F1709" s="79">
        <v>1.0</v>
      </c>
      <c r="G1709" s="84" t="s">
        <v>16662</v>
      </c>
      <c r="H1709" s="61" t="s">
        <v>91</v>
      </c>
      <c r="I1709" s="519" t="s">
        <v>12782</v>
      </c>
      <c r="J1709" s="71" t="s">
        <v>16663</v>
      </c>
      <c r="K1709" s="69"/>
      <c r="L1709" s="65" t="s">
        <v>3542</v>
      </c>
      <c r="M1709" s="73"/>
      <c r="N1709" s="73"/>
      <c r="O1709" s="61" t="s">
        <v>5626</v>
      </c>
      <c r="P1709" s="67" t="str">
        <f t="shared" si="19"/>
        <v/>
      </c>
      <c r="Q1709" s="67" t="str">
        <f t="shared" si="20"/>
        <v/>
      </c>
      <c r="R1709" s="67" t="str">
        <f t="shared" si="21"/>
        <v/>
      </c>
      <c r="S1709" s="67" t="str">
        <f t="shared" si="22"/>
        <v/>
      </c>
      <c r="T1709" s="161"/>
      <c r="U1709" s="64" t="s">
        <v>16664</v>
      </c>
      <c r="V1709" s="65" t="s">
        <v>16665</v>
      </c>
      <c r="W1709" s="71" t="s">
        <v>15866</v>
      </c>
      <c r="X1709" s="194"/>
      <c r="Y1709" s="73"/>
      <c r="Z1709" s="73"/>
      <c r="AA1709" s="73"/>
      <c r="AB1709" s="73"/>
      <c r="AC1709" s="73"/>
      <c r="AD1709" s="73"/>
      <c r="AE1709" s="73"/>
      <c r="AF1709" s="73"/>
      <c r="AG1709" s="73"/>
      <c r="AH1709" s="73"/>
      <c r="AI1709" s="73"/>
      <c r="AJ1709" s="161"/>
      <c r="AK1709" s="76" t="s">
        <v>6276</v>
      </c>
      <c r="AL1709" s="83" t="s">
        <v>16666</v>
      </c>
      <c r="AM1709" s="71" t="s">
        <v>16667</v>
      </c>
      <c r="AN1709" s="84" t="s">
        <v>16668</v>
      </c>
      <c r="AO1709" s="71" t="s">
        <v>16669</v>
      </c>
      <c r="AP1709" s="161"/>
      <c r="AQ1709" s="161"/>
      <c r="AR1709" s="161"/>
      <c r="AS1709" s="71" t="s">
        <v>16670</v>
      </c>
      <c r="AT1709" s="161"/>
      <c r="AU1709" s="89"/>
      <c r="AV1709" s="162"/>
      <c r="AW1709" s="81"/>
    </row>
    <row r="1710" ht="15.75" customHeight="1">
      <c r="A1710" s="520"/>
      <c r="B1710" s="73"/>
      <c r="C1710" s="57" t="s">
        <v>12959</v>
      </c>
      <c r="D1710" s="121"/>
      <c r="E1710" s="121"/>
      <c r="F1710" s="79">
        <v>1.0</v>
      </c>
      <c r="G1710" s="84" t="s">
        <v>16662</v>
      </c>
      <c r="H1710" s="61" t="s">
        <v>91</v>
      </c>
      <c r="I1710" s="519" t="s">
        <v>12782</v>
      </c>
      <c r="J1710" s="71" t="s">
        <v>16115</v>
      </c>
      <c r="K1710" s="69"/>
      <c r="L1710" s="65" t="s">
        <v>3542</v>
      </c>
      <c r="M1710" s="73"/>
      <c r="N1710" s="73"/>
      <c r="O1710" s="61" t="s">
        <v>5626</v>
      </c>
      <c r="P1710" s="67" t="str">
        <f t="shared" si="19"/>
        <v/>
      </c>
      <c r="Q1710" s="67" t="str">
        <f t="shared" si="20"/>
        <v/>
      </c>
      <c r="R1710" s="67" t="str">
        <f t="shared" si="21"/>
        <v/>
      </c>
      <c r="S1710" s="67" t="str">
        <f t="shared" si="22"/>
        <v/>
      </c>
      <c r="T1710" s="161"/>
      <c r="U1710" s="64" t="s">
        <v>16153</v>
      </c>
      <c r="V1710" s="65" t="s">
        <v>16671</v>
      </c>
      <c r="W1710" s="71" t="s">
        <v>15866</v>
      </c>
      <c r="X1710" s="194"/>
      <c r="Y1710" s="73"/>
      <c r="Z1710" s="73"/>
      <c r="AA1710" s="73"/>
      <c r="AB1710" s="73"/>
      <c r="AC1710" s="73"/>
      <c r="AD1710" s="73"/>
      <c r="AE1710" s="73"/>
      <c r="AF1710" s="73"/>
      <c r="AG1710" s="73"/>
      <c r="AH1710" s="73"/>
      <c r="AI1710" s="73"/>
      <c r="AJ1710" s="161"/>
      <c r="AK1710" s="76" t="s">
        <v>6276</v>
      </c>
      <c r="AL1710" s="83" t="s">
        <v>16666</v>
      </c>
      <c r="AM1710" s="71" t="s">
        <v>16672</v>
      </c>
      <c r="AN1710" s="84" t="s">
        <v>16673</v>
      </c>
      <c r="AO1710" s="71" t="s">
        <v>16674</v>
      </c>
      <c r="AP1710" s="161" t="str">
        <f t="shared" ref="AP1710:AP1711" si="23">IMAGE("https://bellingcat-archive.nyc3.cdn.digitaloceanspaces.com/Ukraine_Witness_Datasheet/Worksheet/telegram_qjmR3IHG6PDXPqRQ0EENO1a8ddogotcO0OsPPDI3a9JZwH9KEBBmXFxnQ63FGIsCTjsZ7nmSVKRFUdiG_WnZgIJIFtG_gp8d4DNZJn7aswytjfXUxGvBta9Gmib-wVwQ.jpg")</f>
        <v/>
      </c>
      <c r="AQ1710" s="161"/>
      <c r="AR1710" s="161"/>
      <c r="AS1710" s="71" t="s">
        <v>16675</v>
      </c>
      <c r="AT1710" s="161"/>
      <c r="AU1710" s="89"/>
      <c r="AV1710" s="162"/>
      <c r="AW1710" s="81"/>
    </row>
    <row r="1711" ht="15.75" customHeight="1">
      <c r="A1711" s="520"/>
      <c r="B1711" s="73"/>
      <c r="C1711" s="57" t="s">
        <v>12959</v>
      </c>
      <c r="D1711" s="121"/>
      <c r="E1711" s="121"/>
      <c r="F1711" s="79">
        <v>1.0</v>
      </c>
      <c r="G1711" s="84" t="s">
        <v>16662</v>
      </c>
      <c r="H1711" s="61" t="s">
        <v>91</v>
      </c>
      <c r="I1711" s="519" t="s">
        <v>12782</v>
      </c>
      <c r="J1711" s="71" t="s">
        <v>16152</v>
      </c>
      <c r="K1711" s="69"/>
      <c r="L1711" s="65" t="s">
        <v>3542</v>
      </c>
      <c r="M1711" s="73"/>
      <c r="N1711" s="73"/>
      <c r="O1711" s="61" t="s">
        <v>5626</v>
      </c>
      <c r="P1711" s="67" t="str">
        <f t="shared" si="19"/>
        <v/>
      </c>
      <c r="Q1711" s="67" t="str">
        <f t="shared" si="20"/>
        <v/>
      </c>
      <c r="R1711" s="67" t="str">
        <f t="shared" si="21"/>
        <v/>
      </c>
      <c r="S1711" s="67" t="str">
        <f t="shared" si="22"/>
        <v/>
      </c>
      <c r="T1711" s="161"/>
      <c r="U1711" s="64" t="s">
        <v>9330</v>
      </c>
      <c r="V1711" s="65" t="s">
        <v>16676</v>
      </c>
      <c r="W1711" s="71" t="s">
        <v>15866</v>
      </c>
      <c r="X1711" s="194"/>
      <c r="Y1711" s="73"/>
      <c r="Z1711" s="73"/>
      <c r="AA1711" s="73"/>
      <c r="AB1711" s="73"/>
      <c r="AC1711" s="73"/>
      <c r="AD1711" s="73"/>
      <c r="AE1711" s="73"/>
      <c r="AF1711" s="73"/>
      <c r="AG1711" s="73"/>
      <c r="AH1711" s="73"/>
      <c r="AI1711" s="73"/>
      <c r="AJ1711" s="161"/>
      <c r="AK1711" s="76" t="s">
        <v>6276</v>
      </c>
      <c r="AL1711" s="83" t="s">
        <v>16666</v>
      </c>
      <c r="AM1711" s="71" t="s">
        <v>16677</v>
      </c>
      <c r="AN1711" s="84" t="s">
        <v>16678</v>
      </c>
      <c r="AO1711" s="71" t="s">
        <v>16679</v>
      </c>
      <c r="AP1711" s="161" t="str">
        <f t="shared" si="23"/>
        <v/>
      </c>
      <c r="AQ1711" s="161"/>
      <c r="AR1711" s="161"/>
      <c r="AS1711" s="71" t="s">
        <v>16675</v>
      </c>
      <c r="AT1711" s="161"/>
      <c r="AU1711" s="89"/>
      <c r="AV1711" s="162"/>
      <c r="AW1711" s="81"/>
    </row>
    <row r="1712" ht="15.75" customHeight="1">
      <c r="A1712" s="520"/>
      <c r="B1712" s="73"/>
      <c r="C1712" s="57" t="s">
        <v>12959</v>
      </c>
      <c r="D1712" s="121"/>
      <c r="E1712" s="121"/>
      <c r="F1712" s="79">
        <v>1.0</v>
      </c>
      <c r="G1712" s="84" t="s">
        <v>16680</v>
      </c>
      <c r="H1712" s="61" t="s">
        <v>91</v>
      </c>
      <c r="I1712" s="519" t="s">
        <v>12782</v>
      </c>
      <c r="J1712" s="71" t="s">
        <v>16248</v>
      </c>
      <c r="K1712" s="69"/>
      <c r="L1712" s="65" t="s">
        <v>3542</v>
      </c>
      <c r="M1712" s="73"/>
      <c r="N1712" s="73"/>
      <c r="O1712" s="61" t="s">
        <v>5626</v>
      </c>
      <c r="P1712" s="67" t="str">
        <f t="shared" si="19"/>
        <v/>
      </c>
      <c r="Q1712" s="67" t="str">
        <f t="shared" si="20"/>
        <v/>
      </c>
      <c r="R1712" s="67" t="str">
        <f t="shared" si="21"/>
        <v/>
      </c>
      <c r="S1712" s="67" t="str">
        <f t="shared" si="22"/>
        <v/>
      </c>
      <c r="T1712" s="161"/>
      <c r="U1712" s="64" t="s">
        <v>16017</v>
      </c>
      <c r="V1712" s="65" t="s">
        <v>16681</v>
      </c>
      <c r="W1712" s="71" t="s">
        <v>15866</v>
      </c>
      <c r="X1712" s="194"/>
      <c r="Y1712" s="73"/>
      <c r="Z1712" s="73"/>
      <c r="AA1712" s="73"/>
      <c r="AB1712" s="73"/>
      <c r="AC1712" s="73"/>
      <c r="AD1712" s="73"/>
      <c r="AE1712" s="73"/>
      <c r="AF1712" s="73"/>
      <c r="AG1712" s="73"/>
      <c r="AH1712" s="73"/>
      <c r="AI1712" s="73"/>
      <c r="AJ1712" s="161"/>
      <c r="AK1712" s="76" t="s">
        <v>6276</v>
      </c>
      <c r="AL1712" s="83" t="s">
        <v>16682</v>
      </c>
      <c r="AM1712" s="71" t="s">
        <v>16683</v>
      </c>
      <c r="AN1712" s="84" t="s">
        <v>16684</v>
      </c>
      <c r="AO1712" s="71" t="s">
        <v>16685</v>
      </c>
      <c r="AP1712" s="161" t="str">
        <f>IMAGE("https://bellingcat-archive.nyc3.cdn.digitaloceanspaces.com/Ukraine_Witness_Datasheet/Worksheet/telegram_NDbwY4wGQlpu2PiR_WLJiHvJhghyje07c1w82y1k5GGKxOMVG78grzsGB9kDN1Yo48sk4GLP9JjCe_ZF3E9YE6UFnMJPfqBfML0yyAjdWBwqIATk_DF4mqEw4jE6_5yQ.jpg")</f>
        <v/>
      </c>
      <c r="AQ1712" s="161"/>
      <c r="AR1712" s="161"/>
      <c r="AS1712" s="71" t="s">
        <v>16686</v>
      </c>
      <c r="AT1712" s="161"/>
      <c r="AU1712" s="89"/>
      <c r="AV1712" s="162"/>
      <c r="AW1712" s="81"/>
    </row>
    <row r="1713" ht="15.75" customHeight="1">
      <c r="A1713" s="520"/>
      <c r="B1713" s="73"/>
      <c r="C1713" s="57" t="s">
        <v>12959</v>
      </c>
      <c r="D1713" s="121"/>
      <c r="E1713" s="121"/>
      <c r="F1713" s="79">
        <v>1.0</v>
      </c>
      <c r="G1713" s="84" t="s">
        <v>16687</v>
      </c>
      <c r="H1713" s="61" t="s">
        <v>91</v>
      </c>
      <c r="I1713" s="519" t="s">
        <v>12782</v>
      </c>
      <c r="J1713" s="71" t="s">
        <v>16688</v>
      </c>
      <c r="K1713" s="69"/>
      <c r="L1713" s="65" t="s">
        <v>3542</v>
      </c>
      <c r="M1713" s="73"/>
      <c r="N1713" s="73"/>
      <c r="O1713" s="61" t="s">
        <v>5626</v>
      </c>
      <c r="P1713" s="67" t="str">
        <f t="shared" si="19"/>
        <v/>
      </c>
      <c r="Q1713" s="67" t="str">
        <f t="shared" si="20"/>
        <v/>
      </c>
      <c r="R1713" s="67" t="str">
        <f t="shared" si="21"/>
        <v/>
      </c>
      <c r="S1713" s="67" t="str">
        <f t="shared" si="22"/>
        <v/>
      </c>
      <c r="T1713" s="161"/>
      <c r="U1713" s="64" t="s">
        <v>9330</v>
      </c>
      <c r="V1713" s="65" t="s">
        <v>16689</v>
      </c>
      <c r="W1713" s="71" t="s">
        <v>15866</v>
      </c>
      <c r="X1713" s="194"/>
      <c r="Y1713" s="73"/>
      <c r="Z1713" s="73"/>
      <c r="AA1713" s="73"/>
      <c r="AB1713" s="73"/>
      <c r="AC1713" s="73"/>
      <c r="AD1713" s="73"/>
      <c r="AE1713" s="73"/>
      <c r="AF1713" s="73"/>
      <c r="AG1713" s="73"/>
      <c r="AH1713" s="73"/>
      <c r="AI1713" s="73"/>
      <c r="AJ1713" s="161"/>
      <c r="AK1713" s="76" t="s">
        <v>2108</v>
      </c>
      <c r="AL1713" s="83" t="s">
        <v>16690</v>
      </c>
      <c r="AM1713" s="71" t="s">
        <v>16691</v>
      </c>
      <c r="AN1713" s="84" t="s">
        <v>16692</v>
      </c>
      <c r="AO1713" s="71" t="s">
        <v>16693</v>
      </c>
      <c r="AP1713" s="161" t="str">
        <f>IMAGE("https://bellingcat-archive.nyc3.cdn.digitaloceanspaces.com/Ukraine_Witness_Datasheet/Worksheet/twitter__media_FNA4_RWWUAAIiLw.jpg")</f>
        <v/>
      </c>
      <c r="AQ1713" s="161"/>
      <c r="AR1713" s="161"/>
      <c r="AS1713" s="71" t="s">
        <v>16694</v>
      </c>
      <c r="AT1713" s="161"/>
      <c r="AU1713" s="89"/>
      <c r="AV1713" s="162"/>
      <c r="AW1713" s="81"/>
    </row>
    <row r="1714" ht="15.75" customHeight="1">
      <c r="A1714" s="532" t="s">
        <v>15467</v>
      </c>
      <c r="B1714" s="73"/>
      <c r="C1714" s="57" t="s">
        <v>13542</v>
      </c>
      <c r="D1714" s="121"/>
      <c r="E1714" s="121"/>
      <c r="F1714" s="79">
        <v>1.0</v>
      </c>
      <c r="G1714" s="84" t="s">
        <v>16695</v>
      </c>
      <c r="H1714" s="104" t="s">
        <v>91</v>
      </c>
      <c r="I1714" s="522" t="s">
        <v>12782</v>
      </c>
      <c r="J1714" s="71" t="s">
        <v>15975</v>
      </c>
      <c r="K1714" s="69"/>
      <c r="L1714" s="65" t="s">
        <v>3542</v>
      </c>
      <c r="M1714" s="73"/>
      <c r="N1714" s="73"/>
      <c r="O1714" s="61" t="s">
        <v>5626</v>
      </c>
      <c r="P1714" s="67" t="str">
        <f t="shared" si="19"/>
        <v/>
      </c>
      <c r="Q1714" s="67" t="str">
        <f t="shared" si="20"/>
        <v/>
      </c>
      <c r="R1714" s="67" t="str">
        <f t="shared" si="21"/>
        <v/>
      </c>
      <c r="S1714" s="67" t="str">
        <f t="shared" si="22"/>
        <v/>
      </c>
      <c r="T1714" s="161"/>
      <c r="U1714" s="64" t="s">
        <v>9330</v>
      </c>
      <c r="V1714" s="65" t="s">
        <v>16696</v>
      </c>
      <c r="W1714" s="71" t="s">
        <v>15866</v>
      </c>
      <c r="X1714" s="17" t="s">
        <v>9</v>
      </c>
      <c r="Y1714" s="73"/>
      <c r="Z1714" s="73"/>
      <c r="AA1714" s="73"/>
      <c r="AB1714" s="73"/>
      <c r="AC1714" s="73"/>
      <c r="AD1714" s="73"/>
      <c r="AE1714" s="73"/>
      <c r="AF1714" s="73"/>
      <c r="AG1714" s="73"/>
      <c r="AH1714" s="73"/>
      <c r="AI1714" s="73"/>
      <c r="AJ1714" s="161"/>
      <c r="AK1714" s="76" t="s">
        <v>6276</v>
      </c>
      <c r="AL1714" s="83" t="s">
        <v>16697</v>
      </c>
      <c r="AM1714" s="71" t="s">
        <v>16698</v>
      </c>
      <c r="AN1714" s="84" t="s">
        <v>16699</v>
      </c>
      <c r="AO1714" s="71" t="s">
        <v>16700</v>
      </c>
      <c r="AP1714" s="161" t="str">
        <f>IMAGE("https://bellingcat-archive.nyc3.cdn.digitaloceanspaces.com/Ukraine_Witness_Datasheet/Worksheet/telegram_2NH7n0IQ_d83UeOuCxxNDYqDeofqfXYKHWkovdGnLIprX-qLHNsxZjibfgWOVlJP3sOJWF4X3wGj4kCoUTK8ih_HiJecnvKzs8TJOpFkcnymqWoEbmlbqElEyi8YMqKg.jpg")</f>
        <v/>
      </c>
      <c r="AQ1714" s="161"/>
      <c r="AR1714" s="161"/>
      <c r="AS1714" s="71" t="s">
        <v>16701</v>
      </c>
      <c r="AT1714" s="161"/>
      <c r="AU1714" s="89"/>
      <c r="AV1714" s="162"/>
      <c r="AW1714" s="81"/>
    </row>
    <row r="1715" ht="15.75" customHeight="1">
      <c r="A1715" s="520"/>
      <c r="B1715" s="73"/>
      <c r="C1715" s="57" t="s">
        <v>13542</v>
      </c>
      <c r="D1715" s="121"/>
      <c r="E1715" s="121"/>
      <c r="F1715" s="79">
        <v>1.0</v>
      </c>
      <c r="G1715" s="84" t="s">
        <v>16702</v>
      </c>
      <c r="H1715" s="61" t="s">
        <v>91</v>
      </c>
      <c r="I1715" s="519" t="s">
        <v>12782</v>
      </c>
      <c r="J1715" s="71" t="s">
        <v>16703</v>
      </c>
      <c r="K1715" s="69"/>
      <c r="L1715" s="65" t="s">
        <v>3542</v>
      </c>
      <c r="M1715" s="73"/>
      <c r="N1715" s="73"/>
      <c r="O1715" s="61" t="s">
        <v>8524</v>
      </c>
      <c r="P1715" s="67" t="str">
        <f t="shared" si="19"/>
        <v/>
      </c>
      <c r="Q1715" s="67" t="str">
        <f t="shared" si="20"/>
        <v/>
      </c>
      <c r="R1715" s="67" t="str">
        <f t="shared" si="21"/>
        <v/>
      </c>
      <c r="S1715" s="67" t="str">
        <f t="shared" si="22"/>
        <v/>
      </c>
      <c r="T1715" s="161"/>
      <c r="U1715" s="64" t="s">
        <v>9330</v>
      </c>
      <c r="V1715" s="65" t="s">
        <v>16704</v>
      </c>
      <c r="W1715" s="71" t="s">
        <v>15866</v>
      </c>
      <c r="X1715" s="194"/>
      <c r="Y1715" s="73"/>
      <c r="Z1715" s="73"/>
      <c r="AA1715" s="73"/>
      <c r="AB1715" s="73"/>
      <c r="AC1715" s="73"/>
      <c r="AD1715" s="73"/>
      <c r="AE1715" s="73"/>
      <c r="AF1715" s="73"/>
      <c r="AG1715" s="73"/>
      <c r="AH1715" s="73"/>
      <c r="AI1715" s="73"/>
      <c r="AJ1715" s="161"/>
      <c r="AK1715" s="76" t="s">
        <v>2108</v>
      </c>
      <c r="AL1715" s="83" t="s">
        <v>16705</v>
      </c>
      <c r="AM1715" s="71" t="s">
        <v>16706</v>
      </c>
      <c r="AN1715" s="84" t="s">
        <v>16707</v>
      </c>
      <c r="AO1715" s="71" t="s">
        <v>16708</v>
      </c>
      <c r="AP1715" s="161" t="str">
        <f>IMAGE("https://bellingcat-archive.nyc3.cdn.digitaloceanspaces.com/Ukraine_Witness_Datasheet/Worksheet/twitter__media_FNEDrykXoAAcJ17.jpg")</f>
        <v/>
      </c>
      <c r="AQ1715" s="161"/>
      <c r="AR1715" s="161"/>
      <c r="AS1715" s="71" t="s">
        <v>16709</v>
      </c>
      <c r="AT1715" s="161"/>
      <c r="AU1715" s="89"/>
      <c r="AV1715" s="162"/>
      <c r="AW1715" s="81"/>
    </row>
    <row r="1716" ht="15.75" customHeight="1">
      <c r="A1716" s="521" t="s">
        <v>12532</v>
      </c>
      <c r="B1716" s="73"/>
      <c r="C1716" s="57" t="s">
        <v>13542</v>
      </c>
      <c r="D1716" s="121"/>
      <c r="E1716" s="121"/>
      <c r="F1716" s="79"/>
      <c r="G1716" s="84" t="s">
        <v>16710</v>
      </c>
      <c r="H1716" s="61"/>
      <c r="I1716" s="519"/>
      <c r="J1716" s="71"/>
      <c r="K1716" s="69"/>
      <c r="L1716" s="65" t="s">
        <v>3542</v>
      </c>
      <c r="M1716" s="73"/>
      <c r="N1716" s="73"/>
      <c r="O1716" s="61" t="s">
        <v>16017</v>
      </c>
      <c r="P1716" s="67" t="str">
        <f t="shared" si="19"/>
        <v/>
      </c>
      <c r="Q1716" s="67" t="str">
        <f t="shared" si="20"/>
        <v/>
      </c>
      <c r="R1716" s="67" t="str">
        <f t="shared" si="21"/>
        <v/>
      </c>
      <c r="S1716" s="67" t="str">
        <f t="shared" si="22"/>
        <v/>
      </c>
      <c r="T1716" s="161"/>
      <c r="U1716" s="64" t="s">
        <v>16711</v>
      </c>
      <c r="V1716" s="65" t="s">
        <v>16712</v>
      </c>
      <c r="W1716" s="71" t="s">
        <v>15866</v>
      </c>
      <c r="X1716" s="194"/>
      <c r="Y1716" s="73"/>
      <c r="Z1716" s="73"/>
      <c r="AA1716" s="73"/>
      <c r="AB1716" s="73"/>
      <c r="AC1716" s="73"/>
      <c r="AD1716" s="73"/>
      <c r="AE1716" s="73"/>
      <c r="AF1716" s="73"/>
      <c r="AG1716" s="73"/>
      <c r="AH1716" s="73"/>
      <c r="AI1716" s="73"/>
      <c r="AJ1716" s="161"/>
      <c r="AK1716" s="76" t="s">
        <v>2108</v>
      </c>
      <c r="AL1716" s="83" t="s">
        <v>16713</v>
      </c>
      <c r="AM1716" s="71" t="s">
        <v>16714</v>
      </c>
      <c r="AN1716" s="84" t="s">
        <v>16715</v>
      </c>
      <c r="AO1716" s="71" t="s">
        <v>16716</v>
      </c>
      <c r="AP1716" s="161" t="str">
        <f>IMAGE("https://bellingcat-archive.nyc3.cdn.digitaloceanspaces.com/Ukraine_Witness_Datasheet/Worksheet/twitter__media_FNGEwHJWUAcq5u9.jpg")</f>
        <v/>
      </c>
      <c r="AQ1716" s="161"/>
      <c r="AR1716" s="161"/>
      <c r="AS1716" s="71" t="s">
        <v>16717</v>
      </c>
      <c r="AT1716" s="161"/>
      <c r="AU1716" s="89"/>
      <c r="AV1716" s="162"/>
      <c r="AW1716" s="81"/>
    </row>
    <row r="1717" ht="15.75" customHeight="1">
      <c r="A1717" s="520"/>
      <c r="B1717" s="73"/>
      <c r="C1717" s="57" t="s">
        <v>13542</v>
      </c>
      <c r="D1717" s="121"/>
      <c r="E1717" s="121"/>
      <c r="F1717" s="79">
        <v>1.0</v>
      </c>
      <c r="G1717" s="84" t="s">
        <v>16718</v>
      </c>
      <c r="H1717" s="73"/>
      <c r="I1717" s="519" t="s">
        <v>12782</v>
      </c>
      <c r="J1717" s="71" t="s">
        <v>16719</v>
      </c>
      <c r="K1717" s="69"/>
      <c r="L1717" s="65" t="s">
        <v>3542</v>
      </c>
      <c r="M1717" s="73"/>
      <c r="N1717" s="73"/>
      <c r="O1717" s="61" t="s">
        <v>8524</v>
      </c>
      <c r="P1717" s="67" t="str">
        <f t="shared" si="19"/>
        <v/>
      </c>
      <c r="Q1717" s="67" t="str">
        <f t="shared" si="20"/>
        <v/>
      </c>
      <c r="R1717" s="67" t="str">
        <f t="shared" si="21"/>
        <v/>
      </c>
      <c r="S1717" s="67" t="str">
        <f t="shared" si="22"/>
        <v/>
      </c>
      <c r="T1717" s="161"/>
      <c r="U1717" s="64" t="s">
        <v>16664</v>
      </c>
      <c r="V1717" s="65" t="s">
        <v>16720</v>
      </c>
      <c r="W1717" s="71" t="s">
        <v>15866</v>
      </c>
      <c r="X1717" s="194"/>
      <c r="Y1717" s="73"/>
      <c r="Z1717" s="73"/>
      <c r="AA1717" s="73"/>
      <c r="AB1717" s="73"/>
      <c r="AC1717" s="73"/>
      <c r="AD1717" s="73"/>
      <c r="AE1717" s="73"/>
      <c r="AF1717" s="73"/>
      <c r="AG1717" s="73"/>
      <c r="AH1717" s="73"/>
      <c r="AI1717" s="73"/>
      <c r="AJ1717" s="161"/>
      <c r="AK1717" s="76" t="s">
        <v>6276</v>
      </c>
      <c r="AL1717" s="83" t="s">
        <v>16721</v>
      </c>
      <c r="AM1717" s="71" t="s">
        <v>16722</v>
      </c>
      <c r="AN1717" s="84" t="s">
        <v>16723</v>
      </c>
      <c r="AO1717" s="71" t="s">
        <v>16724</v>
      </c>
      <c r="AP1717" s="161" t="str">
        <f t="shared" ref="AP1717:AP1718" si="24">IMAGE("https://bellingcat-archive.nyc3.cdn.digitaloceanspaces.com/Ukraine_Witness_Datasheet/Worksheet/telegram_4PesA0VxW2XaHLn1VmM6mPxzIxdEolYgbbftxoGJ739mXKSKYkWhOVp1OHdoJX9ePQglUeXKiwXUt27y9eSOmc1XvEWGc0FquPLB9m1Fa_Tr0oTgWHZTGFrWMfWOChWg.jpg")</f>
        <v/>
      </c>
      <c r="AQ1717" s="161"/>
      <c r="AR1717" s="161"/>
      <c r="AS1717" s="71" t="s">
        <v>16725</v>
      </c>
      <c r="AT1717" s="161"/>
      <c r="AU1717" s="89"/>
      <c r="AV1717" s="162"/>
      <c r="AW1717" s="81"/>
    </row>
    <row r="1718" ht="15.75" customHeight="1">
      <c r="A1718" s="521" t="s">
        <v>12532</v>
      </c>
      <c r="B1718" s="73"/>
      <c r="C1718" s="57" t="s">
        <v>13542</v>
      </c>
      <c r="D1718" s="121"/>
      <c r="E1718" s="121"/>
      <c r="F1718" s="89"/>
      <c r="G1718" s="84" t="s">
        <v>16718</v>
      </c>
      <c r="H1718" s="73"/>
      <c r="I1718" s="519"/>
      <c r="J1718" s="161"/>
      <c r="K1718" s="69"/>
      <c r="L1718" s="65" t="s">
        <v>3542</v>
      </c>
      <c r="M1718" s="73"/>
      <c r="N1718" s="73"/>
      <c r="O1718" s="61" t="s">
        <v>8524</v>
      </c>
      <c r="P1718" s="67" t="str">
        <f t="shared" si="19"/>
        <v/>
      </c>
      <c r="Q1718" s="67" t="str">
        <f t="shared" si="20"/>
        <v/>
      </c>
      <c r="R1718" s="67" t="str">
        <f t="shared" si="21"/>
        <v/>
      </c>
      <c r="S1718" s="67" t="str">
        <f t="shared" si="22"/>
        <v/>
      </c>
      <c r="T1718" s="161"/>
      <c r="U1718" s="64" t="s">
        <v>16664</v>
      </c>
      <c r="V1718" s="65" t="s">
        <v>16726</v>
      </c>
      <c r="W1718" s="71" t="s">
        <v>15866</v>
      </c>
      <c r="X1718" s="194"/>
      <c r="Y1718" s="73"/>
      <c r="Z1718" s="73"/>
      <c r="AA1718" s="73"/>
      <c r="AB1718" s="73"/>
      <c r="AC1718" s="73"/>
      <c r="AD1718" s="73"/>
      <c r="AE1718" s="73"/>
      <c r="AF1718" s="73"/>
      <c r="AG1718" s="73"/>
      <c r="AH1718" s="73"/>
      <c r="AI1718" s="73"/>
      <c r="AJ1718" s="161"/>
      <c r="AK1718" s="76" t="s">
        <v>6276</v>
      </c>
      <c r="AL1718" s="83" t="s">
        <v>16721</v>
      </c>
      <c r="AM1718" s="71" t="s">
        <v>16727</v>
      </c>
      <c r="AN1718" s="84" t="s">
        <v>16728</v>
      </c>
      <c r="AO1718" s="71" t="s">
        <v>16729</v>
      </c>
      <c r="AP1718" s="161" t="str">
        <f t="shared" si="24"/>
        <v/>
      </c>
      <c r="AQ1718" s="161"/>
      <c r="AR1718" s="161"/>
      <c r="AS1718" s="71" t="s">
        <v>16725</v>
      </c>
      <c r="AT1718" s="161"/>
      <c r="AU1718" s="89"/>
      <c r="AV1718" s="162"/>
      <c r="AW1718" s="81"/>
    </row>
    <row r="1719" ht="15.75" customHeight="1">
      <c r="A1719" s="520"/>
      <c r="B1719" s="73"/>
      <c r="C1719" s="57" t="s">
        <v>13542</v>
      </c>
      <c r="D1719" s="121"/>
      <c r="E1719" s="121"/>
      <c r="F1719" s="79">
        <v>1.0</v>
      </c>
      <c r="G1719" s="84" t="s">
        <v>16730</v>
      </c>
      <c r="H1719" s="61" t="s">
        <v>91</v>
      </c>
      <c r="I1719" s="519" t="s">
        <v>12782</v>
      </c>
      <c r="J1719" s="71" t="s">
        <v>16731</v>
      </c>
      <c r="K1719" s="69"/>
      <c r="L1719" s="65" t="s">
        <v>3542</v>
      </c>
      <c r="M1719" s="73"/>
      <c r="N1719" s="73"/>
      <c r="O1719" s="61" t="s">
        <v>5626</v>
      </c>
      <c r="P1719" s="67" t="str">
        <f t="shared" si="19"/>
        <v/>
      </c>
      <c r="Q1719" s="67" t="str">
        <f t="shared" si="20"/>
        <v/>
      </c>
      <c r="R1719" s="67" t="str">
        <f t="shared" si="21"/>
        <v/>
      </c>
      <c r="S1719" s="67" t="str">
        <f t="shared" si="22"/>
        <v/>
      </c>
      <c r="T1719" s="161"/>
      <c r="U1719" s="64" t="s">
        <v>9330</v>
      </c>
      <c r="V1719" s="65" t="s">
        <v>16732</v>
      </c>
      <c r="W1719" s="71" t="s">
        <v>15866</v>
      </c>
      <c r="X1719" s="194"/>
      <c r="Y1719" s="73"/>
      <c r="Z1719" s="73"/>
      <c r="AA1719" s="73"/>
      <c r="AB1719" s="73"/>
      <c r="AC1719" s="73"/>
      <c r="AD1719" s="73"/>
      <c r="AE1719" s="73"/>
      <c r="AF1719" s="73"/>
      <c r="AG1719" s="73"/>
      <c r="AH1719" s="73"/>
      <c r="AI1719" s="73"/>
      <c r="AJ1719" s="161"/>
      <c r="AK1719" s="76" t="s">
        <v>6276</v>
      </c>
      <c r="AL1719" s="83" t="s">
        <v>16733</v>
      </c>
      <c r="AM1719" s="71" t="s">
        <v>16734</v>
      </c>
      <c r="AN1719" s="84" t="s">
        <v>16735</v>
      </c>
      <c r="AO1719" s="71" t="s">
        <v>16736</v>
      </c>
      <c r="AP1719" s="161" t="str">
        <f>IMAGE("https://bellingcat-archive.nyc3.cdn.digitaloceanspaces.com/Ukraine_Witness_Datasheet/Worksheet/telegram_zlHY0i_1zZ_x-afeg1VS6d2eq4SRF1FHBGkCaMtvj7MmdBpZSKPBDJBuWS4WPXOgaHZ5j5XFHexIpju7GcEMMK0pK8P8klGTJgJSNmvX_VR4Pi4NWKI7OFHWmF-3a4WQ.jpg")</f>
        <v/>
      </c>
      <c r="AQ1719" s="161"/>
      <c r="AR1719" s="161"/>
      <c r="AS1719" s="71" t="s">
        <v>16737</v>
      </c>
      <c r="AT1719" s="161"/>
      <c r="AU1719" s="89"/>
      <c r="AV1719" s="162"/>
      <c r="AW1719" s="81"/>
    </row>
    <row r="1720" ht="15.75" customHeight="1">
      <c r="A1720" s="518" t="s">
        <v>8023</v>
      </c>
      <c r="B1720" s="73"/>
      <c r="C1720" s="57" t="s">
        <v>13542</v>
      </c>
      <c r="D1720" s="104">
        <v>49.9448091688848</v>
      </c>
      <c r="E1720" s="104">
        <v>36.155058097043</v>
      </c>
      <c r="F1720" s="79">
        <v>1.0</v>
      </c>
      <c r="G1720" s="84" t="s">
        <v>16738</v>
      </c>
      <c r="H1720" s="61" t="s">
        <v>91</v>
      </c>
      <c r="I1720" s="519" t="s">
        <v>12782</v>
      </c>
      <c r="J1720" s="71" t="s">
        <v>16739</v>
      </c>
      <c r="K1720" s="69"/>
      <c r="L1720" s="65" t="s">
        <v>3542</v>
      </c>
      <c r="M1720" s="61" t="s">
        <v>5590</v>
      </c>
      <c r="N1720" s="73"/>
      <c r="O1720" s="61" t="s">
        <v>5626</v>
      </c>
      <c r="P1720" s="67" t="str">
        <f t="shared" si="19"/>
        <v>49.9448091688848, 36.155058097043</v>
      </c>
      <c r="Q1720" s="67" t="str">
        <f t="shared" si="20"/>
        <v>49.944496, 36.15455</v>
      </c>
      <c r="R1720" s="67">
        <f t="shared" si="21"/>
        <v>49.944496</v>
      </c>
      <c r="S1720" s="67">
        <f t="shared" si="22"/>
        <v>36.15455</v>
      </c>
      <c r="T1720" s="71" t="s">
        <v>16740</v>
      </c>
      <c r="U1720" s="64" t="s">
        <v>16192</v>
      </c>
      <c r="V1720" s="65" t="s">
        <v>16741</v>
      </c>
      <c r="W1720" s="71" t="s">
        <v>15866</v>
      </c>
      <c r="X1720" s="72" t="s">
        <v>5504</v>
      </c>
      <c r="Y1720" s="61" t="s">
        <v>5820</v>
      </c>
      <c r="Z1720" s="73"/>
      <c r="AA1720" s="73"/>
      <c r="AB1720" s="73"/>
      <c r="AC1720" s="73"/>
      <c r="AD1720" s="73"/>
      <c r="AE1720" s="73"/>
      <c r="AF1720" s="73"/>
      <c r="AG1720" s="73"/>
      <c r="AH1720" s="73"/>
      <c r="AI1720" s="73"/>
      <c r="AJ1720" s="161"/>
      <c r="AK1720" s="76" t="s">
        <v>6276</v>
      </c>
      <c r="AL1720" s="83" t="s">
        <v>16742</v>
      </c>
      <c r="AM1720" s="71" t="s">
        <v>16743</v>
      </c>
      <c r="AN1720" s="84" t="s">
        <v>16744</v>
      </c>
      <c r="AO1720" s="71" t="s">
        <v>16745</v>
      </c>
      <c r="AP1720" s="161" t="str">
        <f>IMAGE("https://bellingcat-archive.nyc3.cdn.digitaloceanspaces.com/Ukraine_Witness_Datasheet/Worksheet/telegram_d0ebd898bb/out7.jpg")</f>
        <v/>
      </c>
      <c r="AQ1720" s="84" t="s">
        <v>16746</v>
      </c>
      <c r="AR1720" s="84" t="s">
        <v>16738</v>
      </c>
      <c r="AS1720" s="161"/>
      <c r="AT1720" s="71">
        <v>24.0</v>
      </c>
      <c r="AU1720" s="89"/>
      <c r="AV1720" s="80" t="s">
        <v>63</v>
      </c>
      <c r="AW1720" s="81"/>
    </row>
    <row r="1721" ht="15.75" customHeight="1">
      <c r="A1721" s="520"/>
      <c r="B1721" s="73"/>
      <c r="C1721" s="57" t="s">
        <v>13542</v>
      </c>
      <c r="D1721" s="121"/>
      <c r="E1721" s="121"/>
      <c r="F1721" s="79">
        <v>1.0</v>
      </c>
      <c r="G1721" s="84" t="s">
        <v>16747</v>
      </c>
      <c r="H1721" s="61" t="s">
        <v>91</v>
      </c>
      <c r="I1721" s="519" t="s">
        <v>12782</v>
      </c>
      <c r="J1721" s="71" t="s">
        <v>16748</v>
      </c>
      <c r="K1721" s="69"/>
      <c r="L1721" s="65" t="s">
        <v>3542</v>
      </c>
      <c r="M1721" s="73"/>
      <c r="N1721" s="73"/>
      <c r="O1721" s="61" t="s">
        <v>16749</v>
      </c>
      <c r="P1721" s="67" t="str">
        <f t="shared" si="19"/>
        <v/>
      </c>
      <c r="Q1721" s="67" t="str">
        <f t="shared" si="20"/>
        <v/>
      </c>
      <c r="R1721" s="67" t="str">
        <f t="shared" si="21"/>
        <v/>
      </c>
      <c r="S1721" s="67" t="str">
        <f t="shared" si="22"/>
        <v/>
      </c>
      <c r="T1721" s="161"/>
      <c r="U1721" s="64" t="s">
        <v>9330</v>
      </c>
      <c r="V1721" s="65" t="s">
        <v>16750</v>
      </c>
      <c r="W1721" s="71" t="s">
        <v>15866</v>
      </c>
      <c r="X1721" s="194"/>
      <c r="Y1721" s="73"/>
      <c r="Z1721" s="73"/>
      <c r="AA1721" s="73"/>
      <c r="AB1721" s="73"/>
      <c r="AC1721" s="73"/>
      <c r="AD1721" s="73"/>
      <c r="AE1721" s="73"/>
      <c r="AF1721" s="73"/>
      <c r="AG1721" s="73"/>
      <c r="AH1721" s="73"/>
      <c r="AI1721" s="73"/>
      <c r="AJ1721" s="161"/>
      <c r="AK1721" s="76" t="s">
        <v>2108</v>
      </c>
      <c r="AL1721" s="83" t="s">
        <v>16751</v>
      </c>
      <c r="AM1721" s="71" t="s">
        <v>16752</v>
      </c>
      <c r="AN1721" s="84" t="s">
        <v>16753</v>
      </c>
      <c r="AO1721" s="71" t="s">
        <v>16754</v>
      </c>
      <c r="AP1721" s="161" t="str">
        <f>IMAGE("https://bellingcat-archive.nyc3.cdn.digitaloceanspaces.com/Ukraine_Witness_Datasheet/Worksheet/twitter__media_FNGwERgX0AEtIld.jpg")</f>
        <v/>
      </c>
      <c r="AQ1721" s="161"/>
      <c r="AR1721" s="161"/>
      <c r="AS1721" s="71" t="s">
        <v>16755</v>
      </c>
      <c r="AT1721" s="161"/>
      <c r="AU1721" s="89"/>
      <c r="AV1721" s="162"/>
      <c r="AW1721" s="81"/>
    </row>
    <row r="1722" ht="15.75" customHeight="1">
      <c r="A1722" s="516" t="s">
        <v>8023</v>
      </c>
      <c r="B1722" s="73"/>
      <c r="C1722" s="57" t="s">
        <v>14806</v>
      </c>
      <c r="D1722" s="104">
        <v>51.567169</v>
      </c>
      <c r="E1722" s="104">
        <v>31.214896</v>
      </c>
      <c r="F1722" s="79">
        <v>1.0</v>
      </c>
      <c r="G1722" s="84" t="s">
        <v>16756</v>
      </c>
      <c r="H1722" s="104" t="s">
        <v>66</v>
      </c>
      <c r="I1722" s="522" t="s">
        <v>12782</v>
      </c>
      <c r="J1722" s="71" t="s">
        <v>16757</v>
      </c>
      <c r="K1722" s="69"/>
      <c r="L1722" s="65" t="s">
        <v>3542</v>
      </c>
      <c r="M1722" s="61" t="s">
        <v>5880</v>
      </c>
      <c r="N1722" s="73"/>
      <c r="O1722" s="61" t="s">
        <v>16758</v>
      </c>
      <c r="P1722" s="67" t="str">
        <f t="shared" si="19"/>
        <v>51.567169, 31.214896</v>
      </c>
      <c r="Q1722" s="67" t="str">
        <f t="shared" si="20"/>
        <v>51.566841, 31.215602</v>
      </c>
      <c r="R1722" s="67">
        <f t="shared" si="21"/>
        <v>51.566841</v>
      </c>
      <c r="S1722" s="67">
        <f t="shared" si="22"/>
        <v>31.215602</v>
      </c>
      <c r="T1722" s="71" t="s">
        <v>16759</v>
      </c>
      <c r="U1722" s="64" t="s">
        <v>16008</v>
      </c>
      <c r="V1722" s="65" t="s">
        <v>16760</v>
      </c>
      <c r="W1722" s="71" t="s">
        <v>15866</v>
      </c>
      <c r="X1722" s="72" t="s">
        <v>5504</v>
      </c>
      <c r="Y1722" s="73"/>
      <c r="Z1722" s="73"/>
      <c r="AA1722" s="73"/>
      <c r="AB1722" s="73"/>
      <c r="AC1722" s="73"/>
      <c r="AD1722" s="73"/>
      <c r="AE1722" s="73"/>
      <c r="AF1722" s="73"/>
      <c r="AG1722" s="73"/>
      <c r="AH1722" s="73"/>
      <c r="AI1722" s="73"/>
      <c r="AJ1722" s="161"/>
      <c r="AK1722" s="76" t="s">
        <v>6276</v>
      </c>
      <c r="AL1722" s="83" t="s">
        <v>16761</v>
      </c>
      <c r="AM1722" s="71" t="s">
        <v>16762</v>
      </c>
      <c r="AN1722" s="84" t="s">
        <v>16763</v>
      </c>
      <c r="AO1722" s="71" t="s">
        <v>16764</v>
      </c>
      <c r="AP1722" s="161" t="str">
        <f>IMAGE("https://bellingcat-archive.nyc3.cdn.digitaloceanspaces.com/Ukraine_Witness_Datasheet/Worksheet/telegram_8beb6a6bbb/out7.jpg")</f>
        <v/>
      </c>
      <c r="AQ1722" s="84" t="s">
        <v>16765</v>
      </c>
      <c r="AR1722" s="84" t="s">
        <v>16756</v>
      </c>
      <c r="AS1722" s="71" t="s">
        <v>16766</v>
      </c>
      <c r="AT1722" s="71">
        <v>19.0</v>
      </c>
      <c r="AU1722" s="89"/>
      <c r="AV1722" s="80" t="s">
        <v>88</v>
      </c>
      <c r="AW1722" s="203"/>
    </row>
    <row r="1723" ht="15.75" customHeight="1">
      <c r="A1723" s="521" t="s">
        <v>12532</v>
      </c>
      <c r="B1723" s="73"/>
      <c r="C1723" s="57" t="s">
        <v>14806</v>
      </c>
      <c r="D1723" s="121"/>
      <c r="E1723" s="121"/>
      <c r="F1723" s="89"/>
      <c r="G1723" s="84" t="s">
        <v>16767</v>
      </c>
      <c r="H1723" s="73"/>
      <c r="I1723" s="519"/>
      <c r="J1723" s="71" t="s">
        <v>16768</v>
      </c>
      <c r="K1723" s="69"/>
      <c r="L1723" s="65" t="s">
        <v>3542</v>
      </c>
      <c r="M1723" s="73"/>
      <c r="N1723" s="73"/>
      <c r="O1723" s="61" t="s">
        <v>16749</v>
      </c>
      <c r="P1723" s="67" t="str">
        <f t="shared" si="19"/>
        <v/>
      </c>
      <c r="Q1723" s="67" t="str">
        <f t="shared" si="20"/>
        <v/>
      </c>
      <c r="R1723" s="67" t="str">
        <f t="shared" si="21"/>
        <v/>
      </c>
      <c r="S1723" s="67" t="str">
        <f t="shared" si="22"/>
        <v/>
      </c>
      <c r="T1723" s="161"/>
      <c r="U1723" s="64" t="s">
        <v>9330</v>
      </c>
      <c r="V1723" s="65" t="s">
        <v>16769</v>
      </c>
      <c r="W1723" s="71" t="s">
        <v>15866</v>
      </c>
      <c r="X1723" s="194"/>
      <c r="Y1723" s="73"/>
      <c r="Z1723" s="73"/>
      <c r="AA1723" s="73"/>
      <c r="AB1723" s="73"/>
      <c r="AC1723" s="73"/>
      <c r="AD1723" s="73"/>
      <c r="AE1723" s="73"/>
      <c r="AF1723" s="73"/>
      <c r="AG1723" s="73"/>
      <c r="AH1723" s="73"/>
      <c r="AI1723" s="73"/>
      <c r="AJ1723" s="161"/>
      <c r="AK1723" s="76" t="s">
        <v>6276</v>
      </c>
      <c r="AL1723" s="83" t="s">
        <v>16770</v>
      </c>
      <c r="AM1723" s="71" t="s">
        <v>16771</v>
      </c>
      <c r="AN1723" s="84" t="s">
        <v>16772</v>
      </c>
      <c r="AO1723" s="71" t="s">
        <v>16773</v>
      </c>
      <c r="AP1723" s="161" t="str">
        <f>IMAGE("https://bellingcat-archive.nyc3.cdn.digitaloceanspaces.com/Ukraine_Witness_Datasheet/Worksheet/telegram_q9b10AKzg-C0hNA-RWgJbXySaWlQqnM15WzJRLn4JcfOm1qavJ7a2YHT-QhVPJRH092libkgKwHwlGuPS2OxUU2mlrWQR2Jp-ER6ylP6n7bhJfp5oGUPTmq6LW8WzrXg.jpg")</f>
        <v/>
      </c>
      <c r="AQ1723" s="161"/>
      <c r="AR1723" s="161"/>
      <c r="AS1723" s="71" t="s">
        <v>16774</v>
      </c>
      <c r="AT1723" s="161"/>
      <c r="AU1723" s="89"/>
      <c r="AV1723" s="162"/>
      <c r="AW1723" s="81"/>
    </row>
    <row r="1724" ht="15.75" customHeight="1">
      <c r="A1724" s="520"/>
      <c r="B1724" s="73"/>
      <c r="C1724" s="57" t="s">
        <v>14806</v>
      </c>
      <c r="D1724" s="121"/>
      <c r="E1724" s="121"/>
      <c r="F1724" s="79">
        <v>1.0</v>
      </c>
      <c r="G1724" s="84" t="s">
        <v>16775</v>
      </c>
      <c r="H1724" s="61" t="s">
        <v>5368</v>
      </c>
      <c r="I1724" s="519" t="s">
        <v>12782</v>
      </c>
      <c r="J1724" s="66" t="s">
        <v>16776</v>
      </c>
      <c r="K1724" s="69"/>
      <c r="L1724" s="65" t="s">
        <v>3542</v>
      </c>
      <c r="M1724" s="73"/>
      <c r="N1724" s="73"/>
      <c r="O1724" s="61" t="s">
        <v>16777</v>
      </c>
      <c r="P1724" s="67" t="str">
        <f t="shared" si="19"/>
        <v/>
      </c>
      <c r="Q1724" s="67" t="str">
        <f t="shared" si="20"/>
        <v/>
      </c>
      <c r="R1724" s="67" t="str">
        <f t="shared" si="21"/>
        <v/>
      </c>
      <c r="S1724" s="67" t="str">
        <f t="shared" si="22"/>
        <v/>
      </c>
      <c r="T1724" s="161"/>
      <c r="U1724" s="64" t="s">
        <v>16478</v>
      </c>
      <c r="V1724" s="65" t="s">
        <v>16778</v>
      </c>
      <c r="W1724" s="71" t="s">
        <v>15866</v>
      </c>
      <c r="X1724" s="194"/>
      <c r="Y1724" s="73"/>
      <c r="Z1724" s="73"/>
      <c r="AA1724" s="73"/>
      <c r="AB1724" s="73"/>
      <c r="AC1724" s="73"/>
      <c r="AD1724" s="73"/>
      <c r="AE1724" s="73"/>
      <c r="AF1724" s="73"/>
      <c r="AG1724" s="73"/>
      <c r="AH1724" s="73"/>
      <c r="AI1724" s="73"/>
      <c r="AJ1724" s="161"/>
      <c r="AK1724" s="76" t="s">
        <v>2108</v>
      </c>
      <c r="AL1724" s="83" t="s">
        <v>16779</v>
      </c>
      <c r="AM1724" s="71" t="s">
        <v>16780</v>
      </c>
      <c r="AN1724" s="84" t="s">
        <v>16781</v>
      </c>
      <c r="AO1724" s="71" t="s">
        <v>16782</v>
      </c>
      <c r="AP1724" s="161" t="str">
        <f>IMAGE("https://bellingcat-archive.nyc3.cdn.digitaloceanspaces.com/Ukraine_Witness_Datasheet/Worksheet/twitter__media_FNLxNnVXwAQ1ioD.jpg")</f>
        <v/>
      </c>
      <c r="AQ1724" s="161"/>
      <c r="AR1724" s="161"/>
      <c r="AS1724" s="71" t="s">
        <v>16783</v>
      </c>
      <c r="AT1724" s="161"/>
      <c r="AU1724" s="89"/>
      <c r="AV1724" s="162"/>
      <c r="AW1724" s="81"/>
    </row>
    <row r="1725" ht="15.75" customHeight="1">
      <c r="A1725" s="520"/>
      <c r="B1725" s="73"/>
      <c r="C1725" s="57" t="s">
        <v>14806</v>
      </c>
      <c r="D1725" s="121"/>
      <c r="E1725" s="121"/>
      <c r="F1725" s="79">
        <v>1.0</v>
      </c>
      <c r="G1725" s="84" t="s">
        <v>16784</v>
      </c>
      <c r="H1725" s="73"/>
      <c r="I1725" s="519" t="s">
        <v>12782</v>
      </c>
      <c r="J1725" s="161"/>
      <c r="K1725" s="69"/>
      <c r="L1725" s="65" t="s">
        <v>3542</v>
      </c>
      <c r="M1725" s="73"/>
      <c r="N1725" s="73"/>
      <c r="O1725" s="61" t="s">
        <v>16749</v>
      </c>
      <c r="P1725" s="67" t="str">
        <f t="shared" si="19"/>
        <v/>
      </c>
      <c r="Q1725" s="67" t="str">
        <f t="shared" si="20"/>
        <v/>
      </c>
      <c r="R1725" s="67" t="str">
        <f t="shared" si="21"/>
        <v/>
      </c>
      <c r="S1725" s="67" t="str">
        <f t="shared" si="22"/>
        <v/>
      </c>
      <c r="T1725" s="161"/>
      <c r="U1725" s="64" t="s">
        <v>9330</v>
      </c>
      <c r="V1725" s="65" t="s">
        <v>16785</v>
      </c>
      <c r="W1725" s="71" t="s">
        <v>15866</v>
      </c>
      <c r="X1725" s="194"/>
      <c r="Y1725" s="73"/>
      <c r="Z1725" s="73"/>
      <c r="AA1725" s="73"/>
      <c r="AB1725" s="73"/>
      <c r="AC1725" s="73"/>
      <c r="AD1725" s="73"/>
      <c r="AE1725" s="73"/>
      <c r="AF1725" s="73"/>
      <c r="AG1725" s="73"/>
      <c r="AH1725" s="73"/>
      <c r="AI1725" s="73"/>
      <c r="AJ1725" s="161"/>
      <c r="AK1725" s="76" t="s">
        <v>6276</v>
      </c>
      <c r="AL1725" s="83" t="s">
        <v>16786</v>
      </c>
      <c r="AM1725" s="71" t="s">
        <v>16787</v>
      </c>
      <c r="AN1725" s="84" t="s">
        <v>16788</v>
      </c>
      <c r="AO1725" s="71" t="s">
        <v>16789</v>
      </c>
      <c r="AP1725" s="161" t="str">
        <f>IMAGE("https://bellingcat-archive.nyc3.cdn.digitaloceanspaces.com/Ukraine_Witness_Datasheet/Worksheet/telegram_YL1nviOQlyRMG875ql6epzbsUn6iteTA9msw-7TN77J1f-_6_XsL5ftfUPxrDiOrG0ARlxW14aoW543oTUbfURbHwRvo3zmTM7aOuqRsz-f8Gsw2cIrVmGZygmQcWMyg.jpg")</f>
        <v/>
      </c>
      <c r="AQ1725" s="161"/>
      <c r="AR1725" s="161"/>
      <c r="AS1725" s="71" t="s">
        <v>16790</v>
      </c>
      <c r="AT1725" s="161"/>
      <c r="AU1725" s="89"/>
      <c r="AV1725" s="162"/>
      <c r="AW1725" s="81"/>
    </row>
    <row r="1726" ht="15.75" customHeight="1">
      <c r="A1726" s="529" t="s">
        <v>6924</v>
      </c>
      <c r="B1726" s="73"/>
      <c r="C1726" s="57" t="s">
        <v>15275</v>
      </c>
      <c r="D1726" s="260"/>
      <c r="E1726" s="260"/>
      <c r="F1726" s="79">
        <v>1.0</v>
      </c>
      <c r="G1726" s="84" t="s">
        <v>16791</v>
      </c>
      <c r="H1726" s="61" t="s">
        <v>91</v>
      </c>
      <c r="I1726" s="519" t="s">
        <v>12782</v>
      </c>
      <c r="J1726" s="71" t="s">
        <v>16115</v>
      </c>
      <c r="K1726" s="69"/>
      <c r="L1726" s="65" t="s">
        <v>3542</v>
      </c>
      <c r="M1726" s="73"/>
      <c r="N1726" s="73"/>
      <c r="O1726" s="61" t="s">
        <v>16749</v>
      </c>
      <c r="P1726" s="67" t="str">
        <f t="shared" si="19"/>
        <v/>
      </c>
      <c r="Q1726" s="67" t="str">
        <f t="shared" si="20"/>
        <v/>
      </c>
      <c r="R1726" s="67" t="str">
        <f t="shared" si="21"/>
        <v/>
      </c>
      <c r="S1726" s="67" t="str">
        <f t="shared" si="22"/>
        <v/>
      </c>
      <c r="T1726" s="161"/>
      <c r="U1726" s="64" t="s">
        <v>9330</v>
      </c>
      <c r="V1726" s="65" t="s">
        <v>16792</v>
      </c>
      <c r="W1726" s="71" t="s">
        <v>15866</v>
      </c>
      <c r="X1726" s="194"/>
      <c r="Y1726" s="216" t="s">
        <v>5820</v>
      </c>
      <c r="Z1726" s="73"/>
      <c r="AA1726" s="73"/>
      <c r="AB1726" s="73"/>
      <c r="AC1726" s="73"/>
      <c r="AD1726" s="73"/>
      <c r="AE1726" s="73"/>
      <c r="AF1726" s="73"/>
      <c r="AG1726" s="73"/>
      <c r="AH1726" s="73"/>
      <c r="AI1726" s="73"/>
      <c r="AJ1726" s="161"/>
      <c r="AK1726" s="76" t="s">
        <v>798</v>
      </c>
      <c r="AL1726" s="83" t="s">
        <v>16793</v>
      </c>
      <c r="AM1726" s="71" t="s">
        <v>16794</v>
      </c>
      <c r="AN1726" s="84" t="s">
        <v>16795</v>
      </c>
      <c r="AO1726" s="71" t="s">
        <v>16796</v>
      </c>
      <c r="AP1726" s="161" t="str">
        <f>IMAGE("https://bellingcat-archive.nyc3.cdn.digitaloceanspaces.com/Ukraine_Witness_Datasheet/Worksheet/youtube_dl_1500727285615312896/out7.jpg")</f>
        <v/>
      </c>
      <c r="AQ1726" s="84" t="s">
        <v>16797</v>
      </c>
      <c r="AR1726" s="71" t="s">
        <v>16798</v>
      </c>
      <c r="AS1726" s="71" t="s">
        <v>16799</v>
      </c>
      <c r="AT1726" s="71">
        <v>29.467</v>
      </c>
      <c r="AU1726" s="89"/>
      <c r="AV1726" s="162"/>
      <c r="AW1726" s="81"/>
    </row>
    <row r="1727" ht="15.75" customHeight="1">
      <c r="A1727" s="518" t="s">
        <v>8181</v>
      </c>
      <c r="B1727" s="73"/>
      <c r="C1727" s="57" t="s">
        <v>15275</v>
      </c>
      <c r="D1727" s="104">
        <v>46.960192</v>
      </c>
      <c r="E1727" s="104">
        <v>32.036376</v>
      </c>
      <c r="F1727" s="79">
        <v>2.0</v>
      </c>
      <c r="G1727" s="84" t="s">
        <v>16800</v>
      </c>
      <c r="H1727" s="61" t="s">
        <v>91</v>
      </c>
      <c r="I1727" s="517" t="s">
        <v>12782</v>
      </c>
      <c r="J1727" s="71" t="s">
        <v>16801</v>
      </c>
      <c r="K1727" s="69"/>
      <c r="L1727" s="65" t="s">
        <v>3542</v>
      </c>
      <c r="M1727" s="61" t="s">
        <v>6563</v>
      </c>
      <c r="N1727" s="61" t="s">
        <v>16802</v>
      </c>
      <c r="O1727" s="61" t="s">
        <v>16749</v>
      </c>
      <c r="P1727" s="67" t="str">
        <f t="shared" si="19"/>
        <v>46.960192, 32.036376</v>
      </c>
      <c r="Q1727" s="67" t="str">
        <f t="shared" si="20"/>
        <v>46.959812, 32.03681</v>
      </c>
      <c r="R1727" s="67">
        <f t="shared" si="21"/>
        <v>46.959812</v>
      </c>
      <c r="S1727" s="67">
        <f t="shared" si="22"/>
        <v>32.03681</v>
      </c>
      <c r="T1727" s="71" t="s">
        <v>16803</v>
      </c>
      <c r="U1727" s="64" t="s">
        <v>16804</v>
      </c>
      <c r="V1727" s="65" t="s">
        <v>16805</v>
      </c>
      <c r="W1727" s="71" t="s">
        <v>15866</v>
      </c>
      <c r="X1727" s="72" t="s">
        <v>2982</v>
      </c>
      <c r="Y1727" s="73"/>
      <c r="Z1727" s="73"/>
      <c r="AA1727" s="73"/>
      <c r="AB1727" s="73"/>
      <c r="AC1727" s="73"/>
      <c r="AD1727" s="73"/>
      <c r="AE1727" s="73"/>
      <c r="AF1727" s="73"/>
      <c r="AG1727" s="73"/>
      <c r="AH1727" s="73"/>
      <c r="AI1727" s="73"/>
      <c r="AJ1727" s="161"/>
      <c r="AK1727" s="76" t="s">
        <v>2108</v>
      </c>
      <c r="AL1727" s="83" t="s">
        <v>16806</v>
      </c>
      <c r="AM1727" s="71" t="s">
        <v>16807</v>
      </c>
      <c r="AN1727" s="84" t="s">
        <v>16808</v>
      </c>
      <c r="AO1727" s="71" t="s">
        <v>16809</v>
      </c>
      <c r="AP1727" s="161" t="str">
        <f>IMAGE("https://bellingcat-archive.nyc3.cdn.digitaloceanspaces.com/Ukraine_Witness_Datasheet/Worksheet/twitter__media_FNOq8yxXIAIxYbd.jpg")</f>
        <v/>
      </c>
      <c r="AQ1727" s="161"/>
      <c r="AR1727" s="161"/>
      <c r="AS1727" s="71" t="s">
        <v>16810</v>
      </c>
      <c r="AT1727" s="161"/>
      <c r="AU1727" s="89"/>
      <c r="AV1727" s="80" t="s">
        <v>3944</v>
      </c>
      <c r="AW1727" s="81"/>
    </row>
    <row r="1728" ht="15.75" customHeight="1">
      <c r="A1728" s="520"/>
      <c r="B1728" s="73"/>
      <c r="C1728" s="57" t="s">
        <v>15275</v>
      </c>
      <c r="D1728" s="121"/>
      <c r="E1728" s="121"/>
      <c r="F1728" s="79">
        <v>1.0</v>
      </c>
      <c r="G1728" s="84" t="s">
        <v>16811</v>
      </c>
      <c r="H1728" s="61" t="s">
        <v>91</v>
      </c>
      <c r="I1728" s="519" t="s">
        <v>12782</v>
      </c>
      <c r="J1728" s="71" t="s">
        <v>16812</v>
      </c>
      <c r="K1728" s="69"/>
      <c r="L1728" s="65" t="s">
        <v>3542</v>
      </c>
      <c r="M1728" s="73"/>
      <c r="N1728" s="73"/>
      <c r="O1728" s="61" t="s">
        <v>16749</v>
      </c>
      <c r="P1728" s="67" t="str">
        <f t="shared" si="19"/>
        <v/>
      </c>
      <c r="Q1728" s="67" t="str">
        <f t="shared" si="20"/>
        <v/>
      </c>
      <c r="R1728" s="67" t="str">
        <f t="shared" si="21"/>
        <v/>
      </c>
      <c r="S1728" s="67" t="str">
        <f t="shared" si="22"/>
        <v/>
      </c>
      <c r="T1728" s="161"/>
      <c r="U1728" s="64" t="s">
        <v>9330</v>
      </c>
      <c r="V1728" s="65" t="s">
        <v>16813</v>
      </c>
      <c r="W1728" s="71" t="s">
        <v>15866</v>
      </c>
      <c r="X1728" s="194"/>
      <c r="Y1728" s="73"/>
      <c r="Z1728" s="73"/>
      <c r="AA1728" s="73"/>
      <c r="AB1728" s="73"/>
      <c r="AC1728" s="73"/>
      <c r="AD1728" s="73"/>
      <c r="AE1728" s="73"/>
      <c r="AF1728" s="73"/>
      <c r="AG1728" s="73"/>
      <c r="AH1728" s="73"/>
      <c r="AI1728" s="73"/>
      <c r="AJ1728" s="161"/>
      <c r="AK1728" s="76" t="s">
        <v>2108</v>
      </c>
      <c r="AL1728" s="83" t="s">
        <v>16814</v>
      </c>
      <c r="AM1728" s="71" t="s">
        <v>16815</v>
      </c>
      <c r="AN1728" s="84" t="s">
        <v>16816</v>
      </c>
      <c r="AO1728" s="71" t="s">
        <v>16817</v>
      </c>
      <c r="AP1728" s="161" t="str">
        <f>IMAGE("https://bellingcat-archive.nyc3.cdn.digitaloceanspaces.com/Ukraine_Witness_Datasheet/Worksheet/twitter__media_FNOkXLIXwAMvoMU.jpg")</f>
        <v/>
      </c>
      <c r="AQ1728" s="161"/>
      <c r="AR1728" s="161"/>
      <c r="AS1728" s="71" t="s">
        <v>16818</v>
      </c>
      <c r="AT1728" s="161"/>
      <c r="AU1728" s="89"/>
      <c r="AV1728" s="162"/>
      <c r="AW1728" s="81"/>
    </row>
    <row r="1729" ht="15.75" customHeight="1">
      <c r="A1729" s="520"/>
      <c r="B1729" s="73"/>
      <c r="C1729" s="57" t="s">
        <v>15852</v>
      </c>
      <c r="D1729" s="121"/>
      <c r="E1729" s="121"/>
      <c r="F1729" s="79">
        <v>1.0</v>
      </c>
      <c r="G1729" s="60" t="s">
        <v>16819</v>
      </c>
      <c r="H1729" s="61" t="s">
        <v>91</v>
      </c>
      <c r="I1729" s="519" t="s">
        <v>12782</v>
      </c>
      <c r="J1729" s="71" t="s">
        <v>16820</v>
      </c>
      <c r="K1729" s="69"/>
      <c r="L1729" s="65" t="s">
        <v>3542</v>
      </c>
      <c r="M1729" s="314"/>
      <c r="N1729" s="314"/>
      <c r="O1729" s="93" t="s">
        <v>5626</v>
      </c>
      <c r="P1729" s="67" t="str">
        <f t="shared" si="19"/>
        <v/>
      </c>
      <c r="Q1729" s="67" t="str">
        <f t="shared" si="20"/>
        <v/>
      </c>
      <c r="R1729" s="67" t="str">
        <f t="shared" si="21"/>
        <v/>
      </c>
      <c r="S1729" s="67" t="str">
        <f t="shared" si="22"/>
        <v/>
      </c>
      <c r="T1729" s="161"/>
      <c r="U1729" s="64" t="s">
        <v>9330</v>
      </c>
      <c r="V1729" s="65" t="s">
        <v>16821</v>
      </c>
      <c r="W1729" s="71" t="s">
        <v>15866</v>
      </c>
      <c r="X1729" s="194"/>
      <c r="Y1729" s="61" t="s">
        <v>5820</v>
      </c>
      <c r="Z1729" s="73"/>
      <c r="AA1729" s="73"/>
      <c r="AB1729" s="73"/>
      <c r="AC1729" s="73"/>
      <c r="AD1729" s="73"/>
      <c r="AE1729" s="73"/>
      <c r="AF1729" s="73"/>
      <c r="AG1729" s="73"/>
      <c r="AH1729" s="73"/>
      <c r="AI1729" s="73"/>
      <c r="AJ1729" s="161"/>
      <c r="AK1729" s="76" t="s">
        <v>2108</v>
      </c>
      <c r="AL1729" s="83" t="s">
        <v>16822</v>
      </c>
      <c r="AM1729" s="71" t="s">
        <v>16823</v>
      </c>
      <c r="AN1729" s="84" t="s">
        <v>16824</v>
      </c>
      <c r="AO1729" s="71" t="s">
        <v>16825</v>
      </c>
      <c r="AP1729" s="161" t="str">
        <f>IMAGE("https://bellingcat-archive.nyc3.cdn.digitaloceanspaces.com/Ukraine_Witness_Datasheet/Worksheet/twitter__media_FNT2OPdXMAEjTcs.jpg")</f>
        <v/>
      </c>
      <c r="AQ1729" s="161"/>
      <c r="AR1729" s="161"/>
      <c r="AS1729" s="71" t="s">
        <v>16826</v>
      </c>
      <c r="AT1729" s="161"/>
      <c r="AU1729" s="89"/>
      <c r="AV1729" s="162"/>
      <c r="AW1729" s="81"/>
    </row>
    <row r="1730" ht="15.75" customHeight="1">
      <c r="A1730" s="208"/>
      <c r="B1730" s="73"/>
      <c r="C1730" s="57" t="s">
        <v>15275</v>
      </c>
      <c r="D1730" s="121"/>
      <c r="E1730" s="121"/>
      <c r="F1730" s="79">
        <v>1.0</v>
      </c>
      <c r="G1730" s="84" t="s">
        <v>16827</v>
      </c>
      <c r="H1730" s="61" t="s">
        <v>5522</v>
      </c>
      <c r="I1730" s="75"/>
      <c r="J1730" s="71" t="s">
        <v>16828</v>
      </c>
      <c r="K1730" s="69"/>
      <c r="L1730" s="65" t="s">
        <v>3542</v>
      </c>
      <c r="M1730" s="93" t="s">
        <v>5827</v>
      </c>
      <c r="N1730" s="314"/>
      <c r="O1730" s="93" t="s">
        <v>10249</v>
      </c>
      <c r="P1730" s="67" t="str">
        <f t="shared" si="19"/>
        <v/>
      </c>
      <c r="Q1730" s="67" t="str">
        <f t="shared" si="20"/>
        <v/>
      </c>
      <c r="R1730" s="67" t="str">
        <f t="shared" si="21"/>
        <v/>
      </c>
      <c r="S1730" s="67" t="str">
        <f t="shared" si="22"/>
        <v/>
      </c>
      <c r="T1730" s="161"/>
      <c r="U1730" s="69"/>
      <c r="V1730" s="65" t="s">
        <v>16829</v>
      </c>
      <c r="W1730" s="71" t="s">
        <v>12952</v>
      </c>
      <c r="X1730" s="194"/>
      <c r="Y1730" s="73"/>
      <c r="Z1730" s="73"/>
      <c r="AA1730" s="73"/>
      <c r="AB1730" s="73"/>
      <c r="AC1730" s="73"/>
      <c r="AD1730" s="73"/>
      <c r="AE1730" s="73"/>
      <c r="AF1730" s="73"/>
      <c r="AG1730" s="73"/>
      <c r="AH1730" s="73"/>
      <c r="AI1730" s="73"/>
      <c r="AJ1730" s="161"/>
      <c r="AK1730" s="76" t="s">
        <v>798</v>
      </c>
      <c r="AL1730" s="83" t="s">
        <v>16830</v>
      </c>
      <c r="AM1730" s="71" t="s">
        <v>16831</v>
      </c>
      <c r="AN1730" s="84" t="s">
        <v>16832</v>
      </c>
      <c r="AO1730" s="71" t="s">
        <v>16833</v>
      </c>
      <c r="AP1730" s="161" t="str">
        <f>IMAGE("https://bellingcat-archive.nyc3.cdn.digitaloceanspaces.com/Ukraine_Witness_Datasheet/Worksheet/youtube_dl_1501109039236882433/out7.jpg")</f>
        <v/>
      </c>
      <c r="AQ1730" s="84" t="s">
        <v>16834</v>
      </c>
      <c r="AR1730" s="71" t="s">
        <v>16835</v>
      </c>
      <c r="AS1730" s="71" t="s">
        <v>16836</v>
      </c>
      <c r="AT1730" s="71">
        <v>12.495</v>
      </c>
      <c r="AU1730" s="89"/>
      <c r="AV1730" s="162"/>
      <c r="AW1730" s="81"/>
    </row>
    <row r="1731" ht="15.75" customHeight="1">
      <c r="A1731" s="204" t="s">
        <v>63</v>
      </c>
      <c r="B1731" s="73"/>
      <c r="C1731" s="57" t="s">
        <v>15275</v>
      </c>
      <c r="D1731" s="74">
        <v>50.006434</v>
      </c>
      <c r="E1731" s="74">
        <v>36.240466</v>
      </c>
      <c r="F1731" s="79">
        <v>2.0</v>
      </c>
      <c r="G1731" s="84" t="s">
        <v>16837</v>
      </c>
      <c r="H1731" s="61" t="s">
        <v>5522</v>
      </c>
      <c r="I1731" s="75"/>
      <c r="J1731" s="71" t="s">
        <v>16838</v>
      </c>
      <c r="K1731" s="69"/>
      <c r="L1731" s="65" t="s">
        <v>3542</v>
      </c>
      <c r="M1731" s="92" t="s">
        <v>5590</v>
      </c>
      <c r="N1731" s="314"/>
      <c r="O1731" s="93" t="s">
        <v>5626</v>
      </c>
      <c r="P1731" s="67" t="str">
        <f t="shared" si="19"/>
        <v>50.006434, 36.240466</v>
      </c>
      <c r="Q1731" s="67" t="str">
        <f t="shared" si="20"/>
        <v>50.005993, 36.240771</v>
      </c>
      <c r="R1731" s="67">
        <f t="shared" si="21"/>
        <v>50.005993</v>
      </c>
      <c r="S1731" s="67">
        <f t="shared" si="22"/>
        <v>36.240771</v>
      </c>
      <c r="T1731" s="161"/>
      <c r="U1731" s="69"/>
      <c r="V1731" s="65" t="s">
        <v>16839</v>
      </c>
      <c r="W1731" s="71" t="s">
        <v>3601</v>
      </c>
      <c r="X1731" s="72" t="s">
        <v>2982</v>
      </c>
      <c r="Y1731" s="61" t="s">
        <v>5820</v>
      </c>
      <c r="Z1731" s="73"/>
      <c r="AA1731" s="73"/>
      <c r="AB1731" s="73"/>
      <c r="AC1731" s="73"/>
      <c r="AD1731" s="73"/>
      <c r="AE1731" s="73"/>
      <c r="AF1731" s="73"/>
      <c r="AG1731" s="73"/>
      <c r="AH1731" s="73"/>
      <c r="AI1731" s="73"/>
      <c r="AJ1731" s="161"/>
      <c r="AK1731" s="76" t="s">
        <v>930</v>
      </c>
      <c r="AL1731" s="83" t="s">
        <v>15794</v>
      </c>
      <c r="AM1731" s="71" t="s">
        <v>16840</v>
      </c>
      <c r="AN1731" s="84" t="s">
        <v>16841</v>
      </c>
      <c r="AO1731" s="71" t="s">
        <v>15797</v>
      </c>
      <c r="AP1731" s="161" t="str">
        <f>IMAGE("https://bellingcat-archive.nyc3.cdn.digitaloceanspaces.com/Ukraine_Witness_Datasheet/Worksheet/youtube_dl_1500836900105564163/out7.jpg")</f>
        <v/>
      </c>
      <c r="AQ1731" s="84" t="s">
        <v>15798</v>
      </c>
      <c r="AR1731" s="71" t="s">
        <v>15799</v>
      </c>
      <c r="AS1731" s="71" t="s">
        <v>15800</v>
      </c>
      <c r="AT1731" s="71">
        <v>17.766</v>
      </c>
      <c r="AU1731" s="89"/>
      <c r="AV1731" s="80" t="s">
        <v>3944</v>
      </c>
      <c r="AW1731" s="81"/>
    </row>
    <row r="1732" ht="15.75" customHeight="1">
      <c r="A1732" s="204" t="s">
        <v>63</v>
      </c>
      <c r="B1732" s="73"/>
      <c r="C1732" s="57" t="s">
        <v>15852</v>
      </c>
      <c r="D1732" s="74">
        <v>52.442475</v>
      </c>
      <c r="E1732" s="74">
        <v>30.985172</v>
      </c>
      <c r="F1732" s="79">
        <v>1.0</v>
      </c>
      <c r="G1732" s="84" t="s">
        <v>16842</v>
      </c>
      <c r="H1732" s="61" t="s">
        <v>5522</v>
      </c>
      <c r="I1732" s="75"/>
      <c r="J1732" s="71" t="s">
        <v>16843</v>
      </c>
      <c r="K1732" s="69"/>
      <c r="L1732" s="65" t="s">
        <v>69</v>
      </c>
      <c r="M1732" s="93" t="s">
        <v>70</v>
      </c>
      <c r="N1732" s="314"/>
      <c r="O1732" s="93" t="s">
        <v>70</v>
      </c>
      <c r="P1732" s="67" t="str">
        <f t="shared" si="19"/>
        <v>52.442475, 30.985172</v>
      </c>
      <c r="Q1732" s="67" t="str">
        <f t="shared" si="20"/>
        <v>52.44201, 30.984678</v>
      </c>
      <c r="R1732" s="67">
        <f t="shared" si="21"/>
        <v>52.44201</v>
      </c>
      <c r="S1732" s="67">
        <f t="shared" si="22"/>
        <v>30.984678</v>
      </c>
      <c r="T1732" s="161"/>
      <c r="U1732" s="69"/>
      <c r="V1732" s="65" t="s">
        <v>16844</v>
      </c>
      <c r="W1732" s="71" t="s">
        <v>12952</v>
      </c>
      <c r="X1732" s="72" t="s">
        <v>2982</v>
      </c>
      <c r="Y1732" s="61" t="s">
        <v>5820</v>
      </c>
      <c r="Z1732" s="73"/>
      <c r="AA1732" s="73"/>
      <c r="AB1732" s="73"/>
      <c r="AC1732" s="73"/>
      <c r="AD1732" s="73"/>
      <c r="AE1732" s="73"/>
      <c r="AF1732" s="73"/>
      <c r="AG1732" s="73"/>
      <c r="AH1732" s="73"/>
      <c r="AI1732" s="73"/>
      <c r="AJ1732" s="161"/>
      <c r="AK1732" s="76" t="s">
        <v>798</v>
      </c>
      <c r="AL1732" s="83" t="s">
        <v>16845</v>
      </c>
      <c r="AM1732" s="71" t="s">
        <v>16846</v>
      </c>
      <c r="AN1732" s="84" t="s">
        <v>16847</v>
      </c>
      <c r="AO1732" s="71" t="s">
        <v>16848</v>
      </c>
      <c r="AP1732" s="161" t="str">
        <f>IMAGE("https://bellingcat-archive.nyc3.cdn.digitaloceanspaces.com/Ukraine_Witness_Datasheet/Worksheet/youtube_dl_1501124369317253121/out7.jpg")</f>
        <v/>
      </c>
      <c r="AQ1732" s="84" t="s">
        <v>16849</v>
      </c>
      <c r="AR1732" s="71" t="s">
        <v>16850</v>
      </c>
      <c r="AS1732" s="71" t="s">
        <v>16851</v>
      </c>
      <c r="AT1732" s="71">
        <v>45.0</v>
      </c>
      <c r="AU1732" s="89"/>
      <c r="AV1732" s="80" t="s">
        <v>3944</v>
      </c>
      <c r="AW1732" s="81"/>
    </row>
    <row r="1733" ht="15.75" customHeight="1">
      <c r="A1733" s="72" t="s">
        <v>63</v>
      </c>
      <c r="B1733" s="73"/>
      <c r="C1733" s="57" t="s">
        <v>15852</v>
      </c>
      <c r="D1733" s="74">
        <v>49.8328</v>
      </c>
      <c r="E1733" s="74">
        <v>36.143956</v>
      </c>
      <c r="F1733" s="79">
        <v>2.0</v>
      </c>
      <c r="G1733" s="84" t="s">
        <v>16852</v>
      </c>
      <c r="H1733" s="61" t="s">
        <v>5522</v>
      </c>
      <c r="I1733" s="75"/>
      <c r="J1733" s="71" t="s">
        <v>16853</v>
      </c>
      <c r="K1733" s="69"/>
      <c r="L1733" s="65" t="s">
        <v>3542</v>
      </c>
      <c r="M1733" s="92" t="s">
        <v>5590</v>
      </c>
      <c r="N1733" s="314"/>
      <c r="O1733" s="92" t="s">
        <v>16854</v>
      </c>
      <c r="P1733" s="67" t="str">
        <f t="shared" si="19"/>
        <v>49.8328, 36.143956</v>
      </c>
      <c r="Q1733" s="67" t="str">
        <f t="shared" si="20"/>
        <v>49.832704, 36.144917</v>
      </c>
      <c r="R1733" s="67">
        <f t="shared" si="21"/>
        <v>49.832704</v>
      </c>
      <c r="S1733" s="67">
        <f t="shared" si="22"/>
        <v>36.144917</v>
      </c>
      <c r="T1733" s="161"/>
      <c r="U1733" s="69"/>
      <c r="V1733" s="65" t="s">
        <v>16855</v>
      </c>
      <c r="W1733" s="71" t="s">
        <v>3601</v>
      </c>
      <c r="X1733" s="72" t="s">
        <v>2982</v>
      </c>
      <c r="Y1733" s="61" t="s">
        <v>5820</v>
      </c>
      <c r="Z1733" s="73"/>
      <c r="AA1733" s="73"/>
      <c r="AB1733" s="73"/>
      <c r="AC1733" s="73"/>
      <c r="AD1733" s="73"/>
      <c r="AE1733" s="73"/>
      <c r="AF1733" s="73"/>
      <c r="AG1733" s="73"/>
      <c r="AH1733" s="73"/>
      <c r="AI1733" s="73"/>
      <c r="AJ1733" s="161"/>
      <c r="AK1733" s="76" t="s">
        <v>798</v>
      </c>
      <c r="AL1733" s="83" t="s">
        <v>16856</v>
      </c>
      <c r="AM1733" s="71" t="s">
        <v>16857</v>
      </c>
      <c r="AN1733" s="84" t="s">
        <v>16858</v>
      </c>
      <c r="AO1733" s="71" t="s">
        <v>16859</v>
      </c>
      <c r="AP1733" s="161" t="str">
        <f>IMAGE("https://bellingcat-archive.nyc3.cdn.digitaloceanspaces.com/Ukraine_Witness_Datasheet/Worksheet/youtube_dl_1501100807378378755/out7.jpg")</f>
        <v/>
      </c>
      <c r="AQ1733" s="84" t="s">
        <v>16860</v>
      </c>
      <c r="AR1733" s="71" t="s">
        <v>16861</v>
      </c>
      <c r="AS1733" s="71" t="s">
        <v>16862</v>
      </c>
      <c r="AT1733" s="71">
        <v>22.151</v>
      </c>
      <c r="AU1733" s="89"/>
      <c r="AV1733" s="80" t="s">
        <v>3944</v>
      </c>
      <c r="AW1733" s="81"/>
    </row>
    <row r="1734" ht="15.75" customHeight="1">
      <c r="A1734" s="72" t="s">
        <v>8023</v>
      </c>
      <c r="B1734" s="73"/>
      <c r="C1734" s="57" t="s">
        <v>15275</v>
      </c>
      <c r="D1734" s="104">
        <v>50.03582053</v>
      </c>
      <c r="E1734" s="104">
        <v>36.17357495</v>
      </c>
      <c r="F1734" s="79">
        <v>2.0</v>
      </c>
      <c r="G1734" s="84" t="s">
        <v>16863</v>
      </c>
      <c r="H1734" s="61" t="s">
        <v>66</v>
      </c>
      <c r="I1734" s="75"/>
      <c r="J1734" s="71" t="s">
        <v>16864</v>
      </c>
      <c r="K1734" s="69"/>
      <c r="L1734" s="65" t="s">
        <v>3542</v>
      </c>
      <c r="M1734" s="93" t="s">
        <v>5590</v>
      </c>
      <c r="N1734" s="314"/>
      <c r="O1734" s="93" t="s">
        <v>5626</v>
      </c>
      <c r="P1734" s="67" t="str">
        <f t="shared" si="19"/>
        <v>50.03582053, 36.17357495</v>
      </c>
      <c r="Q1734" s="67" t="str">
        <f t="shared" si="20"/>
        <v>50.035613, 36.174135</v>
      </c>
      <c r="R1734" s="67">
        <f t="shared" si="21"/>
        <v>50.035613</v>
      </c>
      <c r="S1734" s="67">
        <f t="shared" si="22"/>
        <v>36.174135</v>
      </c>
      <c r="T1734" s="71" t="s">
        <v>16865</v>
      </c>
      <c r="U1734" s="69"/>
      <c r="V1734" s="65" t="s">
        <v>16866</v>
      </c>
      <c r="W1734" s="71" t="s">
        <v>3601</v>
      </c>
      <c r="X1734" s="72" t="s">
        <v>2982</v>
      </c>
      <c r="Y1734" s="61" t="s">
        <v>5820</v>
      </c>
      <c r="Z1734" s="73"/>
      <c r="AA1734" s="73"/>
      <c r="AB1734" s="73"/>
      <c r="AC1734" s="73"/>
      <c r="AD1734" s="73"/>
      <c r="AE1734" s="73"/>
      <c r="AF1734" s="73"/>
      <c r="AG1734" s="73"/>
      <c r="AH1734" s="73"/>
      <c r="AI1734" s="73"/>
      <c r="AJ1734" s="161"/>
      <c r="AK1734" s="76" t="s">
        <v>798</v>
      </c>
      <c r="AL1734" s="83" t="s">
        <v>16867</v>
      </c>
      <c r="AM1734" s="71" t="s">
        <v>16868</v>
      </c>
      <c r="AN1734" s="84" t="s">
        <v>16869</v>
      </c>
      <c r="AO1734" s="71" t="s">
        <v>16870</v>
      </c>
      <c r="AP1734" s="161" t="str">
        <f>IMAGE("https://bellingcat-archive.nyc3.cdn.digitaloceanspaces.com/Ukraine_Witness_Datasheet/Worksheet/youtube_dl_1500757601059237889/out20.jpg")</f>
        <v/>
      </c>
      <c r="AQ1734" s="84" t="s">
        <v>16871</v>
      </c>
      <c r="AR1734" s="71" t="s">
        <v>16872</v>
      </c>
      <c r="AS1734" s="71" t="s">
        <v>16873</v>
      </c>
      <c r="AT1734" s="71">
        <v>99.267</v>
      </c>
      <c r="AU1734" s="89"/>
      <c r="AV1734" s="80" t="s">
        <v>3944</v>
      </c>
      <c r="AW1734" s="81"/>
    </row>
    <row r="1735" ht="15.0" customHeight="1">
      <c r="A1735" s="204" t="s">
        <v>63</v>
      </c>
      <c r="B1735" s="73"/>
      <c r="C1735" s="57" t="s">
        <v>15852</v>
      </c>
      <c r="D1735" s="74">
        <v>49.186849</v>
      </c>
      <c r="E1735" s="74">
        <v>37.278416</v>
      </c>
      <c r="F1735" s="79">
        <v>2.0</v>
      </c>
      <c r="G1735" s="84" t="s">
        <v>16874</v>
      </c>
      <c r="H1735" s="61" t="s">
        <v>13505</v>
      </c>
      <c r="I1735" s="75"/>
      <c r="J1735" s="71" t="s">
        <v>16875</v>
      </c>
      <c r="K1735" s="69"/>
      <c r="L1735" s="65" t="s">
        <v>3542</v>
      </c>
      <c r="M1735" s="93" t="s">
        <v>5590</v>
      </c>
      <c r="N1735" s="314"/>
      <c r="O1735" s="93" t="s">
        <v>9227</v>
      </c>
      <c r="P1735" s="67" t="str">
        <f t="shared" si="19"/>
        <v>49.186849, 37.278416</v>
      </c>
      <c r="Q1735" s="67" t="str">
        <f t="shared" si="20"/>
        <v>49.186465, 37.277698</v>
      </c>
      <c r="R1735" s="67">
        <f t="shared" si="21"/>
        <v>49.186465</v>
      </c>
      <c r="S1735" s="67">
        <f t="shared" si="22"/>
        <v>37.277698</v>
      </c>
      <c r="T1735" s="161"/>
      <c r="U1735" s="69"/>
      <c r="V1735" s="65" t="s">
        <v>16876</v>
      </c>
      <c r="W1735" s="71" t="s">
        <v>3601</v>
      </c>
      <c r="X1735" s="72" t="s">
        <v>2982</v>
      </c>
      <c r="Y1735" s="61" t="s">
        <v>5820</v>
      </c>
      <c r="Z1735" s="73"/>
      <c r="AA1735" s="73"/>
      <c r="AB1735" s="73"/>
      <c r="AC1735" s="73"/>
      <c r="AD1735" s="73"/>
      <c r="AE1735" s="73"/>
      <c r="AF1735" s="73"/>
      <c r="AG1735" s="73"/>
      <c r="AH1735" s="73"/>
      <c r="AI1735" s="73"/>
      <c r="AJ1735" s="161"/>
      <c r="AK1735" s="76" t="s">
        <v>2108</v>
      </c>
      <c r="AL1735" s="83" t="s">
        <v>16877</v>
      </c>
      <c r="AM1735" s="71" t="s">
        <v>16878</v>
      </c>
      <c r="AN1735" s="84" t="s">
        <v>16879</v>
      </c>
      <c r="AO1735" s="71" t="s">
        <v>16880</v>
      </c>
      <c r="AP1735" s="161" t="str">
        <f>IMAGE("https://bellingcat-archive.nyc3.cdn.digitaloceanspaces.com/Ukraine_Witness_Datasheet/Worksheet/twitter__media_FNUXrT5XIAAggHw.jpg")</f>
        <v/>
      </c>
      <c r="AQ1735" s="161"/>
      <c r="AR1735" s="161"/>
      <c r="AS1735" s="71" t="s">
        <v>16881</v>
      </c>
      <c r="AT1735" s="161"/>
      <c r="AU1735" s="89"/>
      <c r="AV1735" s="80" t="s">
        <v>3944</v>
      </c>
      <c r="AW1735" s="81"/>
    </row>
    <row r="1736" ht="15.75" customHeight="1">
      <c r="A1736" s="204" t="s">
        <v>63</v>
      </c>
      <c r="B1736" s="73"/>
      <c r="C1736" s="57" t="s">
        <v>15852</v>
      </c>
      <c r="D1736" s="74">
        <v>49.186211</v>
      </c>
      <c r="E1736" s="74">
        <v>37.275381</v>
      </c>
      <c r="F1736" s="79">
        <v>2.0</v>
      </c>
      <c r="G1736" s="84" t="s">
        <v>16882</v>
      </c>
      <c r="H1736" s="61" t="s">
        <v>66</v>
      </c>
      <c r="I1736" s="75"/>
      <c r="J1736" s="71" t="s">
        <v>16883</v>
      </c>
      <c r="K1736" s="69"/>
      <c r="L1736" s="65" t="s">
        <v>3542</v>
      </c>
      <c r="M1736" s="93" t="s">
        <v>5590</v>
      </c>
      <c r="N1736" s="314"/>
      <c r="O1736" s="93" t="s">
        <v>9227</v>
      </c>
      <c r="P1736" s="67" t="str">
        <f t="shared" si="19"/>
        <v>49.186211, 37.275381</v>
      </c>
      <c r="Q1736" s="67" t="str">
        <f t="shared" si="20"/>
        <v>49.185851, 37.275076</v>
      </c>
      <c r="R1736" s="67">
        <f t="shared" si="21"/>
        <v>49.185851</v>
      </c>
      <c r="S1736" s="67">
        <f t="shared" si="22"/>
        <v>37.275076</v>
      </c>
      <c r="T1736" s="161"/>
      <c r="U1736" s="69"/>
      <c r="V1736" s="65" t="s">
        <v>16884</v>
      </c>
      <c r="W1736" s="71" t="s">
        <v>3601</v>
      </c>
      <c r="X1736" s="72" t="s">
        <v>2982</v>
      </c>
      <c r="Y1736" s="61" t="s">
        <v>5820</v>
      </c>
      <c r="Z1736" s="73"/>
      <c r="AA1736" s="73"/>
      <c r="AB1736" s="73"/>
      <c r="AC1736" s="73"/>
      <c r="AD1736" s="73"/>
      <c r="AE1736" s="73"/>
      <c r="AF1736" s="73"/>
      <c r="AG1736" s="73"/>
      <c r="AH1736" s="73"/>
      <c r="AI1736" s="73"/>
      <c r="AJ1736" s="161"/>
      <c r="AK1736" s="76" t="s">
        <v>798</v>
      </c>
      <c r="AL1736" s="83" t="s">
        <v>16885</v>
      </c>
      <c r="AM1736" s="71" t="s">
        <v>16886</v>
      </c>
      <c r="AN1736" s="84" t="s">
        <v>16887</v>
      </c>
      <c r="AO1736" s="71" t="s">
        <v>16888</v>
      </c>
      <c r="AP1736" s="161" t="str">
        <f>IMAGE("https://bellingcat-archive.nyc3.cdn.digitaloceanspaces.com/Ukraine_Witness_Datasheet/Worksheet/youtube_dl_1501132177207136257/out7.jpg")</f>
        <v/>
      </c>
      <c r="AQ1736" s="84" t="s">
        <v>16889</v>
      </c>
      <c r="AR1736" s="71" t="s">
        <v>16890</v>
      </c>
      <c r="AS1736" s="71" t="s">
        <v>16891</v>
      </c>
      <c r="AT1736" s="71">
        <v>19.433</v>
      </c>
      <c r="AU1736" s="89"/>
      <c r="AV1736" s="80" t="s">
        <v>3944</v>
      </c>
      <c r="AW1736" s="81"/>
    </row>
    <row r="1737" ht="15.75" customHeight="1">
      <c r="A1737" s="204" t="s">
        <v>63</v>
      </c>
      <c r="B1737" s="73"/>
      <c r="C1737" s="57" t="s">
        <v>15852</v>
      </c>
      <c r="D1737" s="74">
        <v>49.185479</v>
      </c>
      <c r="E1737" s="74">
        <v>37.281234</v>
      </c>
      <c r="F1737" s="79">
        <v>1.0</v>
      </c>
      <c r="G1737" s="84" t="s">
        <v>16892</v>
      </c>
      <c r="H1737" s="61" t="s">
        <v>5522</v>
      </c>
      <c r="I1737" s="75"/>
      <c r="J1737" s="71" t="s">
        <v>16893</v>
      </c>
      <c r="K1737" s="69"/>
      <c r="L1737" s="65" t="s">
        <v>3542</v>
      </c>
      <c r="M1737" s="93" t="s">
        <v>5590</v>
      </c>
      <c r="N1737" s="314"/>
      <c r="O1737" s="93" t="s">
        <v>9227</v>
      </c>
      <c r="P1737" s="67" t="str">
        <f t="shared" si="19"/>
        <v>49.185479, 37.281234</v>
      </c>
      <c r="Q1737" s="67" t="str">
        <f t="shared" si="20"/>
        <v>49.184949, 37.281124</v>
      </c>
      <c r="R1737" s="67">
        <f t="shared" si="21"/>
        <v>49.184949</v>
      </c>
      <c r="S1737" s="67">
        <f t="shared" si="22"/>
        <v>37.281124</v>
      </c>
      <c r="T1737" s="161"/>
      <c r="U1737" s="69"/>
      <c r="V1737" s="65" t="s">
        <v>16894</v>
      </c>
      <c r="W1737" s="71" t="s">
        <v>3601</v>
      </c>
      <c r="X1737" s="72" t="s">
        <v>2982</v>
      </c>
      <c r="Y1737" s="61" t="s">
        <v>5820</v>
      </c>
      <c r="Z1737" s="73"/>
      <c r="AA1737" s="73"/>
      <c r="AB1737" s="73"/>
      <c r="AC1737" s="73"/>
      <c r="AD1737" s="73"/>
      <c r="AE1737" s="73"/>
      <c r="AF1737" s="73"/>
      <c r="AG1737" s="73"/>
      <c r="AH1737" s="73"/>
      <c r="AI1737" s="73"/>
      <c r="AJ1737" s="161"/>
      <c r="AK1737" s="76" t="s">
        <v>798</v>
      </c>
      <c r="AL1737" s="83" t="s">
        <v>16895</v>
      </c>
      <c r="AM1737" s="71" t="s">
        <v>16896</v>
      </c>
      <c r="AN1737" s="84" t="s">
        <v>16897</v>
      </c>
      <c r="AO1737" s="71" t="s">
        <v>16898</v>
      </c>
      <c r="AP1737" s="161" t="str">
        <f>IMAGE("https://bellingcat-archive.nyc3.cdn.digitaloceanspaces.com/Ukraine_Witness_Datasheet/Worksheet/youtube_dl_1501132089768529920/out7.jpg")</f>
        <v/>
      </c>
      <c r="AQ1737" s="84" t="s">
        <v>16899</v>
      </c>
      <c r="AR1737" s="71" t="s">
        <v>16890</v>
      </c>
      <c r="AS1737" s="71" t="s">
        <v>16900</v>
      </c>
      <c r="AT1737" s="71">
        <v>9.966</v>
      </c>
      <c r="AU1737" s="89"/>
      <c r="AV1737" s="80" t="s">
        <v>3944</v>
      </c>
      <c r="AW1737" s="81"/>
    </row>
    <row r="1738" ht="15.75" customHeight="1">
      <c r="A1738" s="204" t="s">
        <v>63</v>
      </c>
      <c r="B1738" s="73"/>
      <c r="C1738" s="57" t="s">
        <v>15275</v>
      </c>
      <c r="D1738" s="74">
        <v>49.98804</v>
      </c>
      <c r="E1738" s="74">
        <v>36.245764</v>
      </c>
      <c r="F1738" s="79">
        <v>2.0</v>
      </c>
      <c r="G1738" s="84" t="s">
        <v>16901</v>
      </c>
      <c r="H1738" s="61" t="s">
        <v>66</v>
      </c>
      <c r="I1738" s="75"/>
      <c r="J1738" s="71" t="s">
        <v>16902</v>
      </c>
      <c r="K1738" s="69"/>
      <c r="L1738" s="65" t="s">
        <v>3542</v>
      </c>
      <c r="M1738" s="93" t="s">
        <v>5590</v>
      </c>
      <c r="N1738" s="314"/>
      <c r="O1738" s="93" t="s">
        <v>5626</v>
      </c>
      <c r="P1738" s="67" t="str">
        <f t="shared" si="19"/>
        <v>49.98804, 36.245764</v>
      </c>
      <c r="Q1738" s="67" t="str">
        <f t="shared" si="20"/>
        <v>49.987687, 36.246644</v>
      </c>
      <c r="R1738" s="67">
        <f t="shared" si="21"/>
        <v>49.987687</v>
      </c>
      <c r="S1738" s="67">
        <f t="shared" si="22"/>
        <v>36.246644</v>
      </c>
      <c r="T1738" s="161"/>
      <c r="U1738" s="69"/>
      <c r="V1738" s="65" t="s">
        <v>16903</v>
      </c>
      <c r="W1738" s="71" t="s">
        <v>3601</v>
      </c>
      <c r="X1738" s="72" t="s">
        <v>2982</v>
      </c>
      <c r="Y1738" s="61" t="s">
        <v>5820</v>
      </c>
      <c r="Z1738" s="73"/>
      <c r="AA1738" s="73"/>
      <c r="AB1738" s="73"/>
      <c r="AC1738" s="73"/>
      <c r="AD1738" s="73"/>
      <c r="AE1738" s="73"/>
      <c r="AF1738" s="73"/>
      <c r="AG1738" s="73"/>
      <c r="AH1738" s="73"/>
      <c r="AI1738" s="73"/>
      <c r="AJ1738" s="161"/>
      <c r="AK1738" s="76" t="s">
        <v>798</v>
      </c>
      <c r="AL1738" s="83" t="s">
        <v>16904</v>
      </c>
      <c r="AM1738" s="71" t="s">
        <v>16905</v>
      </c>
      <c r="AN1738" s="84" t="s">
        <v>16906</v>
      </c>
      <c r="AO1738" s="71" t="s">
        <v>16907</v>
      </c>
      <c r="AP1738" s="161" t="str">
        <f>IMAGE("https://bellingcat-archive.nyc3.cdn.digitaloceanspaces.com/Ukraine_Witness_Datasheet/Worksheet/youtube_dl_1501121203423125510/out7.jpg")</f>
        <v/>
      </c>
      <c r="AQ1738" s="84" t="s">
        <v>16908</v>
      </c>
      <c r="AR1738" s="71" t="s">
        <v>16909</v>
      </c>
      <c r="AS1738" s="71" t="s">
        <v>16910</v>
      </c>
      <c r="AT1738" s="71">
        <v>9.733</v>
      </c>
      <c r="AU1738" s="89"/>
      <c r="AV1738" s="80" t="s">
        <v>3944</v>
      </c>
      <c r="AW1738" s="81"/>
    </row>
    <row r="1739" ht="15.75" customHeight="1">
      <c r="A1739" s="208"/>
      <c r="B1739" s="73"/>
      <c r="C1739" s="176"/>
      <c r="D1739" s="121"/>
      <c r="E1739" s="121"/>
      <c r="F1739" s="89"/>
      <c r="G1739" s="84" t="s">
        <v>16911</v>
      </c>
      <c r="H1739" s="73"/>
      <c r="I1739" s="75"/>
      <c r="J1739" s="161"/>
      <c r="K1739" s="69"/>
      <c r="L1739" s="70"/>
      <c r="M1739" s="73"/>
      <c r="N1739" s="73"/>
      <c r="O1739" s="73"/>
      <c r="P1739" s="67" t="str">
        <f t="shared" si="19"/>
        <v/>
      </c>
      <c r="Q1739" s="67" t="str">
        <f t="shared" si="20"/>
        <v/>
      </c>
      <c r="R1739" s="67" t="str">
        <f t="shared" si="21"/>
        <v/>
      </c>
      <c r="S1739" s="67" t="str">
        <f t="shared" si="22"/>
        <v/>
      </c>
      <c r="T1739" s="161"/>
      <c r="U1739" s="69"/>
      <c r="V1739" s="65" t="s">
        <v>16912</v>
      </c>
      <c r="W1739" s="161"/>
      <c r="X1739" s="194"/>
      <c r="Y1739" s="73"/>
      <c r="Z1739" s="73"/>
      <c r="AA1739" s="73"/>
      <c r="AB1739" s="73"/>
      <c r="AC1739" s="73"/>
      <c r="AD1739" s="73"/>
      <c r="AE1739" s="73"/>
      <c r="AF1739" s="73"/>
      <c r="AG1739" s="73"/>
      <c r="AH1739" s="73"/>
      <c r="AI1739" s="73"/>
      <c r="AJ1739" s="161"/>
      <c r="AK1739" s="76" t="s">
        <v>2108</v>
      </c>
      <c r="AL1739" s="83" t="s">
        <v>16913</v>
      </c>
      <c r="AM1739" s="71" t="s">
        <v>16914</v>
      </c>
      <c r="AN1739" s="84" t="s">
        <v>16915</v>
      </c>
      <c r="AO1739" s="71" t="s">
        <v>16916</v>
      </c>
      <c r="AP1739" s="161" t="str">
        <f>IMAGE("https://bellingcat-archive.nyc3.cdn.digitaloceanspaces.com/Ukraine_Witness_Datasheet/Worksheet/twitter__media_FNU5HztXoAQVClA.jpg")</f>
        <v/>
      </c>
      <c r="AQ1739" s="161"/>
      <c r="AR1739" s="161"/>
      <c r="AS1739" s="71" t="s">
        <v>16917</v>
      </c>
      <c r="AT1739" s="161"/>
      <c r="AU1739" s="89"/>
      <c r="AV1739" s="162"/>
      <c r="AW1739" s="81"/>
    </row>
    <row r="1740" ht="15.0" customHeight="1">
      <c r="A1740" s="204" t="s">
        <v>63</v>
      </c>
      <c r="B1740" s="73"/>
      <c r="C1740" s="57" t="s">
        <v>9028</v>
      </c>
      <c r="D1740" s="74">
        <v>50.46366</v>
      </c>
      <c r="E1740" s="74">
        <v>29.796315</v>
      </c>
      <c r="F1740" s="79">
        <v>5.0</v>
      </c>
      <c r="G1740" s="84" t="s">
        <v>16918</v>
      </c>
      <c r="H1740" s="61" t="s">
        <v>66</v>
      </c>
      <c r="I1740" s="495" t="s">
        <v>10382</v>
      </c>
      <c r="J1740" s="71" t="s">
        <v>16919</v>
      </c>
      <c r="K1740" s="69"/>
      <c r="L1740" s="65" t="s">
        <v>3542</v>
      </c>
      <c r="M1740" s="61" t="s">
        <v>5827</v>
      </c>
      <c r="N1740" s="73"/>
      <c r="O1740" s="61" t="s">
        <v>10249</v>
      </c>
      <c r="P1740" s="67" t="str">
        <f t="shared" si="19"/>
        <v>50.46366, 29.796315</v>
      </c>
      <c r="Q1740" s="67" t="str">
        <f t="shared" si="20"/>
        <v>50.463312, 29.796023</v>
      </c>
      <c r="R1740" s="67">
        <f t="shared" si="21"/>
        <v>50.463312</v>
      </c>
      <c r="S1740" s="67">
        <f t="shared" si="22"/>
        <v>29.796023</v>
      </c>
      <c r="T1740" s="71" t="s">
        <v>10250</v>
      </c>
      <c r="U1740" s="69"/>
      <c r="V1740" s="65" t="s">
        <v>16920</v>
      </c>
      <c r="W1740" s="71" t="s">
        <v>6108</v>
      </c>
      <c r="X1740" s="72" t="s">
        <v>2982</v>
      </c>
      <c r="Y1740" s="61" t="s">
        <v>5820</v>
      </c>
      <c r="Z1740" s="73"/>
      <c r="AA1740" s="73"/>
      <c r="AB1740" s="73"/>
      <c r="AC1740" s="73"/>
      <c r="AD1740" s="73"/>
      <c r="AE1740" s="73"/>
      <c r="AF1740" s="73"/>
      <c r="AG1740" s="73"/>
      <c r="AH1740" s="73"/>
      <c r="AI1740" s="73"/>
      <c r="AJ1740" s="161"/>
      <c r="AK1740" s="76" t="s">
        <v>798</v>
      </c>
      <c r="AL1740" s="83" t="s">
        <v>16921</v>
      </c>
      <c r="AM1740" s="71" t="s">
        <v>16922</v>
      </c>
      <c r="AN1740" s="84" t="s">
        <v>16923</v>
      </c>
      <c r="AO1740" s="71" t="s">
        <v>16924</v>
      </c>
      <c r="AP1740" s="161" t="str">
        <f>IMAGE("https://bellingcat-archive.nyc3.cdn.digitaloceanspaces.com/Ukraine_Witness_Datasheet/Worksheet/youtube_dl_1501162662369103872/out7.jpg")</f>
        <v/>
      </c>
      <c r="AQ1740" s="84" t="s">
        <v>16925</v>
      </c>
      <c r="AR1740" s="71" t="s">
        <v>16926</v>
      </c>
      <c r="AS1740" s="71" t="s">
        <v>16927</v>
      </c>
      <c r="AT1740" s="71">
        <v>53.899</v>
      </c>
      <c r="AU1740" s="89"/>
      <c r="AV1740" s="80" t="s">
        <v>3944</v>
      </c>
      <c r="AW1740" s="81"/>
    </row>
    <row r="1741" ht="15.75" customHeight="1">
      <c r="A1741" s="204" t="s">
        <v>63</v>
      </c>
      <c r="B1741" s="73"/>
      <c r="C1741" s="57" t="s">
        <v>15275</v>
      </c>
      <c r="D1741" s="74">
        <v>50.034942</v>
      </c>
      <c r="E1741" s="74">
        <v>36.22986</v>
      </c>
      <c r="F1741" s="79">
        <v>2.0</v>
      </c>
      <c r="G1741" s="84" t="s">
        <v>16928</v>
      </c>
      <c r="H1741" s="61" t="s">
        <v>91</v>
      </c>
      <c r="I1741" s="75"/>
      <c r="J1741" s="71" t="s">
        <v>16929</v>
      </c>
      <c r="K1741" s="69"/>
      <c r="L1741" s="533" t="s">
        <v>3542</v>
      </c>
      <c r="M1741" s="533" t="s">
        <v>5590</v>
      </c>
      <c r="N1741" s="534"/>
      <c r="O1741" s="533" t="s">
        <v>5626</v>
      </c>
      <c r="P1741" s="67" t="str">
        <f t="shared" si="19"/>
        <v>50.034942, 36.22986</v>
      </c>
      <c r="Q1741" s="67" t="str">
        <f t="shared" si="20"/>
        <v>50.03492, 36.230427</v>
      </c>
      <c r="R1741" s="67">
        <f t="shared" si="21"/>
        <v>50.03492</v>
      </c>
      <c r="S1741" s="67">
        <f t="shared" si="22"/>
        <v>36.230427</v>
      </c>
      <c r="T1741" s="161"/>
      <c r="U1741" s="69"/>
      <c r="V1741" s="65" t="s">
        <v>16930</v>
      </c>
      <c r="W1741" s="71" t="s">
        <v>3601</v>
      </c>
      <c r="X1741" s="72" t="s">
        <v>2982</v>
      </c>
      <c r="Y1741" s="61" t="s">
        <v>5820</v>
      </c>
      <c r="Z1741" s="73"/>
      <c r="AA1741" s="73"/>
      <c r="AB1741" s="73"/>
      <c r="AC1741" s="73"/>
      <c r="AD1741" s="73"/>
      <c r="AE1741" s="73"/>
      <c r="AF1741" s="73"/>
      <c r="AG1741" s="73"/>
      <c r="AH1741" s="73"/>
      <c r="AI1741" s="73"/>
      <c r="AJ1741" s="161"/>
      <c r="AK1741" s="76" t="s">
        <v>2108</v>
      </c>
      <c r="AL1741" s="83" t="s">
        <v>16931</v>
      </c>
      <c r="AM1741" s="71" t="s">
        <v>16932</v>
      </c>
      <c r="AN1741" s="84" t="s">
        <v>16933</v>
      </c>
      <c r="AO1741" s="71" t="s">
        <v>16934</v>
      </c>
      <c r="AP1741" s="161" t="str">
        <f>IMAGE("https://bellingcat-archive.nyc3.cdn.digitaloceanspaces.com/Ukraine_Witness_Datasheet/Worksheet/twitter__media_FNUDBikXsAU4KN0.jpg")</f>
        <v/>
      </c>
      <c r="AQ1741" s="161"/>
      <c r="AR1741" s="161"/>
      <c r="AS1741" s="71" t="s">
        <v>16935</v>
      </c>
      <c r="AT1741" s="161"/>
      <c r="AU1741" s="89"/>
      <c r="AV1741" s="80" t="s">
        <v>3944</v>
      </c>
      <c r="AW1741" s="81"/>
    </row>
    <row r="1742" ht="15.75" customHeight="1">
      <c r="A1742" s="204" t="s">
        <v>63</v>
      </c>
      <c r="B1742" s="73"/>
      <c r="C1742" s="57" t="s">
        <v>15852</v>
      </c>
      <c r="D1742" s="74">
        <v>50.304266</v>
      </c>
      <c r="E1742" s="74">
        <v>34.892825</v>
      </c>
      <c r="F1742" s="79">
        <v>1.0</v>
      </c>
      <c r="G1742" s="84" t="s">
        <v>16936</v>
      </c>
      <c r="H1742" s="61" t="s">
        <v>5522</v>
      </c>
      <c r="I1742" s="535"/>
      <c r="J1742" s="71" t="s">
        <v>16937</v>
      </c>
      <c r="K1742" s="69"/>
      <c r="L1742" s="533" t="s">
        <v>3542</v>
      </c>
      <c r="M1742" s="533" t="s">
        <v>5978</v>
      </c>
      <c r="N1742" s="534"/>
      <c r="O1742" s="536" t="s">
        <v>6001</v>
      </c>
      <c r="P1742" s="67" t="str">
        <f t="shared" si="19"/>
        <v>50.304266, 34.892825</v>
      </c>
      <c r="Q1742" s="67" t="str">
        <f t="shared" si="20"/>
        <v>50.30402, 34.893837</v>
      </c>
      <c r="R1742" s="67">
        <f t="shared" si="21"/>
        <v>50.30402</v>
      </c>
      <c r="S1742" s="67">
        <f t="shared" si="22"/>
        <v>34.893837</v>
      </c>
      <c r="T1742" s="161"/>
      <c r="U1742" s="69"/>
      <c r="V1742" s="65" t="s">
        <v>16938</v>
      </c>
      <c r="W1742" s="71" t="s">
        <v>3601</v>
      </c>
      <c r="X1742" s="72" t="s">
        <v>2982</v>
      </c>
      <c r="Y1742" s="61" t="s">
        <v>5820</v>
      </c>
      <c r="Z1742" s="73"/>
      <c r="AA1742" s="73"/>
      <c r="AB1742" s="73"/>
      <c r="AC1742" s="73"/>
      <c r="AD1742" s="73"/>
      <c r="AE1742" s="73"/>
      <c r="AF1742" s="73"/>
      <c r="AG1742" s="73"/>
      <c r="AH1742" s="73"/>
      <c r="AI1742" s="73"/>
      <c r="AJ1742" s="161"/>
      <c r="AK1742" s="76" t="s">
        <v>798</v>
      </c>
      <c r="AL1742" s="83" t="s">
        <v>16939</v>
      </c>
      <c r="AM1742" s="71" t="s">
        <v>16940</v>
      </c>
      <c r="AN1742" s="84" t="s">
        <v>16941</v>
      </c>
      <c r="AO1742" s="71" t="s">
        <v>16942</v>
      </c>
      <c r="AP1742" s="161" t="str">
        <f>IMAGE("https://bellingcat-archive.nyc3.cdn.digitaloceanspaces.com/Ukraine_Witness_Datasheet/Worksheet/youtube_dl_1501094446624088064/out7.jpg")</f>
        <v/>
      </c>
      <c r="AQ1742" s="84" t="s">
        <v>16943</v>
      </c>
      <c r="AR1742" s="71" t="s">
        <v>16944</v>
      </c>
      <c r="AS1742" s="71" t="s">
        <v>16945</v>
      </c>
      <c r="AT1742" s="71">
        <v>15.266</v>
      </c>
      <c r="AU1742" s="89"/>
      <c r="AV1742" s="80" t="s">
        <v>3944</v>
      </c>
      <c r="AW1742" s="81"/>
    </row>
    <row r="1743" ht="15.75" customHeight="1">
      <c r="A1743" s="204" t="s">
        <v>63</v>
      </c>
      <c r="B1743" s="73"/>
      <c r="C1743" s="57" t="s">
        <v>15852</v>
      </c>
      <c r="D1743" s="74">
        <v>50.007427</v>
      </c>
      <c r="E1743" s="74">
        <v>36.23763</v>
      </c>
      <c r="F1743" s="79">
        <v>1.0</v>
      </c>
      <c r="G1743" s="84" t="s">
        <v>16946</v>
      </c>
      <c r="H1743" s="61" t="s">
        <v>5522</v>
      </c>
      <c r="I1743" s="535"/>
      <c r="J1743" s="71" t="s">
        <v>16947</v>
      </c>
      <c r="K1743" s="69"/>
      <c r="L1743" s="533" t="s">
        <v>3542</v>
      </c>
      <c r="M1743" s="533" t="s">
        <v>5590</v>
      </c>
      <c r="N1743" s="534"/>
      <c r="O1743" s="533" t="s">
        <v>5626</v>
      </c>
      <c r="P1743" s="233" t="str">
        <f t="shared" si="19"/>
        <v>50.007427, 36.23763</v>
      </c>
      <c r="Q1743" s="67" t="str">
        <f t="shared" si="20"/>
        <v>50.006908, 36.237103</v>
      </c>
      <c r="R1743" s="67">
        <f t="shared" si="21"/>
        <v>50.006908</v>
      </c>
      <c r="S1743" s="67">
        <f t="shared" si="22"/>
        <v>36.237103</v>
      </c>
      <c r="T1743" s="161"/>
      <c r="U1743" s="69"/>
      <c r="V1743" s="65" t="s">
        <v>16948</v>
      </c>
      <c r="W1743" s="71" t="s">
        <v>3601</v>
      </c>
      <c r="X1743" s="72" t="s">
        <v>2982</v>
      </c>
      <c r="Y1743" s="61" t="s">
        <v>5820</v>
      </c>
      <c r="Z1743" s="73"/>
      <c r="AA1743" s="73"/>
      <c r="AB1743" s="73"/>
      <c r="AC1743" s="73"/>
      <c r="AD1743" s="73"/>
      <c r="AE1743" s="73"/>
      <c r="AF1743" s="73"/>
      <c r="AG1743" s="73"/>
      <c r="AH1743" s="73"/>
      <c r="AI1743" s="73"/>
      <c r="AJ1743" s="161"/>
      <c r="AK1743" s="76" t="s">
        <v>798</v>
      </c>
      <c r="AL1743" s="83" t="s">
        <v>16949</v>
      </c>
      <c r="AM1743" s="71" t="s">
        <v>16950</v>
      </c>
      <c r="AN1743" s="84" t="s">
        <v>16951</v>
      </c>
      <c r="AO1743" s="71" t="s">
        <v>16952</v>
      </c>
      <c r="AP1743" s="161" t="str">
        <f>IMAGE("https://bellingcat-archive.nyc3.cdn.digitaloceanspaces.com/Ukraine_Witness_Datasheet/Worksheet/youtube_dl_1501172187914506245/out7.jpg")</f>
        <v/>
      </c>
      <c r="AQ1743" s="84" t="s">
        <v>16953</v>
      </c>
      <c r="AR1743" s="71" t="s">
        <v>16954</v>
      </c>
      <c r="AS1743" s="71" t="s">
        <v>16955</v>
      </c>
      <c r="AT1743" s="71">
        <v>11.066</v>
      </c>
      <c r="AU1743" s="89"/>
      <c r="AV1743" s="80" t="s">
        <v>3944</v>
      </c>
      <c r="AW1743" s="81"/>
    </row>
    <row r="1744" ht="15.75" customHeight="1">
      <c r="A1744" s="204" t="s">
        <v>63</v>
      </c>
      <c r="B1744" s="73"/>
      <c r="C1744" s="57" t="s">
        <v>15852</v>
      </c>
      <c r="D1744" s="74">
        <v>50.304399</v>
      </c>
      <c r="E1744" s="74">
        <v>34.893335</v>
      </c>
      <c r="F1744" s="79">
        <v>1.0</v>
      </c>
      <c r="G1744" s="84" t="s">
        <v>16956</v>
      </c>
      <c r="H1744" s="61" t="s">
        <v>5368</v>
      </c>
      <c r="I1744" s="265" t="s">
        <v>16957</v>
      </c>
      <c r="J1744" s="71" t="s">
        <v>16958</v>
      </c>
      <c r="K1744" s="69"/>
      <c r="L1744" s="533" t="s">
        <v>3542</v>
      </c>
      <c r="M1744" s="533" t="s">
        <v>5978</v>
      </c>
      <c r="N1744" s="534"/>
      <c r="O1744" s="536" t="s">
        <v>6001</v>
      </c>
      <c r="P1744" s="233" t="str">
        <f t="shared" si="19"/>
        <v>50.304399, 34.893335</v>
      </c>
      <c r="Q1744" s="67" t="str">
        <f t="shared" si="20"/>
        <v>50.303587, 34.893334</v>
      </c>
      <c r="R1744" s="67">
        <f t="shared" si="21"/>
        <v>50.303587</v>
      </c>
      <c r="S1744" s="67">
        <f t="shared" si="22"/>
        <v>34.893334</v>
      </c>
      <c r="T1744" s="161"/>
      <c r="U1744" s="69"/>
      <c r="V1744" s="65" t="s">
        <v>16959</v>
      </c>
      <c r="W1744" s="71" t="s">
        <v>3601</v>
      </c>
      <c r="X1744" s="72" t="s">
        <v>2982</v>
      </c>
      <c r="Y1744" s="61" t="s">
        <v>5820</v>
      </c>
      <c r="Z1744" s="73"/>
      <c r="AA1744" s="73"/>
      <c r="AB1744" s="73"/>
      <c r="AC1744" s="73"/>
      <c r="AD1744" s="73"/>
      <c r="AE1744" s="73"/>
      <c r="AF1744" s="73"/>
      <c r="AG1744" s="73"/>
      <c r="AH1744" s="73"/>
      <c r="AI1744" s="73"/>
      <c r="AJ1744" s="161"/>
      <c r="AK1744" s="76" t="s">
        <v>2108</v>
      </c>
      <c r="AL1744" s="83" t="s">
        <v>16960</v>
      </c>
      <c r="AM1744" s="71" t="s">
        <v>16961</v>
      </c>
      <c r="AN1744" s="84" t="s">
        <v>16962</v>
      </c>
      <c r="AO1744" s="71" t="s">
        <v>16963</v>
      </c>
      <c r="AP1744" s="161" t="str">
        <f>IMAGE("https://bellingcat-archive.nyc3.cdn.digitaloceanspaces.com/Ukraine_Witness_Datasheet/Worksheet/twitter__media_FNVHFP7WUAI6934.jpg")</f>
        <v/>
      </c>
      <c r="AQ1744" s="161"/>
      <c r="AR1744" s="161"/>
      <c r="AS1744" s="71" t="s">
        <v>16964</v>
      </c>
      <c r="AT1744" s="161"/>
      <c r="AU1744" s="89"/>
      <c r="AV1744" s="80" t="s">
        <v>3944</v>
      </c>
      <c r="AW1744" s="81"/>
    </row>
    <row r="1745" ht="15.75" customHeight="1">
      <c r="A1745" s="204" t="s">
        <v>7849</v>
      </c>
      <c r="B1745" s="73"/>
      <c r="C1745" s="57" t="s">
        <v>15852</v>
      </c>
      <c r="D1745" s="104">
        <v>49.189376</v>
      </c>
      <c r="E1745" s="74">
        <v>37.273557</v>
      </c>
      <c r="F1745" s="79">
        <v>2.0</v>
      </c>
      <c r="G1745" s="84" t="s">
        <v>16965</v>
      </c>
      <c r="H1745" s="61" t="s">
        <v>5368</v>
      </c>
      <c r="I1745" s="535"/>
      <c r="J1745" s="71" t="s">
        <v>16966</v>
      </c>
      <c r="K1745" s="88" t="s">
        <v>16967</v>
      </c>
      <c r="L1745" s="533" t="s">
        <v>3542</v>
      </c>
      <c r="M1745" s="533" t="s">
        <v>5590</v>
      </c>
      <c r="N1745" s="534"/>
      <c r="O1745" s="533" t="s">
        <v>9227</v>
      </c>
      <c r="P1745" s="233" t="str">
        <f t="shared" si="19"/>
        <v>49.189376, 37.273557</v>
      </c>
      <c r="Q1745" s="67" t="str">
        <f t="shared" si="20"/>
        <v>49.188992, 37.273998</v>
      </c>
      <c r="R1745" s="67">
        <f t="shared" si="21"/>
        <v>49.188992</v>
      </c>
      <c r="S1745" s="67">
        <f t="shared" si="22"/>
        <v>37.273998</v>
      </c>
      <c r="T1745" s="161"/>
      <c r="U1745" s="69"/>
      <c r="V1745" s="65" t="s">
        <v>16968</v>
      </c>
      <c r="W1745" s="71" t="s">
        <v>3601</v>
      </c>
      <c r="X1745" s="72" t="s">
        <v>2982</v>
      </c>
      <c r="Y1745" s="61" t="s">
        <v>5820</v>
      </c>
      <c r="Z1745" s="73"/>
      <c r="AA1745" s="73"/>
      <c r="AB1745" s="73"/>
      <c r="AC1745" s="73"/>
      <c r="AD1745" s="73"/>
      <c r="AE1745" s="73"/>
      <c r="AF1745" s="73"/>
      <c r="AG1745" s="73"/>
      <c r="AH1745" s="73"/>
      <c r="AI1745" s="73"/>
      <c r="AJ1745" s="161"/>
      <c r="AK1745" s="76" t="s">
        <v>2108</v>
      </c>
      <c r="AL1745" s="83" t="s">
        <v>16969</v>
      </c>
      <c r="AM1745" s="71" t="s">
        <v>16970</v>
      </c>
      <c r="AN1745" s="84" t="s">
        <v>16971</v>
      </c>
      <c r="AO1745" s="71" t="s">
        <v>16972</v>
      </c>
      <c r="AP1745" s="161" t="str">
        <f>IMAGE("https://bellingcat-archive.nyc3.cdn.digitaloceanspaces.com/Ukraine_Witness_Datasheet/Worksheet/twitter__media_FNVMxQAXIAcSUmT.jpg")</f>
        <v/>
      </c>
      <c r="AQ1745" s="161"/>
      <c r="AR1745" s="161"/>
      <c r="AS1745" s="71" t="s">
        <v>16973</v>
      </c>
      <c r="AT1745" s="161"/>
      <c r="AU1745" s="89"/>
      <c r="AV1745" s="80" t="s">
        <v>3944</v>
      </c>
      <c r="AW1745" s="81"/>
    </row>
    <row r="1746" ht="15.75" customHeight="1">
      <c r="A1746" s="357" t="s">
        <v>63</v>
      </c>
      <c r="B1746" s="73"/>
      <c r="C1746" s="57" t="s">
        <v>15275</v>
      </c>
      <c r="D1746" s="74">
        <v>47.083521</v>
      </c>
      <c r="E1746" s="74">
        <v>35.314798</v>
      </c>
      <c r="F1746" s="79">
        <v>1.0</v>
      </c>
      <c r="G1746" s="84" t="s">
        <v>16974</v>
      </c>
      <c r="H1746" s="61" t="s">
        <v>5522</v>
      </c>
      <c r="I1746" s="537"/>
      <c r="J1746" s="71" t="s">
        <v>16975</v>
      </c>
      <c r="K1746" s="88" t="s">
        <v>16976</v>
      </c>
      <c r="L1746" s="533" t="s">
        <v>3542</v>
      </c>
      <c r="M1746" s="536" t="s">
        <v>6167</v>
      </c>
      <c r="N1746" s="534"/>
      <c r="O1746" s="536" t="s">
        <v>16977</v>
      </c>
      <c r="P1746" s="233" t="str">
        <f t="shared" si="19"/>
        <v>47.083521, 35.314798</v>
      </c>
      <c r="Q1746" s="67" t="str">
        <f t="shared" si="20"/>
        <v>47.083327, 35.31436</v>
      </c>
      <c r="R1746" s="67">
        <f t="shared" si="21"/>
        <v>47.083327</v>
      </c>
      <c r="S1746" s="67">
        <f t="shared" si="22"/>
        <v>35.31436</v>
      </c>
      <c r="T1746" s="161"/>
      <c r="U1746" s="69"/>
      <c r="V1746" s="65" t="s">
        <v>16978</v>
      </c>
      <c r="W1746" s="71" t="s">
        <v>12952</v>
      </c>
      <c r="X1746" s="72" t="s">
        <v>2982</v>
      </c>
      <c r="Y1746" s="61" t="s">
        <v>5820</v>
      </c>
      <c r="Z1746" s="73"/>
      <c r="AA1746" s="73"/>
      <c r="AB1746" s="73"/>
      <c r="AC1746" s="73"/>
      <c r="AD1746" s="73"/>
      <c r="AE1746" s="73"/>
      <c r="AF1746" s="73"/>
      <c r="AG1746" s="73"/>
      <c r="AH1746" s="73"/>
      <c r="AI1746" s="73"/>
      <c r="AJ1746" s="161"/>
      <c r="AK1746" s="76" t="s">
        <v>798</v>
      </c>
      <c r="AL1746" s="83" t="s">
        <v>16979</v>
      </c>
      <c r="AM1746" s="71" t="s">
        <v>16980</v>
      </c>
      <c r="AN1746" s="84" t="s">
        <v>16981</v>
      </c>
      <c r="AO1746" s="71" t="s">
        <v>16982</v>
      </c>
      <c r="AP1746" s="161" t="str">
        <f>IMAGE("https://bellingcat-archive.nyc3.cdn.digitaloceanspaces.com/Ukraine_Witness_Datasheet/Worksheet/youtube_dl_1500838282829172742/out7.jpg")</f>
        <v/>
      </c>
      <c r="AQ1746" s="84" t="s">
        <v>16983</v>
      </c>
      <c r="AR1746" s="71" t="s">
        <v>16984</v>
      </c>
      <c r="AS1746" s="71" t="s">
        <v>16985</v>
      </c>
      <c r="AT1746" s="71">
        <v>49.4</v>
      </c>
      <c r="AU1746" s="89"/>
      <c r="AV1746" s="80" t="s">
        <v>3944</v>
      </c>
      <c r="AW1746" s="81"/>
    </row>
    <row r="1747" ht="15.75" customHeight="1">
      <c r="A1747" s="204" t="s">
        <v>7849</v>
      </c>
      <c r="B1747" s="73"/>
      <c r="C1747" s="57" t="s">
        <v>15852</v>
      </c>
      <c r="D1747" s="74">
        <v>50.036083</v>
      </c>
      <c r="E1747" s="74">
        <v>36.34475</v>
      </c>
      <c r="F1747" s="79">
        <v>2.0</v>
      </c>
      <c r="G1747" s="84" t="s">
        <v>16986</v>
      </c>
      <c r="H1747" s="61" t="s">
        <v>66</v>
      </c>
      <c r="I1747" s="537"/>
      <c r="J1747" s="71" t="s">
        <v>16987</v>
      </c>
      <c r="K1747" s="88" t="s">
        <v>16988</v>
      </c>
      <c r="L1747" s="533" t="s">
        <v>3542</v>
      </c>
      <c r="M1747" s="533" t="s">
        <v>5590</v>
      </c>
      <c r="N1747" s="534"/>
      <c r="O1747" s="533" t="s">
        <v>5626</v>
      </c>
      <c r="P1747" s="233" t="str">
        <f t="shared" si="19"/>
        <v>50.036083, 36.34475</v>
      </c>
      <c r="Q1747" s="67" t="str">
        <f t="shared" si="20"/>
        <v>50.035738, 36.343973</v>
      </c>
      <c r="R1747" s="67">
        <f t="shared" si="21"/>
        <v>50.035738</v>
      </c>
      <c r="S1747" s="67">
        <f t="shared" si="22"/>
        <v>36.343973</v>
      </c>
      <c r="T1747" s="161"/>
      <c r="U1747" s="69"/>
      <c r="V1747" s="65" t="s">
        <v>16989</v>
      </c>
      <c r="W1747" s="71" t="s">
        <v>3601</v>
      </c>
      <c r="X1747" s="72" t="s">
        <v>2982</v>
      </c>
      <c r="Y1747" s="61" t="s">
        <v>5820</v>
      </c>
      <c r="Z1747" s="73"/>
      <c r="AA1747" s="73"/>
      <c r="AB1747" s="73"/>
      <c r="AC1747" s="73"/>
      <c r="AD1747" s="73"/>
      <c r="AE1747" s="73"/>
      <c r="AF1747" s="73"/>
      <c r="AG1747" s="73"/>
      <c r="AH1747" s="73"/>
      <c r="AI1747" s="73"/>
      <c r="AJ1747" s="161"/>
      <c r="AK1747" s="76" t="s">
        <v>798</v>
      </c>
      <c r="AL1747" s="83" t="s">
        <v>16990</v>
      </c>
      <c r="AM1747" s="71" t="s">
        <v>16991</v>
      </c>
      <c r="AN1747" s="84" t="s">
        <v>16992</v>
      </c>
      <c r="AO1747" s="71" t="s">
        <v>16993</v>
      </c>
      <c r="AP1747" s="161" t="str">
        <f>IMAGE("https://bellingcat-archive.nyc3.cdn.digitaloceanspaces.com/Ukraine_Witness_Datasheet/Worksheet/youtube_dl_1501202265671184393/out20.jpg")</f>
        <v/>
      </c>
      <c r="AQ1747" s="84" t="s">
        <v>16994</v>
      </c>
      <c r="AR1747" s="71" t="s">
        <v>16995</v>
      </c>
      <c r="AS1747" s="71" t="s">
        <v>16996</v>
      </c>
      <c r="AT1747" s="71">
        <v>82.2</v>
      </c>
      <c r="AU1747" s="89"/>
      <c r="AV1747" s="80" t="s">
        <v>3944</v>
      </c>
      <c r="AW1747" s="81"/>
    </row>
    <row r="1748" ht="15.75" customHeight="1">
      <c r="A1748" s="204" t="s">
        <v>7849</v>
      </c>
      <c r="B1748" s="73"/>
      <c r="C1748" s="57" t="s">
        <v>15852</v>
      </c>
      <c r="D1748" s="74">
        <v>50.007785</v>
      </c>
      <c r="E1748" s="74">
        <v>36.238149</v>
      </c>
      <c r="F1748" s="79">
        <v>2.0</v>
      </c>
      <c r="G1748" s="84" t="s">
        <v>16997</v>
      </c>
      <c r="H1748" s="61" t="s">
        <v>66</v>
      </c>
      <c r="I1748" s="75"/>
      <c r="J1748" s="71" t="s">
        <v>16987</v>
      </c>
      <c r="K1748" s="88" t="s">
        <v>16998</v>
      </c>
      <c r="L1748" s="533" t="s">
        <v>3542</v>
      </c>
      <c r="M1748" s="533" t="s">
        <v>5590</v>
      </c>
      <c r="N1748" s="534"/>
      <c r="O1748" s="533" t="s">
        <v>5626</v>
      </c>
      <c r="P1748" s="233" t="str">
        <f t="shared" si="19"/>
        <v>50.007785, 36.238149</v>
      </c>
      <c r="Q1748" s="67" t="str">
        <f t="shared" si="20"/>
        <v>50.007723, 36.238906</v>
      </c>
      <c r="R1748" s="67">
        <f t="shared" si="21"/>
        <v>50.007723</v>
      </c>
      <c r="S1748" s="67">
        <f t="shared" si="22"/>
        <v>36.238906</v>
      </c>
      <c r="T1748" s="161"/>
      <c r="U1748" s="69"/>
      <c r="V1748" s="65" t="s">
        <v>16999</v>
      </c>
      <c r="W1748" s="71" t="s">
        <v>3601</v>
      </c>
      <c r="X1748" s="72" t="s">
        <v>2982</v>
      </c>
      <c r="Y1748" s="61" t="s">
        <v>5820</v>
      </c>
      <c r="Z1748" s="73"/>
      <c r="AA1748" s="73"/>
      <c r="AB1748" s="73"/>
      <c r="AC1748" s="73"/>
      <c r="AD1748" s="73"/>
      <c r="AE1748" s="73"/>
      <c r="AF1748" s="73"/>
      <c r="AG1748" s="73"/>
      <c r="AH1748" s="73"/>
      <c r="AI1748" s="73"/>
      <c r="AJ1748" s="161"/>
      <c r="AK1748" s="76" t="s">
        <v>798</v>
      </c>
      <c r="AL1748" s="83" t="s">
        <v>17000</v>
      </c>
      <c r="AM1748" s="71" t="s">
        <v>17001</v>
      </c>
      <c r="AN1748" s="84" t="s">
        <v>17002</v>
      </c>
      <c r="AO1748" s="71" t="s">
        <v>17003</v>
      </c>
      <c r="AP1748" s="161" t="str">
        <f>IMAGE("https://bellingcat-archive.nyc3.cdn.digitaloceanspaces.com/Ukraine_Witness_Datasheet/Worksheet/youtube_dl_1501209927918010374/out7.jpg")</f>
        <v/>
      </c>
      <c r="AQ1748" s="84" t="s">
        <v>17004</v>
      </c>
      <c r="AR1748" s="71" t="s">
        <v>17005</v>
      </c>
      <c r="AS1748" s="71" t="s">
        <v>17006</v>
      </c>
      <c r="AT1748" s="71">
        <v>33.7</v>
      </c>
      <c r="AU1748" s="89"/>
      <c r="AV1748" s="80" t="s">
        <v>3944</v>
      </c>
      <c r="AW1748" s="81"/>
    </row>
    <row r="1749" ht="15.75" customHeight="1">
      <c r="A1749" s="415" t="s">
        <v>8554</v>
      </c>
      <c r="B1749" s="73"/>
      <c r="C1749" s="57" t="s">
        <v>7672</v>
      </c>
      <c r="D1749" s="241" t="s">
        <v>8555</v>
      </c>
      <c r="E1749" s="241" t="s">
        <v>8556</v>
      </c>
      <c r="F1749" s="79">
        <v>4.0</v>
      </c>
      <c r="G1749" s="83" t="s">
        <v>17007</v>
      </c>
      <c r="H1749" s="73"/>
      <c r="I1749" s="215" t="s">
        <v>8541</v>
      </c>
      <c r="J1749" s="476" t="s">
        <v>7058</v>
      </c>
      <c r="K1749" s="69"/>
      <c r="L1749" s="533" t="s">
        <v>3542</v>
      </c>
      <c r="M1749" s="149" t="s">
        <v>7207</v>
      </c>
      <c r="N1749" s="534"/>
      <c r="O1749" s="149" t="s">
        <v>8543</v>
      </c>
      <c r="P1749" s="67" t="str">
        <f t="shared" si="19"/>
        <v>47.180628, 37.698088</v>
      </c>
      <c r="Q1749" s="67" t="str">
        <f t="shared" si="20"/>
        <v>47.180133, 37.698872</v>
      </c>
      <c r="R1749" s="67">
        <f t="shared" si="21"/>
        <v>47.180133</v>
      </c>
      <c r="S1749" s="67">
        <f t="shared" si="22"/>
        <v>37.698872</v>
      </c>
      <c r="T1749" s="161"/>
      <c r="U1749" s="69"/>
      <c r="V1749" s="65" t="s">
        <v>17008</v>
      </c>
      <c r="W1749" s="71" t="s">
        <v>6108</v>
      </c>
      <c r="X1749" s="72" t="s">
        <v>2982</v>
      </c>
      <c r="Y1749" s="216" t="s">
        <v>75</v>
      </c>
      <c r="Z1749" s="61" t="s">
        <v>17009</v>
      </c>
      <c r="AA1749" s="73"/>
      <c r="AB1749" s="73"/>
      <c r="AC1749" s="73"/>
      <c r="AD1749" s="73"/>
      <c r="AE1749" s="73"/>
      <c r="AF1749" s="73"/>
      <c r="AG1749" s="73"/>
      <c r="AH1749" s="73"/>
      <c r="AI1749" s="73"/>
      <c r="AJ1749" s="161"/>
      <c r="AK1749" s="76" t="s">
        <v>798</v>
      </c>
      <c r="AL1749" s="83" t="s">
        <v>17010</v>
      </c>
      <c r="AM1749" s="71" t="s">
        <v>17011</v>
      </c>
      <c r="AN1749" s="84" t="s">
        <v>17012</v>
      </c>
      <c r="AO1749" s="71" t="s">
        <v>17013</v>
      </c>
      <c r="AP1749" s="161" t="str">
        <f>IMAGE("https://bellingcat-archive.nyc3.cdn.digitaloceanspaces.com/Ukraine_Witness_Datasheet/Worksheet/youtube_dl_7IUQVTaRY6I/out7.jpg")</f>
        <v/>
      </c>
      <c r="AQ1749" s="84" t="s">
        <v>17014</v>
      </c>
      <c r="AR1749" s="71" t="s">
        <v>17015</v>
      </c>
      <c r="AS1749" s="71" t="s">
        <v>17016</v>
      </c>
      <c r="AT1749" s="71">
        <v>47.0</v>
      </c>
      <c r="AU1749" s="89"/>
      <c r="AV1749" s="80" t="s">
        <v>3944</v>
      </c>
      <c r="AW1749" s="81"/>
    </row>
    <row r="1750" ht="15.75" customHeight="1">
      <c r="A1750" s="373" t="s">
        <v>6924</v>
      </c>
      <c r="B1750" s="73"/>
      <c r="C1750" s="57" t="s">
        <v>6118</v>
      </c>
      <c r="D1750" s="241" t="s">
        <v>17017</v>
      </c>
      <c r="E1750" s="260"/>
      <c r="F1750" s="89"/>
      <c r="G1750" s="83" t="s">
        <v>17018</v>
      </c>
      <c r="H1750" s="73"/>
      <c r="I1750" s="215" t="s">
        <v>17019</v>
      </c>
      <c r="J1750" s="476" t="s">
        <v>17020</v>
      </c>
      <c r="K1750" s="69"/>
      <c r="L1750" s="534"/>
      <c r="M1750" s="534"/>
      <c r="N1750" s="534"/>
      <c r="O1750" s="534"/>
      <c r="P1750" s="67" t="str">
        <f t="shared" si="19"/>
        <v>Trufanov str , </v>
      </c>
      <c r="Q1750" s="67" t="str">
        <f t="shared" si="20"/>
        <v>bad coordinate, </v>
      </c>
      <c r="R1750" s="67" t="str">
        <f t="shared" si="21"/>
        <v>bad coordinate</v>
      </c>
      <c r="S1750" s="67" t="str">
        <f t="shared" si="22"/>
        <v/>
      </c>
      <c r="T1750" s="161"/>
      <c r="U1750" s="69"/>
      <c r="V1750" s="65" t="s">
        <v>17021</v>
      </c>
      <c r="W1750" s="161"/>
      <c r="X1750" s="194"/>
      <c r="Y1750" s="216" t="s">
        <v>75</v>
      </c>
      <c r="Z1750" s="73"/>
      <c r="AA1750" s="73"/>
      <c r="AB1750" s="73"/>
      <c r="AC1750" s="73"/>
      <c r="AD1750" s="73"/>
      <c r="AE1750" s="73"/>
      <c r="AF1750" s="73"/>
      <c r="AG1750" s="73"/>
      <c r="AH1750" s="73"/>
      <c r="AI1750" s="73"/>
      <c r="AJ1750" s="161"/>
      <c r="AK1750" s="76" t="s">
        <v>6276</v>
      </c>
      <c r="AL1750" s="83" t="s">
        <v>17022</v>
      </c>
      <c r="AM1750" s="71" t="s">
        <v>17023</v>
      </c>
      <c r="AN1750" s="84" t="s">
        <v>17024</v>
      </c>
      <c r="AO1750" s="71" t="s">
        <v>17025</v>
      </c>
      <c r="AP1750" s="161" t="str">
        <f>IMAGE("https://bellingcat-archive.nyc3.cdn.digitaloceanspaces.com/Ukraine_Witness_Datasheet/Worksheet/telegram_015a7f8df5/out7.jpg")</f>
        <v/>
      </c>
      <c r="AQ1750" s="84" t="s">
        <v>17026</v>
      </c>
      <c r="AR1750" s="84" t="s">
        <v>17018</v>
      </c>
      <c r="AS1750" s="71" t="s">
        <v>17027</v>
      </c>
      <c r="AT1750" s="71">
        <v>51.0</v>
      </c>
      <c r="AU1750" s="89"/>
      <c r="AV1750" s="162"/>
      <c r="AW1750" s="81"/>
    </row>
    <row r="1751" ht="15.75" customHeight="1">
      <c r="A1751" s="373" t="s">
        <v>6924</v>
      </c>
      <c r="B1751" s="73"/>
      <c r="C1751" s="57" t="s">
        <v>8024</v>
      </c>
      <c r="D1751" s="260"/>
      <c r="E1751" s="260"/>
      <c r="F1751" s="89"/>
      <c r="G1751" s="83" t="s">
        <v>17028</v>
      </c>
      <c r="H1751" s="73"/>
      <c r="I1751" s="215" t="s">
        <v>8743</v>
      </c>
      <c r="J1751" s="476" t="s">
        <v>17029</v>
      </c>
      <c r="K1751" s="69"/>
      <c r="L1751" s="534"/>
      <c r="M1751" s="534"/>
      <c r="N1751" s="534"/>
      <c r="O1751" s="534"/>
      <c r="P1751" s="67" t="str">
        <f t="shared" si="19"/>
        <v/>
      </c>
      <c r="Q1751" s="67" t="str">
        <f t="shared" si="20"/>
        <v/>
      </c>
      <c r="R1751" s="67" t="str">
        <f t="shared" si="21"/>
        <v/>
      </c>
      <c r="S1751" s="67" t="str">
        <f t="shared" si="22"/>
        <v/>
      </c>
      <c r="T1751" s="161"/>
      <c r="U1751" s="69"/>
      <c r="V1751" s="65" t="s">
        <v>17030</v>
      </c>
      <c r="W1751" s="161"/>
      <c r="X1751" s="194"/>
      <c r="Y1751" s="216" t="s">
        <v>5820</v>
      </c>
      <c r="Z1751" s="73"/>
      <c r="AA1751" s="73"/>
      <c r="AB1751" s="73"/>
      <c r="AC1751" s="73"/>
      <c r="AD1751" s="73"/>
      <c r="AE1751" s="73"/>
      <c r="AF1751" s="73"/>
      <c r="AG1751" s="73"/>
      <c r="AH1751" s="73"/>
      <c r="AI1751" s="73"/>
      <c r="AJ1751" s="161"/>
      <c r="AK1751" s="76" t="s">
        <v>1261</v>
      </c>
      <c r="AL1751" s="83" t="s">
        <v>17031</v>
      </c>
      <c r="AM1751" s="71" t="s">
        <v>17032</v>
      </c>
      <c r="AN1751" s="84" t="s">
        <v>17033</v>
      </c>
      <c r="AO1751" s="161"/>
      <c r="AP1751" s="161"/>
      <c r="AQ1751" s="161"/>
      <c r="AR1751" s="71" t="s">
        <v>17034</v>
      </c>
      <c r="AS1751" s="161"/>
      <c r="AT1751" s="161"/>
      <c r="AU1751" s="89"/>
      <c r="AV1751" s="162"/>
      <c r="AW1751" s="81"/>
    </row>
    <row r="1752" ht="15.75" customHeight="1">
      <c r="A1752" s="354" t="s">
        <v>7092</v>
      </c>
      <c r="B1752" s="73"/>
      <c r="C1752" s="57" t="s">
        <v>9941</v>
      </c>
      <c r="D1752" s="241" t="s">
        <v>17035</v>
      </c>
      <c r="E1752" s="241" t="s">
        <v>17036</v>
      </c>
      <c r="F1752" s="79">
        <v>3.0</v>
      </c>
      <c r="G1752" s="83" t="s">
        <v>17037</v>
      </c>
      <c r="H1752" s="61" t="s">
        <v>5522</v>
      </c>
      <c r="I1752" s="215" t="s">
        <v>12306</v>
      </c>
      <c r="J1752" s="476" t="s">
        <v>12307</v>
      </c>
      <c r="K1752" s="69"/>
      <c r="L1752" s="533" t="s">
        <v>3542</v>
      </c>
      <c r="M1752" s="533" t="s">
        <v>5827</v>
      </c>
      <c r="N1752" s="534"/>
      <c r="O1752" s="149" t="s">
        <v>6121</v>
      </c>
      <c r="P1752" s="67" t="str">
        <f t="shared" si="19"/>
        <v>50.471365, 30.453854</v>
      </c>
      <c r="Q1752" s="67" t="str">
        <f t="shared" si="20"/>
        <v>50.47113, 30.454349</v>
      </c>
      <c r="R1752" s="67">
        <f t="shared" si="21"/>
        <v>50.47113</v>
      </c>
      <c r="S1752" s="67">
        <f t="shared" si="22"/>
        <v>30.454349</v>
      </c>
      <c r="T1752" s="161"/>
      <c r="U1752" s="69"/>
      <c r="V1752" s="65" t="s">
        <v>17038</v>
      </c>
      <c r="W1752" s="492" t="s">
        <v>9711</v>
      </c>
      <c r="X1752" s="538" t="s">
        <v>17039</v>
      </c>
      <c r="Y1752" s="216" t="s">
        <v>5820</v>
      </c>
      <c r="Z1752" s="73"/>
      <c r="AA1752" s="73"/>
      <c r="AB1752" s="73"/>
      <c r="AC1752" s="73"/>
      <c r="AD1752" s="73"/>
      <c r="AE1752" s="73"/>
      <c r="AF1752" s="73"/>
      <c r="AG1752" s="73"/>
      <c r="AH1752" s="73"/>
      <c r="AI1752" s="73"/>
      <c r="AJ1752" s="161"/>
      <c r="AK1752" s="76" t="s">
        <v>1261</v>
      </c>
      <c r="AL1752" s="83" t="s">
        <v>17040</v>
      </c>
      <c r="AM1752" s="71" t="s">
        <v>17041</v>
      </c>
      <c r="AN1752" s="84" t="s">
        <v>17042</v>
      </c>
      <c r="AO1752" s="161"/>
      <c r="AP1752" s="161"/>
      <c r="AQ1752" s="161"/>
      <c r="AR1752" s="71" t="s">
        <v>17043</v>
      </c>
      <c r="AS1752" s="161"/>
      <c r="AT1752" s="161"/>
      <c r="AU1752" s="89"/>
      <c r="AV1752" s="162"/>
      <c r="AW1752" s="81"/>
    </row>
    <row r="1753" ht="15.75" customHeight="1">
      <c r="A1753" s="354" t="s">
        <v>10579</v>
      </c>
      <c r="B1753" s="73"/>
      <c r="C1753" s="57" t="s">
        <v>10973</v>
      </c>
      <c r="D1753" s="241" t="s">
        <v>17044</v>
      </c>
      <c r="E1753" s="241" t="s">
        <v>17045</v>
      </c>
      <c r="F1753" s="79">
        <v>2.0</v>
      </c>
      <c r="G1753" s="83" t="s">
        <v>17046</v>
      </c>
      <c r="H1753" s="61" t="s">
        <v>5522</v>
      </c>
      <c r="I1753" s="215" t="s">
        <v>12316</v>
      </c>
      <c r="J1753" s="476" t="s">
        <v>12317</v>
      </c>
      <c r="K1753" s="69"/>
      <c r="L1753" s="533" t="s">
        <v>3542</v>
      </c>
      <c r="M1753" s="149" t="s">
        <v>17047</v>
      </c>
      <c r="N1753" s="534"/>
      <c r="O1753" s="149" t="s">
        <v>5626</v>
      </c>
      <c r="P1753" s="67" t="str">
        <f t="shared" si="19"/>
        <v>49.931075, 36.416403</v>
      </c>
      <c r="Q1753" s="67" t="str">
        <f t="shared" si="20"/>
        <v>49.930766, 36.415775</v>
      </c>
      <c r="R1753" s="67">
        <f t="shared" si="21"/>
        <v>49.930766</v>
      </c>
      <c r="S1753" s="67">
        <f t="shared" si="22"/>
        <v>36.415775</v>
      </c>
      <c r="T1753" s="161"/>
      <c r="U1753" s="69"/>
      <c r="V1753" s="65" t="s">
        <v>17048</v>
      </c>
      <c r="W1753" s="71" t="s">
        <v>3601</v>
      </c>
      <c r="X1753" s="538" t="s">
        <v>17039</v>
      </c>
      <c r="Y1753" s="216" t="s">
        <v>5820</v>
      </c>
      <c r="Z1753" s="73"/>
      <c r="AA1753" s="73"/>
      <c r="AB1753" s="73"/>
      <c r="AC1753" s="73"/>
      <c r="AD1753" s="73"/>
      <c r="AE1753" s="73"/>
      <c r="AF1753" s="73"/>
      <c r="AG1753" s="73"/>
      <c r="AH1753" s="73"/>
      <c r="AI1753" s="73"/>
      <c r="AJ1753" s="161"/>
      <c r="AK1753" s="76" t="s">
        <v>1261</v>
      </c>
      <c r="AL1753" s="83" t="s">
        <v>17049</v>
      </c>
      <c r="AM1753" s="71" t="s">
        <v>17050</v>
      </c>
      <c r="AN1753" s="84" t="s">
        <v>17051</v>
      </c>
      <c r="AO1753" s="161"/>
      <c r="AP1753" s="161"/>
      <c r="AQ1753" s="161"/>
      <c r="AR1753" s="71" t="s">
        <v>17052</v>
      </c>
      <c r="AS1753" s="161"/>
      <c r="AT1753" s="161"/>
      <c r="AU1753" s="89"/>
      <c r="AV1753" s="162"/>
      <c r="AW1753" s="81"/>
    </row>
    <row r="1754" ht="15.75" customHeight="1">
      <c r="A1754" s="354" t="s">
        <v>7092</v>
      </c>
      <c r="B1754" s="73"/>
      <c r="C1754" s="57" t="s">
        <v>10973</v>
      </c>
      <c r="D1754" s="241" t="s">
        <v>13958</v>
      </c>
      <c r="E1754" s="241" t="s">
        <v>13959</v>
      </c>
      <c r="F1754" s="79">
        <v>2.0</v>
      </c>
      <c r="G1754" s="83" t="s">
        <v>17053</v>
      </c>
      <c r="H1754" s="61" t="s">
        <v>5522</v>
      </c>
      <c r="I1754" s="215" t="s">
        <v>12326</v>
      </c>
      <c r="J1754" s="476" t="s">
        <v>12327</v>
      </c>
      <c r="K1754" s="69"/>
      <c r="L1754" s="533" t="s">
        <v>3542</v>
      </c>
      <c r="M1754" s="149" t="s">
        <v>17047</v>
      </c>
      <c r="N1754" s="534"/>
      <c r="O1754" s="149" t="s">
        <v>5626</v>
      </c>
      <c r="P1754" s="67" t="str">
        <f t="shared" si="19"/>
        <v>49.99929, 36.23671</v>
      </c>
      <c r="Q1754" s="67" t="str">
        <f t="shared" si="20"/>
        <v>49.999097, 36.237425</v>
      </c>
      <c r="R1754" s="67">
        <f t="shared" si="21"/>
        <v>49.999097</v>
      </c>
      <c r="S1754" s="67">
        <f t="shared" si="22"/>
        <v>36.237425</v>
      </c>
      <c r="T1754" s="161"/>
      <c r="U1754" s="69"/>
      <c r="V1754" s="65" t="s">
        <v>17054</v>
      </c>
      <c r="W1754" s="91" t="s">
        <v>6014</v>
      </c>
      <c r="X1754" s="538" t="s">
        <v>17039</v>
      </c>
      <c r="Y1754" s="216" t="s">
        <v>5820</v>
      </c>
      <c r="Z1754" s="73"/>
      <c r="AA1754" s="73"/>
      <c r="AB1754" s="73"/>
      <c r="AC1754" s="73"/>
      <c r="AD1754" s="73"/>
      <c r="AE1754" s="73"/>
      <c r="AF1754" s="73"/>
      <c r="AG1754" s="73"/>
      <c r="AH1754" s="73"/>
      <c r="AI1754" s="73"/>
      <c r="AJ1754" s="161"/>
      <c r="AK1754" s="76" t="s">
        <v>1261</v>
      </c>
      <c r="AL1754" s="83" t="s">
        <v>17055</v>
      </c>
      <c r="AM1754" s="71" t="s">
        <v>17056</v>
      </c>
      <c r="AN1754" s="84" t="s">
        <v>17057</v>
      </c>
      <c r="AO1754" s="161"/>
      <c r="AP1754" s="161"/>
      <c r="AQ1754" s="161"/>
      <c r="AR1754" s="71" t="s">
        <v>17058</v>
      </c>
      <c r="AS1754" s="161"/>
      <c r="AT1754" s="161"/>
      <c r="AU1754" s="89"/>
      <c r="AV1754" s="162"/>
      <c r="AW1754" s="81"/>
    </row>
    <row r="1755" ht="15.75" customHeight="1">
      <c r="A1755" s="354" t="s">
        <v>7092</v>
      </c>
      <c r="B1755" s="73"/>
      <c r="C1755" s="57" t="s">
        <v>10973</v>
      </c>
      <c r="D1755" s="241" t="s">
        <v>17059</v>
      </c>
      <c r="E1755" s="241" t="s">
        <v>17060</v>
      </c>
      <c r="F1755" s="79">
        <v>2.0</v>
      </c>
      <c r="G1755" s="83" t="s">
        <v>17061</v>
      </c>
      <c r="H1755" s="61" t="s">
        <v>5522</v>
      </c>
      <c r="I1755" s="215" t="s">
        <v>12336</v>
      </c>
      <c r="J1755" s="476" t="s">
        <v>12337</v>
      </c>
      <c r="K1755" s="69"/>
      <c r="L1755" s="533" t="s">
        <v>3542</v>
      </c>
      <c r="M1755" s="149" t="s">
        <v>17047</v>
      </c>
      <c r="N1755" s="534"/>
      <c r="O1755" s="149" t="s">
        <v>5626</v>
      </c>
      <c r="P1755" s="67" t="str">
        <f t="shared" si="19"/>
        <v>49.937978, 36.40366</v>
      </c>
      <c r="Q1755" s="67" t="str">
        <f t="shared" si="20"/>
        <v>49.937833, 36.40279</v>
      </c>
      <c r="R1755" s="67">
        <f t="shared" si="21"/>
        <v>49.937833</v>
      </c>
      <c r="S1755" s="67">
        <f t="shared" si="22"/>
        <v>36.40279</v>
      </c>
      <c r="T1755" s="161"/>
      <c r="U1755" s="69"/>
      <c r="V1755" s="65" t="s">
        <v>17062</v>
      </c>
      <c r="W1755" s="71" t="s">
        <v>3601</v>
      </c>
      <c r="X1755" s="538" t="s">
        <v>17039</v>
      </c>
      <c r="Y1755" s="216" t="s">
        <v>5820</v>
      </c>
      <c r="Z1755" s="73"/>
      <c r="AA1755" s="73"/>
      <c r="AB1755" s="73"/>
      <c r="AC1755" s="73"/>
      <c r="AD1755" s="73"/>
      <c r="AE1755" s="73"/>
      <c r="AF1755" s="73"/>
      <c r="AG1755" s="73"/>
      <c r="AH1755" s="73"/>
      <c r="AI1755" s="73"/>
      <c r="AJ1755" s="161"/>
      <c r="AK1755" s="76" t="s">
        <v>1261</v>
      </c>
      <c r="AL1755" s="83" t="s">
        <v>17063</v>
      </c>
      <c r="AM1755" s="71" t="s">
        <v>17064</v>
      </c>
      <c r="AN1755" s="84" t="s">
        <v>17065</v>
      </c>
      <c r="AO1755" s="161"/>
      <c r="AP1755" s="161"/>
      <c r="AQ1755" s="161"/>
      <c r="AR1755" s="71" t="s">
        <v>17066</v>
      </c>
      <c r="AS1755" s="161"/>
      <c r="AT1755" s="161"/>
      <c r="AU1755" s="89"/>
      <c r="AV1755" s="162"/>
      <c r="AW1755" s="81"/>
    </row>
    <row r="1756" ht="15.75" customHeight="1">
      <c r="A1756" s="415" t="s">
        <v>9566</v>
      </c>
      <c r="B1756" s="73"/>
      <c r="C1756" s="57" t="s">
        <v>10973</v>
      </c>
      <c r="D1756" s="241" t="s">
        <v>17067</v>
      </c>
      <c r="E1756" s="241" t="s">
        <v>17068</v>
      </c>
      <c r="F1756" s="79">
        <v>3.0</v>
      </c>
      <c r="G1756" s="83" t="s">
        <v>17069</v>
      </c>
      <c r="H1756" s="61" t="s">
        <v>5522</v>
      </c>
      <c r="I1756" s="215" t="s">
        <v>17070</v>
      </c>
      <c r="J1756" s="476" t="s">
        <v>17071</v>
      </c>
      <c r="K1756" s="69"/>
      <c r="L1756" s="533" t="s">
        <v>3542</v>
      </c>
      <c r="M1756" s="533" t="s">
        <v>5524</v>
      </c>
      <c r="N1756" s="534"/>
      <c r="O1756" s="149" t="s">
        <v>11498</v>
      </c>
      <c r="P1756" s="67" t="str">
        <f t="shared" si="19"/>
        <v>48.95328, 38.358926</v>
      </c>
      <c r="Q1756" s="67" t="str">
        <f t="shared" si="20"/>
        <v>48.9532, 38.358211</v>
      </c>
      <c r="R1756" s="67">
        <f t="shared" si="21"/>
        <v>48.9532</v>
      </c>
      <c r="S1756" s="67">
        <f t="shared" si="22"/>
        <v>38.358211</v>
      </c>
      <c r="T1756" s="161"/>
      <c r="U1756" s="69"/>
      <c r="V1756" s="65" t="s">
        <v>17072</v>
      </c>
      <c r="W1756" s="61" t="s">
        <v>9711</v>
      </c>
      <c r="X1756" s="72" t="s">
        <v>2982</v>
      </c>
      <c r="Y1756" s="216" t="s">
        <v>2982</v>
      </c>
      <c r="Z1756" s="61" t="s">
        <v>17009</v>
      </c>
      <c r="AA1756" s="73"/>
      <c r="AB1756" s="73"/>
      <c r="AC1756" s="73"/>
      <c r="AD1756" s="73"/>
      <c r="AE1756" s="73"/>
      <c r="AF1756" s="73"/>
      <c r="AG1756" s="73"/>
      <c r="AH1756" s="73"/>
      <c r="AI1756" s="73"/>
      <c r="AJ1756" s="161"/>
      <c r="AK1756" s="76" t="s">
        <v>798</v>
      </c>
      <c r="AL1756" s="83" t="s">
        <v>17073</v>
      </c>
      <c r="AM1756" s="71" t="s">
        <v>17074</v>
      </c>
      <c r="AN1756" s="84" t="s">
        <v>17075</v>
      </c>
      <c r="AO1756" s="71" t="s">
        <v>17076</v>
      </c>
      <c r="AP1756" s="161" t="str">
        <f>IMAGE("https://bellingcat-archive.nyc3.cdn.digitaloceanspaces.com/Ukraine_Witness_Datasheet/Worksheet/youtube_dl_1498988051174989832/out7.jpg")</f>
        <v/>
      </c>
      <c r="AQ1756" s="84" t="s">
        <v>17077</v>
      </c>
      <c r="AR1756" s="71" t="s">
        <v>17078</v>
      </c>
      <c r="AS1756" s="71" t="s">
        <v>17079</v>
      </c>
      <c r="AT1756" s="71">
        <v>42.333</v>
      </c>
      <c r="AU1756" s="89"/>
      <c r="AV1756" s="80" t="s">
        <v>3944</v>
      </c>
      <c r="AW1756" s="81"/>
    </row>
    <row r="1757" ht="15.75" customHeight="1">
      <c r="A1757" s="415" t="s">
        <v>9566</v>
      </c>
      <c r="B1757" s="73"/>
      <c r="C1757" s="57" t="s">
        <v>12050</v>
      </c>
      <c r="D1757" s="241" t="s">
        <v>13554</v>
      </c>
      <c r="E1757" s="241" t="s">
        <v>13555</v>
      </c>
      <c r="F1757" s="79">
        <v>4.0</v>
      </c>
      <c r="G1757" s="83" t="s">
        <v>17080</v>
      </c>
      <c r="H1757" s="61" t="s">
        <v>5522</v>
      </c>
      <c r="I1757" s="215" t="s">
        <v>13557</v>
      </c>
      <c r="J1757" s="476" t="s">
        <v>13558</v>
      </c>
      <c r="K1757" s="69"/>
      <c r="L1757" s="533" t="s">
        <v>3542</v>
      </c>
      <c r="M1757" s="149" t="s">
        <v>7853</v>
      </c>
      <c r="N1757" s="534"/>
      <c r="O1757" s="149" t="s">
        <v>8524</v>
      </c>
      <c r="P1757" s="67" t="str">
        <f t="shared" si="19"/>
        <v>51.500056, 31.27828</v>
      </c>
      <c r="Q1757" s="67" t="str">
        <f t="shared" si="20"/>
        <v>51.499994, 31.277713</v>
      </c>
      <c r="R1757" s="67">
        <f t="shared" si="21"/>
        <v>51.499994</v>
      </c>
      <c r="S1757" s="67">
        <f t="shared" si="22"/>
        <v>31.277713</v>
      </c>
      <c r="T1757" s="161"/>
      <c r="U1757" s="69"/>
      <c r="V1757" s="65" t="s">
        <v>17081</v>
      </c>
      <c r="W1757" s="71" t="s">
        <v>3601</v>
      </c>
      <c r="X1757" s="72" t="s">
        <v>2982</v>
      </c>
      <c r="Y1757" s="216" t="s">
        <v>5820</v>
      </c>
      <c r="Z1757" s="73"/>
      <c r="AA1757" s="73"/>
      <c r="AB1757" s="73"/>
      <c r="AC1757" s="73"/>
      <c r="AD1757" s="73"/>
      <c r="AE1757" s="73"/>
      <c r="AF1757" s="73"/>
      <c r="AG1757" s="73"/>
      <c r="AH1757" s="73"/>
      <c r="AI1757" s="73"/>
      <c r="AJ1757" s="161"/>
      <c r="AK1757" s="76" t="s">
        <v>6276</v>
      </c>
      <c r="AL1757" s="83" t="s">
        <v>17082</v>
      </c>
      <c r="AM1757" s="71" t="s">
        <v>17083</v>
      </c>
      <c r="AN1757" s="84" t="s">
        <v>17084</v>
      </c>
      <c r="AO1757" s="71" t="s">
        <v>17085</v>
      </c>
      <c r="AP1757" s="161" t="str">
        <f>IMAGE("https://bellingcat-archive.nyc3.cdn.digitaloceanspaces.com/Ukraine_Witness_Datasheet/Worksheet/telegram_fa4e88a74c/out7.jpg")</f>
        <v/>
      </c>
      <c r="AQ1757" s="84" t="s">
        <v>17086</v>
      </c>
      <c r="AR1757" s="84" t="s">
        <v>17080</v>
      </c>
      <c r="AS1757" s="71" t="s">
        <v>17087</v>
      </c>
      <c r="AT1757" s="71">
        <v>27.0</v>
      </c>
      <c r="AU1757" s="89"/>
      <c r="AV1757" s="80" t="s">
        <v>3944</v>
      </c>
      <c r="AW1757" s="81"/>
    </row>
    <row r="1758" ht="15.75" customHeight="1">
      <c r="A1758" s="477" t="s">
        <v>12532</v>
      </c>
      <c r="B1758" s="73"/>
      <c r="C1758" s="57" t="s">
        <v>12050</v>
      </c>
      <c r="D1758" s="241" t="s">
        <v>13554</v>
      </c>
      <c r="E1758" s="241" t="s">
        <v>13555</v>
      </c>
      <c r="F1758" s="79">
        <v>4.0</v>
      </c>
      <c r="G1758" s="83" t="s">
        <v>17088</v>
      </c>
      <c r="H1758" s="61" t="s">
        <v>5522</v>
      </c>
      <c r="I1758" s="215" t="s">
        <v>13557</v>
      </c>
      <c r="J1758" s="476" t="s">
        <v>13558</v>
      </c>
      <c r="K1758" s="69"/>
      <c r="L1758" s="533" t="s">
        <v>3542</v>
      </c>
      <c r="M1758" s="149" t="s">
        <v>7853</v>
      </c>
      <c r="N1758" s="534"/>
      <c r="O1758" s="149" t="s">
        <v>8524</v>
      </c>
      <c r="P1758" s="67" t="str">
        <f t="shared" si="19"/>
        <v>51.500056, 31.27828</v>
      </c>
      <c r="Q1758" s="67" t="str">
        <f t="shared" si="20"/>
        <v>51.499623, 31.27788</v>
      </c>
      <c r="R1758" s="67">
        <f t="shared" si="21"/>
        <v>51.499623</v>
      </c>
      <c r="S1758" s="67">
        <f t="shared" si="22"/>
        <v>31.27788</v>
      </c>
      <c r="T1758" s="161"/>
      <c r="U1758" s="69"/>
      <c r="V1758" s="65" t="s">
        <v>17089</v>
      </c>
      <c r="W1758" s="71" t="s">
        <v>3601</v>
      </c>
      <c r="X1758" s="538" t="s">
        <v>17090</v>
      </c>
      <c r="Y1758" s="216" t="s">
        <v>5820</v>
      </c>
      <c r="Z1758" s="73"/>
      <c r="AA1758" s="73"/>
      <c r="AB1758" s="73"/>
      <c r="AC1758" s="73"/>
      <c r="AD1758" s="73"/>
      <c r="AE1758" s="73"/>
      <c r="AF1758" s="73"/>
      <c r="AG1758" s="73"/>
      <c r="AH1758" s="73"/>
      <c r="AI1758" s="73"/>
      <c r="AJ1758" s="161"/>
      <c r="AK1758" s="76" t="s">
        <v>1261</v>
      </c>
      <c r="AL1758" s="83" t="s">
        <v>17091</v>
      </c>
      <c r="AM1758" s="71" t="s">
        <v>17092</v>
      </c>
      <c r="AN1758" s="84" t="s">
        <v>17093</v>
      </c>
      <c r="AO1758" s="161"/>
      <c r="AP1758" s="161"/>
      <c r="AQ1758" s="161"/>
      <c r="AR1758" s="71" t="s">
        <v>17094</v>
      </c>
      <c r="AS1758" s="161"/>
      <c r="AT1758" s="161"/>
      <c r="AU1758" s="89"/>
      <c r="AV1758" s="162"/>
      <c r="AW1758" s="81"/>
    </row>
    <row r="1759" ht="15.75" customHeight="1">
      <c r="A1759" s="373" t="s">
        <v>6924</v>
      </c>
      <c r="B1759" s="73"/>
      <c r="C1759" s="57" t="s">
        <v>12959</v>
      </c>
      <c r="D1759" s="260"/>
      <c r="E1759" s="260"/>
      <c r="F1759" s="89"/>
      <c r="G1759" s="83" t="s">
        <v>17095</v>
      </c>
      <c r="H1759" s="73"/>
      <c r="I1759" s="215" t="s">
        <v>13611</v>
      </c>
      <c r="J1759" s="476" t="s">
        <v>13612</v>
      </c>
      <c r="K1759" s="69"/>
      <c r="L1759" s="534"/>
      <c r="M1759" s="534"/>
      <c r="N1759" s="534"/>
      <c r="O1759" s="534"/>
      <c r="P1759" s="67" t="str">
        <f t="shared" si="19"/>
        <v/>
      </c>
      <c r="Q1759" s="67" t="str">
        <f t="shared" si="20"/>
        <v/>
      </c>
      <c r="R1759" s="67" t="str">
        <f t="shared" si="21"/>
        <v/>
      </c>
      <c r="S1759" s="67" t="str">
        <f t="shared" si="22"/>
        <v/>
      </c>
      <c r="T1759" s="161"/>
      <c r="U1759" s="69"/>
      <c r="V1759" s="65" t="s">
        <v>17096</v>
      </c>
      <c r="W1759" s="161"/>
      <c r="X1759" s="194"/>
      <c r="Y1759" s="216" t="s">
        <v>5820</v>
      </c>
      <c r="Z1759" s="73"/>
      <c r="AA1759" s="73"/>
      <c r="AB1759" s="73"/>
      <c r="AC1759" s="73"/>
      <c r="AD1759" s="73"/>
      <c r="AE1759" s="73"/>
      <c r="AF1759" s="73"/>
      <c r="AG1759" s="73"/>
      <c r="AH1759" s="73"/>
      <c r="AI1759" s="73"/>
      <c r="AJ1759" s="161"/>
      <c r="AK1759" s="76" t="s">
        <v>798</v>
      </c>
      <c r="AL1759" s="83" t="s">
        <v>17097</v>
      </c>
      <c r="AM1759" s="71" t="s">
        <v>17098</v>
      </c>
      <c r="AN1759" s="84" t="s">
        <v>17099</v>
      </c>
      <c r="AO1759" s="71" t="s">
        <v>17100</v>
      </c>
      <c r="AP1759" s="161" t="str">
        <f>IMAGE("https://bellingcat-archive.nyc3.cdn.digitaloceanspaces.com/Ukraine_Witness_Datasheet/Worksheet/youtube_dl_T-bADJfTJts/out7.jpg")</f>
        <v/>
      </c>
      <c r="AQ1759" s="84" t="s">
        <v>17101</v>
      </c>
      <c r="AR1759" s="71" t="s">
        <v>17102</v>
      </c>
      <c r="AS1759" s="71" t="s">
        <v>17103</v>
      </c>
      <c r="AT1759" s="71">
        <v>38.0</v>
      </c>
      <c r="AU1759" s="89"/>
      <c r="AV1759" s="162"/>
      <c r="AW1759" s="81"/>
    </row>
    <row r="1760" ht="15.75" customHeight="1">
      <c r="A1760" s="415" t="s">
        <v>9566</v>
      </c>
      <c r="B1760" s="73"/>
      <c r="C1760" s="57" t="s">
        <v>13542</v>
      </c>
      <c r="D1760" s="241" t="s">
        <v>17104</v>
      </c>
      <c r="E1760" s="241" t="s">
        <v>17105</v>
      </c>
      <c r="F1760" s="79">
        <v>4.0</v>
      </c>
      <c r="G1760" s="83" t="s">
        <v>17106</v>
      </c>
      <c r="H1760" s="61" t="s">
        <v>5522</v>
      </c>
      <c r="I1760" s="215" t="s">
        <v>17107</v>
      </c>
      <c r="J1760" s="476" t="s">
        <v>17108</v>
      </c>
      <c r="K1760" s="69"/>
      <c r="L1760" s="533" t="s">
        <v>3542</v>
      </c>
      <c r="M1760" s="149" t="s">
        <v>5524</v>
      </c>
      <c r="N1760" s="534"/>
      <c r="O1760" s="149" t="s">
        <v>15237</v>
      </c>
      <c r="P1760" s="67" t="str">
        <f t="shared" si="19"/>
        <v>49.536386, 39.10567</v>
      </c>
      <c r="Q1760" s="67" t="str">
        <f t="shared" si="20"/>
        <v>49.535725, 39.106313</v>
      </c>
      <c r="R1760" s="67">
        <f t="shared" si="21"/>
        <v>49.535725</v>
      </c>
      <c r="S1760" s="67">
        <f t="shared" si="22"/>
        <v>39.106313</v>
      </c>
      <c r="T1760" s="161"/>
      <c r="U1760" s="69"/>
      <c r="V1760" s="65" t="s">
        <v>17109</v>
      </c>
      <c r="W1760" s="71" t="s">
        <v>6108</v>
      </c>
      <c r="X1760" s="72" t="s">
        <v>2982</v>
      </c>
      <c r="Y1760" s="216" t="s">
        <v>5820</v>
      </c>
      <c r="Z1760" s="73"/>
      <c r="AA1760" s="73"/>
      <c r="AB1760" s="73"/>
      <c r="AC1760" s="73"/>
      <c r="AD1760" s="73"/>
      <c r="AE1760" s="73"/>
      <c r="AF1760" s="73"/>
      <c r="AG1760" s="73"/>
      <c r="AH1760" s="73"/>
      <c r="AI1760" s="73"/>
      <c r="AJ1760" s="161"/>
      <c r="AK1760" s="76" t="s">
        <v>798</v>
      </c>
      <c r="AL1760" s="83" t="s">
        <v>17110</v>
      </c>
      <c r="AM1760" s="71" t="s">
        <v>17111</v>
      </c>
      <c r="AN1760" s="84" t="s">
        <v>17112</v>
      </c>
      <c r="AO1760" s="71" t="s">
        <v>17113</v>
      </c>
      <c r="AP1760" s="161" t="str">
        <f>IMAGE("https://bellingcat-archive.nyc3.cdn.digitaloceanspaces.com/Ukraine_Witness_Datasheet/Worksheet/youtube_dl_1500126664952623112/out20.jpg")</f>
        <v/>
      </c>
      <c r="AQ1760" s="84" t="s">
        <v>17114</v>
      </c>
      <c r="AR1760" s="71" t="s">
        <v>17115</v>
      </c>
      <c r="AS1760" s="71" t="s">
        <v>17116</v>
      </c>
      <c r="AT1760" s="71">
        <v>138.9</v>
      </c>
      <c r="AU1760" s="89"/>
      <c r="AV1760" s="80" t="s">
        <v>3944</v>
      </c>
      <c r="AW1760" s="81"/>
    </row>
    <row r="1761" ht="15.75" customHeight="1">
      <c r="A1761" s="415" t="s">
        <v>9566</v>
      </c>
      <c r="B1761" s="73"/>
      <c r="C1761" s="57" t="s">
        <v>13542</v>
      </c>
      <c r="D1761" s="241" t="s">
        <v>17104</v>
      </c>
      <c r="E1761" s="241" t="s">
        <v>17105</v>
      </c>
      <c r="F1761" s="79">
        <v>4.0</v>
      </c>
      <c r="G1761" s="83" t="s">
        <v>17117</v>
      </c>
      <c r="H1761" s="61" t="s">
        <v>5522</v>
      </c>
      <c r="I1761" s="215" t="s">
        <v>17107</v>
      </c>
      <c r="J1761" s="476" t="s">
        <v>17108</v>
      </c>
      <c r="K1761" s="69"/>
      <c r="L1761" s="533" t="s">
        <v>3542</v>
      </c>
      <c r="M1761" s="149" t="s">
        <v>5524</v>
      </c>
      <c r="N1761" s="534"/>
      <c r="O1761" s="149" t="s">
        <v>15237</v>
      </c>
      <c r="P1761" s="67" t="str">
        <f t="shared" si="19"/>
        <v>49.536386, 39.10567</v>
      </c>
      <c r="Q1761" s="67" t="str">
        <f t="shared" si="20"/>
        <v>49.536113, 39.105301</v>
      </c>
      <c r="R1761" s="67">
        <f t="shared" si="21"/>
        <v>49.536113</v>
      </c>
      <c r="S1761" s="67">
        <f t="shared" si="22"/>
        <v>39.105301</v>
      </c>
      <c r="T1761" s="161"/>
      <c r="U1761" s="69"/>
      <c r="V1761" s="65" t="s">
        <v>17118</v>
      </c>
      <c r="W1761" s="71" t="s">
        <v>6108</v>
      </c>
      <c r="X1761" s="72" t="s">
        <v>2982</v>
      </c>
      <c r="Y1761" s="216" t="s">
        <v>5820</v>
      </c>
      <c r="Z1761" s="73"/>
      <c r="AA1761" s="73"/>
      <c r="AB1761" s="73"/>
      <c r="AC1761" s="73"/>
      <c r="AD1761" s="73"/>
      <c r="AE1761" s="73"/>
      <c r="AF1761" s="73"/>
      <c r="AG1761" s="73"/>
      <c r="AH1761" s="73"/>
      <c r="AI1761" s="73"/>
      <c r="AJ1761" s="161"/>
      <c r="AK1761" s="76" t="s">
        <v>798</v>
      </c>
      <c r="AL1761" s="83" t="s">
        <v>17119</v>
      </c>
      <c r="AM1761" s="71" t="s">
        <v>17120</v>
      </c>
      <c r="AN1761" s="84" t="s">
        <v>17121</v>
      </c>
      <c r="AO1761" s="71" t="s">
        <v>17122</v>
      </c>
      <c r="AP1761" s="161" t="str">
        <f>IMAGE("https://bellingcat-archive.nyc3.cdn.digitaloceanspaces.com/Ukraine_Witness_Datasheet/Worksheet/youtube_dl_lPdlUQHIkYA/out20.jpg")</f>
        <v/>
      </c>
      <c r="AQ1761" s="84" t="s">
        <v>17123</v>
      </c>
      <c r="AR1761" s="71" t="s">
        <v>17124</v>
      </c>
      <c r="AS1761" s="71" t="s">
        <v>17125</v>
      </c>
      <c r="AT1761" s="71">
        <v>329.0</v>
      </c>
      <c r="AU1761" s="89"/>
      <c r="AV1761" s="80" t="s">
        <v>3944</v>
      </c>
      <c r="AW1761" s="81"/>
    </row>
    <row r="1762" ht="15.75" customHeight="1">
      <c r="A1762" s="373" t="s">
        <v>6924</v>
      </c>
      <c r="B1762" s="73"/>
      <c r="C1762" s="57" t="s">
        <v>12959</v>
      </c>
      <c r="D1762" s="241" t="s">
        <v>17126</v>
      </c>
      <c r="E1762" s="241" t="s">
        <v>17127</v>
      </c>
      <c r="F1762" s="79">
        <v>3.0</v>
      </c>
      <c r="G1762" s="83" t="s">
        <v>17128</v>
      </c>
      <c r="H1762" s="61" t="s">
        <v>91</v>
      </c>
      <c r="I1762" s="215" t="s">
        <v>17129</v>
      </c>
      <c r="J1762" s="476" t="s">
        <v>17130</v>
      </c>
      <c r="K1762" s="69"/>
      <c r="L1762" s="533" t="s">
        <v>3542</v>
      </c>
      <c r="M1762" s="533" t="s">
        <v>5524</v>
      </c>
      <c r="N1762" s="534"/>
      <c r="O1762" s="92" t="s">
        <v>10274</v>
      </c>
      <c r="P1762" s="67" t="str">
        <f t="shared" si="19"/>
        <v>48.94229,38, 38.4958322</v>
      </c>
      <c r="Q1762" s="67" t="str">
        <f t="shared" si="20"/>
        <v>bad coordinate, 38.495098</v>
      </c>
      <c r="R1762" s="67" t="str">
        <f t="shared" si="21"/>
        <v>bad coordinate</v>
      </c>
      <c r="S1762" s="67">
        <f t="shared" si="22"/>
        <v>38.495098</v>
      </c>
      <c r="T1762" s="161"/>
      <c r="U1762" s="69"/>
      <c r="V1762" s="65" t="s">
        <v>17131</v>
      </c>
      <c r="W1762" s="71" t="s">
        <v>17132</v>
      </c>
      <c r="X1762" s="194"/>
      <c r="Y1762" s="216" t="s">
        <v>5820</v>
      </c>
      <c r="Z1762" s="73"/>
      <c r="AA1762" s="73"/>
      <c r="AB1762" s="73"/>
      <c r="AC1762" s="73"/>
      <c r="AD1762" s="73"/>
      <c r="AE1762" s="73"/>
      <c r="AF1762" s="73"/>
      <c r="AG1762" s="73"/>
      <c r="AH1762" s="73"/>
      <c r="AI1762" s="73"/>
      <c r="AJ1762" s="161"/>
      <c r="AK1762" s="76" t="s">
        <v>1261</v>
      </c>
      <c r="AL1762" s="83" t="s">
        <v>17133</v>
      </c>
      <c r="AM1762" s="71" t="s">
        <v>17134</v>
      </c>
      <c r="AN1762" s="84" t="s">
        <v>17135</v>
      </c>
      <c r="AO1762" s="161"/>
      <c r="AP1762" s="161"/>
      <c r="AQ1762" s="161"/>
      <c r="AR1762" s="71" t="s">
        <v>7184</v>
      </c>
      <c r="AS1762" s="161"/>
      <c r="AT1762" s="161"/>
      <c r="AU1762" s="89"/>
      <c r="AV1762" s="162"/>
      <c r="AW1762" s="81"/>
    </row>
    <row r="1763" ht="15.75" customHeight="1">
      <c r="A1763" s="373" t="s">
        <v>6924</v>
      </c>
      <c r="B1763" s="73"/>
      <c r="C1763" s="57" t="s">
        <v>13542</v>
      </c>
      <c r="D1763" s="241" t="s">
        <v>17136</v>
      </c>
      <c r="E1763" s="241" t="s">
        <v>17137</v>
      </c>
      <c r="F1763" s="79">
        <v>2.0</v>
      </c>
      <c r="G1763" s="83" t="s">
        <v>17138</v>
      </c>
      <c r="H1763" s="61" t="s">
        <v>5522</v>
      </c>
      <c r="I1763" s="215" t="s">
        <v>17139</v>
      </c>
      <c r="J1763" s="476" t="s">
        <v>17140</v>
      </c>
      <c r="K1763" s="69"/>
      <c r="L1763" s="533" t="s">
        <v>3542</v>
      </c>
      <c r="M1763" s="533" t="s">
        <v>5590</v>
      </c>
      <c r="N1763" s="534"/>
      <c r="O1763" s="533" t="s">
        <v>5626</v>
      </c>
      <c r="P1763" s="67" t="str">
        <f t="shared" si="19"/>
        <v>50.0246729, 36.3398481</v>
      </c>
      <c r="Q1763" s="67" t="str">
        <f t="shared" si="20"/>
        <v>50.024201, 36.33981</v>
      </c>
      <c r="R1763" s="67">
        <f t="shared" si="21"/>
        <v>50.024201</v>
      </c>
      <c r="S1763" s="67">
        <f t="shared" si="22"/>
        <v>36.33981</v>
      </c>
      <c r="T1763" s="161"/>
      <c r="U1763" s="69"/>
      <c r="V1763" s="65" t="s">
        <v>17141</v>
      </c>
      <c r="W1763" s="71" t="s">
        <v>17132</v>
      </c>
      <c r="X1763" s="194"/>
      <c r="Y1763" s="216" t="s">
        <v>5820</v>
      </c>
      <c r="Z1763" s="73"/>
      <c r="AA1763" s="73"/>
      <c r="AB1763" s="73"/>
      <c r="AC1763" s="73"/>
      <c r="AD1763" s="73"/>
      <c r="AE1763" s="73"/>
      <c r="AF1763" s="73"/>
      <c r="AG1763" s="73"/>
      <c r="AH1763" s="73"/>
      <c r="AI1763" s="73"/>
      <c r="AJ1763" s="161"/>
      <c r="AK1763" s="76" t="s">
        <v>6276</v>
      </c>
      <c r="AL1763" s="83" t="s">
        <v>17142</v>
      </c>
      <c r="AM1763" s="71" t="s">
        <v>17143</v>
      </c>
      <c r="AN1763" s="84" t="s">
        <v>17144</v>
      </c>
      <c r="AO1763" s="71" t="s">
        <v>17145</v>
      </c>
      <c r="AP1763" s="161" t="str">
        <f>IMAGE("https://bellingcat-archive.nyc3.cdn.digitaloceanspaces.com/Ukraine_Witness_Datasheet/Worksheet/telegram_3384f8862b/out7.jpg")</f>
        <v/>
      </c>
      <c r="AQ1763" s="84" t="s">
        <v>17146</v>
      </c>
      <c r="AR1763" s="84" t="s">
        <v>17138</v>
      </c>
      <c r="AS1763" s="71" t="s">
        <v>17147</v>
      </c>
      <c r="AT1763" s="71">
        <v>44.0</v>
      </c>
      <c r="AU1763" s="89"/>
      <c r="AV1763" s="162"/>
      <c r="AW1763" s="81"/>
    </row>
    <row r="1764" ht="15.75" customHeight="1">
      <c r="A1764" s="373" t="s">
        <v>6924</v>
      </c>
      <c r="B1764" s="73"/>
      <c r="C1764" s="57" t="s">
        <v>13542</v>
      </c>
      <c r="D1764" s="241" t="s">
        <v>17136</v>
      </c>
      <c r="E1764" s="241" t="s">
        <v>17137</v>
      </c>
      <c r="F1764" s="79">
        <v>2.0</v>
      </c>
      <c r="G1764" s="83" t="s">
        <v>17148</v>
      </c>
      <c r="H1764" s="61" t="s">
        <v>91</v>
      </c>
      <c r="I1764" s="215" t="s">
        <v>17139</v>
      </c>
      <c r="J1764" s="476" t="s">
        <v>17140</v>
      </c>
      <c r="K1764" s="69"/>
      <c r="L1764" s="533" t="s">
        <v>3542</v>
      </c>
      <c r="M1764" s="533" t="s">
        <v>5590</v>
      </c>
      <c r="N1764" s="534"/>
      <c r="O1764" s="533" t="s">
        <v>5626</v>
      </c>
      <c r="P1764" s="67" t="str">
        <f t="shared" si="19"/>
        <v>50.0246729, 36.3398481</v>
      </c>
      <c r="Q1764" s="67" t="str">
        <f t="shared" si="20"/>
        <v>50.024273, 36.340067</v>
      </c>
      <c r="R1764" s="67">
        <f t="shared" si="21"/>
        <v>50.024273</v>
      </c>
      <c r="S1764" s="67">
        <f t="shared" si="22"/>
        <v>36.340067</v>
      </c>
      <c r="T1764" s="161"/>
      <c r="U1764" s="69"/>
      <c r="V1764" s="65" t="s">
        <v>17149</v>
      </c>
      <c r="W1764" s="71" t="s">
        <v>17132</v>
      </c>
      <c r="X1764" s="194"/>
      <c r="Y1764" s="216" t="s">
        <v>5820</v>
      </c>
      <c r="Z1764" s="73"/>
      <c r="AA1764" s="73"/>
      <c r="AB1764" s="73"/>
      <c r="AC1764" s="73"/>
      <c r="AD1764" s="73"/>
      <c r="AE1764" s="73"/>
      <c r="AF1764" s="73"/>
      <c r="AG1764" s="73"/>
      <c r="AH1764" s="73"/>
      <c r="AI1764" s="73"/>
      <c r="AJ1764" s="161"/>
      <c r="AK1764" s="76" t="s">
        <v>6276</v>
      </c>
      <c r="AL1764" s="83" t="s">
        <v>17150</v>
      </c>
      <c r="AM1764" s="71" t="s">
        <v>17151</v>
      </c>
      <c r="AN1764" s="84" t="s">
        <v>17152</v>
      </c>
      <c r="AO1764" s="71" t="s">
        <v>17153</v>
      </c>
      <c r="AP1764" s="161" t="str">
        <f>IMAGE("https://bellingcat-archive.nyc3.cdn.digitaloceanspaces.com/Ukraine_Witness_Datasheet/Worksheet/telegram_zkRaur1gy2CUgSeuU9MdTY_dh-iW5YEJRMhay4Dp9t8aqqyamv4ZQSmg4r5mnz33pBsoO8gPJ0pJ48IVlT4800kjaa_0KiWuVOm1UHTMsATMeJXLtgxrRybi7R9ju1LA.jpg")</f>
        <v/>
      </c>
      <c r="AQ1764" s="161"/>
      <c r="AR1764" s="161"/>
      <c r="AS1764" s="71" t="s">
        <v>17154</v>
      </c>
      <c r="AT1764" s="161"/>
      <c r="AU1764" s="89"/>
      <c r="AV1764" s="162"/>
      <c r="AW1764" s="81"/>
    </row>
    <row r="1765" ht="15.75" customHeight="1">
      <c r="A1765" s="373" t="s">
        <v>6924</v>
      </c>
      <c r="B1765" s="73"/>
      <c r="C1765" s="57" t="s">
        <v>13542</v>
      </c>
      <c r="D1765" s="260"/>
      <c r="E1765" s="260"/>
      <c r="F1765" s="79">
        <v>2.0</v>
      </c>
      <c r="G1765" s="83" t="s">
        <v>17155</v>
      </c>
      <c r="H1765" s="61" t="s">
        <v>5522</v>
      </c>
      <c r="I1765" s="215" t="s">
        <v>17156</v>
      </c>
      <c r="J1765" s="476" t="s">
        <v>17157</v>
      </c>
      <c r="K1765" s="69"/>
      <c r="L1765" s="534"/>
      <c r="M1765" s="534"/>
      <c r="N1765" s="534"/>
      <c r="O1765" s="534"/>
      <c r="P1765" s="67" t="str">
        <f t="shared" si="19"/>
        <v/>
      </c>
      <c r="Q1765" s="67" t="str">
        <f t="shared" si="20"/>
        <v/>
      </c>
      <c r="R1765" s="67" t="str">
        <f t="shared" si="21"/>
        <v/>
      </c>
      <c r="S1765" s="67" t="str">
        <f t="shared" si="22"/>
        <v/>
      </c>
      <c r="T1765" s="161"/>
      <c r="U1765" s="69"/>
      <c r="V1765" s="65" t="s">
        <v>17158</v>
      </c>
      <c r="W1765" s="161"/>
      <c r="X1765" s="194"/>
      <c r="Y1765" s="216" t="s">
        <v>5820</v>
      </c>
      <c r="Z1765" s="73"/>
      <c r="AA1765" s="73"/>
      <c r="AB1765" s="73"/>
      <c r="AC1765" s="73"/>
      <c r="AD1765" s="73"/>
      <c r="AE1765" s="73"/>
      <c r="AF1765" s="73"/>
      <c r="AG1765" s="73"/>
      <c r="AH1765" s="73"/>
      <c r="AI1765" s="73"/>
      <c r="AJ1765" s="161"/>
      <c r="AK1765" s="76" t="s">
        <v>6276</v>
      </c>
      <c r="AL1765" s="83" t="s">
        <v>17159</v>
      </c>
      <c r="AM1765" s="71" t="s">
        <v>17160</v>
      </c>
      <c r="AN1765" s="84" t="s">
        <v>17161</v>
      </c>
      <c r="AO1765" s="71" t="s">
        <v>17162</v>
      </c>
      <c r="AP1765" s="161" t="str">
        <f>IMAGE("https://bellingcat-archive.nyc3.cdn.digitaloceanspaces.com/Ukraine_Witness_Datasheet/Worksheet/telegram_6c35ee376e/out7.jpg")</f>
        <v/>
      </c>
      <c r="AQ1765" s="84" t="s">
        <v>17163</v>
      </c>
      <c r="AR1765" s="84" t="s">
        <v>17155</v>
      </c>
      <c r="AS1765" s="161"/>
      <c r="AT1765" s="71">
        <v>30.0</v>
      </c>
      <c r="AU1765" s="89"/>
      <c r="AV1765" s="162"/>
      <c r="AW1765" s="81"/>
    </row>
    <row r="1766" ht="15.75" customHeight="1">
      <c r="A1766" s="373" t="s">
        <v>6924</v>
      </c>
      <c r="B1766" s="73"/>
      <c r="C1766" s="57" t="s">
        <v>13542</v>
      </c>
      <c r="D1766" s="260"/>
      <c r="E1766" s="260"/>
      <c r="F1766" s="79">
        <v>3.0</v>
      </c>
      <c r="G1766" s="83" t="s">
        <v>17164</v>
      </c>
      <c r="H1766" s="61" t="s">
        <v>91</v>
      </c>
      <c r="I1766" s="215" t="s">
        <v>17165</v>
      </c>
      <c r="J1766" s="476" t="s">
        <v>17166</v>
      </c>
      <c r="K1766" s="69"/>
      <c r="L1766" s="534"/>
      <c r="M1766" s="534"/>
      <c r="N1766" s="534"/>
      <c r="O1766" s="534"/>
      <c r="P1766" s="67" t="str">
        <f t="shared" si="19"/>
        <v/>
      </c>
      <c r="Q1766" s="67" t="str">
        <f t="shared" si="20"/>
        <v/>
      </c>
      <c r="R1766" s="67" t="str">
        <f t="shared" si="21"/>
        <v/>
      </c>
      <c r="S1766" s="67" t="str">
        <f t="shared" si="22"/>
        <v/>
      </c>
      <c r="T1766" s="161"/>
      <c r="U1766" s="69"/>
      <c r="V1766" s="65" t="s">
        <v>17167</v>
      </c>
      <c r="W1766" s="161"/>
      <c r="X1766" s="194"/>
      <c r="Y1766" s="216" t="s">
        <v>5820</v>
      </c>
      <c r="Z1766" s="73"/>
      <c r="AA1766" s="73"/>
      <c r="AB1766" s="73"/>
      <c r="AC1766" s="73"/>
      <c r="AD1766" s="73"/>
      <c r="AE1766" s="73"/>
      <c r="AF1766" s="73"/>
      <c r="AG1766" s="73"/>
      <c r="AH1766" s="73"/>
      <c r="AI1766" s="73"/>
      <c r="AJ1766" s="161"/>
      <c r="AK1766" s="76" t="s">
        <v>6276</v>
      </c>
      <c r="AL1766" s="83" t="s">
        <v>17168</v>
      </c>
      <c r="AM1766" s="71" t="s">
        <v>17169</v>
      </c>
      <c r="AN1766" s="84" t="s">
        <v>17170</v>
      </c>
      <c r="AO1766" s="71" t="s">
        <v>17171</v>
      </c>
      <c r="AP1766" s="161" t="str">
        <f>IMAGE("https://bellingcat-archive.nyc3.cdn.digitaloceanspaces.com/Ukraine_Witness_Datasheet/Worksheet/telegram_ASqBzilTFoJ_tiYg9Jhpr-NwluLFKhL0tkwS44D8hJfsj61wanerlaA0jzXVFm6aj1OYi0zTlyakY3N8IEjjMiOEZN1H3Pt8zE0eosoYJWN3qBJidbp3MyoGIEciV8_g.jpg")</f>
        <v/>
      </c>
      <c r="AQ1766" s="161"/>
      <c r="AR1766" s="161"/>
      <c r="AS1766" s="71" t="s">
        <v>17172</v>
      </c>
      <c r="AT1766" s="161"/>
      <c r="AU1766" s="89"/>
      <c r="AV1766" s="162"/>
      <c r="AW1766" s="81"/>
    </row>
    <row r="1767" ht="15.75" customHeight="1">
      <c r="A1767" s="477" t="s">
        <v>12532</v>
      </c>
      <c r="B1767" s="73"/>
      <c r="C1767" s="57" t="s">
        <v>14806</v>
      </c>
      <c r="D1767" s="241" t="s">
        <v>17173</v>
      </c>
      <c r="E1767" s="241" t="s">
        <v>17174</v>
      </c>
      <c r="F1767" s="79">
        <v>2.0</v>
      </c>
      <c r="G1767" s="83" t="s">
        <v>17175</v>
      </c>
      <c r="H1767" s="61" t="s">
        <v>91</v>
      </c>
      <c r="I1767" s="215" t="s">
        <v>17176</v>
      </c>
      <c r="J1767" s="476" t="s">
        <v>17177</v>
      </c>
      <c r="K1767" s="69"/>
      <c r="L1767" s="533" t="s">
        <v>3542</v>
      </c>
      <c r="M1767" s="149" t="s">
        <v>6314</v>
      </c>
      <c r="N1767" s="534"/>
      <c r="O1767" s="149" t="s">
        <v>5626</v>
      </c>
      <c r="P1767" s="67" t="str">
        <f t="shared" si="19"/>
        <v>50.0900038, 36.2560183</v>
      </c>
      <c r="Q1767" s="67" t="str">
        <f t="shared" si="20"/>
        <v>50.089936, 36.255347</v>
      </c>
      <c r="R1767" s="67">
        <f t="shared" si="21"/>
        <v>50.089936</v>
      </c>
      <c r="S1767" s="67">
        <f t="shared" si="22"/>
        <v>36.255347</v>
      </c>
      <c r="T1767" s="161"/>
      <c r="U1767" s="69"/>
      <c r="V1767" s="65" t="s">
        <v>17178</v>
      </c>
      <c r="W1767" s="161"/>
      <c r="X1767" s="208"/>
      <c r="Y1767" s="216" t="s">
        <v>5820</v>
      </c>
      <c r="Z1767" s="73"/>
      <c r="AA1767" s="73"/>
      <c r="AB1767" s="73"/>
      <c r="AC1767" s="73"/>
      <c r="AD1767" s="73"/>
      <c r="AE1767" s="73"/>
      <c r="AF1767" s="73"/>
      <c r="AG1767" s="73"/>
      <c r="AH1767" s="73"/>
      <c r="AI1767" s="73"/>
      <c r="AJ1767" s="161"/>
      <c r="AK1767" s="76" t="s">
        <v>2108</v>
      </c>
      <c r="AL1767" s="83" t="s">
        <v>17179</v>
      </c>
      <c r="AM1767" s="71" t="s">
        <v>17180</v>
      </c>
      <c r="AN1767" s="84" t="s">
        <v>17181</v>
      </c>
      <c r="AO1767" s="71" t="s">
        <v>17182</v>
      </c>
      <c r="AP1767" s="161" t="str">
        <f>IMAGE("https://bellingcat-archive.nyc3.cdn.digitaloceanspaces.com/Ukraine_Witness_Datasheet/Worksheet/twitter__media_FNKdU6pXsAE3xb7.jpg")</f>
        <v/>
      </c>
      <c r="AQ1767" s="161"/>
      <c r="AR1767" s="161"/>
      <c r="AS1767" s="71" t="s">
        <v>17183</v>
      </c>
      <c r="AT1767" s="161"/>
      <c r="AU1767" s="89"/>
      <c r="AV1767" s="162"/>
      <c r="AW1767" s="81"/>
    </row>
    <row r="1768" ht="15.75" customHeight="1">
      <c r="A1768" s="415" t="s">
        <v>9897</v>
      </c>
      <c r="B1768" s="73"/>
      <c r="C1768" s="57" t="s">
        <v>14806</v>
      </c>
      <c r="D1768" s="241" t="s">
        <v>17173</v>
      </c>
      <c r="E1768" s="241" t="s">
        <v>17174</v>
      </c>
      <c r="F1768" s="79">
        <v>5.0</v>
      </c>
      <c r="G1768" s="83" t="s">
        <v>17184</v>
      </c>
      <c r="H1768" s="61" t="s">
        <v>5522</v>
      </c>
      <c r="I1768" s="215" t="s">
        <v>17176</v>
      </c>
      <c r="J1768" s="476" t="s">
        <v>17177</v>
      </c>
      <c r="K1768" s="69"/>
      <c r="L1768" s="533" t="s">
        <v>3542</v>
      </c>
      <c r="M1768" s="149" t="s">
        <v>6314</v>
      </c>
      <c r="N1768" s="534"/>
      <c r="O1768" s="149" t="s">
        <v>5626</v>
      </c>
      <c r="P1768" s="67" t="str">
        <f t="shared" si="19"/>
        <v>50.0900038, 36.2560183</v>
      </c>
      <c r="Q1768" s="67" t="str">
        <f t="shared" si="20"/>
        <v>50.089547, 36.256519</v>
      </c>
      <c r="R1768" s="67">
        <f t="shared" si="21"/>
        <v>50.089547</v>
      </c>
      <c r="S1768" s="67">
        <f t="shared" si="22"/>
        <v>36.256519</v>
      </c>
      <c r="T1768" s="161"/>
      <c r="U1768" s="69"/>
      <c r="V1768" s="65" t="s">
        <v>17185</v>
      </c>
      <c r="W1768" s="71" t="s">
        <v>6108</v>
      </c>
      <c r="X1768" s="72" t="s">
        <v>2982</v>
      </c>
      <c r="Y1768" s="216" t="s">
        <v>5820</v>
      </c>
      <c r="Z1768" s="73"/>
      <c r="AA1768" s="73"/>
      <c r="AB1768" s="73"/>
      <c r="AC1768" s="73"/>
      <c r="AD1768" s="73"/>
      <c r="AE1768" s="73"/>
      <c r="AF1768" s="73"/>
      <c r="AG1768" s="73"/>
      <c r="AH1768" s="73"/>
      <c r="AI1768" s="73"/>
      <c r="AJ1768" s="161"/>
      <c r="AK1768" s="76" t="s">
        <v>798</v>
      </c>
      <c r="AL1768" s="83" t="s">
        <v>17186</v>
      </c>
      <c r="AM1768" s="71" t="s">
        <v>17187</v>
      </c>
      <c r="AN1768" s="84" t="s">
        <v>17188</v>
      </c>
      <c r="AO1768" s="71" t="s">
        <v>17189</v>
      </c>
      <c r="AP1768" s="161" t="str">
        <f>IMAGE("https://bellingcat-archive.nyc3.cdn.digitaloceanspaces.com/Ukraine_Witness_Datasheet/Worksheet/youtube_dl_1500524057556570119/out7.jpg")</f>
        <v/>
      </c>
      <c r="AQ1768" s="84" t="s">
        <v>17190</v>
      </c>
      <c r="AR1768" s="71" t="s">
        <v>17191</v>
      </c>
      <c r="AS1768" s="71" t="s">
        <v>17192</v>
      </c>
      <c r="AT1768" s="71">
        <v>34.0</v>
      </c>
      <c r="AU1768" s="89"/>
      <c r="AV1768" s="80" t="s">
        <v>3944</v>
      </c>
      <c r="AW1768" s="81"/>
    </row>
    <row r="1769" ht="15.75" customHeight="1">
      <c r="A1769" s="477" t="s">
        <v>12532</v>
      </c>
      <c r="B1769" s="73"/>
      <c r="C1769" s="57" t="s">
        <v>14806</v>
      </c>
      <c r="D1769" s="241" t="s">
        <v>17173</v>
      </c>
      <c r="E1769" s="241" t="s">
        <v>17174</v>
      </c>
      <c r="F1769" s="79">
        <v>1.0</v>
      </c>
      <c r="G1769" s="83" t="s">
        <v>17193</v>
      </c>
      <c r="H1769" s="61" t="s">
        <v>5522</v>
      </c>
      <c r="I1769" s="215" t="s">
        <v>17176</v>
      </c>
      <c r="J1769" s="476" t="s">
        <v>17177</v>
      </c>
      <c r="K1769" s="69"/>
      <c r="L1769" s="533" t="s">
        <v>3542</v>
      </c>
      <c r="M1769" s="149" t="s">
        <v>7505</v>
      </c>
      <c r="N1769" s="534"/>
      <c r="O1769" s="149" t="s">
        <v>5626</v>
      </c>
      <c r="P1769" s="67" t="str">
        <f t="shared" si="19"/>
        <v>50.0900038, 36.2560183</v>
      </c>
      <c r="Q1769" s="67" t="str">
        <f t="shared" si="20"/>
        <v>50.089327, 36.255511</v>
      </c>
      <c r="R1769" s="67">
        <f t="shared" si="21"/>
        <v>50.089327</v>
      </c>
      <c r="S1769" s="67">
        <f t="shared" si="22"/>
        <v>36.255511</v>
      </c>
      <c r="T1769" s="539" t="s">
        <v>17194</v>
      </c>
      <c r="U1769" s="69"/>
      <c r="V1769" s="65" t="s">
        <v>17195</v>
      </c>
      <c r="W1769" s="71" t="s">
        <v>6108</v>
      </c>
      <c r="X1769" s="208"/>
      <c r="Y1769" s="216" t="s">
        <v>5820</v>
      </c>
      <c r="Z1769" s="73"/>
      <c r="AA1769" s="73"/>
      <c r="AB1769" s="73"/>
      <c r="AC1769" s="73"/>
      <c r="AD1769" s="73"/>
      <c r="AE1769" s="73"/>
      <c r="AF1769" s="73"/>
      <c r="AG1769" s="73"/>
      <c r="AH1769" s="73"/>
      <c r="AI1769" s="73"/>
      <c r="AJ1769" s="161"/>
      <c r="AK1769" s="76" t="s">
        <v>798</v>
      </c>
      <c r="AL1769" s="83" t="s">
        <v>17196</v>
      </c>
      <c r="AM1769" s="71" t="s">
        <v>17197</v>
      </c>
      <c r="AN1769" s="84" t="s">
        <v>17198</v>
      </c>
      <c r="AO1769" s="71" t="s">
        <v>17199</v>
      </c>
      <c r="AP1769" s="161" t="str">
        <f>IMAGE("https://bellingcat-archive.nyc3.cdn.digitaloceanspaces.com/Ukraine_Witness_Datasheet/Worksheet/youtube_dl_1500386437421797377/out7.jpg")</f>
        <v/>
      </c>
      <c r="AQ1769" s="84" t="s">
        <v>17200</v>
      </c>
      <c r="AR1769" s="71" t="s">
        <v>17201</v>
      </c>
      <c r="AS1769" s="71" t="s">
        <v>17202</v>
      </c>
      <c r="AT1769" s="71">
        <v>14.3</v>
      </c>
      <c r="AU1769" s="89"/>
      <c r="AV1769" s="162"/>
      <c r="AW1769" s="81"/>
    </row>
    <row r="1770" ht="15.75" customHeight="1">
      <c r="A1770" s="477" t="s">
        <v>5569</v>
      </c>
      <c r="B1770" s="73"/>
      <c r="C1770" s="57" t="s">
        <v>14806</v>
      </c>
      <c r="D1770" s="241" t="s">
        <v>17173</v>
      </c>
      <c r="E1770" s="241" t="s">
        <v>17174</v>
      </c>
      <c r="F1770" s="79">
        <v>5.0</v>
      </c>
      <c r="G1770" s="83" t="s">
        <v>17203</v>
      </c>
      <c r="H1770" s="61" t="s">
        <v>5522</v>
      </c>
      <c r="I1770" s="215" t="s">
        <v>17176</v>
      </c>
      <c r="J1770" s="476" t="s">
        <v>17177</v>
      </c>
      <c r="K1770" s="69"/>
      <c r="L1770" s="533" t="s">
        <v>3542</v>
      </c>
      <c r="M1770" s="149" t="s">
        <v>6314</v>
      </c>
      <c r="N1770" s="534"/>
      <c r="O1770" s="149" t="s">
        <v>5626</v>
      </c>
      <c r="P1770" s="67" t="str">
        <f t="shared" si="19"/>
        <v>50.0900038, 36.2560183</v>
      </c>
      <c r="Q1770" s="67" t="str">
        <f t="shared" si="20"/>
        <v>50.089483, 36.255231</v>
      </c>
      <c r="R1770" s="67">
        <f t="shared" si="21"/>
        <v>50.089483</v>
      </c>
      <c r="S1770" s="67">
        <f t="shared" si="22"/>
        <v>36.255231</v>
      </c>
      <c r="T1770" s="161"/>
      <c r="U1770" s="69"/>
      <c r="V1770" s="65" t="s">
        <v>17204</v>
      </c>
      <c r="W1770" s="71" t="s">
        <v>6108</v>
      </c>
      <c r="X1770" s="208"/>
      <c r="Y1770" s="216" t="s">
        <v>5820</v>
      </c>
      <c r="Z1770" s="73"/>
      <c r="AA1770" s="73"/>
      <c r="AB1770" s="73"/>
      <c r="AC1770" s="73"/>
      <c r="AD1770" s="73"/>
      <c r="AE1770" s="73"/>
      <c r="AF1770" s="73"/>
      <c r="AG1770" s="73"/>
      <c r="AH1770" s="73"/>
      <c r="AI1770" s="73"/>
      <c r="AJ1770" s="161"/>
      <c r="AK1770" s="76" t="s">
        <v>798</v>
      </c>
      <c r="AL1770" s="83" t="s">
        <v>17205</v>
      </c>
      <c r="AM1770" s="71" t="s">
        <v>17206</v>
      </c>
      <c r="AN1770" s="84" t="s">
        <v>17207</v>
      </c>
      <c r="AO1770" s="71" t="s">
        <v>17208</v>
      </c>
      <c r="AP1770" s="161" t="str">
        <f>IMAGE("https://bellingcat-archive.nyc3.cdn.digitaloceanspaces.com/Ukraine_Witness_Datasheet/Worksheet/youtube_dl_1500521071765856267/out7.jpg")</f>
        <v/>
      </c>
      <c r="AQ1770" s="84" t="s">
        <v>17209</v>
      </c>
      <c r="AR1770" s="71" t="s">
        <v>17210</v>
      </c>
      <c r="AS1770" s="71" t="s">
        <v>17211</v>
      </c>
      <c r="AT1770" s="71">
        <v>9.433</v>
      </c>
      <c r="AU1770" s="89"/>
      <c r="AV1770" s="80" t="s">
        <v>3944</v>
      </c>
      <c r="AW1770" s="81"/>
    </row>
    <row r="1771" ht="15.75" customHeight="1">
      <c r="A1771" s="477" t="s">
        <v>12532</v>
      </c>
      <c r="B1771" s="73"/>
      <c r="C1771" s="57" t="s">
        <v>9941</v>
      </c>
      <c r="D1771" s="241" t="s">
        <v>17212</v>
      </c>
      <c r="E1771" s="241" t="s">
        <v>17213</v>
      </c>
      <c r="F1771" s="79">
        <v>3.0</v>
      </c>
      <c r="G1771" s="83" t="s">
        <v>17214</v>
      </c>
      <c r="H1771" s="61" t="s">
        <v>5522</v>
      </c>
      <c r="I1771" s="215" t="s">
        <v>17215</v>
      </c>
      <c r="J1771" s="476" t="s">
        <v>17216</v>
      </c>
      <c r="K1771" s="69"/>
      <c r="L1771" s="533" t="s">
        <v>3542</v>
      </c>
      <c r="M1771" s="149" t="s">
        <v>5590</v>
      </c>
      <c r="N1771" s="534"/>
      <c r="O1771" s="149" t="s">
        <v>5626</v>
      </c>
      <c r="P1771" s="67" t="str">
        <f t="shared" si="19"/>
        <v>49.950587, 36.154536</v>
      </c>
      <c r="Q1771" s="67" t="str">
        <f t="shared" si="20"/>
        <v>49.949924, 36.154991</v>
      </c>
      <c r="R1771" s="67">
        <f t="shared" si="21"/>
        <v>49.949924</v>
      </c>
      <c r="S1771" s="67">
        <f t="shared" si="22"/>
        <v>36.154991</v>
      </c>
      <c r="T1771" s="161"/>
      <c r="U1771" s="69"/>
      <c r="V1771" s="65" t="s">
        <v>17217</v>
      </c>
      <c r="W1771" s="71" t="s">
        <v>10666</v>
      </c>
      <c r="X1771" s="208"/>
      <c r="Y1771" s="216" t="s">
        <v>5820</v>
      </c>
      <c r="Z1771" s="73"/>
      <c r="AA1771" s="73"/>
      <c r="AB1771" s="73"/>
      <c r="AC1771" s="73"/>
      <c r="AD1771" s="73"/>
      <c r="AE1771" s="73"/>
      <c r="AF1771" s="73"/>
      <c r="AG1771" s="73"/>
      <c r="AH1771" s="73"/>
      <c r="AI1771" s="73"/>
      <c r="AJ1771" s="161"/>
      <c r="AK1771" s="76" t="s">
        <v>930</v>
      </c>
      <c r="AL1771" s="83" t="s">
        <v>14903</v>
      </c>
      <c r="AM1771" s="71" t="s">
        <v>17218</v>
      </c>
      <c r="AN1771" s="84" t="s">
        <v>17219</v>
      </c>
      <c r="AO1771" s="71" t="s">
        <v>14906</v>
      </c>
      <c r="AP1771" s="161" t="str">
        <f>IMAGE("https://bellingcat-archive.nyc3.cdn.digitaloceanspaces.com/Ukraine_Witness_Datasheet/Worksheet/youtube_dl_1500377845675311105/out7.jpg")</f>
        <v/>
      </c>
      <c r="AQ1771" s="84" t="s">
        <v>14907</v>
      </c>
      <c r="AR1771" s="71" t="s">
        <v>14908</v>
      </c>
      <c r="AS1771" s="71" t="s">
        <v>14909</v>
      </c>
      <c r="AT1771" s="71">
        <v>12.582</v>
      </c>
      <c r="AU1771" s="89"/>
      <c r="AV1771" s="162"/>
      <c r="AW1771" s="81"/>
    </row>
    <row r="1772" ht="15.75" customHeight="1">
      <c r="A1772" s="477" t="s">
        <v>12532</v>
      </c>
      <c r="B1772" s="73"/>
      <c r="C1772" s="57" t="s">
        <v>9941</v>
      </c>
      <c r="D1772" s="241" t="s">
        <v>17212</v>
      </c>
      <c r="E1772" s="241" t="s">
        <v>17213</v>
      </c>
      <c r="F1772" s="79">
        <v>2.0</v>
      </c>
      <c r="G1772" s="83" t="s">
        <v>17220</v>
      </c>
      <c r="H1772" s="61" t="s">
        <v>5522</v>
      </c>
      <c r="I1772" s="215" t="s">
        <v>17215</v>
      </c>
      <c r="J1772" s="476" t="s">
        <v>17216</v>
      </c>
      <c r="K1772" s="69"/>
      <c r="L1772" s="533" t="s">
        <v>3542</v>
      </c>
      <c r="M1772" s="149" t="s">
        <v>5590</v>
      </c>
      <c r="N1772" s="534"/>
      <c r="O1772" s="149" t="s">
        <v>5626</v>
      </c>
      <c r="P1772" s="67" t="str">
        <f t="shared" si="19"/>
        <v>49.950587, 36.154536</v>
      </c>
      <c r="Q1772" s="67" t="str">
        <f t="shared" si="20"/>
        <v>49.950286, 36.155023</v>
      </c>
      <c r="R1772" s="67">
        <f t="shared" si="21"/>
        <v>49.950286</v>
      </c>
      <c r="S1772" s="67">
        <f t="shared" si="22"/>
        <v>36.155023</v>
      </c>
      <c r="T1772" s="161"/>
      <c r="U1772" s="69"/>
      <c r="V1772" s="65" t="s">
        <v>17221</v>
      </c>
      <c r="W1772" s="71" t="s">
        <v>3601</v>
      </c>
      <c r="X1772" s="208"/>
      <c r="Y1772" s="216" t="s">
        <v>5820</v>
      </c>
      <c r="Z1772" s="73"/>
      <c r="AA1772" s="73"/>
      <c r="AB1772" s="73"/>
      <c r="AC1772" s="73"/>
      <c r="AD1772" s="73"/>
      <c r="AE1772" s="73"/>
      <c r="AF1772" s="73"/>
      <c r="AG1772" s="73"/>
      <c r="AH1772" s="73"/>
      <c r="AI1772" s="73"/>
      <c r="AJ1772" s="161"/>
      <c r="AK1772" s="76" t="s">
        <v>6276</v>
      </c>
      <c r="AL1772" s="83" t="s">
        <v>17222</v>
      </c>
      <c r="AM1772" s="71" t="s">
        <v>17223</v>
      </c>
      <c r="AN1772" s="84" t="s">
        <v>17224</v>
      </c>
      <c r="AO1772" s="71" t="s">
        <v>17225</v>
      </c>
      <c r="AP1772" s="161" t="str">
        <f>IMAGE("https://bellingcat-archive.nyc3.cdn.digitaloceanspaces.com/Ukraine_Witness_Datasheet/Worksheet/telegram_6c38f682d9/out7.jpg")</f>
        <v/>
      </c>
      <c r="AQ1772" s="84" t="s">
        <v>17226</v>
      </c>
      <c r="AR1772" s="84" t="s">
        <v>17220</v>
      </c>
      <c r="AS1772" s="71" t="s">
        <v>17227</v>
      </c>
      <c r="AT1772" s="71">
        <v>9.0</v>
      </c>
      <c r="AU1772" s="89"/>
      <c r="AV1772" s="162"/>
      <c r="AW1772" s="81"/>
    </row>
    <row r="1773" ht="15.75" customHeight="1">
      <c r="A1773" s="349" t="s">
        <v>9566</v>
      </c>
      <c r="B1773" s="73"/>
      <c r="C1773" s="57" t="s">
        <v>14806</v>
      </c>
      <c r="D1773" s="241" t="s">
        <v>17228</v>
      </c>
      <c r="E1773" s="241" t="s">
        <v>17229</v>
      </c>
      <c r="F1773" s="79">
        <v>2.0</v>
      </c>
      <c r="G1773" s="83" t="s">
        <v>17230</v>
      </c>
      <c r="H1773" s="61" t="s">
        <v>91</v>
      </c>
      <c r="I1773" s="215" t="s">
        <v>15154</v>
      </c>
      <c r="J1773" s="476" t="s">
        <v>17231</v>
      </c>
      <c r="K1773" s="69"/>
      <c r="L1773" s="533" t="s">
        <v>3542</v>
      </c>
      <c r="M1773" s="149" t="s">
        <v>14678</v>
      </c>
      <c r="N1773" s="534"/>
      <c r="O1773" s="149" t="s">
        <v>14998</v>
      </c>
      <c r="P1773" s="67" t="str">
        <f t="shared" si="19"/>
        <v>49.243102, 28.604546</v>
      </c>
      <c r="Q1773" s="67" t="str">
        <f t="shared" si="20"/>
        <v>49.242865, 28.605365</v>
      </c>
      <c r="R1773" s="67">
        <f t="shared" si="21"/>
        <v>49.242865</v>
      </c>
      <c r="S1773" s="67">
        <f t="shared" si="22"/>
        <v>28.605365</v>
      </c>
      <c r="T1773" s="161"/>
      <c r="U1773" s="69"/>
      <c r="V1773" s="65" t="s">
        <v>17232</v>
      </c>
      <c r="W1773" s="71" t="s">
        <v>3601</v>
      </c>
      <c r="X1773" s="72" t="s">
        <v>5504</v>
      </c>
      <c r="Y1773" s="216" t="s">
        <v>5820</v>
      </c>
      <c r="Z1773" s="73"/>
      <c r="AA1773" s="73"/>
      <c r="AB1773" s="73"/>
      <c r="AC1773" s="73"/>
      <c r="AD1773" s="73"/>
      <c r="AE1773" s="73"/>
      <c r="AF1773" s="73"/>
      <c r="AG1773" s="73"/>
      <c r="AH1773" s="73"/>
      <c r="AI1773" s="73"/>
      <c r="AJ1773" s="161"/>
      <c r="AK1773" s="76" t="s">
        <v>2108</v>
      </c>
      <c r="AL1773" s="83" t="s">
        <v>17233</v>
      </c>
      <c r="AM1773" s="71" t="s">
        <v>17234</v>
      </c>
      <c r="AN1773" s="84" t="s">
        <v>17235</v>
      </c>
      <c r="AO1773" s="71" t="s">
        <v>17236</v>
      </c>
      <c r="AP1773" s="161" t="str">
        <f>IMAGE("https://bellingcat-archive.nyc3.cdn.digitaloceanspaces.com/Ukraine_Witness_Datasheet/Worksheet/twitter__media_FNK3wyLWUAUsK3d.jpg")</f>
        <v/>
      </c>
      <c r="AQ1773" s="161"/>
      <c r="AR1773" s="161"/>
      <c r="AS1773" s="71" t="s">
        <v>17237</v>
      </c>
      <c r="AT1773" s="161"/>
      <c r="AU1773" s="89"/>
      <c r="AV1773" s="80" t="s">
        <v>3944</v>
      </c>
      <c r="AW1773" s="203"/>
    </row>
    <row r="1774" ht="15.75" customHeight="1">
      <c r="A1774" s="477" t="s">
        <v>12532</v>
      </c>
      <c r="B1774" s="73"/>
      <c r="C1774" s="57" t="s">
        <v>14806</v>
      </c>
      <c r="D1774" s="241" t="s">
        <v>17228</v>
      </c>
      <c r="E1774" s="241" t="s">
        <v>17229</v>
      </c>
      <c r="F1774" s="79">
        <v>2.0</v>
      </c>
      <c r="G1774" s="83" t="s">
        <v>17238</v>
      </c>
      <c r="H1774" s="61" t="s">
        <v>5522</v>
      </c>
      <c r="I1774" s="215" t="s">
        <v>15154</v>
      </c>
      <c r="J1774" s="476" t="s">
        <v>17231</v>
      </c>
      <c r="K1774" s="69"/>
      <c r="L1774" s="533" t="s">
        <v>3542</v>
      </c>
      <c r="M1774" s="149" t="s">
        <v>14678</v>
      </c>
      <c r="N1774" s="534"/>
      <c r="O1774" s="149" t="s">
        <v>14998</v>
      </c>
      <c r="P1774" s="67" t="str">
        <f t="shared" si="19"/>
        <v>49.243102, 28.604546</v>
      </c>
      <c r="Q1774" s="67" t="str">
        <f t="shared" si="20"/>
        <v>49.242858, 28.604065</v>
      </c>
      <c r="R1774" s="67">
        <f t="shared" si="21"/>
        <v>49.242858</v>
      </c>
      <c r="S1774" s="67">
        <f t="shared" si="22"/>
        <v>28.604065</v>
      </c>
      <c r="T1774" s="161"/>
      <c r="U1774" s="69"/>
      <c r="V1774" s="65" t="s">
        <v>17239</v>
      </c>
      <c r="W1774" s="71" t="s">
        <v>3601</v>
      </c>
      <c r="X1774" s="208"/>
      <c r="Y1774" s="216" t="s">
        <v>5820</v>
      </c>
      <c r="Z1774" s="73"/>
      <c r="AA1774" s="73"/>
      <c r="AB1774" s="73"/>
      <c r="AC1774" s="73"/>
      <c r="AD1774" s="73"/>
      <c r="AE1774" s="73"/>
      <c r="AF1774" s="73"/>
      <c r="AG1774" s="73"/>
      <c r="AH1774" s="73"/>
      <c r="AI1774" s="73"/>
      <c r="AJ1774" s="161"/>
      <c r="AK1774" s="76" t="s">
        <v>930</v>
      </c>
      <c r="AL1774" s="83" t="s">
        <v>15158</v>
      </c>
      <c r="AM1774" s="71" t="s">
        <v>17240</v>
      </c>
      <c r="AN1774" s="84" t="s">
        <v>17241</v>
      </c>
      <c r="AO1774" s="71" t="s">
        <v>15161</v>
      </c>
      <c r="AP1774" s="161" t="str">
        <f>IMAGE("https://bellingcat-archive.nyc3.cdn.digitaloceanspaces.com/Ukraine_Witness_Datasheet/Worksheet/youtube_dl_1500465245210525696/out7.jpg")</f>
        <v/>
      </c>
      <c r="AQ1774" s="84" t="s">
        <v>15162</v>
      </c>
      <c r="AR1774" s="71" t="s">
        <v>15163</v>
      </c>
      <c r="AS1774" s="71" t="s">
        <v>15164</v>
      </c>
      <c r="AT1774" s="71">
        <v>12.5</v>
      </c>
      <c r="AU1774" s="89"/>
      <c r="AV1774" s="162"/>
      <c r="AW1774" s="81"/>
    </row>
    <row r="1775" ht="15.75" customHeight="1">
      <c r="A1775" s="349" t="s">
        <v>9897</v>
      </c>
      <c r="B1775" s="73"/>
      <c r="C1775" s="57" t="s">
        <v>13542</v>
      </c>
      <c r="D1775" s="241" t="s">
        <v>17242</v>
      </c>
      <c r="E1775" s="241" t="s">
        <v>17243</v>
      </c>
      <c r="F1775" s="79">
        <v>2.0</v>
      </c>
      <c r="G1775" s="83" t="s">
        <v>17244</v>
      </c>
      <c r="H1775" s="61" t="s">
        <v>91</v>
      </c>
      <c r="I1775" s="215" t="s">
        <v>17245</v>
      </c>
      <c r="J1775" s="476" t="s">
        <v>17246</v>
      </c>
      <c r="K1775" s="69"/>
      <c r="L1775" s="533" t="s">
        <v>3542</v>
      </c>
      <c r="M1775" s="149" t="s">
        <v>5524</v>
      </c>
      <c r="N1775" s="534"/>
      <c r="O1775" s="149" t="s">
        <v>10283</v>
      </c>
      <c r="P1775" s="67" t="str">
        <f t="shared" si="19"/>
        <v>48.8566023, 38.4831063</v>
      </c>
      <c r="Q1775" s="67" t="str">
        <f t="shared" si="20"/>
        <v>48.856568, 38.482235</v>
      </c>
      <c r="R1775" s="67">
        <f t="shared" si="21"/>
        <v>48.856568</v>
      </c>
      <c r="S1775" s="67">
        <f t="shared" si="22"/>
        <v>38.482235</v>
      </c>
      <c r="T1775" s="161"/>
      <c r="U1775" s="69"/>
      <c r="V1775" s="65" t="s">
        <v>17247</v>
      </c>
      <c r="W1775" s="71" t="s">
        <v>3601</v>
      </c>
      <c r="X1775" s="72" t="s">
        <v>5504</v>
      </c>
      <c r="Y1775" s="216" t="s">
        <v>5820</v>
      </c>
      <c r="Z1775" s="73"/>
      <c r="AA1775" s="73"/>
      <c r="AB1775" s="73"/>
      <c r="AC1775" s="73"/>
      <c r="AD1775" s="73"/>
      <c r="AE1775" s="73"/>
      <c r="AF1775" s="73"/>
      <c r="AG1775" s="73"/>
      <c r="AH1775" s="73"/>
      <c r="AI1775" s="73"/>
      <c r="AJ1775" s="161"/>
      <c r="AK1775" s="76" t="s">
        <v>1261</v>
      </c>
      <c r="AL1775" s="83" t="s">
        <v>17248</v>
      </c>
      <c r="AM1775" s="71" t="s">
        <v>17249</v>
      </c>
      <c r="AN1775" s="84" t="s">
        <v>17250</v>
      </c>
      <c r="AO1775" s="161"/>
      <c r="AP1775" s="161"/>
      <c r="AQ1775" s="161"/>
      <c r="AR1775" s="71" t="s">
        <v>17251</v>
      </c>
      <c r="AS1775" s="161"/>
      <c r="AT1775" s="161"/>
      <c r="AU1775" s="89"/>
      <c r="AV1775" s="80" t="s">
        <v>3944</v>
      </c>
      <c r="AW1775" s="203"/>
    </row>
    <row r="1776" ht="15.75" customHeight="1">
      <c r="A1776" s="415" t="s">
        <v>9897</v>
      </c>
      <c r="B1776" s="73"/>
      <c r="C1776" s="57" t="s">
        <v>14806</v>
      </c>
      <c r="D1776" s="241" t="s">
        <v>17252</v>
      </c>
      <c r="E1776" s="241" t="s">
        <v>17253</v>
      </c>
      <c r="F1776" s="79">
        <v>5.0</v>
      </c>
      <c r="G1776" s="83" t="s">
        <v>17254</v>
      </c>
      <c r="H1776" s="61" t="s">
        <v>91</v>
      </c>
      <c r="I1776" s="215" t="s">
        <v>15021</v>
      </c>
      <c r="J1776" s="476" t="s">
        <v>17255</v>
      </c>
      <c r="K1776" s="69"/>
      <c r="L1776" s="533" t="s">
        <v>3542</v>
      </c>
      <c r="M1776" s="149" t="s">
        <v>6133</v>
      </c>
      <c r="N1776" s="534"/>
      <c r="O1776" s="533" t="s">
        <v>12646</v>
      </c>
      <c r="P1776" s="67" t="str">
        <f t="shared" si="19"/>
        <v>50.4900759, 30.2597355</v>
      </c>
      <c r="Q1776" s="67" t="str">
        <f t="shared" si="20"/>
        <v>50.489237, 30.259933</v>
      </c>
      <c r="R1776" s="67">
        <f t="shared" si="21"/>
        <v>50.489237</v>
      </c>
      <c r="S1776" s="67">
        <f t="shared" si="22"/>
        <v>30.259933</v>
      </c>
      <c r="T1776" s="161"/>
      <c r="U1776" s="69"/>
      <c r="V1776" s="65" t="s">
        <v>17256</v>
      </c>
      <c r="W1776" s="71" t="s">
        <v>8546</v>
      </c>
      <c r="X1776" s="72" t="s">
        <v>5504</v>
      </c>
      <c r="Y1776" s="216" t="s">
        <v>5820</v>
      </c>
      <c r="Z1776" s="73"/>
      <c r="AA1776" s="73"/>
      <c r="AB1776" s="73"/>
      <c r="AC1776" s="73"/>
      <c r="AD1776" s="73"/>
      <c r="AE1776" s="73"/>
      <c r="AF1776" s="73"/>
      <c r="AG1776" s="73"/>
      <c r="AH1776" s="73"/>
      <c r="AI1776" s="73"/>
      <c r="AJ1776" s="161"/>
      <c r="AK1776" s="76" t="s">
        <v>1261</v>
      </c>
      <c r="AL1776" s="83" t="s">
        <v>17257</v>
      </c>
      <c r="AM1776" s="71" t="s">
        <v>17258</v>
      </c>
      <c r="AN1776" s="84" t="s">
        <v>17259</v>
      </c>
      <c r="AO1776" s="161"/>
      <c r="AP1776" s="161"/>
      <c r="AQ1776" s="161"/>
      <c r="AR1776" s="71" t="s">
        <v>17260</v>
      </c>
      <c r="AS1776" s="161"/>
      <c r="AT1776" s="161"/>
      <c r="AU1776" s="89"/>
      <c r="AV1776" s="80" t="s">
        <v>3944</v>
      </c>
      <c r="AW1776" s="203"/>
    </row>
    <row r="1777" ht="15.75" customHeight="1">
      <c r="A1777" s="415" t="s">
        <v>9897</v>
      </c>
      <c r="B1777" s="73"/>
      <c r="C1777" s="57" t="s">
        <v>14806</v>
      </c>
      <c r="D1777" s="241" t="s">
        <v>17252</v>
      </c>
      <c r="E1777" s="241" t="s">
        <v>17253</v>
      </c>
      <c r="F1777" s="79">
        <v>5.0</v>
      </c>
      <c r="G1777" s="83" t="s">
        <v>17261</v>
      </c>
      <c r="H1777" s="61" t="s">
        <v>91</v>
      </c>
      <c r="I1777" s="215" t="s">
        <v>15021</v>
      </c>
      <c r="J1777" s="476" t="s">
        <v>17255</v>
      </c>
      <c r="K1777" s="69"/>
      <c r="L1777" s="533" t="s">
        <v>3542</v>
      </c>
      <c r="M1777" s="149" t="s">
        <v>6133</v>
      </c>
      <c r="N1777" s="534"/>
      <c r="O1777" s="533" t="s">
        <v>12646</v>
      </c>
      <c r="P1777" s="67" t="str">
        <f t="shared" si="19"/>
        <v>50.4900759, 30.2597355</v>
      </c>
      <c r="Q1777" s="67" t="str">
        <f t="shared" si="20"/>
        <v>50.490016, 30.259109</v>
      </c>
      <c r="R1777" s="67">
        <f t="shared" si="21"/>
        <v>50.490016</v>
      </c>
      <c r="S1777" s="67">
        <f t="shared" si="22"/>
        <v>30.259109</v>
      </c>
      <c r="T1777" s="161"/>
      <c r="U1777" s="69"/>
      <c r="V1777" s="65" t="s">
        <v>17262</v>
      </c>
      <c r="W1777" s="71" t="s">
        <v>8546</v>
      </c>
      <c r="X1777" s="72" t="s">
        <v>5504</v>
      </c>
      <c r="Y1777" s="216" t="s">
        <v>5820</v>
      </c>
      <c r="Z1777" s="73"/>
      <c r="AA1777" s="73"/>
      <c r="AB1777" s="73"/>
      <c r="AC1777" s="73"/>
      <c r="AD1777" s="73"/>
      <c r="AE1777" s="73"/>
      <c r="AF1777" s="73"/>
      <c r="AG1777" s="73"/>
      <c r="AH1777" s="73"/>
      <c r="AI1777" s="73"/>
      <c r="AJ1777" s="161"/>
      <c r="AK1777" s="76" t="s">
        <v>2108</v>
      </c>
      <c r="AL1777" s="83" t="s">
        <v>17263</v>
      </c>
      <c r="AM1777" s="71" t="s">
        <v>17264</v>
      </c>
      <c r="AN1777" s="84" t="s">
        <v>17265</v>
      </c>
      <c r="AO1777" s="71" t="s">
        <v>17266</v>
      </c>
      <c r="AP1777" s="161" t="str">
        <f>IMAGE("https://bellingcat-archive.nyc3.cdn.digitaloceanspaces.com/Ukraine_Witness_Datasheet/Worksheet/twitter__media_FNKk_BZXIAMfKOJ.jpg")</f>
        <v/>
      </c>
      <c r="AQ1777" s="161"/>
      <c r="AR1777" s="161"/>
      <c r="AS1777" s="71" t="s">
        <v>17267</v>
      </c>
      <c r="AT1777" s="161"/>
      <c r="AU1777" s="89"/>
      <c r="AV1777" s="80" t="s">
        <v>3944</v>
      </c>
      <c r="AW1777" s="203"/>
    </row>
    <row r="1778" ht="15.75" customHeight="1">
      <c r="A1778" s="415" t="s">
        <v>9897</v>
      </c>
      <c r="B1778" s="73"/>
      <c r="C1778" s="57" t="s">
        <v>14806</v>
      </c>
      <c r="D1778" s="241" t="s">
        <v>17252</v>
      </c>
      <c r="E1778" s="241" t="s">
        <v>17253</v>
      </c>
      <c r="F1778" s="79">
        <v>5.0</v>
      </c>
      <c r="G1778" s="83" t="s">
        <v>17268</v>
      </c>
      <c r="H1778" s="61" t="s">
        <v>91</v>
      </c>
      <c r="I1778" s="215" t="s">
        <v>15021</v>
      </c>
      <c r="J1778" s="476" t="s">
        <v>17255</v>
      </c>
      <c r="K1778" s="69"/>
      <c r="L1778" s="533" t="s">
        <v>3542</v>
      </c>
      <c r="M1778" s="149" t="s">
        <v>6133</v>
      </c>
      <c r="N1778" s="534"/>
      <c r="O1778" s="533" t="s">
        <v>12646</v>
      </c>
      <c r="P1778" s="67" t="str">
        <f t="shared" si="19"/>
        <v>50.4900759, 30.2597355</v>
      </c>
      <c r="Q1778" s="67" t="str">
        <f t="shared" si="20"/>
        <v>50.489711, 30.260284</v>
      </c>
      <c r="R1778" s="67">
        <f t="shared" si="21"/>
        <v>50.489711</v>
      </c>
      <c r="S1778" s="67">
        <f t="shared" si="22"/>
        <v>30.260284</v>
      </c>
      <c r="T1778" s="161"/>
      <c r="U1778" s="69"/>
      <c r="V1778" s="65" t="s">
        <v>17269</v>
      </c>
      <c r="W1778" s="71" t="s">
        <v>8546</v>
      </c>
      <c r="X1778" s="72" t="s">
        <v>5504</v>
      </c>
      <c r="Y1778" s="216" t="s">
        <v>5820</v>
      </c>
      <c r="Z1778" s="73"/>
      <c r="AA1778" s="73"/>
      <c r="AB1778" s="73"/>
      <c r="AC1778" s="73"/>
      <c r="AD1778" s="73"/>
      <c r="AE1778" s="73"/>
      <c r="AF1778" s="73"/>
      <c r="AG1778" s="73"/>
      <c r="AH1778" s="73"/>
      <c r="AI1778" s="73"/>
      <c r="AJ1778" s="161"/>
      <c r="AK1778" s="76" t="s">
        <v>2108</v>
      </c>
      <c r="AL1778" s="83" t="s">
        <v>17270</v>
      </c>
      <c r="AM1778" s="71" t="s">
        <v>17271</v>
      </c>
      <c r="AN1778" s="84" t="s">
        <v>17272</v>
      </c>
      <c r="AO1778" s="71" t="s">
        <v>17273</v>
      </c>
      <c r="AP1778" s="161" t="str">
        <f>IMAGE("https://bellingcat-archive.nyc3.cdn.digitaloceanspaces.com/Ukraine_Witness_Datasheet/Worksheet/twitter__media_FNK_4f9XwAI78BC.jpg")</f>
        <v/>
      </c>
      <c r="AQ1778" s="161"/>
      <c r="AR1778" s="161"/>
      <c r="AS1778" s="71" t="s">
        <v>17274</v>
      </c>
      <c r="AT1778" s="161"/>
      <c r="AU1778" s="89"/>
      <c r="AV1778" s="80" t="s">
        <v>3944</v>
      </c>
      <c r="AW1778" s="203"/>
    </row>
    <row r="1779" ht="15.75" customHeight="1">
      <c r="A1779" s="415" t="s">
        <v>9897</v>
      </c>
      <c r="B1779" s="73"/>
      <c r="C1779" s="57" t="s">
        <v>14806</v>
      </c>
      <c r="D1779" s="241" t="s">
        <v>17252</v>
      </c>
      <c r="E1779" s="241" t="s">
        <v>17253</v>
      </c>
      <c r="F1779" s="79">
        <v>5.0</v>
      </c>
      <c r="G1779" s="83" t="s">
        <v>17275</v>
      </c>
      <c r="H1779" s="61" t="s">
        <v>5522</v>
      </c>
      <c r="I1779" s="215" t="s">
        <v>15021</v>
      </c>
      <c r="J1779" s="476" t="s">
        <v>17255</v>
      </c>
      <c r="K1779" s="69"/>
      <c r="L1779" s="533" t="s">
        <v>3542</v>
      </c>
      <c r="M1779" s="149" t="s">
        <v>6133</v>
      </c>
      <c r="N1779" s="534"/>
      <c r="O1779" s="533" t="s">
        <v>12646</v>
      </c>
      <c r="P1779" s="67" t="str">
        <f t="shared" si="19"/>
        <v>50.4900759, 30.2597355</v>
      </c>
      <c r="Q1779" s="67" t="str">
        <f t="shared" si="20"/>
        <v>50.489978, 30.26024</v>
      </c>
      <c r="R1779" s="67">
        <f t="shared" si="21"/>
        <v>50.489978</v>
      </c>
      <c r="S1779" s="67">
        <f t="shared" si="22"/>
        <v>30.26024</v>
      </c>
      <c r="T1779" s="161"/>
      <c r="U1779" s="69"/>
      <c r="V1779" s="65" t="s">
        <v>17276</v>
      </c>
      <c r="W1779" s="71" t="s">
        <v>8546</v>
      </c>
      <c r="X1779" s="72" t="s">
        <v>5504</v>
      </c>
      <c r="Y1779" s="216" t="s">
        <v>5820</v>
      </c>
      <c r="Z1779" s="73"/>
      <c r="AA1779" s="73"/>
      <c r="AB1779" s="73"/>
      <c r="AC1779" s="73"/>
      <c r="AD1779" s="73"/>
      <c r="AE1779" s="73"/>
      <c r="AF1779" s="73"/>
      <c r="AG1779" s="73"/>
      <c r="AH1779" s="73"/>
      <c r="AI1779" s="73"/>
      <c r="AJ1779" s="161"/>
      <c r="AK1779" s="76" t="s">
        <v>798</v>
      </c>
      <c r="AL1779" s="83" t="s">
        <v>17277</v>
      </c>
      <c r="AM1779" s="71" t="s">
        <v>17278</v>
      </c>
      <c r="AN1779" s="84" t="s">
        <v>17279</v>
      </c>
      <c r="AO1779" s="71" t="s">
        <v>17280</v>
      </c>
      <c r="AP1779" s="161" t="str">
        <f>IMAGE("https://bellingcat-archive.nyc3.cdn.digitaloceanspaces.com/Ukraine_Witness_Datasheet/Worksheet/youtube_dl_1500510896619237382/out7.jpg")</f>
        <v/>
      </c>
      <c r="AQ1779" s="84" t="s">
        <v>17281</v>
      </c>
      <c r="AR1779" s="71" t="s">
        <v>17282</v>
      </c>
      <c r="AS1779" s="71" t="s">
        <v>17283</v>
      </c>
      <c r="AT1779" s="71">
        <v>53.975</v>
      </c>
      <c r="AU1779" s="89"/>
      <c r="AV1779" s="80" t="s">
        <v>3944</v>
      </c>
      <c r="AW1779" s="203"/>
    </row>
    <row r="1780" ht="15.75" customHeight="1">
      <c r="A1780" s="415" t="s">
        <v>9897</v>
      </c>
      <c r="B1780" s="73"/>
      <c r="C1780" s="57" t="s">
        <v>14806</v>
      </c>
      <c r="D1780" s="241" t="s">
        <v>17252</v>
      </c>
      <c r="E1780" s="241" t="s">
        <v>17253</v>
      </c>
      <c r="F1780" s="79">
        <v>5.0</v>
      </c>
      <c r="G1780" s="83" t="s">
        <v>17284</v>
      </c>
      <c r="H1780" s="61" t="s">
        <v>5522</v>
      </c>
      <c r="I1780" s="215" t="s">
        <v>15021</v>
      </c>
      <c r="J1780" s="476" t="s">
        <v>17255</v>
      </c>
      <c r="K1780" s="69"/>
      <c r="L1780" s="533" t="s">
        <v>3542</v>
      </c>
      <c r="M1780" s="149" t="s">
        <v>6133</v>
      </c>
      <c r="N1780" s="534"/>
      <c r="O1780" s="533" t="s">
        <v>12646</v>
      </c>
      <c r="P1780" s="67" t="str">
        <f t="shared" si="19"/>
        <v>50.4900759, 30.2597355</v>
      </c>
      <c r="Q1780" s="67" t="str">
        <f t="shared" si="20"/>
        <v>50.489648, 30.260453</v>
      </c>
      <c r="R1780" s="67">
        <f t="shared" si="21"/>
        <v>50.489648</v>
      </c>
      <c r="S1780" s="67">
        <f t="shared" si="22"/>
        <v>30.260453</v>
      </c>
      <c r="T1780" s="161"/>
      <c r="U1780" s="69"/>
      <c r="V1780" s="65" t="s">
        <v>17285</v>
      </c>
      <c r="W1780" s="71" t="s">
        <v>8546</v>
      </c>
      <c r="X1780" s="72" t="s">
        <v>5504</v>
      </c>
      <c r="Y1780" s="216" t="s">
        <v>5820</v>
      </c>
      <c r="Z1780" s="73"/>
      <c r="AA1780" s="73"/>
      <c r="AB1780" s="73"/>
      <c r="AC1780" s="73"/>
      <c r="AD1780" s="73"/>
      <c r="AE1780" s="73"/>
      <c r="AF1780" s="73"/>
      <c r="AG1780" s="73"/>
      <c r="AH1780" s="73"/>
      <c r="AI1780" s="73"/>
      <c r="AJ1780" s="161"/>
      <c r="AK1780" s="76" t="s">
        <v>798</v>
      </c>
      <c r="AL1780" s="83" t="s">
        <v>17286</v>
      </c>
      <c r="AM1780" s="71" t="s">
        <v>17287</v>
      </c>
      <c r="AN1780" s="84" t="s">
        <v>17288</v>
      </c>
      <c r="AO1780" s="71" t="s">
        <v>17289</v>
      </c>
      <c r="AP1780" s="161" t="str">
        <f>IMAGE("https://bellingcat-archive.nyc3.cdn.digitaloceanspaces.com/Ukraine_Witness_Datasheet/Worksheet/youtube_dl_1500486915040190466/out7.jpg")</f>
        <v/>
      </c>
      <c r="AQ1780" s="84" t="s">
        <v>17290</v>
      </c>
      <c r="AR1780" s="71" t="s">
        <v>17291</v>
      </c>
      <c r="AS1780" s="71" t="s">
        <v>17292</v>
      </c>
      <c r="AT1780" s="71">
        <v>59.5</v>
      </c>
      <c r="AU1780" s="89"/>
      <c r="AV1780" s="80" t="s">
        <v>3944</v>
      </c>
      <c r="AW1780" s="203"/>
    </row>
    <row r="1781" ht="15.75" customHeight="1">
      <c r="A1781" s="415" t="s">
        <v>9897</v>
      </c>
      <c r="B1781" s="73"/>
      <c r="C1781" s="57" t="s">
        <v>14806</v>
      </c>
      <c r="D1781" s="241" t="s">
        <v>17252</v>
      </c>
      <c r="E1781" s="241" t="s">
        <v>17253</v>
      </c>
      <c r="F1781" s="79">
        <v>5.0</v>
      </c>
      <c r="G1781" s="83" t="s">
        <v>17293</v>
      </c>
      <c r="H1781" s="61" t="s">
        <v>5522</v>
      </c>
      <c r="I1781" s="215" t="s">
        <v>15021</v>
      </c>
      <c r="J1781" s="476" t="s">
        <v>17255</v>
      </c>
      <c r="K1781" s="69"/>
      <c r="L1781" s="533" t="s">
        <v>3542</v>
      </c>
      <c r="M1781" s="149" t="s">
        <v>6133</v>
      </c>
      <c r="N1781" s="534"/>
      <c r="O1781" s="533" t="s">
        <v>12646</v>
      </c>
      <c r="P1781" s="67" t="str">
        <f t="shared" si="19"/>
        <v>50.4900759, 30.2597355</v>
      </c>
      <c r="Q1781" s="67" t="str">
        <f t="shared" si="20"/>
        <v>50.489482, 30.25993</v>
      </c>
      <c r="R1781" s="67">
        <f t="shared" si="21"/>
        <v>50.489482</v>
      </c>
      <c r="S1781" s="67">
        <f t="shared" si="22"/>
        <v>30.25993</v>
      </c>
      <c r="T1781" s="161"/>
      <c r="U1781" s="69"/>
      <c r="V1781" s="65" t="s">
        <v>17294</v>
      </c>
      <c r="W1781" s="71" t="s">
        <v>8546</v>
      </c>
      <c r="X1781" s="72" t="s">
        <v>5504</v>
      </c>
      <c r="Y1781" s="216" t="s">
        <v>5820</v>
      </c>
      <c r="Z1781" s="73"/>
      <c r="AA1781" s="73"/>
      <c r="AB1781" s="73"/>
      <c r="AC1781" s="73"/>
      <c r="AD1781" s="73"/>
      <c r="AE1781" s="73"/>
      <c r="AF1781" s="73"/>
      <c r="AG1781" s="73"/>
      <c r="AH1781" s="73"/>
      <c r="AI1781" s="73"/>
      <c r="AJ1781" s="161"/>
      <c r="AK1781" s="76" t="s">
        <v>798</v>
      </c>
      <c r="AL1781" s="83" t="s">
        <v>17295</v>
      </c>
      <c r="AM1781" s="71" t="s">
        <v>17296</v>
      </c>
      <c r="AN1781" s="84" t="s">
        <v>17297</v>
      </c>
      <c r="AO1781" s="71" t="s">
        <v>17298</v>
      </c>
      <c r="AP1781" s="161" t="str">
        <f>IMAGE("https://bellingcat-archive.nyc3.cdn.digitaloceanspaces.com/Ukraine_Witness_Datasheet/Worksheet/youtube_dl_1500507266633674752/out7.jpg")</f>
        <v/>
      </c>
      <c r="AQ1781" s="84" t="s">
        <v>17299</v>
      </c>
      <c r="AR1781" s="71" t="s">
        <v>17300</v>
      </c>
      <c r="AS1781" s="71" t="s">
        <v>17301</v>
      </c>
      <c r="AT1781" s="71">
        <v>45.0</v>
      </c>
      <c r="AU1781" s="89"/>
      <c r="AV1781" s="80" t="s">
        <v>3944</v>
      </c>
      <c r="AW1781" s="203"/>
    </row>
    <row r="1782" ht="15.75" customHeight="1">
      <c r="A1782" s="415" t="s">
        <v>9897</v>
      </c>
      <c r="B1782" s="73"/>
      <c r="C1782" s="57" t="s">
        <v>14806</v>
      </c>
      <c r="D1782" s="241" t="s">
        <v>17252</v>
      </c>
      <c r="E1782" s="241" t="s">
        <v>17253</v>
      </c>
      <c r="F1782" s="79">
        <v>5.0</v>
      </c>
      <c r="G1782" s="83" t="s">
        <v>17302</v>
      </c>
      <c r="H1782" s="61" t="s">
        <v>5522</v>
      </c>
      <c r="I1782" s="215" t="s">
        <v>15021</v>
      </c>
      <c r="J1782" s="476" t="s">
        <v>17255</v>
      </c>
      <c r="K1782" s="69"/>
      <c r="L1782" s="533" t="s">
        <v>3542</v>
      </c>
      <c r="M1782" s="149" t="s">
        <v>6133</v>
      </c>
      <c r="N1782" s="534"/>
      <c r="O1782" s="533" t="s">
        <v>12646</v>
      </c>
      <c r="P1782" s="67" t="str">
        <f t="shared" si="19"/>
        <v>50.4900759, 30.2597355</v>
      </c>
      <c r="Q1782" s="67" t="str">
        <f t="shared" si="20"/>
        <v>50.489617, 30.259858</v>
      </c>
      <c r="R1782" s="67">
        <f t="shared" si="21"/>
        <v>50.489617</v>
      </c>
      <c r="S1782" s="67">
        <f t="shared" si="22"/>
        <v>30.259858</v>
      </c>
      <c r="T1782" s="161"/>
      <c r="U1782" s="69"/>
      <c r="V1782" s="65" t="s">
        <v>17303</v>
      </c>
      <c r="W1782" s="71" t="s">
        <v>8546</v>
      </c>
      <c r="X1782" s="72" t="s">
        <v>5504</v>
      </c>
      <c r="Y1782" s="216" t="s">
        <v>5820</v>
      </c>
      <c r="Z1782" s="73"/>
      <c r="AA1782" s="73"/>
      <c r="AB1782" s="73"/>
      <c r="AC1782" s="73"/>
      <c r="AD1782" s="73"/>
      <c r="AE1782" s="73"/>
      <c r="AF1782" s="73"/>
      <c r="AG1782" s="73"/>
      <c r="AH1782" s="73"/>
      <c r="AI1782" s="73"/>
      <c r="AJ1782" s="161"/>
      <c r="AK1782" s="76" t="s">
        <v>798</v>
      </c>
      <c r="AL1782" s="83" t="s">
        <v>17304</v>
      </c>
      <c r="AM1782" s="71" t="s">
        <v>17305</v>
      </c>
      <c r="AN1782" s="84" t="s">
        <v>17306</v>
      </c>
      <c r="AO1782" s="71" t="s">
        <v>17307</v>
      </c>
      <c r="AP1782" s="161" t="str">
        <f>IMAGE("https://bellingcat-archive.nyc3.cdn.digitaloceanspaces.com/Ukraine_Witness_Datasheet/Worksheet/youtube_dl_1500501306133336067/out7.jpg")</f>
        <v/>
      </c>
      <c r="AQ1782" s="84" t="s">
        <v>17308</v>
      </c>
      <c r="AR1782" s="71" t="s">
        <v>17309</v>
      </c>
      <c r="AS1782" s="71" t="s">
        <v>17310</v>
      </c>
      <c r="AT1782" s="71">
        <v>54.766</v>
      </c>
      <c r="AU1782" s="89"/>
      <c r="AV1782" s="80" t="s">
        <v>3944</v>
      </c>
      <c r="AW1782" s="203"/>
    </row>
    <row r="1783" ht="15.75" customHeight="1">
      <c r="A1783" s="415" t="s">
        <v>9897</v>
      </c>
      <c r="B1783" s="73"/>
      <c r="C1783" s="57" t="s">
        <v>14806</v>
      </c>
      <c r="D1783" s="241" t="s">
        <v>17252</v>
      </c>
      <c r="E1783" s="241" t="s">
        <v>17253</v>
      </c>
      <c r="F1783" s="79">
        <v>5.0</v>
      </c>
      <c r="G1783" s="83" t="s">
        <v>17311</v>
      </c>
      <c r="H1783" s="61" t="s">
        <v>91</v>
      </c>
      <c r="I1783" s="215" t="s">
        <v>15021</v>
      </c>
      <c r="J1783" s="476" t="s">
        <v>17255</v>
      </c>
      <c r="K1783" s="69"/>
      <c r="L1783" s="533" t="s">
        <v>3542</v>
      </c>
      <c r="M1783" s="149" t="s">
        <v>6133</v>
      </c>
      <c r="N1783" s="534"/>
      <c r="O1783" s="533" t="s">
        <v>12646</v>
      </c>
      <c r="P1783" s="67" t="str">
        <f t="shared" si="19"/>
        <v>50.4900759, 30.2597355</v>
      </c>
      <c r="Q1783" s="67" t="str">
        <f t="shared" si="20"/>
        <v>50.49004, 30.260388</v>
      </c>
      <c r="R1783" s="67">
        <f t="shared" si="21"/>
        <v>50.49004</v>
      </c>
      <c r="S1783" s="67">
        <f t="shared" si="22"/>
        <v>30.260388</v>
      </c>
      <c r="T1783" s="161"/>
      <c r="U1783" s="69"/>
      <c r="V1783" s="65" t="s">
        <v>17312</v>
      </c>
      <c r="W1783" s="71" t="s">
        <v>8546</v>
      </c>
      <c r="X1783" s="72" t="s">
        <v>5504</v>
      </c>
      <c r="Y1783" s="216" t="s">
        <v>5820</v>
      </c>
      <c r="Z1783" s="73"/>
      <c r="AA1783" s="73"/>
      <c r="AB1783" s="73"/>
      <c r="AC1783" s="73"/>
      <c r="AD1783" s="73"/>
      <c r="AE1783" s="73"/>
      <c r="AF1783" s="73"/>
      <c r="AG1783" s="73"/>
      <c r="AH1783" s="73"/>
      <c r="AI1783" s="73"/>
      <c r="AJ1783" s="161"/>
      <c r="AK1783" s="76" t="s">
        <v>6276</v>
      </c>
      <c r="AL1783" s="83" t="s">
        <v>17313</v>
      </c>
      <c r="AM1783" s="71" t="s">
        <v>17314</v>
      </c>
      <c r="AN1783" s="84" t="s">
        <v>17315</v>
      </c>
      <c r="AO1783" s="71" t="s">
        <v>17316</v>
      </c>
      <c r="AP1783" s="161" t="str">
        <f>IMAGE("https://bellingcat-archive.nyc3.cdn.digitaloceanspaces.com/Ukraine_Witness_Datasheet/Worksheet/telegram_zJ826Sxch7vw4daIcLn8ECDBEUuxRSWLWpIEJlDa7MHdQA2ufc5yWUdvWuov4MqF7HOmhXci_OIwZ3G02YRfDVbZwojjzlsPMozaAPidr0slsHkpAYAXmJ_r5wzEv9Sw.jpg")</f>
        <v/>
      </c>
      <c r="AQ1783" s="161"/>
      <c r="AR1783" s="161"/>
      <c r="AS1783" s="71" t="s">
        <v>17317</v>
      </c>
      <c r="AT1783" s="161"/>
      <c r="AU1783" s="89"/>
      <c r="AV1783" s="80" t="s">
        <v>3944</v>
      </c>
      <c r="AW1783" s="203"/>
    </row>
    <row r="1784" ht="15.75" customHeight="1">
      <c r="A1784" s="415" t="s">
        <v>9566</v>
      </c>
      <c r="B1784" s="73"/>
      <c r="C1784" s="57" t="s">
        <v>14806</v>
      </c>
      <c r="D1784" s="241" t="s">
        <v>17318</v>
      </c>
      <c r="E1784" s="241" t="s">
        <v>17319</v>
      </c>
      <c r="F1784" s="79">
        <v>3.0</v>
      </c>
      <c r="G1784" s="83" t="s">
        <v>17320</v>
      </c>
      <c r="H1784" s="61" t="s">
        <v>5522</v>
      </c>
      <c r="I1784" s="215" t="s">
        <v>17321</v>
      </c>
      <c r="J1784" s="476" t="s">
        <v>17322</v>
      </c>
      <c r="K1784" s="69"/>
      <c r="L1784" s="149" t="s">
        <v>3542</v>
      </c>
      <c r="M1784" s="533" t="s">
        <v>17323</v>
      </c>
      <c r="N1784" s="534"/>
      <c r="O1784" s="149" t="s">
        <v>15227</v>
      </c>
      <c r="P1784" s="67" t="str">
        <f t="shared" si="19"/>
        <v>51.330531, 28.800654</v>
      </c>
      <c r="Q1784" s="67" t="str">
        <f t="shared" si="20"/>
        <v>51.330379, 28.799574</v>
      </c>
      <c r="R1784" s="67">
        <f t="shared" si="21"/>
        <v>51.330379</v>
      </c>
      <c r="S1784" s="67">
        <f t="shared" si="22"/>
        <v>28.799574</v>
      </c>
      <c r="T1784" s="161"/>
      <c r="U1784" s="69"/>
      <c r="V1784" s="65" t="s">
        <v>17324</v>
      </c>
      <c r="W1784" s="71" t="s">
        <v>3601</v>
      </c>
      <c r="X1784" s="72" t="s">
        <v>5504</v>
      </c>
      <c r="Y1784" s="216" t="s">
        <v>5820</v>
      </c>
      <c r="Z1784" s="73"/>
      <c r="AA1784" s="73"/>
      <c r="AB1784" s="73"/>
      <c r="AC1784" s="73"/>
      <c r="AD1784" s="73"/>
      <c r="AE1784" s="73"/>
      <c r="AF1784" s="73"/>
      <c r="AG1784" s="73"/>
      <c r="AH1784" s="73"/>
      <c r="AI1784" s="73"/>
      <c r="AJ1784" s="161"/>
      <c r="AK1784" s="76" t="s">
        <v>6276</v>
      </c>
      <c r="AL1784" s="83" t="s">
        <v>17325</v>
      </c>
      <c r="AM1784" s="71" t="s">
        <v>17326</v>
      </c>
      <c r="AN1784" s="84" t="s">
        <v>17327</v>
      </c>
      <c r="AO1784" s="71" t="s">
        <v>17328</v>
      </c>
      <c r="AP1784" s="161" t="str">
        <f>IMAGE("https://bellingcat-archive.nyc3.cdn.digitaloceanspaces.com/Ukraine_Witness_Datasheet/Worksheet/telegram_d29c0d56d3/out7.jpg")</f>
        <v/>
      </c>
      <c r="AQ1784" s="84" t="s">
        <v>17329</v>
      </c>
      <c r="AR1784" s="84" t="s">
        <v>17320</v>
      </c>
      <c r="AS1784" s="161"/>
      <c r="AT1784" s="71">
        <v>26.0</v>
      </c>
      <c r="AU1784" s="89"/>
      <c r="AV1784" s="80" t="s">
        <v>3944</v>
      </c>
      <c r="AW1784" s="203"/>
    </row>
    <row r="1785" ht="15.75" customHeight="1">
      <c r="A1785" s="373" t="s">
        <v>6924</v>
      </c>
      <c r="B1785" s="73"/>
      <c r="C1785" s="57" t="s">
        <v>13542</v>
      </c>
      <c r="D1785" s="260"/>
      <c r="E1785" s="260"/>
      <c r="F1785" s="89"/>
      <c r="G1785" s="83" t="s">
        <v>17330</v>
      </c>
      <c r="H1785" s="73"/>
      <c r="I1785" s="215" t="s">
        <v>17331</v>
      </c>
      <c r="J1785" s="476" t="s">
        <v>17332</v>
      </c>
      <c r="K1785" s="69"/>
      <c r="L1785" s="534"/>
      <c r="M1785" s="534"/>
      <c r="N1785" s="534"/>
      <c r="O1785" s="534"/>
      <c r="P1785" s="67" t="str">
        <f t="shared" si="19"/>
        <v/>
      </c>
      <c r="Q1785" s="67" t="str">
        <f t="shared" si="20"/>
        <v/>
      </c>
      <c r="R1785" s="67" t="str">
        <f t="shared" si="21"/>
        <v/>
      </c>
      <c r="S1785" s="67" t="str">
        <f t="shared" si="22"/>
        <v/>
      </c>
      <c r="T1785" s="161"/>
      <c r="U1785" s="69"/>
      <c r="V1785" s="65" t="s">
        <v>17333</v>
      </c>
      <c r="W1785" s="161"/>
      <c r="X1785" s="194"/>
      <c r="Y1785" s="216" t="s">
        <v>5820</v>
      </c>
      <c r="Z1785" s="73"/>
      <c r="AA1785" s="73"/>
      <c r="AB1785" s="73"/>
      <c r="AC1785" s="73"/>
      <c r="AD1785" s="73"/>
      <c r="AE1785" s="73"/>
      <c r="AF1785" s="73"/>
      <c r="AG1785" s="73"/>
      <c r="AH1785" s="73"/>
      <c r="AI1785" s="73"/>
      <c r="AJ1785" s="161"/>
      <c r="AK1785" s="76" t="s">
        <v>2108</v>
      </c>
      <c r="AL1785" s="83" t="s">
        <v>17334</v>
      </c>
      <c r="AM1785" s="71" t="s">
        <v>17335</v>
      </c>
      <c r="AN1785" s="84" t="s">
        <v>17336</v>
      </c>
      <c r="AO1785" s="71" t="s">
        <v>17337</v>
      </c>
      <c r="AP1785" s="161" t="str">
        <f>IMAGE("https://bellingcat-archive.nyc3.cdn.digitaloceanspaces.com/Ukraine_Witness_Datasheet/Worksheet/twitter__media_FNGB09PX0AQagkZ.jpg")</f>
        <v/>
      </c>
      <c r="AQ1785" s="161"/>
      <c r="AR1785" s="161"/>
      <c r="AS1785" s="71" t="s">
        <v>17338</v>
      </c>
      <c r="AT1785" s="161"/>
      <c r="AU1785" s="89"/>
      <c r="AV1785" s="162"/>
      <c r="AW1785" s="81"/>
    </row>
    <row r="1786" ht="15.75" customHeight="1">
      <c r="A1786" s="373" t="s">
        <v>6924</v>
      </c>
      <c r="B1786" s="73"/>
      <c r="C1786" s="57" t="s">
        <v>13542</v>
      </c>
      <c r="D1786" s="260"/>
      <c r="E1786" s="260"/>
      <c r="F1786" s="89"/>
      <c r="G1786" s="83" t="s">
        <v>17339</v>
      </c>
      <c r="H1786" s="73"/>
      <c r="I1786" s="215" t="s">
        <v>17340</v>
      </c>
      <c r="J1786" s="476" t="s">
        <v>17341</v>
      </c>
      <c r="K1786" s="69"/>
      <c r="L1786" s="534"/>
      <c r="M1786" s="534"/>
      <c r="N1786" s="534"/>
      <c r="O1786" s="534"/>
      <c r="P1786" s="67" t="str">
        <f t="shared" si="19"/>
        <v/>
      </c>
      <c r="Q1786" s="67" t="str">
        <f t="shared" si="20"/>
        <v/>
      </c>
      <c r="R1786" s="67" t="str">
        <f t="shared" si="21"/>
        <v/>
      </c>
      <c r="S1786" s="67" t="str">
        <f t="shared" si="22"/>
        <v/>
      </c>
      <c r="T1786" s="161"/>
      <c r="U1786" s="69"/>
      <c r="V1786" s="65" t="s">
        <v>17342</v>
      </c>
      <c r="W1786" s="161"/>
      <c r="X1786" s="194"/>
      <c r="Y1786" s="216" t="s">
        <v>5820</v>
      </c>
      <c r="Z1786" s="73"/>
      <c r="AA1786" s="73"/>
      <c r="AB1786" s="73"/>
      <c r="AC1786" s="73"/>
      <c r="AD1786" s="73"/>
      <c r="AE1786" s="73"/>
      <c r="AF1786" s="73"/>
      <c r="AG1786" s="73"/>
      <c r="AH1786" s="73"/>
      <c r="AI1786" s="73"/>
      <c r="AJ1786" s="161"/>
      <c r="AK1786" s="76" t="s">
        <v>798</v>
      </c>
      <c r="AL1786" s="83" t="s">
        <v>17343</v>
      </c>
      <c r="AM1786" s="71" t="s">
        <v>17344</v>
      </c>
      <c r="AN1786" s="84" t="s">
        <v>17345</v>
      </c>
      <c r="AO1786" s="71" t="s">
        <v>17346</v>
      </c>
      <c r="AP1786" s="161" t="str">
        <f>IMAGE("https://bellingcat-archive.nyc3.cdn.digitaloceanspaces.com/Ukraine_Witness_Datasheet/Worksheet/youtube_dl_1500112907857805314/out7.jpg")</f>
        <v/>
      </c>
      <c r="AQ1786" s="84" t="s">
        <v>17347</v>
      </c>
      <c r="AR1786" s="71" t="s">
        <v>17348</v>
      </c>
      <c r="AS1786" s="71" t="s">
        <v>17349</v>
      </c>
      <c r="AT1786" s="71">
        <v>2.773</v>
      </c>
      <c r="AU1786" s="89"/>
      <c r="AV1786" s="162"/>
      <c r="AW1786" s="81"/>
    </row>
    <row r="1787" ht="15.75" customHeight="1">
      <c r="A1787" s="373" t="s">
        <v>6924</v>
      </c>
      <c r="B1787" s="73"/>
      <c r="C1787" s="57" t="s">
        <v>13542</v>
      </c>
      <c r="D1787" s="260"/>
      <c r="E1787" s="260"/>
      <c r="F1787" s="89"/>
      <c r="G1787" s="83" t="s">
        <v>17350</v>
      </c>
      <c r="H1787" s="73"/>
      <c r="I1787" s="215" t="s">
        <v>15362</v>
      </c>
      <c r="J1787" s="476" t="s">
        <v>17351</v>
      </c>
      <c r="K1787" s="69"/>
      <c r="L1787" s="534"/>
      <c r="M1787" s="534"/>
      <c r="N1787" s="534"/>
      <c r="O1787" s="534"/>
      <c r="P1787" s="67" t="str">
        <f t="shared" si="19"/>
        <v/>
      </c>
      <c r="Q1787" s="67" t="str">
        <f t="shared" si="20"/>
        <v/>
      </c>
      <c r="R1787" s="67" t="str">
        <f t="shared" si="21"/>
        <v/>
      </c>
      <c r="S1787" s="67" t="str">
        <f t="shared" si="22"/>
        <v/>
      </c>
      <c r="T1787" s="161"/>
      <c r="U1787" s="69"/>
      <c r="V1787" s="65" t="s">
        <v>17352</v>
      </c>
      <c r="W1787" s="161"/>
      <c r="X1787" s="208"/>
      <c r="Y1787" s="216" t="s">
        <v>5820</v>
      </c>
      <c r="Z1787" s="73"/>
      <c r="AA1787" s="73"/>
      <c r="AB1787" s="73"/>
      <c r="AC1787" s="73"/>
      <c r="AD1787" s="73"/>
      <c r="AE1787" s="73"/>
      <c r="AF1787" s="73"/>
      <c r="AG1787" s="73"/>
      <c r="AH1787" s="73"/>
      <c r="AI1787" s="73"/>
      <c r="AJ1787" s="161"/>
      <c r="AK1787" s="76" t="s">
        <v>2108</v>
      </c>
      <c r="AL1787" s="83" t="s">
        <v>17353</v>
      </c>
      <c r="AM1787" s="71" t="s">
        <v>17354</v>
      </c>
      <c r="AN1787" s="84" t="s">
        <v>17355</v>
      </c>
      <c r="AO1787" s="71" t="s">
        <v>17356</v>
      </c>
      <c r="AP1787" s="161" t="str">
        <f>IMAGE("https://bellingcat-archive.nyc3.cdn.digitaloceanspaces.com/Ukraine_Witness_Datasheet/Worksheet/twitter__media_FNGQyAzXMAInpyt.jpg")</f>
        <v/>
      </c>
      <c r="AQ1787" s="161"/>
      <c r="AR1787" s="161"/>
      <c r="AS1787" s="71" t="s">
        <v>17357</v>
      </c>
      <c r="AT1787" s="161"/>
      <c r="AU1787" s="89"/>
      <c r="AV1787" s="162"/>
      <c r="AW1787" s="81"/>
    </row>
    <row r="1788" ht="15.75" customHeight="1">
      <c r="A1788" s="415" t="s">
        <v>9566</v>
      </c>
      <c r="B1788" s="73"/>
      <c r="C1788" s="57" t="s">
        <v>13542</v>
      </c>
      <c r="D1788" s="241" t="s">
        <v>17358</v>
      </c>
      <c r="E1788" s="241" t="s">
        <v>17359</v>
      </c>
      <c r="F1788" s="79">
        <v>2.0</v>
      </c>
      <c r="G1788" s="83" t="s">
        <v>17360</v>
      </c>
      <c r="H1788" s="61" t="s">
        <v>5522</v>
      </c>
      <c r="I1788" s="215" t="s">
        <v>14667</v>
      </c>
      <c r="J1788" s="476" t="s">
        <v>17361</v>
      </c>
      <c r="K1788" s="69"/>
      <c r="L1788" s="533" t="s">
        <v>3542</v>
      </c>
      <c r="M1788" s="533" t="s">
        <v>7505</v>
      </c>
      <c r="N1788" s="534"/>
      <c r="O1788" s="149" t="s">
        <v>5626</v>
      </c>
      <c r="P1788" s="67" t="str">
        <f t="shared" si="19"/>
        <v>50.042143, 36.359936</v>
      </c>
      <c r="Q1788" s="67" t="str">
        <f t="shared" si="20"/>
        <v>50.042063, 36.359027</v>
      </c>
      <c r="R1788" s="67">
        <f t="shared" si="21"/>
        <v>50.042063</v>
      </c>
      <c r="S1788" s="67">
        <f t="shared" si="22"/>
        <v>36.359027</v>
      </c>
      <c r="T1788" s="161"/>
      <c r="U1788" s="69"/>
      <c r="V1788" s="65" t="s">
        <v>17362</v>
      </c>
      <c r="W1788" s="71" t="s">
        <v>3601</v>
      </c>
      <c r="X1788" s="72" t="s">
        <v>5504</v>
      </c>
      <c r="Y1788" s="216" t="s">
        <v>5820</v>
      </c>
      <c r="Z1788" s="73"/>
      <c r="AA1788" s="73"/>
      <c r="AB1788" s="73"/>
      <c r="AC1788" s="73"/>
      <c r="AD1788" s="73"/>
      <c r="AE1788" s="73"/>
      <c r="AF1788" s="73"/>
      <c r="AG1788" s="73"/>
      <c r="AH1788" s="73"/>
      <c r="AI1788" s="73"/>
      <c r="AJ1788" s="161"/>
      <c r="AK1788" s="76" t="s">
        <v>6276</v>
      </c>
      <c r="AL1788" s="83" t="s">
        <v>17363</v>
      </c>
      <c r="AM1788" s="71" t="s">
        <v>17364</v>
      </c>
      <c r="AN1788" s="84" t="s">
        <v>17365</v>
      </c>
      <c r="AO1788" s="71" t="s">
        <v>17366</v>
      </c>
      <c r="AP1788" s="161" t="str">
        <f>IMAGE("https://bellingcat-archive.nyc3.cdn.digitaloceanspaces.com/Ukraine_Witness_Datasheet/Worksheet/telegram_689592a1c1/out7.jpg")</f>
        <v/>
      </c>
      <c r="AQ1788" s="84" t="s">
        <v>17367</v>
      </c>
      <c r="AR1788" s="84" t="s">
        <v>17368</v>
      </c>
      <c r="AS1788" s="71" t="s">
        <v>17369</v>
      </c>
      <c r="AT1788" s="71">
        <v>23.0</v>
      </c>
      <c r="AU1788" s="89"/>
      <c r="AV1788" s="80" t="s">
        <v>3944</v>
      </c>
      <c r="AW1788" s="203"/>
    </row>
    <row r="1789" ht="15.75" customHeight="1">
      <c r="A1789" s="415" t="s">
        <v>9566</v>
      </c>
      <c r="B1789" s="73"/>
      <c r="C1789" s="57" t="s">
        <v>13542</v>
      </c>
      <c r="D1789" s="241" t="s">
        <v>17358</v>
      </c>
      <c r="E1789" s="241" t="s">
        <v>17359</v>
      </c>
      <c r="F1789" s="79">
        <v>2.0</v>
      </c>
      <c r="G1789" s="83" t="s">
        <v>17370</v>
      </c>
      <c r="H1789" s="61" t="s">
        <v>5522</v>
      </c>
      <c r="I1789" s="215" t="s">
        <v>14667</v>
      </c>
      <c r="J1789" s="476" t="s">
        <v>17361</v>
      </c>
      <c r="K1789" s="69"/>
      <c r="L1789" s="533" t="s">
        <v>3542</v>
      </c>
      <c r="M1789" s="533" t="s">
        <v>7505</v>
      </c>
      <c r="N1789" s="534"/>
      <c r="O1789" s="149" t="s">
        <v>5626</v>
      </c>
      <c r="P1789" s="67" t="str">
        <f t="shared" si="19"/>
        <v>50.042143, 36.359936</v>
      </c>
      <c r="Q1789" s="67" t="str">
        <f t="shared" si="20"/>
        <v>50.041756, 36.358809</v>
      </c>
      <c r="R1789" s="67">
        <f t="shared" si="21"/>
        <v>50.041756</v>
      </c>
      <c r="S1789" s="67">
        <f t="shared" si="22"/>
        <v>36.358809</v>
      </c>
      <c r="T1789" s="161"/>
      <c r="U1789" s="69"/>
      <c r="V1789" s="65" t="s">
        <v>17371</v>
      </c>
      <c r="W1789" s="71" t="s">
        <v>3601</v>
      </c>
      <c r="X1789" s="72" t="s">
        <v>5504</v>
      </c>
      <c r="Y1789" s="216" t="s">
        <v>5820</v>
      </c>
      <c r="Z1789" s="73"/>
      <c r="AA1789" s="73"/>
      <c r="AB1789" s="73"/>
      <c r="AC1789" s="73"/>
      <c r="AD1789" s="73"/>
      <c r="AE1789" s="73"/>
      <c r="AF1789" s="73"/>
      <c r="AG1789" s="73"/>
      <c r="AH1789" s="73"/>
      <c r="AI1789" s="73"/>
      <c r="AJ1789" s="161"/>
      <c r="AK1789" s="76" t="s">
        <v>798</v>
      </c>
      <c r="AL1789" s="83" t="s">
        <v>17372</v>
      </c>
      <c r="AM1789" s="71" t="s">
        <v>17373</v>
      </c>
      <c r="AN1789" s="84" t="s">
        <v>17374</v>
      </c>
      <c r="AO1789" s="71" t="s">
        <v>17375</v>
      </c>
      <c r="AP1789" s="161" t="str">
        <f>IMAGE("https://bellingcat-archive.nyc3.cdn.digitaloceanspaces.com/Ukraine_Witness_Datasheet/Worksheet/youtube_dl_1500385862886035456/out7.jpg")</f>
        <v/>
      </c>
      <c r="AQ1789" s="84" t="s">
        <v>17376</v>
      </c>
      <c r="AR1789" s="71" t="s">
        <v>17377</v>
      </c>
      <c r="AS1789" s="71" t="s">
        <v>17378</v>
      </c>
      <c r="AT1789" s="71">
        <v>23.365</v>
      </c>
      <c r="AU1789" s="89"/>
      <c r="AV1789" s="80" t="s">
        <v>3944</v>
      </c>
      <c r="AW1789" s="203"/>
    </row>
    <row r="1790" ht="15.75" customHeight="1">
      <c r="A1790" s="415" t="s">
        <v>9566</v>
      </c>
      <c r="B1790" s="73"/>
      <c r="C1790" s="57" t="s">
        <v>13542</v>
      </c>
      <c r="D1790" s="241" t="s">
        <v>17358</v>
      </c>
      <c r="E1790" s="241" t="s">
        <v>17359</v>
      </c>
      <c r="F1790" s="79">
        <v>2.0</v>
      </c>
      <c r="G1790" s="83" t="s">
        <v>17379</v>
      </c>
      <c r="H1790" s="61" t="s">
        <v>5522</v>
      </c>
      <c r="I1790" s="215" t="s">
        <v>14667</v>
      </c>
      <c r="J1790" s="476" t="s">
        <v>17361</v>
      </c>
      <c r="K1790" s="69"/>
      <c r="L1790" s="533" t="s">
        <v>3542</v>
      </c>
      <c r="M1790" s="533" t="s">
        <v>7505</v>
      </c>
      <c r="N1790" s="534"/>
      <c r="O1790" s="149" t="s">
        <v>5626</v>
      </c>
      <c r="P1790" s="67" t="str">
        <f t="shared" si="19"/>
        <v>50.042143, 36.359936</v>
      </c>
      <c r="Q1790" s="67" t="str">
        <f t="shared" si="20"/>
        <v>50.041458, 36.359577</v>
      </c>
      <c r="R1790" s="67">
        <f t="shared" si="21"/>
        <v>50.041458</v>
      </c>
      <c r="S1790" s="67">
        <f t="shared" si="22"/>
        <v>36.359577</v>
      </c>
      <c r="T1790" s="161"/>
      <c r="U1790" s="69"/>
      <c r="V1790" s="65" t="s">
        <v>17380</v>
      </c>
      <c r="W1790" s="71" t="s">
        <v>3601</v>
      </c>
      <c r="X1790" s="72" t="s">
        <v>5504</v>
      </c>
      <c r="Y1790" s="216" t="s">
        <v>5820</v>
      </c>
      <c r="Z1790" s="73"/>
      <c r="AA1790" s="73"/>
      <c r="AB1790" s="73"/>
      <c r="AC1790" s="73"/>
      <c r="AD1790" s="73"/>
      <c r="AE1790" s="73"/>
      <c r="AF1790" s="73"/>
      <c r="AG1790" s="73"/>
      <c r="AH1790" s="73"/>
      <c r="AI1790" s="73"/>
      <c r="AJ1790" s="161"/>
      <c r="AK1790" s="76" t="s">
        <v>1261</v>
      </c>
      <c r="AL1790" s="83" t="s">
        <v>17381</v>
      </c>
      <c r="AM1790" s="71" t="s">
        <v>17382</v>
      </c>
      <c r="AN1790" s="84" t="s">
        <v>17383</v>
      </c>
      <c r="AO1790" s="161"/>
      <c r="AP1790" s="161"/>
      <c r="AQ1790" s="161"/>
      <c r="AR1790" s="71" t="s">
        <v>2228</v>
      </c>
      <c r="AS1790" s="161"/>
      <c r="AT1790" s="161"/>
      <c r="AU1790" s="89"/>
      <c r="AV1790" s="80" t="s">
        <v>3944</v>
      </c>
      <c r="AW1790" s="203"/>
    </row>
    <row r="1791" ht="15.75" customHeight="1">
      <c r="A1791" s="373" t="s">
        <v>6924</v>
      </c>
      <c r="B1791" s="73"/>
      <c r="C1791" s="57" t="s">
        <v>14806</v>
      </c>
      <c r="D1791" s="241" t="s">
        <v>17384</v>
      </c>
      <c r="E1791" s="241" t="s">
        <v>17385</v>
      </c>
      <c r="F1791" s="79">
        <v>5.0</v>
      </c>
      <c r="G1791" s="83" t="s">
        <v>17386</v>
      </c>
      <c r="H1791" s="61" t="s">
        <v>91</v>
      </c>
      <c r="I1791" s="215" t="s">
        <v>17387</v>
      </c>
      <c r="J1791" s="476" t="s">
        <v>17388</v>
      </c>
      <c r="K1791" s="69"/>
      <c r="L1791" s="533" t="s">
        <v>3542</v>
      </c>
      <c r="M1791" s="533" t="s">
        <v>3544</v>
      </c>
      <c r="N1791" s="534"/>
      <c r="O1791" s="540" t="s">
        <v>14786</v>
      </c>
      <c r="P1791" s="67" t="str">
        <f t="shared" si="19"/>
        <v>48.72645, 37.60624</v>
      </c>
      <c r="Q1791" s="67" t="str">
        <f t="shared" si="20"/>
        <v>48.726438, 37.605533</v>
      </c>
      <c r="R1791" s="67">
        <f t="shared" si="21"/>
        <v>48.726438</v>
      </c>
      <c r="S1791" s="67">
        <f t="shared" si="22"/>
        <v>37.605533</v>
      </c>
      <c r="T1791" s="161"/>
      <c r="U1791" s="69"/>
      <c r="V1791" s="65" t="s">
        <v>17389</v>
      </c>
      <c r="W1791" s="71" t="s">
        <v>6108</v>
      </c>
      <c r="X1791" s="194"/>
      <c r="Y1791" s="216" t="s">
        <v>5820</v>
      </c>
      <c r="Z1791" s="73"/>
      <c r="AA1791" s="73"/>
      <c r="AB1791" s="73"/>
      <c r="AC1791" s="73"/>
      <c r="AD1791" s="73"/>
      <c r="AE1791" s="73"/>
      <c r="AF1791" s="73"/>
      <c r="AG1791" s="73"/>
      <c r="AH1791" s="73"/>
      <c r="AI1791" s="73"/>
      <c r="AJ1791" s="161"/>
      <c r="AK1791" s="76" t="s">
        <v>6276</v>
      </c>
      <c r="AL1791" s="83" t="s">
        <v>17390</v>
      </c>
      <c r="AM1791" s="71" t="s">
        <v>17391</v>
      </c>
      <c r="AN1791" s="84" t="s">
        <v>17392</v>
      </c>
      <c r="AO1791" s="71" t="s">
        <v>17393</v>
      </c>
      <c r="AP1791" s="161" t="str">
        <f>IMAGE("https://bellingcat-archive.nyc3.cdn.digitaloceanspaces.com/Ukraine_Witness_Datasheet/Worksheet/telegram_0sB43uCx9foVNHhU5HP7I6_XZvITBRTJiwVD6CxRT5CIIE1XeLwZXroRHhGqoiTV_wqllCpHw73d-8GL_yrh3U7rKNa6fHh22fIJjw2XWhaREtA_6j8weglr9JUUaZNg.jpg")</f>
        <v/>
      </c>
      <c r="AQ1791" s="161"/>
      <c r="AR1791" s="161"/>
      <c r="AS1791" s="71" t="s">
        <v>17394</v>
      </c>
      <c r="AT1791" s="161"/>
      <c r="AU1791" s="89"/>
      <c r="AV1791" s="162"/>
      <c r="AW1791" s="81"/>
    </row>
    <row r="1792" ht="15.75" customHeight="1">
      <c r="A1792" s="349" t="s">
        <v>7092</v>
      </c>
      <c r="B1792" s="73"/>
      <c r="C1792" s="57" t="s">
        <v>14806</v>
      </c>
      <c r="D1792" s="241" t="s">
        <v>17395</v>
      </c>
      <c r="E1792" s="241" t="s">
        <v>17396</v>
      </c>
      <c r="F1792" s="79">
        <v>2.0</v>
      </c>
      <c r="G1792" s="83" t="s">
        <v>17397</v>
      </c>
      <c r="H1792" s="61" t="s">
        <v>5522</v>
      </c>
      <c r="I1792" s="215" t="s">
        <v>17398</v>
      </c>
      <c r="J1792" s="476" t="s">
        <v>17399</v>
      </c>
      <c r="K1792" s="69"/>
      <c r="L1792" s="533" t="s">
        <v>3542</v>
      </c>
      <c r="M1792" s="533" t="s">
        <v>7505</v>
      </c>
      <c r="N1792" s="534"/>
      <c r="O1792" s="149" t="s">
        <v>5626</v>
      </c>
      <c r="P1792" s="67" t="str">
        <f t="shared" si="19"/>
        <v>50.060955, 36.202167</v>
      </c>
      <c r="Q1792" s="67" t="str">
        <f t="shared" si="20"/>
        <v>50.060406, 36.201286</v>
      </c>
      <c r="R1792" s="67">
        <f t="shared" si="21"/>
        <v>50.060406</v>
      </c>
      <c r="S1792" s="67">
        <f t="shared" si="22"/>
        <v>36.201286</v>
      </c>
      <c r="T1792" s="161"/>
      <c r="U1792" s="69"/>
      <c r="V1792" s="65" t="s">
        <v>17400</v>
      </c>
      <c r="W1792" s="71" t="s">
        <v>3601</v>
      </c>
      <c r="X1792" s="72" t="s">
        <v>5504</v>
      </c>
      <c r="Y1792" s="216" t="s">
        <v>5820</v>
      </c>
      <c r="Z1792" s="73"/>
      <c r="AA1792" s="73"/>
      <c r="AB1792" s="73"/>
      <c r="AC1792" s="73"/>
      <c r="AD1792" s="73"/>
      <c r="AE1792" s="73"/>
      <c r="AF1792" s="73"/>
      <c r="AG1792" s="73"/>
      <c r="AH1792" s="73"/>
      <c r="AI1792" s="73"/>
      <c r="AJ1792" s="161"/>
      <c r="AK1792" s="76" t="s">
        <v>6276</v>
      </c>
      <c r="AL1792" s="83" t="s">
        <v>17401</v>
      </c>
      <c r="AM1792" s="71" t="s">
        <v>17402</v>
      </c>
      <c r="AN1792" s="84" t="s">
        <v>17403</v>
      </c>
      <c r="AO1792" s="71" t="s">
        <v>15272</v>
      </c>
      <c r="AP1792" s="161" t="str">
        <f>IMAGE("https://bellingcat-archive.nyc3.cdn.digitaloceanspaces.com/Ukraine_Witness_Datasheet/Worksheet/telegram_0dd2f806bc/out7.jpg")</f>
        <v/>
      </c>
      <c r="AQ1792" s="84" t="s">
        <v>17404</v>
      </c>
      <c r="AR1792" s="84" t="s">
        <v>17397</v>
      </c>
      <c r="AS1792" s="71" t="s">
        <v>17405</v>
      </c>
      <c r="AT1792" s="71">
        <v>8.0</v>
      </c>
      <c r="AU1792" s="89"/>
      <c r="AV1792" s="80" t="s">
        <v>63</v>
      </c>
      <c r="AW1792" s="203"/>
    </row>
    <row r="1793" ht="15.75" customHeight="1">
      <c r="A1793" s="373" t="s">
        <v>6924</v>
      </c>
      <c r="B1793" s="73"/>
      <c r="C1793" s="57" t="s">
        <v>15275</v>
      </c>
      <c r="D1793" s="241" t="s">
        <v>17406</v>
      </c>
      <c r="E1793" s="241" t="s">
        <v>17407</v>
      </c>
      <c r="F1793" s="89"/>
      <c r="G1793" s="83" t="s">
        <v>17408</v>
      </c>
      <c r="H1793" s="73"/>
      <c r="I1793" s="215" t="s">
        <v>17409</v>
      </c>
      <c r="J1793" s="476" t="s">
        <v>17410</v>
      </c>
      <c r="K1793" s="69"/>
      <c r="L1793" s="534"/>
      <c r="M1793" s="534"/>
      <c r="N1793" s="534"/>
      <c r="O1793" s="534"/>
      <c r="P1793" s="67" t="str">
        <f t="shared" si="19"/>
        <v>51.32934741, 28.80860213</v>
      </c>
      <c r="Q1793" s="67" t="str">
        <f t="shared" si="20"/>
        <v>51.328967, 28.808259</v>
      </c>
      <c r="R1793" s="67">
        <f t="shared" si="21"/>
        <v>51.328967</v>
      </c>
      <c r="S1793" s="67">
        <f t="shared" si="22"/>
        <v>28.808259</v>
      </c>
      <c r="T1793" s="161"/>
      <c r="U1793" s="69"/>
      <c r="V1793" s="65" t="s">
        <v>17411</v>
      </c>
      <c r="W1793" s="161"/>
      <c r="X1793" s="194"/>
      <c r="Y1793" s="216" t="s">
        <v>5820</v>
      </c>
      <c r="Z1793" s="73"/>
      <c r="AA1793" s="73"/>
      <c r="AB1793" s="73"/>
      <c r="AC1793" s="73"/>
      <c r="AD1793" s="73"/>
      <c r="AE1793" s="73"/>
      <c r="AF1793" s="73"/>
      <c r="AG1793" s="73"/>
      <c r="AH1793" s="73"/>
      <c r="AI1793" s="73"/>
      <c r="AJ1793" s="161"/>
      <c r="AK1793" s="76" t="s">
        <v>6276</v>
      </c>
      <c r="AL1793" s="83" t="s">
        <v>17412</v>
      </c>
      <c r="AM1793" s="71" t="s">
        <v>17413</v>
      </c>
      <c r="AN1793" s="84" t="s">
        <v>17414</v>
      </c>
      <c r="AO1793" s="71" t="s">
        <v>17415</v>
      </c>
      <c r="AP1793" s="161" t="str">
        <f>IMAGE("https://bellingcat-archive.nyc3.cdn.digitaloceanspaces.com/Ukraine_Witness_Datasheet/Worksheet/telegram_NbOtgXjdoWQmao69BJuhe52JiwpjCfnmQ6hw0Wxmi9NStM9ghcjsE5kOJPINMIOj_wa41k_do6d7zo7gBbmvNKXeqenH8Cq4Qfk2lir_38egntaImJrgYvFfFNRuetfw.jpg")</f>
        <v/>
      </c>
      <c r="AQ1793" s="161"/>
      <c r="AR1793" s="161"/>
      <c r="AS1793" s="71" t="s">
        <v>17416</v>
      </c>
      <c r="AT1793" s="161"/>
      <c r="AU1793" s="89"/>
      <c r="AV1793" s="162"/>
      <c r="AW1793" s="81"/>
    </row>
    <row r="1794" ht="15.75" customHeight="1">
      <c r="A1794" s="354" t="s">
        <v>11352</v>
      </c>
      <c r="B1794" s="73"/>
      <c r="C1794" s="57" t="s">
        <v>15275</v>
      </c>
      <c r="D1794" s="241" t="s">
        <v>17417</v>
      </c>
      <c r="E1794" s="241" t="s">
        <v>17418</v>
      </c>
      <c r="F1794" s="79">
        <v>2.0</v>
      </c>
      <c r="G1794" s="83" t="s">
        <v>17419</v>
      </c>
      <c r="H1794" s="61" t="s">
        <v>5522</v>
      </c>
      <c r="I1794" s="215" t="s">
        <v>17420</v>
      </c>
      <c r="J1794" s="476" t="s">
        <v>17421</v>
      </c>
      <c r="K1794" s="69"/>
      <c r="L1794" s="533" t="s">
        <v>3542</v>
      </c>
      <c r="M1794" s="149" t="s">
        <v>8325</v>
      </c>
      <c r="N1794" s="534"/>
      <c r="O1794" s="149" t="s">
        <v>6658</v>
      </c>
      <c r="P1794" s="67" t="str">
        <f t="shared" si="19"/>
        <v>46.91148345, 32.08302583</v>
      </c>
      <c r="Q1794" s="67" t="str">
        <f t="shared" si="20"/>
        <v>46.910873, 32.083069</v>
      </c>
      <c r="R1794" s="67">
        <f t="shared" si="21"/>
        <v>46.910873</v>
      </c>
      <c r="S1794" s="67">
        <f t="shared" si="22"/>
        <v>32.083069</v>
      </c>
      <c r="T1794" s="161"/>
      <c r="U1794" s="69"/>
      <c r="V1794" s="65" t="s">
        <v>17422</v>
      </c>
      <c r="W1794" s="71" t="s">
        <v>3601</v>
      </c>
      <c r="X1794" s="17" t="s">
        <v>9</v>
      </c>
      <c r="Y1794" s="216" t="s">
        <v>5820</v>
      </c>
      <c r="Z1794" s="73"/>
      <c r="AA1794" s="73"/>
      <c r="AB1794" s="73"/>
      <c r="AC1794" s="73"/>
      <c r="AD1794" s="73"/>
      <c r="AE1794" s="73"/>
      <c r="AF1794" s="73"/>
      <c r="AG1794" s="73"/>
      <c r="AH1794" s="73"/>
      <c r="AI1794" s="73"/>
      <c r="AJ1794" s="161"/>
      <c r="AK1794" s="76" t="s">
        <v>6276</v>
      </c>
      <c r="AL1794" s="83" t="s">
        <v>17423</v>
      </c>
      <c r="AM1794" s="71" t="s">
        <v>17424</v>
      </c>
      <c r="AN1794" s="84" t="s">
        <v>17425</v>
      </c>
      <c r="AO1794" s="71" t="s">
        <v>17426</v>
      </c>
      <c r="AP1794" s="161" t="str">
        <f>IMAGE("https://bellingcat-archive.nyc3.cdn.digitaloceanspaces.com/Ukraine_Witness_Datasheet/Worksheet/telegram_5c5133e05c/out7.jpg")</f>
        <v/>
      </c>
      <c r="AQ1794" s="84" t="s">
        <v>17427</v>
      </c>
      <c r="AR1794" s="84" t="s">
        <v>17419</v>
      </c>
      <c r="AS1794" s="161"/>
      <c r="AT1794" s="71">
        <v>16.0</v>
      </c>
      <c r="AU1794" s="89"/>
      <c r="AV1794" s="162"/>
      <c r="AW1794" s="81"/>
    </row>
    <row r="1795" ht="15.75" customHeight="1">
      <c r="A1795" s="541" t="s">
        <v>11352</v>
      </c>
      <c r="B1795" s="73"/>
      <c r="C1795" s="57" t="s">
        <v>15275</v>
      </c>
      <c r="D1795" s="241" t="s">
        <v>17417</v>
      </c>
      <c r="E1795" s="241" t="s">
        <v>17418</v>
      </c>
      <c r="F1795" s="79">
        <v>2.0</v>
      </c>
      <c r="G1795" s="83" t="s">
        <v>17428</v>
      </c>
      <c r="H1795" s="61" t="s">
        <v>5522</v>
      </c>
      <c r="I1795" s="215" t="s">
        <v>17420</v>
      </c>
      <c r="J1795" s="476" t="s">
        <v>17421</v>
      </c>
      <c r="K1795" s="69"/>
      <c r="L1795" s="533" t="s">
        <v>3542</v>
      </c>
      <c r="M1795" s="149" t="s">
        <v>8325</v>
      </c>
      <c r="N1795" s="534"/>
      <c r="O1795" s="149" t="s">
        <v>6658</v>
      </c>
      <c r="P1795" s="67" t="str">
        <f t="shared" si="19"/>
        <v>46.91148345, 32.08302583</v>
      </c>
      <c r="Q1795" s="67" t="str">
        <f t="shared" si="20"/>
        <v>46.911413, 32.082241</v>
      </c>
      <c r="R1795" s="67">
        <f t="shared" si="21"/>
        <v>46.911413</v>
      </c>
      <c r="S1795" s="67">
        <f t="shared" si="22"/>
        <v>32.082241</v>
      </c>
      <c r="T1795" s="161"/>
      <c r="U1795" s="69"/>
      <c r="V1795" s="65" t="s">
        <v>17429</v>
      </c>
      <c r="W1795" s="71" t="s">
        <v>3601</v>
      </c>
      <c r="X1795" s="208"/>
      <c r="Y1795" s="216" t="s">
        <v>5820</v>
      </c>
      <c r="Z1795" s="73"/>
      <c r="AA1795" s="73"/>
      <c r="AB1795" s="73"/>
      <c r="AC1795" s="73"/>
      <c r="AD1795" s="73"/>
      <c r="AE1795" s="73"/>
      <c r="AF1795" s="73"/>
      <c r="AG1795" s="73"/>
      <c r="AH1795" s="73"/>
      <c r="AI1795" s="73"/>
      <c r="AJ1795" s="161"/>
      <c r="AK1795" s="76" t="s">
        <v>6276</v>
      </c>
      <c r="AL1795" s="83" t="s">
        <v>17430</v>
      </c>
      <c r="AM1795" s="71" t="s">
        <v>17431</v>
      </c>
      <c r="AN1795" s="84" t="s">
        <v>17432</v>
      </c>
      <c r="AO1795" s="71" t="s">
        <v>17433</v>
      </c>
      <c r="AP1795" s="161" t="str">
        <f>IMAGE("https://bellingcat-archive.nyc3.cdn.digitaloceanspaces.com/Ukraine_Witness_Datasheet/Worksheet/telegram_f05e01d5e3/out7.jpg")</f>
        <v/>
      </c>
      <c r="AQ1795" s="84" t="s">
        <v>17434</v>
      </c>
      <c r="AR1795" s="84" t="s">
        <v>17428</v>
      </c>
      <c r="AS1795" s="71" t="s">
        <v>17435</v>
      </c>
      <c r="AT1795" s="71">
        <v>20.0</v>
      </c>
      <c r="AU1795" s="89"/>
      <c r="AV1795" s="80" t="s">
        <v>63</v>
      </c>
      <c r="AW1795" s="203" t="s">
        <v>17436</v>
      </c>
    </row>
    <row r="1796" ht="15.75" customHeight="1">
      <c r="A1796" s="354" t="s">
        <v>11352</v>
      </c>
      <c r="B1796" s="73"/>
      <c r="C1796" s="57" t="s">
        <v>15275</v>
      </c>
      <c r="D1796" s="241" t="s">
        <v>17417</v>
      </c>
      <c r="E1796" s="241" t="s">
        <v>17418</v>
      </c>
      <c r="F1796" s="79">
        <v>2.0</v>
      </c>
      <c r="G1796" s="83" t="s">
        <v>17437</v>
      </c>
      <c r="H1796" s="61" t="s">
        <v>91</v>
      </c>
      <c r="I1796" s="215" t="s">
        <v>17420</v>
      </c>
      <c r="J1796" s="476" t="s">
        <v>17421</v>
      </c>
      <c r="K1796" s="69"/>
      <c r="L1796" s="533" t="s">
        <v>3542</v>
      </c>
      <c r="M1796" s="149" t="s">
        <v>8325</v>
      </c>
      <c r="N1796" s="534"/>
      <c r="O1796" s="149" t="s">
        <v>6658</v>
      </c>
      <c r="P1796" s="67" t="str">
        <f t="shared" si="19"/>
        <v>46.91148345, 32.08302583</v>
      </c>
      <c r="Q1796" s="67" t="str">
        <f t="shared" si="20"/>
        <v>46.911293, 32.082473</v>
      </c>
      <c r="R1796" s="67">
        <f t="shared" si="21"/>
        <v>46.911293</v>
      </c>
      <c r="S1796" s="67">
        <f t="shared" si="22"/>
        <v>32.082473</v>
      </c>
      <c r="T1796" s="161"/>
      <c r="U1796" s="69"/>
      <c r="V1796" s="65" t="s">
        <v>17438</v>
      </c>
      <c r="W1796" s="71" t="s">
        <v>3601</v>
      </c>
      <c r="X1796" s="17" t="s">
        <v>9</v>
      </c>
      <c r="Y1796" s="216" t="s">
        <v>5820</v>
      </c>
      <c r="Z1796" s="73"/>
      <c r="AA1796" s="73"/>
      <c r="AB1796" s="73"/>
      <c r="AC1796" s="73"/>
      <c r="AD1796" s="73"/>
      <c r="AE1796" s="73"/>
      <c r="AF1796" s="73"/>
      <c r="AG1796" s="73"/>
      <c r="AH1796" s="73"/>
      <c r="AI1796" s="73"/>
      <c r="AJ1796" s="161"/>
      <c r="AK1796" s="76" t="s">
        <v>2108</v>
      </c>
      <c r="AL1796" s="83" t="s">
        <v>17439</v>
      </c>
      <c r="AM1796" s="71" t="s">
        <v>17440</v>
      </c>
      <c r="AN1796" s="84" t="s">
        <v>17441</v>
      </c>
      <c r="AO1796" s="71" t="s">
        <v>17442</v>
      </c>
      <c r="AP1796" s="161" t="str">
        <f>IMAGE("https://bellingcat-archive.nyc3.cdn.digitaloceanspaces.com/Ukraine_Witness_Datasheet/Worksheet/twitter__media_FNOnpTCXEAIHNbf.jpg")</f>
        <v/>
      </c>
      <c r="AQ1796" s="161"/>
      <c r="AR1796" s="161"/>
      <c r="AS1796" s="71" t="s">
        <v>17443</v>
      </c>
      <c r="AT1796" s="161"/>
      <c r="AU1796" s="89"/>
      <c r="AV1796" s="162"/>
      <c r="AW1796" s="81"/>
    </row>
    <row r="1797" ht="15.75" customHeight="1">
      <c r="A1797" s="373" t="s">
        <v>6924</v>
      </c>
      <c r="B1797" s="73"/>
      <c r="C1797" s="57" t="s">
        <v>15275</v>
      </c>
      <c r="D1797" s="260"/>
      <c r="E1797" s="260"/>
      <c r="F1797" s="89"/>
      <c r="G1797" s="83" t="s">
        <v>17444</v>
      </c>
      <c r="H1797" s="73"/>
      <c r="I1797" s="215" t="s">
        <v>17445</v>
      </c>
      <c r="J1797" s="476" t="s">
        <v>17446</v>
      </c>
      <c r="K1797" s="69"/>
      <c r="L1797" s="534"/>
      <c r="M1797" s="534"/>
      <c r="N1797" s="534"/>
      <c r="O1797" s="534"/>
      <c r="P1797" s="67" t="str">
        <f t="shared" si="19"/>
        <v/>
      </c>
      <c r="Q1797" s="67" t="str">
        <f t="shared" si="20"/>
        <v/>
      </c>
      <c r="R1797" s="67" t="str">
        <f t="shared" si="21"/>
        <v/>
      </c>
      <c r="S1797" s="67" t="str">
        <f t="shared" si="22"/>
        <v/>
      </c>
      <c r="T1797" s="161"/>
      <c r="U1797" s="69"/>
      <c r="V1797" s="65" t="s">
        <v>17447</v>
      </c>
      <c r="W1797" s="161"/>
      <c r="X1797" s="194"/>
      <c r="Y1797" s="216" t="s">
        <v>5820</v>
      </c>
      <c r="Z1797" s="73"/>
      <c r="AA1797" s="73"/>
      <c r="AB1797" s="73"/>
      <c r="AC1797" s="73"/>
      <c r="AD1797" s="73"/>
      <c r="AE1797" s="73"/>
      <c r="AF1797" s="73"/>
      <c r="AG1797" s="73"/>
      <c r="AH1797" s="73"/>
      <c r="AI1797" s="73"/>
      <c r="AJ1797" s="161"/>
      <c r="AK1797" s="76" t="s">
        <v>6276</v>
      </c>
      <c r="AL1797" s="83" t="s">
        <v>17448</v>
      </c>
      <c r="AM1797" s="71" t="s">
        <v>17449</v>
      </c>
      <c r="AN1797" s="84" t="s">
        <v>17450</v>
      </c>
      <c r="AO1797" s="71" t="s">
        <v>17451</v>
      </c>
      <c r="AP1797" s="161" t="str">
        <f>IMAGE("https://bellingcat-archive.nyc3.cdn.digitaloceanspaces.com/Ukraine_Witness_Datasheet/Worksheet/telegram_e793d26d49/out7.jpg")</f>
        <v/>
      </c>
      <c r="AQ1797" s="84" t="s">
        <v>17452</v>
      </c>
      <c r="AR1797" s="84" t="s">
        <v>17444</v>
      </c>
      <c r="AS1797" s="71" t="s">
        <v>17453</v>
      </c>
      <c r="AT1797" s="71">
        <v>23.0</v>
      </c>
      <c r="AU1797" s="89"/>
      <c r="AV1797" s="162"/>
      <c r="AW1797" s="81"/>
    </row>
    <row r="1798" ht="15.75" customHeight="1">
      <c r="A1798" s="373" t="s">
        <v>6924</v>
      </c>
      <c r="B1798" s="73"/>
      <c r="C1798" s="57" t="s">
        <v>15275</v>
      </c>
      <c r="D1798" s="241" t="s">
        <v>17454</v>
      </c>
      <c r="E1798" s="241" t="s">
        <v>17455</v>
      </c>
      <c r="F1798" s="79">
        <v>5.0</v>
      </c>
      <c r="G1798" s="83" t="s">
        <v>17456</v>
      </c>
      <c r="H1798" s="61" t="s">
        <v>5522</v>
      </c>
      <c r="I1798" s="215" t="s">
        <v>17457</v>
      </c>
      <c r="J1798" s="476" t="s">
        <v>17458</v>
      </c>
      <c r="K1798" s="69"/>
      <c r="L1798" s="533" t="s">
        <v>5670</v>
      </c>
      <c r="M1798" s="149" t="s">
        <v>5590</v>
      </c>
      <c r="N1798" s="534"/>
      <c r="O1798" s="149" t="s">
        <v>5626</v>
      </c>
      <c r="P1798" s="67" t="str">
        <f t="shared" si="19"/>
        <v>50.016539, 36.332926</v>
      </c>
      <c r="Q1798" s="67" t="str">
        <f t="shared" si="20"/>
        <v>50.01642, 36.33222</v>
      </c>
      <c r="R1798" s="67">
        <f t="shared" si="21"/>
        <v>50.01642</v>
      </c>
      <c r="S1798" s="67">
        <f t="shared" si="22"/>
        <v>36.33222</v>
      </c>
      <c r="T1798" s="161"/>
      <c r="U1798" s="69"/>
      <c r="V1798" s="65" t="s">
        <v>17459</v>
      </c>
      <c r="W1798" s="71" t="s">
        <v>6108</v>
      </c>
      <c r="X1798" s="208"/>
      <c r="Y1798" s="216" t="s">
        <v>5820</v>
      </c>
      <c r="Z1798" s="73"/>
      <c r="AA1798" s="73"/>
      <c r="AB1798" s="73"/>
      <c r="AC1798" s="73"/>
      <c r="AD1798" s="73"/>
      <c r="AE1798" s="73"/>
      <c r="AF1798" s="73"/>
      <c r="AG1798" s="73"/>
      <c r="AH1798" s="73"/>
      <c r="AI1798" s="73"/>
      <c r="AJ1798" s="161"/>
      <c r="AK1798" s="76" t="s">
        <v>6276</v>
      </c>
      <c r="AL1798" s="83" t="s">
        <v>17460</v>
      </c>
      <c r="AM1798" s="71" t="s">
        <v>17461</v>
      </c>
      <c r="AN1798" s="84" t="s">
        <v>17462</v>
      </c>
      <c r="AO1798" s="71" t="s">
        <v>17463</v>
      </c>
      <c r="AP1798" s="161" t="str">
        <f>IMAGE("https://bellingcat-archive.nyc3.cdn.digitaloceanspaces.com/Ukraine_Witness_Datasheet/Worksheet/telegram_b0031d6954/out20.jpg")</f>
        <v/>
      </c>
      <c r="AQ1798" s="84" t="s">
        <v>17464</v>
      </c>
      <c r="AR1798" s="84" t="s">
        <v>17456</v>
      </c>
      <c r="AS1798" s="71" t="s">
        <v>17465</v>
      </c>
      <c r="AT1798" s="71">
        <v>64.0</v>
      </c>
      <c r="AU1798" s="89"/>
      <c r="AV1798" s="162"/>
      <c r="AW1798" s="81"/>
    </row>
    <row r="1799" ht="15.75" customHeight="1">
      <c r="A1799" s="349" t="s">
        <v>7092</v>
      </c>
      <c r="B1799" s="73"/>
      <c r="C1799" s="57" t="s">
        <v>15275</v>
      </c>
      <c r="D1799" s="241" t="s">
        <v>17466</v>
      </c>
      <c r="E1799" s="241" t="s">
        <v>17467</v>
      </c>
      <c r="F1799" s="79">
        <v>2.0</v>
      </c>
      <c r="G1799" s="83" t="s">
        <v>17468</v>
      </c>
      <c r="H1799" s="61" t="s">
        <v>5522</v>
      </c>
      <c r="I1799" s="215" t="s">
        <v>17469</v>
      </c>
      <c r="J1799" s="476" t="s">
        <v>17470</v>
      </c>
      <c r="K1799" s="69"/>
      <c r="L1799" s="533" t="s">
        <v>3542</v>
      </c>
      <c r="M1799" s="149" t="s">
        <v>5590</v>
      </c>
      <c r="N1799" s="534"/>
      <c r="O1799" s="149" t="s">
        <v>5626</v>
      </c>
      <c r="P1799" s="67" t="str">
        <f t="shared" si="19"/>
        <v>50.05907215, 36.19950394</v>
      </c>
      <c r="Q1799" s="67" t="str">
        <f t="shared" si="20"/>
        <v>50.058503, 36.199158</v>
      </c>
      <c r="R1799" s="67">
        <f t="shared" si="21"/>
        <v>50.058503</v>
      </c>
      <c r="S1799" s="67">
        <f t="shared" si="22"/>
        <v>36.199158</v>
      </c>
      <c r="T1799" s="161"/>
      <c r="U1799" s="69"/>
      <c r="V1799" s="65" t="s">
        <v>17471</v>
      </c>
      <c r="W1799" s="71" t="s">
        <v>3601</v>
      </c>
      <c r="X1799" s="72" t="s">
        <v>5504</v>
      </c>
      <c r="Y1799" s="216" t="s">
        <v>5820</v>
      </c>
      <c r="Z1799" s="73"/>
      <c r="AA1799" s="73"/>
      <c r="AB1799" s="73"/>
      <c r="AC1799" s="73"/>
      <c r="AD1799" s="73"/>
      <c r="AE1799" s="73"/>
      <c r="AF1799" s="73"/>
      <c r="AG1799" s="73"/>
      <c r="AH1799" s="73"/>
      <c r="AI1799" s="73"/>
      <c r="AJ1799" s="161"/>
      <c r="AK1799" s="76" t="s">
        <v>6276</v>
      </c>
      <c r="AL1799" s="83" t="s">
        <v>17472</v>
      </c>
      <c r="AM1799" s="71" t="s">
        <v>17473</v>
      </c>
      <c r="AN1799" s="84" t="s">
        <v>17474</v>
      </c>
      <c r="AO1799" s="71" t="s">
        <v>17475</v>
      </c>
      <c r="AP1799" s="161" t="str">
        <f>IMAGE("https://bellingcat-archive.nyc3.cdn.digitaloceanspaces.com/Ukraine_Witness_Datasheet/Worksheet/telegram_93645e9a6d/out7.jpg")</f>
        <v/>
      </c>
      <c r="AQ1799" s="84" t="s">
        <v>17476</v>
      </c>
      <c r="AR1799" s="84" t="s">
        <v>17468</v>
      </c>
      <c r="AS1799" s="161"/>
      <c r="AT1799" s="71">
        <v>37.0</v>
      </c>
      <c r="AU1799" s="89"/>
      <c r="AV1799" s="80" t="s">
        <v>63</v>
      </c>
      <c r="AW1799" s="203"/>
    </row>
    <row r="1800" ht="15.75" customHeight="1">
      <c r="A1800" s="541" t="s">
        <v>8554</v>
      </c>
      <c r="B1800" s="73"/>
      <c r="C1800" s="57" t="s">
        <v>15275</v>
      </c>
      <c r="D1800" s="241" t="s">
        <v>17477</v>
      </c>
      <c r="E1800" s="241" t="s">
        <v>17478</v>
      </c>
      <c r="F1800" s="79">
        <v>2.0</v>
      </c>
      <c r="G1800" s="83" t="s">
        <v>17479</v>
      </c>
      <c r="H1800" s="61" t="s">
        <v>91</v>
      </c>
      <c r="I1800" s="215" t="s">
        <v>17480</v>
      </c>
      <c r="J1800" s="476" t="s">
        <v>17481</v>
      </c>
      <c r="K1800" s="69"/>
      <c r="L1800" s="533" t="s">
        <v>3542</v>
      </c>
      <c r="M1800" s="149" t="s">
        <v>9200</v>
      </c>
      <c r="N1800" s="534"/>
      <c r="O1800" s="149" t="s">
        <v>15440</v>
      </c>
      <c r="P1800" s="67" t="str">
        <f t="shared" si="19"/>
        <v>50.76698302, 29.24210823</v>
      </c>
      <c r="Q1800" s="67" t="str">
        <f t="shared" si="20"/>
        <v>50.7666, 29.241416</v>
      </c>
      <c r="R1800" s="67">
        <f t="shared" si="21"/>
        <v>50.7666</v>
      </c>
      <c r="S1800" s="67">
        <f t="shared" si="22"/>
        <v>29.241416</v>
      </c>
      <c r="T1800" s="161"/>
      <c r="U1800" s="69"/>
      <c r="V1800" s="65" t="s">
        <v>17482</v>
      </c>
      <c r="W1800" s="71" t="s">
        <v>3601</v>
      </c>
      <c r="X1800" s="208"/>
      <c r="Y1800" s="216" t="s">
        <v>5820</v>
      </c>
      <c r="Z1800" s="73"/>
      <c r="AA1800" s="73"/>
      <c r="AB1800" s="73"/>
      <c r="AC1800" s="73"/>
      <c r="AD1800" s="73"/>
      <c r="AE1800" s="73"/>
      <c r="AF1800" s="73"/>
      <c r="AG1800" s="73"/>
      <c r="AH1800" s="73"/>
      <c r="AI1800" s="73"/>
      <c r="AJ1800" s="161"/>
      <c r="AK1800" s="76" t="s">
        <v>17483</v>
      </c>
      <c r="AL1800" s="269"/>
      <c r="AM1800" s="71" t="s">
        <v>17484</v>
      </c>
      <c r="AN1800" s="161"/>
      <c r="AO1800" s="161"/>
      <c r="AP1800" s="161"/>
      <c r="AQ1800" s="161"/>
      <c r="AR1800" s="161"/>
      <c r="AS1800" s="161"/>
      <c r="AT1800" s="161"/>
      <c r="AU1800" s="89"/>
      <c r="AV1800" s="80" t="s">
        <v>63</v>
      </c>
      <c r="AW1800" s="81"/>
    </row>
    <row r="1801" ht="15.75" customHeight="1">
      <c r="A1801" s="349" t="s">
        <v>8554</v>
      </c>
      <c r="B1801" s="73"/>
      <c r="C1801" s="57" t="s">
        <v>15275</v>
      </c>
      <c r="D1801" s="241" t="s">
        <v>17477</v>
      </c>
      <c r="E1801" s="241" t="s">
        <v>17478</v>
      </c>
      <c r="F1801" s="79">
        <v>2.0</v>
      </c>
      <c r="G1801" s="83" t="s">
        <v>17485</v>
      </c>
      <c r="H1801" s="61" t="s">
        <v>91</v>
      </c>
      <c r="I1801" s="215" t="s">
        <v>17480</v>
      </c>
      <c r="J1801" s="476" t="s">
        <v>17486</v>
      </c>
      <c r="K1801" s="69"/>
      <c r="L1801" s="533" t="s">
        <v>3542</v>
      </c>
      <c r="M1801" s="149" t="s">
        <v>9200</v>
      </c>
      <c r="N1801" s="534"/>
      <c r="O1801" s="149" t="s">
        <v>15440</v>
      </c>
      <c r="P1801" s="67" t="str">
        <f t="shared" si="19"/>
        <v>50.76698302, 29.24210823</v>
      </c>
      <c r="Q1801" s="67" t="str">
        <f t="shared" si="20"/>
        <v>50.766676, 29.242996</v>
      </c>
      <c r="R1801" s="67">
        <f t="shared" si="21"/>
        <v>50.766676</v>
      </c>
      <c r="S1801" s="67">
        <f t="shared" si="22"/>
        <v>29.242996</v>
      </c>
      <c r="T1801" s="71"/>
      <c r="U1801" s="69"/>
      <c r="V1801" s="65" t="s">
        <v>17487</v>
      </c>
      <c r="W1801" s="71" t="s">
        <v>3601</v>
      </c>
      <c r="X1801" s="72" t="s">
        <v>5504</v>
      </c>
      <c r="Y1801" s="216" t="s">
        <v>5820</v>
      </c>
      <c r="Z1801" s="73"/>
      <c r="AA1801" s="73"/>
      <c r="AB1801" s="73"/>
      <c r="AC1801" s="73"/>
      <c r="AD1801" s="73"/>
      <c r="AE1801" s="73"/>
      <c r="AF1801" s="73"/>
      <c r="AG1801" s="73"/>
      <c r="AH1801" s="73"/>
      <c r="AI1801" s="73"/>
      <c r="AJ1801" s="161"/>
      <c r="AK1801" s="76" t="s">
        <v>6276</v>
      </c>
      <c r="AL1801" s="83" t="s">
        <v>17488</v>
      </c>
      <c r="AM1801" s="71" t="s">
        <v>17489</v>
      </c>
      <c r="AN1801" s="84" t="s">
        <v>17490</v>
      </c>
      <c r="AO1801" s="71" t="s">
        <v>17491</v>
      </c>
      <c r="AP1801" s="161" t="str">
        <f>IMAGE("https://bellingcat-archive.nyc3.cdn.digitaloceanspaces.com/Ukraine_Witness_Datasheet/Worksheet/telegram_TzZB_QaoSQyNDkVR_r3woPEJBoevvBoXXnN4hd1LA-SM3jZLXY07qhBbkryJiNNRItJOa5FFqYS4nTR1SWpKpQhZJAf3V1Ey3ARg_fycDap1Jyd4kzVggptCeXhc9Amg.jpg")</f>
        <v/>
      </c>
      <c r="AQ1801" s="161"/>
      <c r="AR1801" s="161"/>
      <c r="AS1801" s="71" t="s">
        <v>17492</v>
      </c>
      <c r="AT1801" s="161"/>
      <c r="AU1801" s="89"/>
      <c r="AV1801" s="80" t="s">
        <v>63</v>
      </c>
      <c r="AW1801" s="203"/>
    </row>
    <row r="1802" ht="15.75" customHeight="1">
      <c r="A1802" s="541" t="s">
        <v>8554</v>
      </c>
      <c r="B1802" s="73"/>
      <c r="C1802" s="57" t="s">
        <v>15275</v>
      </c>
      <c r="D1802" s="241" t="s">
        <v>17493</v>
      </c>
      <c r="E1802" s="241" t="s">
        <v>17494</v>
      </c>
      <c r="F1802" s="79">
        <v>2.0</v>
      </c>
      <c r="G1802" s="83" t="s">
        <v>17495</v>
      </c>
      <c r="H1802" s="61" t="s">
        <v>91</v>
      </c>
      <c r="I1802" s="215" t="s">
        <v>17496</v>
      </c>
      <c r="J1802" s="476" t="s">
        <v>17497</v>
      </c>
      <c r="K1802" s="69"/>
      <c r="L1802" s="533" t="s">
        <v>3542</v>
      </c>
      <c r="M1802" s="533" t="s">
        <v>7505</v>
      </c>
      <c r="N1802" s="534"/>
      <c r="O1802" s="149" t="s">
        <v>5626</v>
      </c>
      <c r="P1802" s="67" t="str">
        <f t="shared" si="19"/>
        <v>50.03579189, 36.23008702</v>
      </c>
      <c r="Q1802" s="67" t="str">
        <f t="shared" si="20"/>
        <v>50.035255, 36.230086</v>
      </c>
      <c r="R1802" s="67">
        <f t="shared" si="21"/>
        <v>50.035255</v>
      </c>
      <c r="S1802" s="67">
        <f t="shared" si="22"/>
        <v>36.230086</v>
      </c>
      <c r="T1802" s="161"/>
      <c r="U1802" s="69"/>
      <c r="V1802" s="65" t="s">
        <v>17498</v>
      </c>
      <c r="W1802" s="71" t="s">
        <v>3601</v>
      </c>
      <c r="X1802" s="208"/>
      <c r="Y1802" s="216" t="s">
        <v>5820</v>
      </c>
      <c r="Z1802" s="73"/>
      <c r="AA1802" s="73"/>
      <c r="AB1802" s="73"/>
      <c r="AC1802" s="73"/>
      <c r="AD1802" s="73"/>
      <c r="AE1802" s="73"/>
      <c r="AF1802" s="73"/>
      <c r="AG1802" s="73"/>
      <c r="AH1802" s="73"/>
      <c r="AI1802" s="73"/>
      <c r="AJ1802" s="161"/>
      <c r="AK1802" s="76" t="s">
        <v>6276</v>
      </c>
      <c r="AL1802" s="83" t="s">
        <v>17499</v>
      </c>
      <c r="AM1802" s="71" t="s">
        <v>17500</v>
      </c>
      <c r="AN1802" s="84" t="s">
        <v>17501</v>
      </c>
      <c r="AO1802" s="71" t="s">
        <v>17502</v>
      </c>
      <c r="AP1802" s="161" t="str">
        <f>IMAGE("https://bellingcat-archive.nyc3.cdn.digitaloceanspaces.com/Ukraine_Witness_Datasheet/Worksheet/telegram_BR1dYxG8c0QorBKSTZZUiQANO1bCd_NkuEyTQy1_AsLelANlIFmFCT_S_wHji6MhE5iM0I3PdvGa-F7C54MbeaRDtmdGrJfeIll6d8whDcsZK6Gy0D-5AerHwnIo-TiA.jpg")</f>
        <v/>
      </c>
      <c r="AQ1802" s="161"/>
      <c r="AR1802" s="161"/>
      <c r="AS1802" s="71" t="s">
        <v>17503</v>
      </c>
      <c r="AT1802" s="161"/>
      <c r="AU1802" s="89"/>
      <c r="AV1802" s="80" t="s">
        <v>63</v>
      </c>
      <c r="AW1802" s="300" t="s">
        <v>17504</v>
      </c>
    </row>
    <row r="1803" ht="15.75" customHeight="1">
      <c r="A1803" s="349" t="s">
        <v>7092</v>
      </c>
      <c r="B1803" s="73"/>
      <c r="C1803" s="57" t="s">
        <v>15275</v>
      </c>
      <c r="D1803" s="241" t="s">
        <v>17505</v>
      </c>
      <c r="E1803" s="241" t="s">
        <v>17506</v>
      </c>
      <c r="F1803" s="79">
        <v>2.0</v>
      </c>
      <c r="G1803" s="83" t="s">
        <v>17507</v>
      </c>
      <c r="H1803" s="61" t="s">
        <v>91</v>
      </c>
      <c r="I1803" s="215" t="s">
        <v>17508</v>
      </c>
      <c r="J1803" s="476" t="s">
        <v>17509</v>
      </c>
      <c r="K1803" s="69"/>
      <c r="L1803" s="533" t="s">
        <v>3542</v>
      </c>
      <c r="M1803" s="533" t="s">
        <v>7505</v>
      </c>
      <c r="N1803" s="534"/>
      <c r="O1803" s="149" t="s">
        <v>5626</v>
      </c>
      <c r="P1803" s="67" t="str">
        <f t="shared" si="19"/>
        <v>49.98801405, 36.24514474</v>
      </c>
      <c r="Q1803" s="67" t="str">
        <f t="shared" si="20"/>
        <v>49.987596, 36.244974</v>
      </c>
      <c r="R1803" s="67">
        <f t="shared" si="21"/>
        <v>49.987596</v>
      </c>
      <c r="S1803" s="67">
        <f t="shared" si="22"/>
        <v>36.244974</v>
      </c>
      <c r="T1803" s="161"/>
      <c r="U1803" s="69"/>
      <c r="V1803" s="65" t="s">
        <v>17510</v>
      </c>
      <c r="W1803" s="71" t="s">
        <v>3601</v>
      </c>
      <c r="X1803" s="72" t="s">
        <v>5504</v>
      </c>
      <c r="Y1803" s="216" t="s">
        <v>5820</v>
      </c>
      <c r="Z1803" s="73"/>
      <c r="AA1803" s="73"/>
      <c r="AB1803" s="73"/>
      <c r="AC1803" s="73"/>
      <c r="AD1803" s="73"/>
      <c r="AE1803" s="73"/>
      <c r="AF1803" s="73"/>
      <c r="AG1803" s="73"/>
      <c r="AH1803" s="73"/>
      <c r="AI1803" s="73"/>
      <c r="AJ1803" s="161"/>
      <c r="AK1803" s="76" t="s">
        <v>6276</v>
      </c>
      <c r="AL1803" s="83" t="s">
        <v>17511</v>
      </c>
      <c r="AM1803" s="71" t="s">
        <v>17512</v>
      </c>
      <c r="AN1803" s="84" t="s">
        <v>17513</v>
      </c>
      <c r="AO1803" s="71" t="s">
        <v>17514</v>
      </c>
      <c r="AP1803" s="161" t="str">
        <f>IMAGE("https://bellingcat-archive.nyc3.cdn.digitaloceanspaces.com/Ukraine_Witness_Datasheet/Worksheet/telegram_Or3-EamiiY8WhQqriW2TlkE-glwzBOlMEmc5a-0IF_2Qmxb3Rxdykc32QWYKZrfmSsRcERgySbKXpclZF8PxNFvFyqtlY5AfAA3w4V3ESLZdvt_vBmCtvmuPAtosVlNw.jpg")</f>
        <v/>
      </c>
      <c r="AQ1803" s="161"/>
      <c r="AR1803" s="161"/>
      <c r="AS1803" s="71" t="s">
        <v>17515</v>
      </c>
      <c r="AT1803" s="161"/>
      <c r="AU1803" s="89"/>
      <c r="AV1803" s="80" t="s">
        <v>63</v>
      </c>
      <c r="AW1803" s="203"/>
    </row>
    <row r="1804" ht="15.75" customHeight="1">
      <c r="A1804" s="354" t="s">
        <v>8554</v>
      </c>
      <c r="B1804" s="73"/>
      <c r="C1804" s="57" t="s">
        <v>15275</v>
      </c>
      <c r="D1804" s="241" t="s">
        <v>17417</v>
      </c>
      <c r="E1804" s="241" t="s">
        <v>17418</v>
      </c>
      <c r="F1804" s="79">
        <v>2.0</v>
      </c>
      <c r="G1804" s="83" t="s">
        <v>17516</v>
      </c>
      <c r="H1804" s="61" t="s">
        <v>5522</v>
      </c>
      <c r="I1804" s="215" t="s">
        <v>17517</v>
      </c>
      <c r="J1804" s="476" t="s">
        <v>17518</v>
      </c>
      <c r="K1804" s="69"/>
      <c r="L1804" s="533" t="s">
        <v>3542</v>
      </c>
      <c r="M1804" s="149" t="s">
        <v>8325</v>
      </c>
      <c r="N1804" s="534"/>
      <c r="O1804" s="149" t="s">
        <v>6658</v>
      </c>
      <c r="P1804" s="67" t="str">
        <f t="shared" si="19"/>
        <v>46.91148345, 32.08302583</v>
      </c>
      <c r="Q1804" s="67" t="str">
        <f t="shared" si="20"/>
        <v>46.911196, 32.083779</v>
      </c>
      <c r="R1804" s="67">
        <f t="shared" si="21"/>
        <v>46.911196</v>
      </c>
      <c r="S1804" s="67">
        <f t="shared" si="22"/>
        <v>32.083779</v>
      </c>
      <c r="T1804" s="161"/>
      <c r="U1804" s="69"/>
      <c r="V1804" s="65" t="s">
        <v>17519</v>
      </c>
      <c r="W1804" s="71" t="s">
        <v>3601</v>
      </c>
      <c r="X1804" s="17" t="s">
        <v>9</v>
      </c>
      <c r="Y1804" s="216" t="s">
        <v>5820</v>
      </c>
      <c r="Z1804" s="73"/>
      <c r="AA1804" s="73"/>
      <c r="AB1804" s="73"/>
      <c r="AC1804" s="73"/>
      <c r="AD1804" s="73"/>
      <c r="AE1804" s="73"/>
      <c r="AF1804" s="73"/>
      <c r="AG1804" s="73"/>
      <c r="AH1804" s="73"/>
      <c r="AI1804" s="73"/>
      <c r="AJ1804" s="161"/>
      <c r="AK1804" s="76" t="s">
        <v>1261</v>
      </c>
      <c r="AL1804" s="83" t="s">
        <v>17520</v>
      </c>
      <c r="AM1804" s="71" t="s">
        <v>17521</v>
      </c>
      <c r="AN1804" s="84" t="s">
        <v>17522</v>
      </c>
      <c r="AO1804" s="161"/>
      <c r="AP1804" s="161"/>
      <c r="AQ1804" s="161"/>
      <c r="AR1804" s="71" t="s">
        <v>17523</v>
      </c>
      <c r="AS1804" s="161"/>
      <c r="AT1804" s="161"/>
      <c r="AU1804" s="89"/>
      <c r="AV1804" s="162"/>
      <c r="AW1804" s="81"/>
    </row>
    <row r="1805" ht="15.75" customHeight="1">
      <c r="A1805" s="354" t="s">
        <v>8554</v>
      </c>
      <c r="B1805" s="73"/>
      <c r="C1805" s="57" t="s">
        <v>15275</v>
      </c>
      <c r="D1805" s="241" t="s">
        <v>17417</v>
      </c>
      <c r="E1805" s="241" t="s">
        <v>17418</v>
      </c>
      <c r="F1805" s="79">
        <v>2.0</v>
      </c>
      <c r="G1805" s="83" t="s">
        <v>17437</v>
      </c>
      <c r="H1805" s="61" t="s">
        <v>91</v>
      </c>
      <c r="I1805" s="215" t="s">
        <v>17517</v>
      </c>
      <c r="J1805" s="476" t="s">
        <v>17518</v>
      </c>
      <c r="K1805" s="69"/>
      <c r="L1805" s="533" t="s">
        <v>3542</v>
      </c>
      <c r="M1805" s="149" t="s">
        <v>8325</v>
      </c>
      <c r="N1805" s="534"/>
      <c r="O1805" s="149" t="s">
        <v>6658</v>
      </c>
      <c r="P1805" s="67" t="str">
        <f t="shared" si="19"/>
        <v>46.91148345, 32.08302583</v>
      </c>
      <c r="Q1805" s="67" t="str">
        <f t="shared" si="20"/>
        <v>46.911477, 32.084072</v>
      </c>
      <c r="R1805" s="67">
        <f t="shared" si="21"/>
        <v>46.911477</v>
      </c>
      <c r="S1805" s="67">
        <f t="shared" si="22"/>
        <v>32.084072</v>
      </c>
      <c r="T1805" s="161"/>
      <c r="U1805" s="69"/>
      <c r="V1805" s="65" t="s">
        <v>17524</v>
      </c>
      <c r="W1805" s="71" t="s">
        <v>3601</v>
      </c>
      <c r="X1805" s="17" t="s">
        <v>9</v>
      </c>
      <c r="Y1805" s="216" t="s">
        <v>5820</v>
      </c>
      <c r="Z1805" s="73"/>
      <c r="AA1805" s="73"/>
      <c r="AB1805" s="73"/>
      <c r="AC1805" s="73"/>
      <c r="AD1805" s="73"/>
      <c r="AE1805" s="73"/>
      <c r="AF1805" s="73"/>
      <c r="AG1805" s="73"/>
      <c r="AH1805" s="73"/>
      <c r="AI1805" s="73"/>
      <c r="AJ1805" s="161"/>
      <c r="AK1805" s="76" t="s">
        <v>2108</v>
      </c>
      <c r="AL1805" s="83" t="s">
        <v>17439</v>
      </c>
      <c r="AM1805" s="71" t="s">
        <v>17525</v>
      </c>
      <c r="AN1805" s="84" t="s">
        <v>17526</v>
      </c>
      <c r="AO1805" s="71" t="s">
        <v>17527</v>
      </c>
      <c r="AP1805" s="161" t="str">
        <f>IMAGE("https://bellingcat-archive.nyc3.cdn.digitaloceanspaces.com/Ukraine_Witness_Datasheet/Worksheet/twitter__media_FNOnpTCXEAIHNbf.jpg")</f>
        <v/>
      </c>
      <c r="AQ1805" s="161"/>
      <c r="AR1805" s="161"/>
      <c r="AS1805" s="71" t="s">
        <v>17443</v>
      </c>
      <c r="AT1805" s="161"/>
      <c r="AU1805" s="89"/>
      <c r="AV1805" s="162"/>
      <c r="AW1805" s="81"/>
    </row>
    <row r="1806" ht="15.75" customHeight="1">
      <c r="A1806" s="349" t="s">
        <v>7092</v>
      </c>
      <c r="B1806" s="73"/>
      <c r="C1806" s="57" t="s">
        <v>15275</v>
      </c>
      <c r="D1806" s="241" t="s">
        <v>17528</v>
      </c>
      <c r="E1806" s="241" t="s">
        <v>17529</v>
      </c>
      <c r="F1806" s="79">
        <v>3.0</v>
      </c>
      <c r="G1806" s="83" t="s">
        <v>17530</v>
      </c>
      <c r="H1806" s="61" t="s">
        <v>5522</v>
      </c>
      <c r="I1806" s="215" t="s">
        <v>17531</v>
      </c>
      <c r="J1806" s="476" t="s">
        <v>17532</v>
      </c>
      <c r="K1806" s="69"/>
      <c r="L1806" s="533" t="s">
        <v>3542</v>
      </c>
      <c r="M1806" s="533" t="s">
        <v>9021</v>
      </c>
      <c r="N1806" s="534"/>
      <c r="O1806" s="149" t="s">
        <v>7098</v>
      </c>
      <c r="P1806" s="67" t="str">
        <f t="shared" si="19"/>
        <v>46.67298783, 32.64397519</v>
      </c>
      <c r="Q1806" s="67" t="str">
        <f t="shared" si="20"/>
        <v>46.672768, 32.643282</v>
      </c>
      <c r="R1806" s="67">
        <f t="shared" si="21"/>
        <v>46.672768</v>
      </c>
      <c r="S1806" s="67">
        <f t="shared" si="22"/>
        <v>32.643282</v>
      </c>
      <c r="T1806" s="161"/>
      <c r="U1806" s="69"/>
      <c r="V1806" s="65" t="s">
        <v>17533</v>
      </c>
      <c r="W1806" s="71" t="s">
        <v>3601</v>
      </c>
      <c r="X1806" s="17" t="s">
        <v>9</v>
      </c>
      <c r="Y1806" s="216" t="s">
        <v>5820</v>
      </c>
      <c r="Z1806" s="73"/>
      <c r="AA1806" s="73"/>
      <c r="AB1806" s="73"/>
      <c r="AC1806" s="73"/>
      <c r="AD1806" s="73"/>
      <c r="AE1806" s="73"/>
      <c r="AF1806" s="73"/>
      <c r="AG1806" s="73"/>
      <c r="AH1806" s="73"/>
      <c r="AI1806" s="73"/>
      <c r="AJ1806" s="161"/>
      <c r="AK1806" s="76" t="s">
        <v>6276</v>
      </c>
      <c r="AL1806" s="83" t="s">
        <v>17534</v>
      </c>
      <c r="AM1806" s="71" t="s">
        <v>17535</v>
      </c>
      <c r="AN1806" s="84" t="s">
        <v>17536</v>
      </c>
      <c r="AO1806" s="71" t="s">
        <v>17537</v>
      </c>
      <c r="AP1806" s="161"/>
      <c r="AQ1806" s="161"/>
      <c r="AR1806" s="161"/>
      <c r="AS1806" s="161"/>
      <c r="AT1806" s="161"/>
      <c r="AU1806" s="89"/>
      <c r="AV1806" s="80" t="s">
        <v>63</v>
      </c>
      <c r="AW1806" s="81"/>
    </row>
    <row r="1807" ht="15.75" customHeight="1">
      <c r="A1807" s="373" t="s">
        <v>6924</v>
      </c>
      <c r="B1807" s="73"/>
      <c r="C1807" s="57" t="s">
        <v>15275</v>
      </c>
      <c r="D1807" s="260"/>
      <c r="E1807" s="260"/>
      <c r="F1807" s="89"/>
      <c r="G1807" s="83" t="s">
        <v>17538</v>
      </c>
      <c r="H1807" s="73"/>
      <c r="I1807" s="215" t="s">
        <v>17539</v>
      </c>
      <c r="J1807" s="476" t="s">
        <v>17540</v>
      </c>
      <c r="K1807" s="69"/>
      <c r="L1807" s="534"/>
      <c r="M1807" s="534"/>
      <c r="N1807" s="534"/>
      <c r="O1807" s="534"/>
      <c r="P1807" s="67" t="str">
        <f t="shared" si="19"/>
        <v/>
      </c>
      <c r="Q1807" s="67" t="str">
        <f t="shared" si="20"/>
        <v/>
      </c>
      <c r="R1807" s="67" t="str">
        <f t="shared" si="21"/>
        <v/>
      </c>
      <c r="S1807" s="67" t="str">
        <f t="shared" si="22"/>
        <v/>
      </c>
      <c r="T1807" s="161"/>
      <c r="U1807" s="69"/>
      <c r="V1807" s="65" t="s">
        <v>17541</v>
      </c>
      <c r="W1807" s="161"/>
      <c r="X1807" s="194"/>
      <c r="Y1807" s="216" t="s">
        <v>5820</v>
      </c>
      <c r="Z1807" s="73"/>
      <c r="AA1807" s="73"/>
      <c r="AB1807" s="73"/>
      <c r="AC1807" s="73"/>
      <c r="AD1807" s="73"/>
      <c r="AE1807" s="73"/>
      <c r="AF1807" s="73"/>
      <c r="AG1807" s="73"/>
      <c r="AH1807" s="73"/>
      <c r="AI1807" s="73"/>
      <c r="AJ1807" s="161"/>
      <c r="AK1807" s="76" t="s">
        <v>1261</v>
      </c>
      <c r="AL1807" s="83" t="s">
        <v>17542</v>
      </c>
      <c r="AM1807" s="71" t="s">
        <v>17543</v>
      </c>
      <c r="AN1807" s="84" t="s">
        <v>17544</v>
      </c>
      <c r="AO1807" s="161"/>
      <c r="AP1807" s="161"/>
      <c r="AQ1807" s="161"/>
      <c r="AR1807" s="71" t="s">
        <v>17545</v>
      </c>
      <c r="AS1807" s="161"/>
      <c r="AT1807" s="161"/>
      <c r="AU1807" s="89"/>
      <c r="AV1807" s="162"/>
      <c r="AW1807" s="81"/>
    </row>
    <row r="1808" ht="15.75" customHeight="1">
      <c r="A1808" s="373" t="s">
        <v>6924</v>
      </c>
      <c r="B1808" s="73"/>
      <c r="C1808" s="57" t="s">
        <v>15275</v>
      </c>
      <c r="D1808" s="260"/>
      <c r="E1808" s="260"/>
      <c r="F1808" s="89"/>
      <c r="G1808" s="83" t="s">
        <v>17546</v>
      </c>
      <c r="H1808" s="73"/>
      <c r="I1808" s="215" t="s">
        <v>17539</v>
      </c>
      <c r="J1808" s="476" t="s">
        <v>17540</v>
      </c>
      <c r="K1808" s="69"/>
      <c r="L1808" s="534"/>
      <c r="M1808" s="534"/>
      <c r="N1808" s="534"/>
      <c r="O1808" s="534"/>
      <c r="P1808" s="67" t="str">
        <f t="shared" si="19"/>
        <v/>
      </c>
      <c r="Q1808" s="67" t="str">
        <f t="shared" si="20"/>
        <v/>
      </c>
      <c r="R1808" s="67" t="str">
        <f t="shared" si="21"/>
        <v/>
      </c>
      <c r="S1808" s="67" t="str">
        <f t="shared" si="22"/>
        <v/>
      </c>
      <c r="T1808" s="161"/>
      <c r="U1808" s="69"/>
      <c r="V1808" s="65" t="s">
        <v>17547</v>
      </c>
      <c r="W1808" s="161"/>
      <c r="X1808" s="194"/>
      <c r="Y1808" s="216" t="s">
        <v>5820</v>
      </c>
      <c r="Z1808" s="73"/>
      <c r="AA1808" s="73"/>
      <c r="AB1808" s="73"/>
      <c r="AC1808" s="73"/>
      <c r="AD1808" s="73"/>
      <c r="AE1808" s="73"/>
      <c r="AF1808" s="73"/>
      <c r="AG1808" s="73"/>
      <c r="AH1808" s="73"/>
      <c r="AI1808" s="73"/>
      <c r="AJ1808" s="161"/>
      <c r="AK1808" s="76" t="s">
        <v>798</v>
      </c>
      <c r="AL1808" s="83" t="s">
        <v>17548</v>
      </c>
      <c r="AM1808" s="71" t="s">
        <v>17549</v>
      </c>
      <c r="AN1808" s="84" t="s">
        <v>17550</v>
      </c>
      <c r="AO1808" s="71" t="s">
        <v>17551</v>
      </c>
      <c r="AP1808" s="161" t="str">
        <f>IMAGE("https://bellingcat-archive.nyc3.cdn.digitaloceanspaces.com/Ukraine_Witness_Datasheet/Worksheet/youtube_dl_dO8UMQUnIUo/out7.jpg")</f>
        <v/>
      </c>
      <c r="AQ1808" s="84" t="s">
        <v>17552</v>
      </c>
      <c r="AR1808" s="71" t="s">
        <v>17553</v>
      </c>
      <c r="AS1808" s="71" t="s">
        <v>17554</v>
      </c>
      <c r="AT1808" s="71">
        <v>35.0</v>
      </c>
      <c r="AU1808" s="89"/>
      <c r="AV1808" s="162"/>
      <c r="AW1808" s="81"/>
    </row>
    <row r="1809" ht="15.75" customHeight="1">
      <c r="A1809" s="373" t="s">
        <v>6924</v>
      </c>
      <c r="B1809" s="73"/>
      <c r="C1809" s="57" t="s">
        <v>15275</v>
      </c>
      <c r="D1809" s="260"/>
      <c r="E1809" s="260"/>
      <c r="F1809" s="89"/>
      <c r="G1809" s="83" t="s">
        <v>17555</v>
      </c>
      <c r="H1809" s="73"/>
      <c r="I1809" s="215" t="s">
        <v>17539</v>
      </c>
      <c r="J1809" s="476" t="s">
        <v>17540</v>
      </c>
      <c r="K1809" s="69"/>
      <c r="L1809" s="534"/>
      <c r="M1809" s="534"/>
      <c r="N1809" s="534"/>
      <c r="O1809" s="534"/>
      <c r="P1809" s="67" t="str">
        <f t="shared" si="19"/>
        <v/>
      </c>
      <c r="Q1809" s="67" t="str">
        <f t="shared" si="20"/>
        <v/>
      </c>
      <c r="R1809" s="67" t="str">
        <f t="shared" si="21"/>
        <v/>
      </c>
      <c r="S1809" s="67" t="str">
        <f t="shared" si="22"/>
        <v/>
      </c>
      <c r="T1809" s="161"/>
      <c r="U1809" s="69"/>
      <c r="V1809" s="65" t="s">
        <v>17556</v>
      </c>
      <c r="W1809" s="161"/>
      <c r="X1809" s="194"/>
      <c r="Y1809" s="216" t="s">
        <v>5820</v>
      </c>
      <c r="Z1809" s="73"/>
      <c r="AA1809" s="73"/>
      <c r="AB1809" s="73"/>
      <c r="AC1809" s="73"/>
      <c r="AD1809" s="73"/>
      <c r="AE1809" s="73"/>
      <c r="AF1809" s="73"/>
      <c r="AG1809" s="73"/>
      <c r="AH1809" s="73"/>
      <c r="AI1809" s="73"/>
      <c r="AJ1809" s="161"/>
      <c r="AK1809" s="76" t="s">
        <v>1261</v>
      </c>
      <c r="AL1809" s="83" t="s">
        <v>17557</v>
      </c>
      <c r="AM1809" s="71" t="s">
        <v>17558</v>
      </c>
      <c r="AN1809" s="84" t="s">
        <v>17559</v>
      </c>
      <c r="AO1809" s="161"/>
      <c r="AP1809" s="161"/>
      <c r="AQ1809" s="161"/>
      <c r="AR1809" s="71" t="s">
        <v>17560</v>
      </c>
      <c r="AS1809" s="161"/>
      <c r="AT1809" s="161"/>
      <c r="AU1809" s="89"/>
      <c r="AV1809" s="162"/>
      <c r="AW1809" s="81"/>
    </row>
    <row r="1810" ht="15.75" customHeight="1">
      <c r="A1810" s="373" t="s">
        <v>6924</v>
      </c>
      <c r="B1810" s="73"/>
      <c r="C1810" s="57" t="s">
        <v>15275</v>
      </c>
      <c r="D1810" s="260"/>
      <c r="E1810" s="260"/>
      <c r="F1810" s="89"/>
      <c r="G1810" s="83" t="s">
        <v>17561</v>
      </c>
      <c r="H1810" s="73"/>
      <c r="I1810" s="215" t="s">
        <v>17562</v>
      </c>
      <c r="J1810" s="476" t="s">
        <v>17563</v>
      </c>
      <c r="K1810" s="69"/>
      <c r="L1810" s="534"/>
      <c r="M1810" s="534"/>
      <c r="N1810" s="534"/>
      <c r="O1810" s="534"/>
      <c r="P1810" s="67" t="str">
        <f t="shared" si="19"/>
        <v/>
      </c>
      <c r="Q1810" s="67" t="str">
        <f t="shared" si="20"/>
        <v/>
      </c>
      <c r="R1810" s="67" t="str">
        <f t="shared" si="21"/>
        <v/>
      </c>
      <c r="S1810" s="67" t="str">
        <f t="shared" si="22"/>
        <v/>
      </c>
      <c r="T1810" s="161"/>
      <c r="U1810" s="69"/>
      <c r="V1810" s="65" t="s">
        <v>17564</v>
      </c>
      <c r="W1810" s="161"/>
      <c r="X1810" s="194"/>
      <c r="Y1810" s="216" t="s">
        <v>5820</v>
      </c>
      <c r="Z1810" s="73"/>
      <c r="AA1810" s="73"/>
      <c r="AB1810" s="73"/>
      <c r="AC1810" s="73"/>
      <c r="AD1810" s="73"/>
      <c r="AE1810" s="73"/>
      <c r="AF1810" s="73"/>
      <c r="AG1810" s="73"/>
      <c r="AH1810" s="73"/>
      <c r="AI1810" s="73"/>
      <c r="AJ1810" s="161"/>
      <c r="AK1810" s="76" t="s">
        <v>6276</v>
      </c>
      <c r="AL1810" s="83" t="s">
        <v>17565</v>
      </c>
      <c r="AM1810" s="71" t="s">
        <v>17566</v>
      </c>
      <c r="AN1810" s="84" t="s">
        <v>17567</v>
      </c>
      <c r="AO1810" s="71" t="s">
        <v>17568</v>
      </c>
      <c r="AP1810" s="161" t="str">
        <f>IMAGE("https://bellingcat-archive.nyc3.cdn.digitaloceanspaces.com/Ukraine_Witness_Datasheet/Worksheet/telegram_R1JK3wTE0ZbZu5DEj8CWug7u_JDOqO3qkKMKSQ-G68c10WwgMyrH7OBgBm4XcdKmCKMv4Ww_nIpo3qrRZibDIb94RbnAiFtfqkf1fky5mlvLnOcyOwp8pxqnw7Ufxb4w.jpg")</f>
        <v/>
      </c>
      <c r="AQ1810" s="161"/>
      <c r="AR1810" s="161"/>
      <c r="AS1810" s="71" t="s">
        <v>17569</v>
      </c>
      <c r="AT1810" s="161"/>
      <c r="AU1810" s="89"/>
      <c r="AV1810" s="162"/>
      <c r="AW1810" s="81"/>
    </row>
    <row r="1811" ht="15.75" customHeight="1">
      <c r="A1811" s="349" t="s">
        <v>8554</v>
      </c>
      <c r="B1811" s="73"/>
      <c r="C1811" s="57" t="s">
        <v>15275</v>
      </c>
      <c r="D1811" s="241" t="s">
        <v>17570</v>
      </c>
      <c r="E1811" s="241" t="s">
        <v>17571</v>
      </c>
      <c r="F1811" s="79">
        <v>2.0</v>
      </c>
      <c r="G1811" s="83" t="s">
        <v>17572</v>
      </c>
      <c r="H1811" s="61" t="s">
        <v>5522</v>
      </c>
      <c r="I1811" s="215" t="s">
        <v>17573</v>
      </c>
      <c r="J1811" s="476" t="s">
        <v>17574</v>
      </c>
      <c r="K1811" s="69"/>
      <c r="L1811" s="533" t="s">
        <v>3542</v>
      </c>
      <c r="M1811" s="149" t="s">
        <v>5827</v>
      </c>
      <c r="N1811" s="534"/>
      <c r="O1811" s="149" t="s">
        <v>17575</v>
      </c>
      <c r="P1811" s="67" t="str">
        <f t="shared" si="19"/>
        <v>50.70395536489286, 31.15063673</v>
      </c>
      <c r="Q1811" s="67" t="str">
        <f t="shared" si="20"/>
        <v>50.7039, 31.151198</v>
      </c>
      <c r="R1811" s="67">
        <f t="shared" si="21"/>
        <v>50.7039</v>
      </c>
      <c r="S1811" s="67">
        <f t="shared" si="22"/>
        <v>31.151198</v>
      </c>
      <c r="T1811" s="161"/>
      <c r="U1811" s="69"/>
      <c r="V1811" s="65" t="s">
        <v>17576</v>
      </c>
      <c r="W1811" s="71" t="s">
        <v>3601</v>
      </c>
      <c r="X1811" s="17" t="s">
        <v>9</v>
      </c>
      <c r="Y1811" s="216" t="s">
        <v>5820</v>
      </c>
      <c r="Z1811" s="73"/>
      <c r="AA1811" s="73"/>
      <c r="AB1811" s="73"/>
      <c r="AC1811" s="73"/>
      <c r="AD1811" s="73"/>
      <c r="AE1811" s="73"/>
      <c r="AF1811" s="73"/>
      <c r="AG1811" s="73"/>
      <c r="AH1811" s="73"/>
      <c r="AI1811" s="73"/>
      <c r="AJ1811" s="161"/>
      <c r="AK1811" s="76" t="s">
        <v>798</v>
      </c>
      <c r="AL1811" s="83" t="s">
        <v>17577</v>
      </c>
      <c r="AM1811" s="71" t="s">
        <v>17578</v>
      </c>
      <c r="AN1811" s="84" t="s">
        <v>17579</v>
      </c>
      <c r="AO1811" s="71" t="s">
        <v>17580</v>
      </c>
      <c r="AP1811" s="161" t="str">
        <f>IMAGE("https://bellingcat-archive.nyc3.cdn.digitaloceanspaces.com/Ukraine_Witness_Datasheet/Worksheet/youtube_dl_1500850363301343240/out7.jpg")</f>
        <v/>
      </c>
      <c r="AQ1811" s="84" t="s">
        <v>17581</v>
      </c>
      <c r="AR1811" s="71" t="s">
        <v>17582</v>
      </c>
      <c r="AS1811" s="71" t="s">
        <v>17583</v>
      </c>
      <c r="AT1811" s="71">
        <v>31.877</v>
      </c>
      <c r="AU1811" s="89"/>
      <c r="AV1811" s="80" t="s">
        <v>63</v>
      </c>
      <c r="AW1811" s="81"/>
    </row>
    <row r="1812" ht="15.75" customHeight="1">
      <c r="A1812" s="373" t="s">
        <v>6924</v>
      </c>
      <c r="B1812" s="73"/>
      <c r="C1812" s="57" t="s">
        <v>12050</v>
      </c>
      <c r="D1812" s="241" t="s">
        <v>16603</v>
      </c>
      <c r="E1812" s="241" t="s">
        <v>16604</v>
      </c>
      <c r="F1812" s="79">
        <v>2.0</v>
      </c>
      <c r="G1812" s="83" t="s">
        <v>17584</v>
      </c>
      <c r="H1812" s="61" t="s">
        <v>5522</v>
      </c>
      <c r="I1812" s="215" t="s">
        <v>17585</v>
      </c>
      <c r="J1812" s="476" t="s">
        <v>16606</v>
      </c>
      <c r="K1812" s="69"/>
      <c r="L1812" s="533" t="s">
        <v>3542</v>
      </c>
      <c r="M1812" s="149" t="s">
        <v>5590</v>
      </c>
      <c r="N1812" s="534"/>
      <c r="O1812" s="149" t="s">
        <v>5626</v>
      </c>
      <c r="P1812" s="67" t="str">
        <f t="shared" si="19"/>
        <v>50.025977, 36.341683</v>
      </c>
      <c r="Q1812" s="67" t="str">
        <f t="shared" si="20"/>
        <v>50.025974, 36.340811</v>
      </c>
      <c r="R1812" s="67">
        <f t="shared" si="21"/>
        <v>50.025974</v>
      </c>
      <c r="S1812" s="67">
        <f t="shared" si="22"/>
        <v>36.340811</v>
      </c>
      <c r="T1812" s="161"/>
      <c r="U1812" s="69"/>
      <c r="V1812" s="65" t="s">
        <v>17586</v>
      </c>
      <c r="W1812" s="71" t="s">
        <v>3601</v>
      </c>
      <c r="X1812" s="194"/>
      <c r="Y1812" s="216" t="s">
        <v>5820</v>
      </c>
      <c r="Z1812" s="73"/>
      <c r="AA1812" s="73"/>
      <c r="AB1812" s="73"/>
      <c r="AC1812" s="73"/>
      <c r="AD1812" s="73"/>
      <c r="AE1812" s="73"/>
      <c r="AF1812" s="73"/>
      <c r="AG1812" s="73"/>
      <c r="AH1812" s="73"/>
      <c r="AI1812" s="73"/>
      <c r="AJ1812" s="161"/>
      <c r="AK1812" s="76" t="s">
        <v>1261</v>
      </c>
      <c r="AL1812" s="83" t="s">
        <v>17587</v>
      </c>
      <c r="AM1812" s="71" t="s">
        <v>17588</v>
      </c>
      <c r="AN1812" s="84" t="s">
        <v>17589</v>
      </c>
      <c r="AO1812" s="161"/>
      <c r="AP1812" s="161"/>
      <c r="AQ1812" s="161"/>
      <c r="AR1812" s="71" t="s">
        <v>17590</v>
      </c>
      <c r="AS1812" s="161"/>
      <c r="AT1812" s="161"/>
      <c r="AU1812" s="89"/>
      <c r="AV1812" s="162"/>
      <c r="AW1812" s="81"/>
    </row>
    <row r="1813" ht="15.75" customHeight="1">
      <c r="A1813" s="373" t="s">
        <v>6924</v>
      </c>
      <c r="B1813" s="73"/>
      <c r="C1813" s="57" t="s">
        <v>12050</v>
      </c>
      <c r="D1813" s="241" t="s">
        <v>17591</v>
      </c>
      <c r="E1813" s="241" t="s">
        <v>17592</v>
      </c>
      <c r="F1813" s="79">
        <v>2.0</v>
      </c>
      <c r="G1813" s="83" t="s">
        <v>17080</v>
      </c>
      <c r="H1813" s="61" t="s">
        <v>5522</v>
      </c>
      <c r="I1813" s="215" t="s">
        <v>17593</v>
      </c>
      <c r="J1813" s="476" t="s">
        <v>17594</v>
      </c>
      <c r="K1813" s="69"/>
      <c r="L1813" s="533" t="s">
        <v>3542</v>
      </c>
      <c r="M1813" s="149" t="s">
        <v>7853</v>
      </c>
      <c r="N1813" s="534"/>
      <c r="O1813" s="149" t="s">
        <v>8524</v>
      </c>
      <c r="P1813" s="67" t="str">
        <f t="shared" si="19"/>
        <v>51.499961, 31.277618</v>
      </c>
      <c r="Q1813" s="67" t="str">
        <f t="shared" si="20"/>
        <v>51.499514, 31.278108</v>
      </c>
      <c r="R1813" s="67">
        <f t="shared" si="21"/>
        <v>51.499514</v>
      </c>
      <c r="S1813" s="67">
        <f t="shared" si="22"/>
        <v>31.278108</v>
      </c>
      <c r="T1813" s="161"/>
      <c r="U1813" s="69"/>
      <c r="V1813" s="65" t="s">
        <v>17595</v>
      </c>
      <c r="W1813" s="71" t="s">
        <v>3601</v>
      </c>
      <c r="X1813" s="194"/>
      <c r="Y1813" s="252"/>
      <c r="Z1813" s="73"/>
      <c r="AA1813" s="73"/>
      <c r="AB1813" s="73"/>
      <c r="AC1813" s="73"/>
      <c r="AD1813" s="73"/>
      <c r="AE1813" s="73"/>
      <c r="AF1813" s="73"/>
      <c r="AG1813" s="73"/>
      <c r="AH1813" s="73"/>
      <c r="AI1813" s="73"/>
      <c r="AJ1813" s="161"/>
      <c r="AK1813" s="76" t="s">
        <v>4410</v>
      </c>
      <c r="AL1813" s="83" t="s">
        <v>17082</v>
      </c>
      <c r="AM1813" s="71" t="s">
        <v>17596</v>
      </c>
      <c r="AN1813" s="84" t="s">
        <v>17597</v>
      </c>
      <c r="AO1813" s="71" t="s">
        <v>17085</v>
      </c>
      <c r="AP1813" s="161" t="str">
        <f>IMAGE("https://bellingcat-archive.nyc3.cdn.digitaloceanspaces.com/Ukraine_Witness_Datasheet/Worksheet/telegram_fa4e88a74c/out7.jpg")</f>
        <v/>
      </c>
      <c r="AQ1813" s="84" t="s">
        <v>17086</v>
      </c>
      <c r="AR1813" s="84" t="s">
        <v>17080</v>
      </c>
      <c r="AS1813" s="71" t="s">
        <v>17087</v>
      </c>
      <c r="AT1813" s="71">
        <v>27.0</v>
      </c>
      <c r="AU1813" s="89"/>
      <c r="AV1813" s="162"/>
      <c r="AW1813" s="81"/>
    </row>
    <row r="1814" ht="15.75" customHeight="1">
      <c r="A1814" s="373" t="s">
        <v>6924</v>
      </c>
      <c r="B1814" s="73"/>
      <c r="C1814" s="57" t="s">
        <v>12050</v>
      </c>
      <c r="D1814" s="241" t="s">
        <v>17591</v>
      </c>
      <c r="E1814" s="241" t="s">
        <v>17592</v>
      </c>
      <c r="F1814" s="79">
        <v>2.0</v>
      </c>
      <c r="G1814" s="83" t="s">
        <v>17088</v>
      </c>
      <c r="H1814" s="61" t="s">
        <v>5522</v>
      </c>
      <c r="I1814" s="215" t="s">
        <v>17593</v>
      </c>
      <c r="J1814" s="476" t="s">
        <v>17594</v>
      </c>
      <c r="K1814" s="69"/>
      <c r="L1814" s="533" t="s">
        <v>3542</v>
      </c>
      <c r="M1814" s="149" t="s">
        <v>7853</v>
      </c>
      <c r="N1814" s="534"/>
      <c r="O1814" s="149" t="s">
        <v>8524</v>
      </c>
      <c r="P1814" s="67" t="str">
        <f t="shared" si="19"/>
        <v>51.499961, 31.277618</v>
      </c>
      <c r="Q1814" s="67" t="str">
        <f t="shared" si="20"/>
        <v>51.499552, 31.277138</v>
      </c>
      <c r="R1814" s="67">
        <f t="shared" si="21"/>
        <v>51.499552</v>
      </c>
      <c r="S1814" s="67">
        <f t="shared" si="22"/>
        <v>31.277138</v>
      </c>
      <c r="T1814" s="161"/>
      <c r="U1814" s="69"/>
      <c r="V1814" s="65" t="s">
        <v>17598</v>
      </c>
      <c r="W1814" s="71" t="s">
        <v>3601</v>
      </c>
      <c r="X1814" s="194"/>
      <c r="Y1814" s="252"/>
      <c r="Z1814" s="73"/>
      <c r="AA1814" s="73"/>
      <c r="AB1814" s="73"/>
      <c r="AC1814" s="73"/>
      <c r="AD1814" s="73"/>
      <c r="AE1814" s="73"/>
      <c r="AF1814" s="73"/>
      <c r="AG1814" s="73"/>
      <c r="AH1814" s="73"/>
      <c r="AI1814" s="73"/>
      <c r="AJ1814" s="161"/>
      <c r="AK1814" s="76" t="s">
        <v>16269</v>
      </c>
      <c r="AL1814" s="83" t="s">
        <v>17091</v>
      </c>
      <c r="AM1814" s="71" t="s">
        <v>17599</v>
      </c>
      <c r="AN1814" s="84" t="s">
        <v>17093</v>
      </c>
      <c r="AO1814" s="161"/>
      <c r="AP1814" s="161"/>
      <c r="AQ1814" s="161"/>
      <c r="AR1814" s="71" t="s">
        <v>17094</v>
      </c>
      <c r="AS1814" s="161"/>
      <c r="AT1814" s="161"/>
      <c r="AU1814" s="89"/>
      <c r="AV1814" s="162"/>
      <c r="AW1814" s="81"/>
    </row>
    <row r="1815" ht="15.75" customHeight="1">
      <c r="A1815" s="349" t="s">
        <v>6682</v>
      </c>
      <c r="B1815" s="73"/>
      <c r="C1815" s="57" t="s">
        <v>12050</v>
      </c>
      <c r="D1815" s="241" t="s">
        <v>16613</v>
      </c>
      <c r="E1815" s="241" t="s">
        <v>16614</v>
      </c>
      <c r="F1815" s="79">
        <v>2.0</v>
      </c>
      <c r="G1815" s="83" t="s">
        <v>17600</v>
      </c>
      <c r="H1815" s="61" t="s">
        <v>5522</v>
      </c>
      <c r="I1815" s="215" t="s">
        <v>17601</v>
      </c>
      <c r="J1815" s="476" t="s">
        <v>17602</v>
      </c>
      <c r="K1815" s="69"/>
      <c r="L1815" s="533" t="s">
        <v>3542</v>
      </c>
      <c r="M1815" s="149" t="s">
        <v>5590</v>
      </c>
      <c r="N1815" s="534"/>
      <c r="O1815" s="149" t="s">
        <v>5626</v>
      </c>
      <c r="P1815" s="67" t="str">
        <f t="shared" si="19"/>
        <v>50.026061, 36.240783</v>
      </c>
      <c r="Q1815" s="67" t="str">
        <f t="shared" si="20"/>
        <v>50.026056, 36.239725</v>
      </c>
      <c r="R1815" s="67">
        <f t="shared" si="21"/>
        <v>50.026056</v>
      </c>
      <c r="S1815" s="67">
        <f t="shared" si="22"/>
        <v>36.239725</v>
      </c>
      <c r="T1815" s="161"/>
      <c r="U1815" s="69"/>
      <c r="V1815" s="65" t="s">
        <v>17603</v>
      </c>
      <c r="W1815" s="71" t="s">
        <v>3601</v>
      </c>
      <c r="X1815" s="401" t="s">
        <v>10444</v>
      </c>
      <c r="Y1815" s="216" t="s">
        <v>5820</v>
      </c>
      <c r="Z1815" s="73"/>
      <c r="AA1815" s="73"/>
      <c r="AB1815" s="73"/>
      <c r="AC1815" s="73"/>
      <c r="AD1815" s="73"/>
      <c r="AE1815" s="73"/>
      <c r="AF1815" s="73"/>
      <c r="AG1815" s="73"/>
      <c r="AH1815" s="73"/>
      <c r="AI1815" s="73"/>
      <c r="AJ1815" s="161"/>
      <c r="AK1815" s="76" t="s">
        <v>1261</v>
      </c>
      <c r="AL1815" s="83" t="s">
        <v>17604</v>
      </c>
      <c r="AM1815" s="71" t="s">
        <v>17605</v>
      </c>
      <c r="AN1815" s="84" t="s">
        <v>17606</v>
      </c>
      <c r="AO1815" s="161"/>
      <c r="AP1815" s="161"/>
      <c r="AQ1815" s="161"/>
      <c r="AR1815" s="71" t="s">
        <v>17607</v>
      </c>
      <c r="AS1815" s="161"/>
      <c r="AT1815" s="161"/>
      <c r="AU1815" s="89"/>
      <c r="AV1815" s="80" t="s">
        <v>63</v>
      </c>
      <c r="AW1815" s="203" t="s">
        <v>17608</v>
      </c>
    </row>
    <row r="1816" ht="15.75" customHeight="1">
      <c r="A1816" s="349" t="s">
        <v>7154</v>
      </c>
      <c r="B1816" s="73"/>
      <c r="C1816" s="57" t="s">
        <v>12050</v>
      </c>
      <c r="D1816" s="241" t="s">
        <v>17609</v>
      </c>
      <c r="E1816" s="241" t="s">
        <v>17610</v>
      </c>
      <c r="F1816" s="79">
        <v>3.0</v>
      </c>
      <c r="G1816" s="83" t="s">
        <v>17611</v>
      </c>
      <c r="H1816" s="61" t="s">
        <v>5522</v>
      </c>
      <c r="I1816" s="215" t="s">
        <v>17612</v>
      </c>
      <c r="J1816" s="476" t="s">
        <v>17613</v>
      </c>
      <c r="K1816" s="69"/>
      <c r="L1816" s="533" t="s">
        <v>3542</v>
      </c>
      <c r="M1816" s="149" t="s">
        <v>5702</v>
      </c>
      <c r="N1816" s="534"/>
      <c r="O1816" s="149" t="s">
        <v>7098</v>
      </c>
      <c r="P1816" s="67" t="str">
        <f t="shared" si="19"/>
        <v>46.639544, 32.628029</v>
      </c>
      <c r="Q1816" s="67" t="str">
        <f t="shared" si="20"/>
        <v>46.63934, 32.626813</v>
      </c>
      <c r="R1816" s="67">
        <f t="shared" si="21"/>
        <v>46.63934</v>
      </c>
      <c r="S1816" s="67">
        <f t="shared" si="22"/>
        <v>32.626813</v>
      </c>
      <c r="T1816" s="161"/>
      <c r="U1816" s="69"/>
      <c r="V1816" s="65" t="s">
        <v>17614</v>
      </c>
      <c r="W1816" s="71" t="s">
        <v>12840</v>
      </c>
      <c r="X1816" s="17" t="s">
        <v>9</v>
      </c>
      <c r="Y1816" s="216" t="s">
        <v>5820</v>
      </c>
      <c r="Z1816" s="73"/>
      <c r="AA1816" s="73"/>
      <c r="AB1816" s="73"/>
      <c r="AC1816" s="73"/>
      <c r="AD1816" s="73"/>
      <c r="AE1816" s="73"/>
      <c r="AF1816" s="73"/>
      <c r="AG1816" s="73"/>
      <c r="AH1816" s="73"/>
      <c r="AI1816" s="73"/>
      <c r="AJ1816" s="161"/>
      <c r="AK1816" s="76" t="s">
        <v>6276</v>
      </c>
      <c r="AL1816" s="83" t="s">
        <v>17615</v>
      </c>
      <c r="AM1816" s="71" t="s">
        <v>17616</v>
      </c>
      <c r="AN1816" s="84" t="s">
        <v>17617</v>
      </c>
      <c r="AO1816" s="71" t="s">
        <v>17618</v>
      </c>
      <c r="AP1816" s="161" t="str">
        <f>IMAGE("https://bellingcat-archive.nyc3.cdn.digitaloceanspaces.com/Ukraine_Witness_Datasheet/Worksheet/telegram_7ff865dda8/out7.jpg")</f>
        <v/>
      </c>
      <c r="AQ1816" s="84" t="s">
        <v>17619</v>
      </c>
      <c r="AR1816" s="84" t="s">
        <v>17611</v>
      </c>
      <c r="AS1816" s="71" t="s">
        <v>17620</v>
      </c>
      <c r="AT1816" s="71">
        <v>30.0</v>
      </c>
      <c r="AU1816" s="89"/>
      <c r="AV1816" s="80" t="s">
        <v>63</v>
      </c>
      <c r="AW1816" s="81"/>
    </row>
    <row r="1817" ht="15.75" customHeight="1">
      <c r="A1817" s="349" t="s">
        <v>7154</v>
      </c>
      <c r="B1817" s="73"/>
      <c r="C1817" s="57" t="s">
        <v>12050</v>
      </c>
      <c r="D1817" s="241" t="s">
        <v>17609</v>
      </c>
      <c r="E1817" s="241" t="s">
        <v>17610</v>
      </c>
      <c r="F1817" s="79">
        <v>3.0</v>
      </c>
      <c r="G1817" s="83" t="s">
        <v>17621</v>
      </c>
      <c r="H1817" s="61" t="s">
        <v>5522</v>
      </c>
      <c r="I1817" s="215" t="s">
        <v>17612</v>
      </c>
      <c r="J1817" s="476" t="s">
        <v>17613</v>
      </c>
      <c r="K1817" s="69"/>
      <c r="L1817" s="533" t="s">
        <v>3542</v>
      </c>
      <c r="M1817" s="149" t="s">
        <v>5702</v>
      </c>
      <c r="N1817" s="534"/>
      <c r="O1817" s="149" t="s">
        <v>7098</v>
      </c>
      <c r="P1817" s="67" t="str">
        <f t="shared" si="19"/>
        <v>46.639544, 32.628029</v>
      </c>
      <c r="Q1817" s="67" t="str">
        <f t="shared" si="20"/>
        <v>46.639099, 32.628717</v>
      </c>
      <c r="R1817" s="67">
        <f t="shared" si="21"/>
        <v>46.639099</v>
      </c>
      <c r="S1817" s="67">
        <f t="shared" si="22"/>
        <v>32.628717</v>
      </c>
      <c r="T1817" s="161"/>
      <c r="U1817" s="69"/>
      <c r="V1817" s="65" t="s">
        <v>17622</v>
      </c>
      <c r="W1817" s="71" t="s">
        <v>12840</v>
      </c>
      <c r="X1817" s="401" t="s">
        <v>10444</v>
      </c>
      <c r="Y1817" s="216" t="s">
        <v>5820</v>
      </c>
      <c r="Z1817" s="73"/>
      <c r="AA1817" s="73"/>
      <c r="AB1817" s="73"/>
      <c r="AC1817" s="73"/>
      <c r="AD1817" s="73"/>
      <c r="AE1817" s="73"/>
      <c r="AF1817" s="73"/>
      <c r="AG1817" s="73"/>
      <c r="AH1817" s="73"/>
      <c r="AI1817" s="73"/>
      <c r="AJ1817" s="161"/>
      <c r="AK1817" s="76" t="s">
        <v>1261</v>
      </c>
      <c r="AL1817" s="83" t="s">
        <v>17623</v>
      </c>
      <c r="AM1817" s="71" t="s">
        <v>17624</v>
      </c>
      <c r="AN1817" s="84" t="s">
        <v>17625</v>
      </c>
      <c r="AO1817" s="161"/>
      <c r="AP1817" s="161"/>
      <c r="AQ1817" s="161"/>
      <c r="AR1817" s="71" t="s">
        <v>17626</v>
      </c>
      <c r="AS1817" s="161"/>
      <c r="AT1817" s="161"/>
      <c r="AU1817" s="89"/>
      <c r="AV1817" s="80" t="s">
        <v>63</v>
      </c>
      <c r="AW1817" s="203" t="s">
        <v>17608</v>
      </c>
    </row>
    <row r="1818" ht="15.75" customHeight="1">
      <c r="A1818" s="349" t="s">
        <v>7154</v>
      </c>
      <c r="B1818" s="73"/>
      <c r="C1818" s="57" t="s">
        <v>10973</v>
      </c>
      <c r="D1818" s="241" t="s">
        <v>17627</v>
      </c>
      <c r="E1818" s="241" t="s">
        <v>17628</v>
      </c>
      <c r="F1818" s="79">
        <v>2.0</v>
      </c>
      <c r="G1818" s="83" t="s">
        <v>17629</v>
      </c>
      <c r="H1818" s="61" t="s">
        <v>5522</v>
      </c>
      <c r="I1818" s="215" t="s">
        <v>17630</v>
      </c>
      <c r="J1818" s="476" t="s">
        <v>17631</v>
      </c>
      <c r="K1818" s="69"/>
      <c r="L1818" s="533" t="s">
        <v>3542</v>
      </c>
      <c r="M1818" s="149" t="s">
        <v>5590</v>
      </c>
      <c r="N1818" s="534"/>
      <c r="O1818" s="149" t="s">
        <v>5626</v>
      </c>
      <c r="P1818" s="67" t="str">
        <f t="shared" si="19"/>
        <v>50.004828, 36.237768</v>
      </c>
      <c r="Q1818" s="67" t="str">
        <f t="shared" si="20"/>
        <v>50.004202, 36.236928</v>
      </c>
      <c r="R1818" s="67">
        <f t="shared" si="21"/>
        <v>50.004202</v>
      </c>
      <c r="S1818" s="67">
        <f t="shared" si="22"/>
        <v>36.236928</v>
      </c>
      <c r="T1818" s="161"/>
      <c r="U1818" s="69"/>
      <c r="V1818" s="65" t="s">
        <v>17632</v>
      </c>
      <c r="W1818" s="71" t="s">
        <v>3601</v>
      </c>
      <c r="X1818" s="17" t="s">
        <v>9</v>
      </c>
      <c r="Y1818" s="216" t="s">
        <v>5820</v>
      </c>
      <c r="Z1818" s="73"/>
      <c r="AA1818" s="73"/>
      <c r="AB1818" s="73"/>
      <c r="AC1818" s="73"/>
      <c r="AD1818" s="73"/>
      <c r="AE1818" s="73"/>
      <c r="AF1818" s="73"/>
      <c r="AG1818" s="73"/>
      <c r="AH1818" s="73"/>
      <c r="AI1818" s="73"/>
      <c r="AJ1818" s="161"/>
      <c r="AK1818" s="76" t="s">
        <v>6276</v>
      </c>
      <c r="AL1818" s="83" t="s">
        <v>17633</v>
      </c>
      <c r="AM1818" s="71" t="s">
        <v>17634</v>
      </c>
      <c r="AN1818" s="84" t="s">
        <v>17635</v>
      </c>
      <c r="AO1818" s="71" t="s">
        <v>17636</v>
      </c>
      <c r="AP1818" s="161" t="str">
        <f>IMAGE("https://bellingcat-archive.nyc3.cdn.digitaloceanspaces.com/Ukraine_Witness_Datasheet/Worksheet/telegram_4b544e2647/out7.jpg")</f>
        <v/>
      </c>
      <c r="AQ1818" s="84" t="s">
        <v>17637</v>
      </c>
      <c r="AR1818" s="84" t="s">
        <v>17629</v>
      </c>
      <c r="AS1818" s="161"/>
      <c r="AT1818" s="71">
        <v>6.0</v>
      </c>
      <c r="AU1818" s="89"/>
      <c r="AV1818" s="80" t="s">
        <v>63</v>
      </c>
      <c r="AW1818" s="81"/>
    </row>
    <row r="1819" ht="15.75" customHeight="1">
      <c r="A1819" s="349" t="s">
        <v>7154</v>
      </c>
      <c r="B1819" s="73"/>
      <c r="C1819" s="57" t="s">
        <v>10973</v>
      </c>
      <c r="D1819" s="241" t="s">
        <v>17627</v>
      </c>
      <c r="E1819" s="241" t="s">
        <v>17628</v>
      </c>
      <c r="F1819" s="79">
        <v>2.0</v>
      </c>
      <c r="G1819" s="83" t="s">
        <v>17638</v>
      </c>
      <c r="H1819" s="61" t="s">
        <v>5522</v>
      </c>
      <c r="I1819" s="215" t="s">
        <v>17630</v>
      </c>
      <c r="J1819" s="476" t="s">
        <v>17631</v>
      </c>
      <c r="K1819" s="69"/>
      <c r="L1819" s="533" t="s">
        <v>3542</v>
      </c>
      <c r="M1819" s="149" t="s">
        <v>5590</v>
      </c>
      <c r="N1819" s="534"/>
      <c r="O1819" s="149" t="s">
        <v>5626</v>
      </c>
      <c r="P1819" s="67" t="str">
        <f t="shared" si="19"/>
        <v>50.004828, 36.237768</v>
      </c>
      <c r="Q1819" s="67" t="str">
        <f t="shared" si="20"/>
        <v>50.004533, 36.238664</v>
      </c>
      <c r="R1819" s="67">
        <f t="shared" si="21"/>
        <v>50.004533</v>
      </c>
      <c r="S1819" s="67">
        <f t="shared" si="22"/>
        <v>36.238664</v>
      </c>
      <c r="T1819" s="161"/>
      <c r="U1819" s="69"/>
      <c r="V1819" s="65" t="s">
        <v>17639</v>
      </c>
      <c r="W1819" s="71" t="s">
        <v>3601</v>
      </c>
      <c r="X1819" s="401" t="s">
        <v>10444</v>
      </c>
      <c r="Y1819" s="216" t="s">
        <v>5820</v>
      </c>
      <c r="Z1819" s="73"/>
      <c r="AA1819" s="73"/>
      <c r="AB1819" s="73"/>
      <c r="AC1819" s="73"/>
      <c r="AD1819" s="73"/>
      <c r="AE1819" s="73"/>
      <c r="AF1819" s="73"/>
      <c r="AG1819" s="73"/>
      <c r="AH1819" s="73"/>
      <c r="AI1819" s="73"/>
      <c r="AJ1819" s="161"/>
      <c r="AK1819" s="76" t="s">
        <v>17640</v>
      </c>
      <c r="AL1819" s="269"/>
      <c r="AM1819" s="71" t="s">
        <v>17641</v>
      </c>
      <c r="AN1819" s="161"/>
      <c r="AO1819" s="161"/>
      <c r="AP1819" s="161"/>
      <c r="AQ1819" s="161"/>
      <c r="AR1819" s="161"/>
      <c r="AS1819" s="161"/>
      <c r="AT1819" s="161"/>
      <c r="AU1819" s="89"/>
      <c r="AV1819" s="80" t="s">
        <v>63</v>
      </c>
      <c r="AW1819" s="203" t="s">
        <v>17608</v>
      </c>
    </row>
    <row r="1820" ht="15.75" customHeight="1">
      <c r="A1820" s="349" t="s">
        <v>7092</v>
      </c>
      <c r="B1820" s="73"/>
      <c r="C1820" s="57" t="s">
        <v>12959</v>
      </c>
      <c r="D1820" s="241" t="s">
        <v>17642</v>
      </c>
      <c r="E1820" s="241" t="s">
        <v>17643</v>
      </c>
      <c r="F1820" s="79">
        <v>5.0</v>
      </c>
      <c r="G1820" s="83" t="s">
        <v>17644</v>
      </c>
      <c r="H1820" s="61" t="s">
        <v>5522</v>
      </c>
      <c r="I1820" s="215" t="s">
        <v>17645</v>
      </c>
      <c r="J1820" s="476" t="s">
        <v>17646</v>
      </c>
      <c r="K1820" s="69"/>
      <c r="L1820" s="533" t="s">
        <v>3542</v>
      </c>
      <c r="M1820" s="149" t="s">
        <v>5590</v>
      </c>
      <c r="N1820" s="534"/>
      <c r="O1820" s="533" t="s">
        <v>5626</v>
      </c>
      <c r="P1820" s="67" t="str">
        <f t="shared" si="19"/>
        <v>50.022035, 36.350872</v>
      </c>
      <c r="Q1820" s="67" t="str">
        <f t="shared" si="20"/>
        <v>50.021438, 36.351766</v>
      </c>
      <c r="R1820" s="67">
        <f t="shared" si="21"/>
        <v>50.021438</v>
      </c>
      <c r="S1820" s="67">
        <f t="shared" si="22"/>
        <v>36.351766</v>
      </c>
      <c r="T1820" s="161"/>
      <c r="U1820" s="69"/>
      <c r="V1820" s="65" t="s">
        <v>17647</v>
      </c>
      <c r="W1820" s="71" t="s">
        <v>6108</v>
      </c>
      <c r="X1820" s="17" t="s">
        <v>9</v>
      </c>
      <c r="Y1820" s="216" t="s">
        <v>5820</v>
      </c>
      <c r="Z1820" s="73"/>
      <c r="AA1820" s="73"/>
      <c r="AB1820" s="73"/>
      <c r="AC1820" s="73"/>
      <c r="AD1820" s="73"/>
      <c r="AE1820" s="73"/>
      <c r="AF1820" s="73"/>
      <c r="AG1820" s="73"/>
      <c r="AH1820" s="73"/>
      <c r="AI1820" s="73"/>
      <c r="AJ1820" s="161"/>
      <c r="AK1820" s="76" t="s">
        <v>6276</v>
      </c>
      <c r="AL1820" s="83" t="s">
        <v>17648</v>
      </c>
      <c r="AM1820" s="71" t="s">
        <v>17649</v>
      </c>
      <c r="AN1820" s="84" t="s">
        <v>17650</v>
      </c>
      <c r="AO1820" s="71" t="s">
        <v>17651</v>
      </c>
      <c r="AP1820" s="161" t="str">
        <f>IMAGE("https://bellingcat-archive.nyc3.cdn.digitaloceanspaces.com/Ukraine_Witness_Datasheet/Worksheet/telegram_bae603b2f2/out7.jpg")</f>
        <v/>
      </c>
      <c r="AQ1820" s="84" t="s">
        <v>17652</v>
      </c>
      <c r="AR1820" s="84" t="s">
        <v>17644</v>
      </c>
      <c r="AS1820" s="71" t="s">
        <v>17653</v>
      </c>
      <c r="AT1820" s="71">
        <v>5.0</v>
      </c>
      <c r="AU1820" s="89"/>
      <c r="AV1820" s="80" t="s">
        <v>63</v>
      </c>
      <c r="AW1820" s="81"/>
    </row>
    <row r="1821" ht="15.75" customHeight="1">
      <c r="A1821" s="349" t="s">
        <v>7092</v>
      </c>
      <c r="B1821" s="73"/>
      <c r="C1821" s="57" t="s">
        <v>12959</v>
      </c>
      <c r="D1821" s="241" t="s">
        <v>17642</v>
      </c>
      <c r="E1821" s="241" t="s">
        <v>17643</v>
      </c>
      <c r="F1821" s="79">
        <v>5.0</v>
      </c>
      <c r="G1821" s="83" t="s">
        <v>17654</v>
      </c>
      <c r="H1821" s="61" t="s">
        <v>5522</v>
      </c>
      <c r="I1821" s="215" t="s">
        <v>17645</v>
      </c>
      <c r="J1821" s="476" t="s">
        <v>17646</v>
      </c>
      <c r="K1821" s="69"/>
      <c r="L1821" s="533" t="s">
        <v>3542</v>
      </c>
      <c r="M1821" s="149" t="s">
        <v>5590</v>
      </c>
      <c r="N1821" s="534"/>
      <c r="O1821" s="533" t="s">
        <v>5626</v>
      </c>
      <c r="P1821" s="67" t="str">
        <f t="shared" si="19"/>
        <v>50.022035, 36.350872</v>
      </c>
      <c r="Q1821" s="67" t="str">
        <f t="shared" si="20"/>
        <v>50.021696, 36.350131</v>
      </c>
      <c r="R1821" s="67">
        <f t="shared" si="21"/>
        <v>50.021696</v>
      </c>
      <c r="S1821" s="67">
        <f t="shared" si="22"/>
        <v>36.350131</v>
      </c>
      <c r="T1821" s="161"/>
      <c r="U1821" s="69"/>
      <c r="V1821" s="65" t="s">
        <v>17655</v>
      </c>
      <c r="W1821" s="71" t="s">
        <v>6108</v>
      </c>
      <c r="X1821" s="401" t="s">
        <v>10444</v>
      </c>
      <c r="Y1821" s="216" t="s">
        <v>5820</v>
      </c>
      <c r="Z1821" s="73"/>
      <c r="AA1821" s="73"/>
      <c r="AB1821" s="73"/>
      <c r="AC1821" s="73"/>
      <c r="AD1821" s="73"/>
      <c r="AE1821" s="73"/>
      <c r="AF1821" s="73"/>
      <c r="AG1821" s="73"/>
      <c r="AH1821" s="73"/>
      <c r="AI1821" s="73"/>
      <c r="AJ1821" s="161"/>
      <c r="AK1821" s="76" t="s">
        <v>1261</v>
      </c>
      <c r="AL1821" s="83" t="s">
        <v>17656</v>
      </c>
      <c r="AM1821" s="71" t="s">
        <v>17657</v>
      </c>
      <c r="AN1821" s="84" t="s">
        <v>17658</v>
      </c>
      <c r="AO1821" s="161"/>
      <c r="AP1821" s="161"/>
      <c r="AQ1821" s="161"/>
      <c r="AR1821" s="71" t="s">
        <v>17659</v>
      </c>
      <c r="AS1821" s="161"/>
      <c r="AT1821" s="161"/>
      <c r="AU1821" s="89"/>
      <c r="AV1821" s="80" t="s">
        <v>63</v>
      </c>
      <c r="AW1821" s="203" t="s">
        <v>17608</v>
      </c>
    </row>
    <row r="1822" ht="15.75" customHeight="1">
      <c r="A1822" s="373" t="s">
        <v>6924</v>
      </c>
      <c r="B1822" s="73"/>
      <c r="C1822" s="57" t="s">
        <v>12050</v>
      </c>
      <c r="D1822" s="241" t="s">
        <v>17660</v>
      </c>
      <c r="E1822" s="241" t="s">
        <v>17661</v>
      </c>
      <c r="F1822" s="79">
        <v>3.0</v>
      </c>
      <c r="G1822" s="83" t="s">
        <v>17662</v>
      </c>
      <c r="H1822" s="61" t="s">
        <v>5522</v>
      </c>
      <c r="I1822" s="215" t="s">
        <v>17663</v>
      </c>
      <c r="J1822" s="476" t="s">
        <v>17664</v>
      </c>
      <c r="K1822" s="69"/>
      <c r="L1822" s="533" t="s">
        <v>3542</v>
      </c>
      <c r="M1822" s="533" t="s">
        <v>6314</v>
      </c>
      <c r="N1822" s="534"/>
      <c r="O1822" s="149" t="s">
        <v>5626</v>
      </c>
      <c r="P1822" s="67" t="str">
        <f t="shared" si="19"/>
        <v>50.052215, 36.349062</v>
      </c>
      <c r="Q1822" s="67" t="str">
        <f t="shared" si="20"/>
        <v>50.051577, 36.348801</v>
      </c>
      <c r="R1822" s="67">
        <f t="shared" si="21"/>
        <v>50.051577</v>
      </c>
      <c r="S1822" s="67">
        <f t="shared" si="22"/>
        <v>36.348801</v>
      </c>
      <c r="T1822" s="161"/>
      <c r="U1822" s="69"/>
      <c r="V1822" s="65" t="s">
        <v>17665</v>
      </c>
      <c r="W1822" s="71" t="s">
        <v>3601</v>
      </c>
      <c r="X1822" s="194"/>
      <c r="Y1822" s="216" t="s">
        <v>5820</v>
      </c>
      <c r="Z1822" s="73"/>
      <c r="AA1822" s="73"/>
      <c r="AB1822" s="73"/>
      <c r="AC1822" s="73"/>
      <c r="AD1822" s="73"/>
      <c r="AE1822" s="73"/>
      <c r="AF1822" s="73"/>
      <c r="AG1822" s="73"/>
      <c r="AH1822" s="73"/>
      <c r="AI1822" s="73"/>
      <c r="AJ1822" s="161"/>
      <c r="AK1822" s="76" t="s">
        <v>6276</v>
      </c>
      <c r="AL1822" s="83" t="s">
        <v>17666</v>
      </c>
      <c r="AM1822" s="71" t="s">
        <v>17667</v>
      </c>
      <c r="AN1822" s="84" t="s">
        <v>17668</v>
      </c>
      <c r="AO1822" s="71" t="s">
        <v>17669</v>
      </c>
      <c r="AP1822" s="161" t="str">
        <f>IMAGE("https://bellingcat-archive.nyc3.cdn.digitaloceanspaces.com/Ukraine_Witness_Datasheet/Worksheet/telegram_5f64e60351/out7.jpg")</f>
        <v/>
      </c>
      <c r="AQ1822" s="84" t="s">
        <v>17670</v>
      </c>
      <c r="AR1822" s="84" t="s">
        <v>17662</v>
      </c>
      <c r="AS1822" s="71" t="s">
        <v>17671</v>
      </c>
      <c r="AT1822" s="71">
        <v>31.0</v>
      </c>
      <c r="AU1822" s="89"/>
      <c r="AV1822" s="162"/>
      <c r="AW1822" s="81"/>
    </row>
    <row r="1823" ht="15.75" customHeight="1">
      <c r="A1823" s="373" t="s">
        <v>6924</v>
      </c>
      <c r="B1823" s="73"/>
      <c r="C1823" s="57" t="s">
        <v>12050</v>
      </c>
      <c r="D1823" s="241" t="s">
        <v>17660</v>
      </c>
      <c r="E1823" s="241" t="s">
        <v>17661</v>
      </c>
      <c r="F1823" s="79">
        <v>3.0</v>
      </c>
      <c r="G1823" s="83" t="s">
        <v>17672</v>
      </c>
      <c r="H1823" s="61" t="s">
        <v>5522</v>
      </c>
      <c r="I1823" s="215" t="s">
        <v>17663</v>
      </c>
      <c r="J1823" s="476" t="s">
        <v>17664</v>
      </c>
      <c r="K1823" s="69"/>
      <c r="L1823" s="533" t="s">
        <v>3542</v>
      </c>
      <c r="M1823" s="533" t="s">
        <v>6314</v>
      </c>
      <c r="N1823" s="534"/>
      <c r="O1823" s="149" t="s">
        <v>5626</v>
      </c>
      <c r="P1823" s="67" t="str">
        <f t="shared" si="19"/>
        <v>50.052215, 36.349062</v>
      </c>
      <c r="Q1823" s="67" t="str">
        <f t="shared" si="20"/>
        <v>50.051548, 36.349598</v>
      </c>
      <c r="R1823" s="67">
        <f t="shared" si="21"/>
        <v>50.051548</v>
      </c>
      <c r="S1823" s="67">
        <f t="shared" si="22"/>
        <v>36.349598</v>
      </c>
      <c r="T1823" s="161"/>
      <c r="U1823" s="69"/>
      <c r="V1823" s="65" t="s">
        <v>17673</v>
      </c>
      <c r="W1823" s="71" t="s">
        <v>3601</v>
      </c>
      <c r="X1823" s="194"/>
      <c r="Y1823" s="216" t="s">
        <v>5820</v>
      </c>
      <c r="Z1823" s="73"/>
      <c r="AA1823" s="73"/>
      <c r="AB1823" s="73"/>
      <c r="AC1823" s="73"/>
      <c r="AD1823" s="73"/>
      <c r="AE1823" s="73"/>
      <c r="AF1823" s="73"/>
      <c r="AG1823" s="73"/>
      <c r="AH1823" s="73"/>
      <c r="AI1823" s="73"/>
      <c r="AJ1823" s="161"/>
      <c r="AK1823" s="76" t="s">
        <v>1261</v>
      </c>
      <c r="AL1823" s="83" t="s">
        <v>17674</v>
      </c>
      <c r="AM1823" s="71" t="s">
        <v>17675</v>
      </c>
      <c r="AN1823" s="84" t="s">
        <v>17676</v>
      </c>
      <c r="AO1823" s="161"/>
      <c r="AP1823" s="161"/>
      <c r="AQ1823" s="161"/>
      <c r="AR1823" s="71" t="s">
        <v>17677</v>
      </c>
      <c r="AS1823" s="161"/>
      <c r="AT1823" s="161"/>
      <c r="AU1823" s="89"/>
      <c r="AV1823" s="162"/>
      <c r="AW1823" s="81"/>
    </row>
    <row r="1824" ht="15.75" customHeight="1">
      <c r="A1824" s="373" t="s">
        <v>6924</v>
      </c>
      <c r="B1824" s="73"/>
      <c r="C1824" s="57" t="s">
        <v>12959</v>
      </c>
      <c r="D1824" s="241" t="s">
        <v>17678</v>
      </c>
      <c r="E1824" s="241" t="s">
        <v>17679</v>
      </c>
      <c r="F1824" s="79">
        <v>3.0</v>
      </c>
      <c r="G1824" s="83" t="s">
        <v>17680</v>
      </c>
      <c r="H1824" s="61" t="s">
        <v>91</v>
      </c>
      <c r="I1824" s="215" t="s">
        <v>17681</v>
      </c>
      <c r="J1824" s="476" t="s">
        <v>17682</v>
      </c>
      <c r="K1824" s="69"/>
      <c r="L1824" s="533" t="s">
        <v>3542</v>
      </c>
      <c r="M1824" s="149" t="s">
        <v>5590</v>
      </c>
      <c r="N1824" s="534"/>
      <c r="O1824" s="149" t="s">
        <v>17683</v>
      </c>
      <c r="P1824" s="67" t="str">
        <f t="shared" si="19"/>
        <v>49.343449, 37.528146</v>
      </c>
      <c r="Q1824" s="67" t="str">
        <f t="shared" si="20"/>
        <v>49.343168, 37.527328</v>
      </c>
      <c r="R1824" s="67">
        <f t="shared" si="21"/>
        <v>49.343168</v>
      </c>
      <c r="S1824" s="67">
        <f t="shared" si="22"/>
        <v>37.527328</v>
      </c>
      <c r="T1824" s="161"/>
      <c r="U1824" s="69"/>
      <c r="V1824" s="65" t="s">
        <v>17684</v>
      </c>
      <c r="W1824" s="71" t="s">
        <v>3601</v>
      </c>
      <c r="X1824" s="194"/>
      <c r="Y1824" s="216" t="s">
        <v>5820</v>
      </c>
      <c r="Z1824" s="73"/>
      <c r="AA1824" s="73"/>
      <c r="AB1824" s="73"/>
      <c r="AC1824" s="73"/>
      <c r="AD1824" s="73"/>
      <c r="AE1824" s="73"/>
      <c r="AF1824" s="73"/>
      <c r="AG1824" s="73"/>
      <c r="AH1824" s="73"/>
      <c r="AI1824" s="73"/>
      <c r="AJ1824" s="161"/>
      <c r="AK1824" s="76" t="s">
        <v>6276</v>
      </c>
      <c r="AL1824" s="83" t="s">
        <v>17685</v>
      </c>
      <c r="AM1824" s="71" t="s">
        <v>17686</v>
      </c>
      <c r="AN1824" s="84" t="s">
        <v>17687</v>
      </c>
      <c r="AO1824" s="71" t="s">
        <v>17688</v>
      </c>
      <c r="AP1824" s="161" t="str">
        <f>IMAGE("https://bellingcat-archive.nyc3.cdn.digitaloceanspaces.com/Ukraine_Witness_Datasheet/Worksheet/telegram_9ZmGG8sFY4THKP6_1Eh1nOOVGn4i-fnGNJAvgQ5_65UH6pwDfGYqRzsZSVnO_UdLmc7QqkNES55aX-OX8ayMklRmAVGFarTosIF5kCNYRuNUdUbT2o7D_IFl0CZFOQzQ.jpg")</f>
        <v/>
      </c>
      <c r="AQ1824" s="161"/>
      <c r="AR1824" s="161"/>
      <c r="AS1824" s="71" t="s">
        <v>17689</v>
      </c>
      <c r="AT1824" s="161"/>
      <c r="AU1824" s="89"/>
      <c r="AV1824" s="162"/>
      <c r="AW1824" s="81"/>
    </row>
    <row r="1825" ht="15.75" customHeight="1">
      <c r="A1825" s="373" t="s">
        <v>6924</v>
      </c>
      <c r="B1825" s="73"/>
      <c r="C1825" s="57" t="s">
        <v>12959</v>
      </c>
      <c r="D1825" s="241" t="s">
        <v>17678</v>
      </c>
      <c r="E1825" s="241" t="s">
        <v>17679</v>
      </c>
      <c r="F1825" s="79">
        <v>3.0</v>
      </c>
      <c r="G1825" s="83" t="s">
        <v>17690</v>
      </c>
      <c r="H1825" s="61" t="s">
        <v>91</v>
      </c>
      <c r="I1825" s="215" t="s">
        <v>17681</v>
      </c>
      <c r="J1825" s="476" t="s">
        <v>17682</v>
      </c>
      <c r="K1825" s="69"/>
      <c r="L1825" s="533" t="s">
        <v>3542</v>
      </c>
      <c r="M1825" s="149" t="s">
        <v>5590</v>
      </c>
      <c r="N1825" s="534"/>
      <c r="O1825" s="149" t="s">
        <v>17683</v>
      </c>
      <c r="P1825" s="67" t="str">
        <f t="shared" si="19"/>
        <v>49.343449, 37.528146</v>
      </c>
      <c r="Q1825" s="67" t="str">
        <f t="shared" si="20"/>
        <v>49.34326, 37.527518</v>
      </c>
      <c r="R1825" s="67">
        <f t="shared" si="21"/>
        <v>49.34326</v>
      </c>
      <c r="S1825" s="67">
        <f t="shared" si="22"/>
        <v>37.527518</v>
      </c>
      <c r="T1825" s="161"/>
      <c r="U1825" s="69"/>
      <c r="V1825" s="65" t="s">
        <v>17691</v>
      </c>
      <c r="W1825" s="71" t="s">
        <v>3601</v>
      </c>
      <c r="X1825" s="194"/>
      <c r="Y1825" s="216" t="s">
        <v>5820</v>
      </c>
      <c r="Z1825" s="73"/>
      <c r="AA1825" s="73"/>
      <c r="AB1825" s="73"/>
      <c r="AC1825" s="73"/>
      <c r="AD1825" s="73"/>
      <c r="AE1825" s="73"/>
      <c r="AF1825" s="73"/>
      <c r="AG1825" s="73"/>
      <c r="AH1825" s="73"/>
      <c r="AI1825" s="73"/>
      <c r="AJ1825" s="161"/>
      <c r="AK1825" s="76" t="s">
        <v>1261</v>
      </c>
      <c r="AL1825" s="83" t="s">
        <v>17692</v>
      </c>
      <c r="AM1825" s="71" t="s">
        <v>17693</v>
      </c>
      <c r="AN1825" s="84" t="s">
        <v>17694</v>
      </c>
      <c r="AO1825" s="161"/>
      <c r="AP1825" s="161"/>
      <c r="AQ1825" s="161"/>
      <c r="AR1825" s="71" t="s">
        <v>17695</v>
      </c>
      <c r="AS1825" s="161"/>
      <c r="AT1825" s="161"/>
      <c r="AU1825" s="89"/>
      <c r="AV1825" s="162"/>
      <c r="AW1825" s="81"/>
    </row>
    <row r="1826" ht="15.75" customHeight="1">
      <c r="A1826" s="349" t="s">
        <v>7092</v>
      </c>
      <c r="B1826" s="73"/>
      <c r="C1826" s="57" t="s">
        <v>12959</v>
      </c>
      <c r="D1826" s="241" t="s">
        <v>17696</v>
      </c>
      <c r="E1826" s="241" t="s">
        <v>17697</v>
      </c>
      <c r="F1826" s="79">
        <v>2.0</v>
      </c>
      <c r="G1826" s="83" t="s">
        <v>17698</v>
      </c>
      <c r="H1826" s="61" t="s">
        <v>5522</v>
      </c>
      <c r="I1826" s="215" t="s">
        <v>17699</v>
      </c>
      <c r="J1826" s="476" t="s">
        <v>17700</v>
      </c>
      <c r="K1826" s="69"/>
      <c r="L1826" s="533" t="s">
        <v>3542</v>
      </c>
      <c r="M1826" s="149" t="s">
        <v>5590</v>
      </c>
      <c r="N1826" s="534"/>
      <c r="O1826" s="149" t="s">
        <v>5626</v>
      </c>
      <c r="P1826" s="67" t="str">
        <f t="shared" si="19"/>
        <v>50.04408774, 36.32579987</v>
      </c>
      <c r="Q1826" s="67" t="str">
        <f t="shared" si="20"/>
        <v>50.04384, 36.32649</v>
      </c>
      <c r="R1826" s="67">
        <f t="shared" si="21"/>
        <v>50.04384</v>
      </c>
      <c r="S1826" s="67">
        <f t="shared" si="22"/>
        <v>36.32649</v>
      </c>
      <c r="T1826" s="161"/>
      <c r="U1826" s="69"/>
      <c r="V1826" s="65" t="s">
        <v>17701</v>
      </c>
      <c r="W1826" s="71" t="s">
        <v>3601</v>
      </c>
      <c r="X1826" s="17" t="s">
        <v>9</v>
      </c>
      <c r="Y1826" s="216" t="s">
        <v>5820</v>
      </c>
      <c r="Z1826" s="73"/>
      <c r="AA1826" s="73"/>
      <c r="AB1826" s="73"/>
      <c r="AC1826" s="73"/>
      <c r="AD1826" s="73"/>
      <c r="AE1826" s="73"/>
      <c r="AF1826" s="73"/>
      <c r="AG1826" s="73"/>
      <c r="AH1826" s="73"/>
      <c r="AI1826" s="73"/>
      <c r="AJ1826" s="161"/>
      <c r="AK1826" s="76" t="s">
        <v>6276</v>
      </c>
      <c r="AL1826" s="83" t="s">
        <v>17702</v>
      </c>
      <c r="AM1826" s="71" t="s">
        <v>17703</v>
      </c>
      <c r="AN1826" s="84" t="s">
        <v>17704</v>
      </c>
      <c r="AO1826" s="71" t="s">
        <v>17705</v>
      </c>
      <c r="AP1826" s="161" t="str">
        <f>IMAGE("https://bellingcat-archive.nyc3.cdn.digitaloceanspaces.com/Ukraine_Witness_Datasheet/Worksheet/telegram_3cce1348b6/out7.jpg")</f>
        <v/>
      </c>
      <c r="AQ1826" s="84" t="s">
        <v>17706</v>
      </c>
      <c r="AR1826" s="84" t="s">
        <v>17698</v>
      </c>
      <c r="AS1826" s="71" t="s">
        <v>17707</v>
      </c>
      <c r="AT1826" s="71">
        <v>7.0</v>
      </c>
      <c r="AU1826" s="89"/>
      <c r="AV1826" s="80" t="s">
        <v>63</v>
      </c>
      <c r="AW1826" s="81"/>
    </row>
    <row r="1827" ht="15.75" customHeight="1">
      <c r="A1827" s="349" t="s">
        <v>7092</v>
      </c>
      <c r="B1827" s="73"/>
      <c r="C1827" s="57" t="s">
        <v>12959</v>
      </c>
      <c r="D1827" s="241" t="s">
        <v>17696</v>
      </c>
      <c r="E1827" s="241" t="s">
        <v>17697</v>
      </c>
      <c r="F1827" s="79">
        <v>2.0</v>
      </c>
      <c r="G1827" s="83" t="s">
        <v>17708</v>
      </c>
      <c r="H1827" s="61" t="s">
        <v>91</v>
      </c>
      <c r="I1827" s="215" t="s">
        <v>17699</v>
      </c>
      <c r="J1827" s="476" t="s">
        <v>17700</v>
      </c>
      <c r="K1827" s="69"/>
      <c r="L1827" s="533" t="s">
        <v>3542</v>
      </c>
      <c r="M1827" s="149" t="s">
        <v>5590</v>
      </c>
      <c r="N1827" s="534"/>
      <c r="O1827" s="149" t="s">
        <v>5626</v>
      </c>
      <c r="P1827" s="67" t="str">
        <f t="shared" si="19"/>
        <v>50.04408774, 36.32579987</v>
      </c>
      <c r="Q1827" s="67" t="str">
        <f t="shared" si="20"/>
        <v>50.043556, 36.325823</v>
      </c>
      <c r="R1827" s="67">
        <f t="shared" si="21"/>
        <v>50.043556</v>
      </c>
      <c r="S1827" s="67">
        <f t="shared" si="22"/>
        <v>36.325823</v>
      </c>
      <c r="T1827" s="161"/>
      <c r="U1827" s="69"/>
      <c r="V1827" s="65" t="s">
        <v>17709</v>
      </c>
      <c r="W1827" s="71" t="s">
        <v>3601</v>
      </c>
      <c r="X1827" s="401" t="s">
        <v>10444</v>
      </c>
      <c r="Y1827" s="216" t="s">
        <v>5820</v>
      </c>
      <c r="Z1827" s="73"/>
      <c r="AA1827" s="73"/>
      <c r="AB1827" s="73"/>
      <c r="AC1827" s="73"/>
      <c r="AD1827" s="73"/>
      <c r="AE1827" s="73"/>
      <c r="AF1827" s="73"/>
      <c r="AG1827" s="73"/>
      <c r="AH1827" s="73"/>
      <c r="AI1827" s="73"/>
      <c r="AJ1827" s="161"/>
      <c r="AK1827" s="76" t="s">
        <v>1261</v>
      </c>
      <c r="AL1827" s="83" t="s">
        <v>17710</v>
      </c>
      <c r="AM1827" s="71" t="s">
        <v>17711</v>
      </c>
      <c r="AN1827" s="84" t="s">
        <v>17712</v>
      </c>
      <c r="AO1827" s="161"/>
      <c r="AP1827" s="161"/>
      <c r="AQ1827" s="161"/>
      <c r="AR1827" s="71" t="s">
        <v>17713</v>
      </c>
      <c r="AS1827" s="161"/>
      <c r="AT1827" s="161"/>
      <c r="AU1827" s="89"/>
      <c r="AV1827" s="80" t="s">
        <v>63</v>
      </c>
      <c r="AW1827" s="203" t="s">
        <v>17608</v>
      </c>
    </row>
    <row r="1828" ht="15.75" customHeight="1">
      <c r="A1828" s="349" t="s">
        <v>7092</v>
      </c>
      <c r="B1828" s="73"/>
      <c r="C1828" s="57" t="s">
        <v>12959</v>
      </c>
      <c r="D1828" s="542" t="s">
        <v>17714</v>
      </c>
      <c r="E1828" s="542" t="s">
        <v>17715</v>
      </c>
      <c r="F1828" s="79">
        <v>2.0</v>
      </c>
      <c r="G1828" s="83" t="s">
        <v>17716</v>
      </c>
      <c r="H1828" s="61" t="s">
        <v>5522</v>
      </c>
      <c r="I1828" s="215" t="s">
        <v>17717</v>
      </c>
      <c r="J1828" s="476" t="s">
        <v>17718</v>
      </c>
      <c r="K1828" s="69"/>
      <c r="L1828" s="543" t="s">
        <v>3542</v>
      </c>
      <c r="M1828" s="533" t="s">
        <v>5590</v>
      </c>
      <c r="N1828" s="534"/>
      <c r="O1828" s="533" t="s">
        <v>5626</v>
      </c>
      <c r="P1828" s="67" t="str">
        <f t="shared" si="19"/>
        <v>50.035600, 36.368472</v>
      </c>
      <c r="Q1828" s="67" t="str">
        <f t="shared" si="20"/>
        <v>50.034944, 36.368046</v>
      </c>
      <c r="R1828" s="67">
        <f t="shared" si="21"/>
        <v>50.034944</v>
      </c>
      <c r="S1828" s="67">
        <f t="shared" si="22"/>
        <v>36.368046</v>
      </c>
      <c r="T1828" s="161"/>
      <c r="U1828" s="69"/>
      <c r="V1828" s="65" t="s">
        <v>17719</v>
      </c>
      <c r="W1828" s="71" t="s">
        <v>3601</v>
      </c>
      <c r="X1828" s="17" t="s">
        <v>9</v>
      </c>
      <c r="Y1828" s="216" t="s">
        <v>5820</v>
      </c>
      <c r="Z1828" s="73"/>
      <c r="AA1828" s="73"/>
      <c r="AB1828" s="73"/>
      <c r="AC1828" s="73"/>
      <c r="AD1828" s="73"/>
      <c r="AE1828" s="73"/>
      <c r="AF1828" s="73"/>
      <c r="AG1828" s="73"/>
      <c r="AH1828" s="73"/>
      <c r="AI1828" s="73"/>
      <c r="AJ1828" s="161"/>
      <c r="AK1828" s="76" t="s">
        <v>6276</v>
      </c>
      <c r="AL1828" s="83" t="s">
        <v>17720</v>
      </c>
      <c r="AM1828" s="71" t="s">
        <v>17721</v>
      </c>
      <c r="AN1828" s="84" t="s">
        <v>17722</v>
      </c>
      <c r="AO1828" s="71" t="s">
        <v>17723</v>
      </c>
      <c r="AP1828" s="161" t="str">
        <f>IMAGE("https://bellingcat-archive.nyc3.cdn.digitaloceanspaces.com/Ukraine_Witness_Datasheet/Worksheet/telegram_8e7b843bd8/out7.jpg")</f>
        <v/>
      </c>
      <c r="AQ1828" s="84" t="s">
        <v>17724</v>
      </c>
      <c r="AR1828" s="84" t="s">
        <v>17716</v>
      </c>
      <c r="AS1828" s="71" t="s">
        <v>17725</v>
      </c>
      <c r="AT1828" s="71">
        <v>23.0</v>
      </c>
      <c r="AU1828" s="89"/>
      <c r="AV1828" s="80" t="s">
        <v>63</v>
      </c>
      <c r="AW1828" s="203" t="s">
        <v>17726</v>
      </c>
    </row>
    <row r="1829" ht="15.75" customHeight="1">
      <c r="A1829" s="349" t="s">
        <v>7092</v>
      </c>
      <c r="B1829" s="73"/>
      <c r="C1829" s="57" t="s">
        <v>12959</v>
      </c>
      <c r="D1829" s="542" t="s">
        <v>17714</v>
      </c>
      <c r="E1829" s="542" t="s">
        <v>17715</v>
      </c>
      <c r="F1829" s="79">
        <v>2.0</v>
      </c>
      <c r="G1829" s="83" t="s">
        <v>17727</v>
      </c>
      <c r="H1829" s="61" t="s">
        <v>5522</v>
      </c>
      <c r="I1829" s="215" t="s">
        <v>17717</v>
      </c>
      <c r="J1829" s="476" t="s">
        <v>17718</v>
      </c>
      <c r="K1829" s="69"/>
      <c r="L1829" s="543" t="s">
        <v>3542</v>
      </c>
      <c r="M1829" s="533" t="s">
        <v>5590</v>
      </c>
      <c r="N1829" s="534"/>
      <c r="O1829" s="533" t="s">
        <v>5626</v>
      </c>
      <c r="P1829" s="67" t="str">
        <f t="shared" si="19"/>
        <v>50.035600, 36.368472</v>
      </c>
      <c r="Q1829" s="67" t="str">
        <f t="shared" si="20"/>
        <v>50.034897, 36.369049</v>
      </c>
      <c r="R1829" s="67">
        <f t="shared" si="21"/>
        <v>50.034897</v>
      </c>
      <c r="S1829" s="67">
        <f t="shared" si="22"/>
        <v>36.369049</v>
      </c>
      <c r="T1829" s="161"/>
      <c r="U1829" s="69"/>
      <c r="V1829" s="65" t="s">
        <v>17728</v>
      </c>
      <c r="W1829" s="71" t="s">
        <v>17729</v>
      </c>
      <c r="X1829" s="17" t="s">
        <v>9</v>
      </c>
      <c r="Y1829" s="216" t="s">
        <v>5820</v>
      </c>
      <c r="Z1829" s="73"/>
      <c r="AA1829" s="73"/>
      <c r="AB1829" s="73"/>
      <c r="AC1829" s="73"/>
      <c r="AD1829" s="73"/>
      <c r="AE1829" s="73"/>
      <c r="AF1829" s="73"/>
      <c r="AG1829" s="73"/>
      <c r="AH1829" s="73"/>
      <c r="AI1829" s="73"/>
      <c r="AJ1829" s="161"/>
      <c r="AK1829" s="76" t="s">
        <v>1261</v>
      </c>
      <c r="AL1829" s="83" t="s">
        <v>17730</v>
      </c>
      <c r="AM1829" s="71" t="s">
        <v>17731</v>
      </c>
      <c r="AN1829" s="84" t="s">
        <v>17732</v>
      </c>
      <c r="AO1829" s="161"/>
      <c r="AP1829" s="161"/>
      <c r="AQ1829" s="161"/>
      <c r="AR1829" s="71" t="s">
        <v>17733</v>
      </c>
      <c r="AS1829" s="161"/>
      <c r="AT1829" s="161"/>
      <c r="AU1829" s="89"/>
      <c r="AV1829" s="80" t="s">
        <v>63</v>
      </c>
      <c r="AW1829" s="203" t="s">
        <v>17734</v>
      </c>
    </row>
    <row r="1830" ht="15.75" customHeight="1">
      <c r="A1830" s="354" t="s">
        <v>7092</v>
      </c>
      <c r="B1830" s="73"/>
      <c r="C1830" s="57" t="s">
        <v>12959</v>
      </c>
      <c r="D1830" s="241" t="s">
        <v>17735</v>
      </c>
      <c r="E1830" s="241" t="s">
        <v>17736</v>
      </c>
      <c r="F1830" s="79">
        <v>2.0</v>
      </c>
      <c r="G1830" s="83" t="s">
        <v>17737</v>
      </c>
      <c r="H1830" s="61" t="s">
        <v>5522</v>
      </c>
      <c r="I1830" s="215" t="s">
        <v>17738</v>
      </c>
      <c r="J1830" s="476" t="s">
        <v>17739</v>
      </c>
      <c r="K1830" s="69"/>
      <c r="L1830" s="543" t="s">
        <v>5670</v>
      </c>
      <c r="M1830" s="533" t="s">
        <v>5590</v>
      </c>
      <c r="N1830" s="534"/>
      <c r="O1830" s="533" t="s">
        <v>5626</v>
      </c>
      <c r="P1830" s="67" t="str">
        <f t="shared" si="19"/>
        <v>50.028559, 36.344889</v>
      </c>
      <c r="Q1830" s="67" t="str">
        <f t="shared" si="20"/>
        <v>50.02807, 36.345157</v>
      </c>
      <c r="R1830" s="67">
        <f t="shared" si="21"/>
        <v>50.02807</v>
      </c>
      <c r="S1830" s="67">
        <f t="shared" si="22"/>
        <v>36.345157</v>
      </c>
      <c r="T1830" s="161"/>
      <c r="U1830" s="69"/>
      <c r="V1830" s="65" t="s">
        <v>17740</v>
      </c>
      <c r="W1830" s="71" t="s">
        <v>3601</v>
      </c>
      <c r="X1830" s="17" t="s">
        <v>9</v>
      </c>
      <c r="Y1830" s="216" t="s">
        <v>5820</v>
      </c>
      <c r="Z1830" s="73"/>
      <c r="AA1830" s="73"/>
      <c r="AB1830" s="73"/>
      <c r="AC1830" s="73"/>
      <c r="AD1830" s="73"/>
      <c r="AE1830" s="73"/>
      <c r="AF1830" s="73"/>
      <c r="AG1830" s="73"/>
      <c r="AH1830" s="73"/>
      <c r="AI1830" s="73"/>
      <c r="AJ1830" s="161"/>
      <c r="AK1830" s="76" t="s">
        <v>6276</v>
      </c>
      <c r="AL1830" s="83" t="s">
        <v>17741</v>
      </c>
      <c r="AM1830" s="71" t="s">
        <v>17742</v>
      </c>
      <c r="AN1830" s="84" t="s">
        <v>17743</v>
      </c>
      <c r="AO1830" s="71" t="s">
        <v>17744</v>
      </c>
      <c r="AP1830" s="161" t="str">
        <f>IMAGE("https://bellingcat-archive.nyc3.cdn.digitaloceanspaces.com/Ukraine_Witness_Datasheet/Worksheet/telegram_9ce493c8df/out7.jpg")</f>
        <v/>
      </c>
      <c r="AQ1830" s="84" t="s">
        <v>17745</v>
      </c>
      <c r="AR1830" s="84" t="s">
        <v>17737</v>
      </c>
      <c r="AS1830" s="71" t="s">
        <v>17746</v>
      </c>
      <c r="AT1830" s="71">
        <v>28.0</v>
      </c>
      <c r="AU1830" s="89"/>
      <c r="AV1830" s="162"/>
      <c r="AW1830" s="81"/>
    </row>
    <row r="1831" ht="15.75" customHeight="1">
      <c r="A1831" s="354" t="s">
        <v>7092</v>
      </c>
      <c r="B1831" s="73"/>
      <c r="C1831" s="57" t="s">
        <v>12959</v>
      </c>
      <c r="D1831" s="241" t="s">
        <v>17735</v>
      </c>
      <c r="E1831" s="241" t="s">
        <v>17736</v>
      </c>
      <c r="F1831" s="79">
        <v>2.0</v>
      </c>
      <c r="G1831" s="83" t="s">
        <v>17747</v>
      </c>
      <c r="H1831" s="61" t="s">
        <v>5522</v>
      </c>
      <c r="I1831" s="215" t="s">
        <v>17738</v>
      </c>
      <c r="J1831" s="476" t="s">
        <v>17739</v>
      </c>
      <c r="K1831" s="69"/>
      <c r="L1831" s="65" t="s">
        <v>3542</v>
      </c>
      <c r="M1831" s="61" t="s">
        <v>5590</v>
      </c>
      <c r="N1831" s="73"/>
      <c r="O1831" s="61" t="s">
        <v>5626</v>
      </c>
      <c r="P1831" s="67" t="str">
        <f t="shared" si="19"/>
        <v>50.028559, 36.344889</v>
      </c>
      <c r="Q1831" s="67" t="str">
        <f t="shared" si="20"/>
        <v>50.027962, 36.344779</v>
      </c>
      <c r="R1831" s="67">
        <f t="shared" si="21"/>
        <v>50.027962</v>
      </c>
      <c r="S1831" s="67">
        <f t="shared" si="22"/>
        <v>36.344779</v>
      </c>
      <c r="T1831" s="161"/>
      <c r="U1831" s="69"/>
      <c r="V1831" s="65" t="s">
        <v>17748</v>
      </c>
      <c r="W1831" s="71" t="s">
        <v>3601</v>
      </c>
      <c r="X1831" s="17" t="s">
        <v>9</v>
      </c>
      <c r="Y1831" s="216" t="s">
        <v>5820</v>
      </c>
      <c r="Z1831" s="73"/>
      <c r="AA1831" s="73"/>
      <c r="AB1831" s="73"/>
      <c r="AC1831" s="73"/>
      <c r="AD1831" s="73"/>
      <c r="AE1831" s="73"/>
      <c r="AF1831" s="73"/>
      <c r="AG1831" s="73"/>
      <c r="AH1831" s="73"/>
      <c r="AI1831" s="73"/>
      <c r="AJ1831" s="161"/>
      <c r="AK1831" s="76" t="s">
        <v>1261</v>
      </c>
      <c r="AL1831" s="83" t="s">
        <v>17749</v>
      </c>
      <c r="AM1831" s="71" t="s">
        <v>17750</v>
      </c>
      <c r="AN1831" s="84" t="s">
        <v>17751</v>
      </c>
      <c r="AO1831" s="161"/>
      <c r="AP1831" s="161"/>
      <c r="AQ1831" s="161"/>
      <c r="AR1831" s="71" t="s">
        <v>17752</v>
      </c>
      <c r="AS1831" s="161"/>
      <c r="AT1831" s="161"/>
      <c r="AU1831" s="89"/>
      <c r="AV1831" s="162"/>
      <c r="AW1831" s="81"/>
    </row>
    <row r="1832" ht="15.75" customHeight="1">
      <c r="A1832" s="354" t="s">
        <v>7092</v>
      </c>
      <c r="B1832" s="73"/>
      <c r="C1832" s="57" t="s">
        <v>12959</v>
      </c>
      <c r="D1832" s="241" t="s">
        <v>17753</v>
      </c>
      <c r="E1832" s="241" t="s">
        <v>17754</v>
      </c>
      <c r="F1832" s="79">
        <v>3.0</v>
      </c>
      <c r="G1832" s="83" t="s">
        <v>17755</v>
      </c>
      <c r="H1832" s="61" t="s">
        <v>5522</v>
      </c>
      <c r="I1832" s="215" t="s">
        <v>17756</v>
      </c>
      <c r="J1832" s="476" t="s">
        <v>17757</v>
      </c>
      <c r="K1832" s="69"/>
      <c r="L1832" s="65" t="s">
        <v>3542</v>
      </c>
      <c r="M1832" s="61" t="s">
        <v>5827</v>
      </c>
      <c r="N1832" s="73"/>
      <c r="O1832" s="61" t="s">
        <v>12713</v>
      </c>
      <c r="P1832" s="67" t="str">
        <f t="shared" si="19"/>
        <v>50.440221, 30.295086</v>
      </c>
      <c r="Q1832" s="67" t="str">
        <f t="shared" si="20"/>
        <v>50.439461, 30.294877</v>
      </c>
      <c r="R1832" s="67">
        <f t="shared" si="21"/>
        <v>50.439461</v>
      </c>
      <c r="S1832" s="67">
        <f t="shared" si="22"/>
        <v>30.294877</v>
      </c>
      <c r="T1832" s="161"/>
      <c r="U1832" s="69"/>
      <c r="V1832" s="65" t="s">
        <v>17758</v>
      </c>
      <c r="W1832" s="71" t="s">
        <v>3601</v>
      </c>
      <c r="X1832" s="17" t="s">
        <v>9</v>
      </c>
      <c r="Y1832" s="216" t="s">
        <v>5820</v>
      </c>
      <c r="Z1832" s="73"/>
      <c r="AA1832" s="73"/>
      <c r="AB1832" s="73"/>
      <c r="AC1832" s="73"/>
      <c r="AD1832" s="73"/>
      <c r="AE1832" s="73"/>
      <c r="AF1832" s="73"/>
      <c r="AG1832" s="73"/>
      <c r="AH1832" s="73"/>
      <c r="AI1832" s="73"/>
      <c r="AJ1832" s="161"/>
      <c r="AK1832" s="76" t="s">
        <v>6276</v>
      </c>
      <c r="AL1832" s="83" t="s">
        <v>17759</v>
      </c>
      <c r="AM1832" s="71" t="s">
        <v>17760</v>
      </c>
      <c r="AN1832" s="84" t="s">
        <v>17761</v>
      </c>
      <c r="AO1832" s="71" t="s">
        <v>17762</v>
      </c>
      <c r="AP1832" s="161" t="str">
        <f>IMAGE("https://bellingcat-archive.nyc3.cdn.digitaloceanspaces.com/Ukraine_Witness_Datasheet/Worksheet/telegram_5e643253a1/out20.jpg")</f>
        <v/>
      </c>
      <c r="AQ1832" s="84" t="s">
        <v>17763</v>
      </c>
      <c r="AR1832" s="84" t="s">
        <v>17755</v>
      </c>
      <c r="AS1832" s="71" t="s">
        <v>17764</v>
      </c>
      <c r="AT1832" s="71">
        <v>72.0</v>
      </c>
      <c r="AU1832" s="89"/>
      <c r="AV1832" s="162"/>
      <c r="AW1832" s="81"/>
    </row>
    <row r="1833" ht="15.75" customHeight="1">
      <c r="A1833" s="354" t="s">
        <v>7092</v>
      </c>
      <c r="B1833" s="73"/>
      <c r="C1833" s="57" t="s">
        <v>12959</v>
      </c>
      <c r="D1833" s="241" t="s">
        <v>17753</v>
      </c>
      <c r="E1833" s="241" t="s">
        <v>17754</v>
      </c>
      <c r="F1833" s="79">
        <v>3.0</v>
      </c>
      <c r="G1833" s="83" t="s">
        <v>17765</v>
      </c>
      <c r="H1833" s="61" t="s">
        <v>5522</v>
      </c>
      <c r="I1833" s="215" t="s">
        <v>17756</v>
      </c>
      <c r="J1833" s="476" t="s">
        <v>17757</v>
      </c>
      <c r="K1833" s="69"/>
      <c r="L1833" s="65" t="s">
        <v>3542</v>
      </c>
      <c r="M1833" s="61" t="s">
        <v>5827</v>
      </c>
      <c r="N1833" s="73"/>
      <c r="O1833" s="61" t="s">
        <v>12713</v>
      </c>
      <c r="P1833" s="67" t="str">
        <f t="shared" si="19"/>
        <v>50.440221, 30.295086</v>
      </c>
      <c r="Q1833" s="67" t="str">
        <f t="shared" si="20"/>
        <v>50.43975, 30.29599</v>
      </c>
      <c r="R1833" s="67">
        <f t="shared" si="21"/>
        <v>50.43975</v>
      </c>
      <c r="S1833" s="67">
        <f t="shared" si="22"/>
        <v>30.29599</v>
      </c>
      <c r="T1833" s="161"/>
      <c r="U1833" s="69"/>
      <c r="V1833" s="65" t="s">
        <v>17766</v>
      </c>
      <c r="W1833" s="71" t="s">
        <v>3601</v>
      </c>
      <c r="X1833" s="17" t="s">
        <v>9</v>
      </c>
      <c r="Y1833" s="216" t="s">
        <v>5820</v>
      </c>
      <c r="Z1833" s="73"/>
      <c r="AA1833" s="73"/>
      <c r="AB1833" s="73"/>
      <c r="AC1833" s="73"/>
      <c r="AD1833" s="73"/>
      <c r="AE1833" s="73"/>
      <c r="AF1833" s="73"/>
      <c r="AG1833" s="73"/>
      <c r="AH1833" s="73"/>
      <c r="AI1833" s="73"/>
      <c r="AJ1833" s="161"/>
      <c r="AK1833" s="76" t="s">
        <v>1261</v>
      </c>
      <c r="AL1833" s="83" t="s">
        <v>17767</v>
      </c>
      <c r="AM1833" s="71" t="s">
        <v>17768</v>
      </c>
      <c r="AN1833" s="84" t="s">
        <v>17769</v>
      </c>
      <c r="AO1833" s="161"/>
      <c r="AP1833" s="161"/>
      <c r="AQ1833" s="161"/>
      <c r="AR1833" s="71" t="s">
        <v>17770</v>
      </c>
      <c r="AS1833" s="161"/>
      <c r="AT1833" s="161"/>
      <c r="AU1833" s="89"/>
      <c r="AV1833" s="162"/>
      <c r="AW1833" s="81"/>
    </row>
    <row r="1834" ht="15.75" customHeight="1">
      <c r="A1834" s="373" t="s">
        <v>6924</v>
      </c>
      <c r="B1834" s="73"/>
      <c r="C1834" s="57" t="s">
        <v>13542</v>
      </c>
      <c r="D1834" s="241" t="s">
        <v>17771</v>
      </c>
      <c r="E1834" s="241" t="s">
        <v>17772</v>
      </c>
      <c r="F1834" s="79">
        <v>4.0</v>
      </c>
      <c r="G1834" s="83" t="s">
        <v>17773</v>
      </c>
      <c r="H1834" s="61" t="s">
        <v>5522</v>
      </c>
      <c r="I1834" s="215" t="s">
        <v>17774</v>
      </c>
      <c r="J1834" s="476" t="s">
        <v>17775</v>
      </c>
      <c r="K1834" s="69"/>
      <c r="L1834" s="65" t="s">
        <v>3542</v>
      </c>
      <c r="M1834" s="61" t="s">
        <v>5524</v>
      </c>
      <c r="N1834" s="73"/>
      <c r="O1834" s="92" t="s">
        <v>15237</v>
      </c>
      <c r="P1834" s="67" t="str">
        <f t="shared" si="19"/>
        <v>49.536328, 39.105667</v>
      </c>
      <c r="Q1834" s="67" t="str">
        <f t="shared" si="20"/>
        <v>49.535729, 39.106481</v>
      </c>
      <c r="R1834" s="67">
        <f t="shared" si="21"/>
        <v>49.535729</v>
      </c>
      <c r="S1834" s="67">
        <f t="shared" si="22"/>
        <v>39.106481</v>
      </c>
      <c r="T1834" s="161"/>
      <c r="U1834" s="69"/>
      <c r="V1834" s="65" t="s">
        <v>17776</v>
      </c>
      <c r="W1834" s="71" t="s">
        <v>10666</v>
      </c>
      <c r="X1834" s="544"/>
      <c r="Y1834" s="252"/>
      <c r="Z1834" s="73"/>
      <c r="AA1834" s="73"/>
      <c r="AB1834" s="73"/>
      <c r="AC1834" s="73"/>
      <c r="AD1834" s="73"/>
      <c r="AE1834" s="73"/>
      <c r="AF1834" s="73"/>
      <c r="AG1834" s="73"/>
      <c r="AH1834" s="73"/>
      <c r="AI1834" s="73"/>
      <c r="AJ1834" s="161"/>
      <c r="AK1834" s="76" t="s">
        <v>13647</v>
      </c>
      <c r="AL1834" s="269"/>
      <c r="AM1834" s="161"/>
      <c r="AN1834" s="161"/>
      <c r="AO1834" s="161"/>
      <c r="AP1834" s="161"/>
      <c r="AQ1834" s="161"/>
      <c r="AR1834" s="161"/>
      <c r="AS1834" s="161"/>
      <c r="AT1834" s="161"/>
      <c r="AU1834" s="89"/>
      <c r="AV1834" s="162"/>
      <c r="AW1834" s="81"/>
    </row>
    <row r="1835" ht="15.75" customHeight="1">
      <c r="A1835" s="373" t="s">
        <v>6924</v>
      </c>
      <c r="B1835" s="73"/>
      <c r="C1835" s="57" t="s">
        <v>13542</v>
      </c>
      <c r="D1835" s="241" t="s">
        <v>17771</v>
      </c>
      <c r="E1835" s="241" t="s">
        <v>17772</v>
      </c>
      <c r="F1835" s="79">
        <v>4.0</v>
      </c>
      <c r="G1835" s="83" t="s">
        <v>17777</v>
      </c>
      <c r="H1835" s="61" t="s">
        <v>91</v>
      </c>
      <c r="I1835" s="215" t="s">
        <v>17774</v>
      </c>
      <c r="J1835" s="476" t="s">
        <v>17775</v>
      </c>
      <c r="K1835" s="69"/>
      <c r="L1835" s="65" t="s">
        <v>3542</v>
      </c>
      <c r="M1835" s="61" t="s">
        <v>5524</v>
      </c>
      <c r="N1835" s="73"/>
      <c r="O1835" s="92" t="s">
        <v>15237</v>
      </c>
      <c r="P1835" s="67" t="str">
        <f t="shared" si="19"/>
        <v>49.536328, 39.105667</v>
      </c>
      <c r="Q1835" s="67" t="str">
        <f t="shared" si="20"/>
        <v>49.535695, 39.105704</v>
      </c>
      <c r="R1835" s="67">
        <f t="shared" si="21"/>
        <v>49.535695</v>
      </c>
      <c r="S1835" s="67">
        <f t="shared" si="22"/>
        <v>39.105704</v>
      </c>
      <c r="T1835" s="161"/>
      <c r="U1835" s="69"/>
      <c r="V1835" s="65" t="s">
        <v>17778</v>
      </c>
      <c r="W1835" s="71" t="s">
        <v>10666</v>
      </c>
      <c r="X1835" s="544"/>
      <c r="Y1835" s="252"/>
      <c r="Z1835" s="73"/>
      <c r="AA1835" s="73"/>
      <c r="AB1835" s="73"/>
      <c r="AC1835" s="73"/>
      <c r="AD1835" s="73"/>
      <c r="AE1835" s="73"/>
      <c r="AF1835" s="73"/>
      <c r="AG1835" s="73"/>
      <c r="AH1835" s="73"/>
      <c r="AI1835" s="73"/>
      <c r="AJ1835" s="161"/>
      <c r="AK1835" s="76" t="s">
        <v>1261</v>
      </c>
      <c r="AL1835" s="83" t="s">
        <v>17779</v>
      </c>
      <c r="AM1835" s="71" t="s">
        <v>17780</v>
      </c>
      <c r="AN1835" s="84" t="s">
        <v>17781</v>
      </c>
      <c r="AO1835" s="161"/>
      <c r="AP1835" s="161"/>
      <c r="AQ1835" s="161"/>
      <c r="AR1835" s="71" t="s">
        <v>17782</v>
      </c>
      <c r="AS1835" s="161"/>
      <c r="AT1835" s="161"/>
      <c r="AU1835" s="89"/>
      <c r="AV1835" s="162"/>
      <c r="AW1835" s="81"/>
    </row>
    <row r="1836" ht="15.75" customHeight="1">
      <c r="A1836" s="373" t="s">
        <v>6924</v>
      </c>
      <c r="B1836" s="73"/>
      <c r="C1836" s="57" t="s">
        <v>13542</v>
      </c>
      <c r="D1836" s="241" t="s">
        <v>17771</v>
      </c>
      <c r="E1836" s="241" t="s">
        <v>17772</v>
      </c>
      <c r="F1836" s="79">
        <v>4.0</v>
      </c>
      <c r="G1836" s="83" t="s">
        <v>17783</v>
      </c>
      <c r="H1836" s="61" t="s">
        <v>5522</v>
      </c>
      <c r="I1836" s="215" t="s">
        <v>17774</v>
      </c>
      <c r="J1836" s="476" t="s">
        <v>17775</v>
      </c>
      <c r="K1836" s="69"/>
      <c r="L1836" s="65" t="s">
        <v>3542</v>
      </c>
      <c r="M1836" s="61" t="s">
        <v>5524</v>
      </c>
      <c r="N1836" s="73"/>
      <c r="O1836" s="92" t="s">
        <v>15237</v>
      </c>
      <c r="P1836" s="67" t="str">
        <f t="shared" si="19"/>
        <v>49.536328, 39.105667</v>
      </c>
      <c r="Q1836" s="67" t="str">
        <f t="shared" si="20"/>
        <v>49.535906, 39.10536</v>
      </c>
      <c r="R1836" s="67">
        <f t="shared" si="21"/>
        <v>49.535906</v>
      </c>
      <c r="S1836" s="67">
        <f t="shared" si="22"/>
        <v>39.10536</v>
      </c>
      <c r="T1836" s="161"/>
      <c r="U1836" s="69"/>
      <c r="V1836" s="65" t="s">
        <v>17784</v>
      </c>
      <c r="W1836" s="71" t="s">
        <v>6108</v>
      </c>
      <c r="X1836" s="544"/>
      <c r="Y1836" s="252"/>
      <c r="Z1836" s="73"/>
      <c r="AA1836" s="73"/>
      <c r="AB1836" s="73"/>
      <c r="AC1836" s="73"/>
      <c r="AD1836" s="73"/>
      <c r="AE1836" s="73"/>
      <c r="AF1836" s="73"/>
      <c r="AG1836" s="73"/>
      <c r="AH1836" s="73"/>
      <c r="AI1836" s="73"/>
      <c r="AJ1836" s="161"/>
      <c r="AK1836" s="76" t="s">
        <v>798</v>
      </c>
      <c r="AL1836" s="83" t="s">
        <v>17785</v>
      </c>
      <c r="AM1836" s="71" t="s">
        <v>17786</v>
      </c>
      <c r="AN1836" s="84" t="s">
        <v>17787</v>
      </c>
      <c r="AO1836" s="71" t="s">
        <v>17113</v>
      </c>
      <c r="AP1836" s="161" t="str">
        <f>IMAGE("https://bellingcat-archive.nyc3.cdn.digitaloceanspaces.com/Ukraine_Witness_Datasheet/Worksheet/youtube_dl_1500135392607145989/out20.jpg")</f>
        <v/>
      </c>
      <c r="AQ1836" s="84" t="s">
        <v>17788</v>
      </c>
      <c r="AR1836" s="71" t="s">
        <v>17789</v>
      </c>
      <c r="AS1836" s="71" t="s">
        <v>17790</v>
      </c>
      <c r="AT1836" s="71">
        <v>138.9</v>
      </c>
      <c r="AU1836" s="89"/>
      <c r="AV1836" s="162"/>
      <c r="AW1836" s="81"/>
    </row>
    <row r="1837" ht="15.75" customHeight="1">
      <c r="A1837" s="354" t="s">
        <v>7092</v>
      </c>
      <c r="B1837" s="73"/>
      <c r="C1837" s="176"/>
      <c r="D1837" s="241" t="s">
        <v>17791</v>
      </c>
      <c r="E1837" s="241" t="s">
        <v>17792</v>
      </c>
      <c r="F1837" s="79">
        <v>2.0</v>
      </c>
      <c r="G1837" s="83" t="s">
        <v>17793</v>
      </c>
      <c r="H1837" s="61" t="s">
        <v>91</v>
      </c>
      <c r="I1837" s="215" t="s">
        <v>17794</v>
      </c>
      <c r="J1837" s="476" t="s">
        <v>17795</v>
      </c>
      <c r="K1837" s="69"/>
      <c r="L1837" s="65" t="s">
        <v>3542</v>
      </c>
      <c r="M1837" s="61" t="s">
        <v>5827</v>
      </c>
      <c r="N1837" s="73"/>
      <c r="O1837" s="61" t="s">
        <v>12646</v>
      </c>
      <c r="P1837" s="67" t="str">
        <f t="shared" si="19"/>
        <v>50.49737427, 30.24228574</v>
      </c>
      <c r="Q1837" s="67" t="str">
        <f t="shared" si="20"/>
        <v>50.496828, 30.242283</v>
      </c>
      <c r="R1837" s="67">
        <f t="shared" si="21"/>
        <v>50.496828</v>
      </c>
      <c r="S1837" s="67">
        <f t="shared" si="22"/>
        <v>30.242283</v>
      </c>
      <c r="T1837" s="161"/>
      <c r="U1837" s="69"/>
      <c r="V1837" s="65" t="s">
        <v>17796</v>
      </c>
      <c r="W1837" s="71" t="s">
        <v>3601</v>
      </c>
      <c r="X1837" s="17" t="s">
        <v>9</v>
      </c>
      <c r="Y1837" s="216" t="s">
        <v>5820</v>
      </c>
      <c r="Z1837" s="73"/>
      <c r="AA1837" s="73"/>
      <c r="AB1837" s="73"/>
      <c r="AC1837" s="73"/>
      <c r="AD1837" s="73"/>
      <c r="AE1837" s="73"/>
      <c r="AF1837" s="73"/>
      <c r="AG1837" s="73"/>
      <c r="AH1837" s="73"/>
      <c r="AI1837" s="73"/>
      <c r="AJ1837" s="161"/>
      <c r="AK1837" s="76" t="s">
        <v>6276</v>
      </c>
      <c r="AL1837" s="83" t="s">
        <v>17797</v>
      </c>
      <c r="AM1837" s="71" t="s">
        <v>17798</v>
      </c>
      <c r="AN1837" s="84" t="s">
        <v>17799</v>
      </c>
      <c r="AO1837" s="71" t="s">
        <v>17800</v>
      </c>
      <c r="AP1837" s="161"/>
      <c r="AQ1837" s="161"/>
      <c r="AR1837" s="161"/>
      <c r="AS1837" s="71" t="s">
        <v>17801</v>
      </c>
      <c r="AT1837" s="161"/>
      <c r="AU1837" s="89"/>
      <c r="AV1837" s="162"/>
      <c r="AW1837" s="81"/>
    </row>
    <row r="1838" ht="15.75" customHeight="1">
      <c r="A1838" s="354" t="s">
        <v>7092</v>
      </c>
      <c r="B1838" s="73"/>
      <c r="C1838" s="176"/>
      <c r="D1838" s="241" t="s">
        <v>17791</v>
      </c>
      <c r="E1838" s="241" t="s">
        <v>17792</v>
      </c>
      <c r="F1838" s="79">
        <v>2.0</v>
      </c>
      <c r="G1838" s="83" t="s">
        <v>17802</v>
      </c>
      <c r="H1838" s="61" t="s">
        <v>5522</v>
      </c>
      <c r="I1838" s="215" t="s">
        <v>17794</v>
      </c>
      <c r="J1838" s="476" t="s">
        <v>17795</v>
      </c>
      <c r="K1838" s="69"/>
      <c r="L1838" s="65" t="s">
        <v>3542</v>
      </c>
      <c r="M1838" s="61" t="s">
        <v>5827</v>
      </c>
      <c r="N1838" s="73"/>
      <c r="O1838" s="61" t="s">
        <v>12646</v>
      </c>
      <c r="P1838" s="67" t="str">
        <f t="shared" si="19"/>
        <v>50.49737427, 30.24228574</v>
      </c>
      <c r="Q1838" s="67" t="str">
        <f t="shared" si="20"/>
        <v>50.497064, 30.24152</v>
      </c>
      <c r="R1838" s="67">
        <f t="shared" si="21"/>
        <v>50.497064</v>
      </c>
      <c r="S1838" s="67">
        <f t="shared" si="22"/>
        <v>30.24152</v>
      </c>
      <c r="T1838" s="161"/>
      <c r="U1838" s="69"/>
      <c r="V1838" s="65" t="s">
        <v>17803</v>
      </c>
      <c r="W1838" s="71" t="s">
        <v>3601</v>
      </c>
      <c r="X1838" s="17" t="s">
        <v>9</v>
      </c>
      <c r="Y1838" s="216" t="s">
        <v>5820</v>
      </c>
      <c r="Z1838" s="73"/>
      <c r="AA1838" s="73"/>
      <c r="AB1838" s="73"/>
      <c r="AC1838" s="73"/>
      <c r="AD1838" s="73"/>
      <c r="AE1838" s="73"/>
      <c r="AF1838" s="73"/>
      <c r="AG1838" s="73"/>
      <c r="AH1838" s="73"/>
      <c r="AI1838" s="73"/>
      <c r="AJ1838" s="161"/>
      <c r="AK1838" s="76" t="s">
        <v>1261</v>
      </c>
      <c r="AL1838" s="83" t="s">
        <v>17804</v>
      </c>
      <c r="AM1838" s="71" t="s">
        <v>17805</v>
      </c>
      <c r="AN1838" s="84" t="s">
        <v>17806</v>
      </c>
      <c r="AO1838" s="161"/>
      <c r="AP1838" s="161"/>
      <c r="AQ1838" s="161"/>
      <c r="AR1838" s="71" t="s">
        <v>17807</v>
      </c>
      <c r="AS1838" s="161"/>
      <c r="AT1838" s="161"/>
      <c r="AU1838" s="89"/>
      <c r="AV1838" s="162"/>
      <c r="AW1838" s="81"/>
    </row>
    <row r="1839" ht="15.75" customHeight="1">
      <c r="A1839" s="373" t="s">
        <v>6924</v>
      </c>
      <c r="B1839" s="73"/>
      <c r="C1839" s="57" t="s">
        <v>12959</v>
      </c>
      <c r="D1839" s="260"/>
      <c r="E1839" s="260"/>
      <c r="F1839" s="89"/>
      <c r="G1839" s="83" t="s">
        <v>17808</v>
      </c>
      <c r="H1839" s="73"/>
      <c r="I1839" s="215" t="s">
        <v>17809</v>
      </c>
      <c r="J1839" s="476" t="s">
        <v>17810</v>
      </c>
      <c r="K1839" s="69"/>
      <c r="L1839" s="70"/>
      <c r="M1839" s="73"/>
      <c r="N1839" s="73"/>
      <c r="O1839" s="73"/>
      <c r="P1839" s="67" t="str">
        <f t="shared" si="19"/>
        <v/>
      </c>
      <c r="Q1839" s="67" t="str">
        <f t="shared" si="20"/>
        <v/>
      </c>
      <c r="R1839" s="67" t="str">
        <f t="shared" si="21"/>
        <v/>
      </c>
      <c r="S1839" s="67" t="str">
        <f t="shared" si="22"/>
        <v/>
      </c>
      <c r="T1839" s="161"/>
      <c r="U1839" s="69"/>
      <c r="V1839" s="65" t="s">
        <v>17811</v>
      </c>
      <c r="W1839" s="161"/>
      <c r="X1839" s="544"/>
      <c r="Y1839" s="252"/>
      <c r="Z1839" s="73"/>
      <c r="AA1839" s="73"/>
      <c r="AB1839" s="73"/>
      <c r="AC1839" s="73"/>
      <c r="AD1839" s="73"/>
      <c r="AE1839" s="73"/>
      <c r="AF1839" s="73"/>
      <c r="AG1839" s="73"/>
      <c r="AH1839" s="73"/>
      <c r="AI1839" s="73"/>
      <c r="AJ1839" s="161"/>
      <c r="AK1839" s="76" t="s">
        <v>1261</v>
      </c>
      <c r="AL1839" s="83" t="s">
        <v>17812</v>
      </c>
      <c r="AM1839" s="71" t="s">
        <v>17813</v>
      </c>
      <c r="AN1839" s="84" t="s">
        <v>17814</v>
      </c>
      <c r="AO1839" s="161"/>
      <c r="AP1839" s="161"/>
      <c r="AQ1839" s="161"/>
      <c r="AR1839" s="71" t="s">
        <v>17807</v>
      </c>
      <c r="AS1839" s="161"/>
      <c r="AT1839" s="161"/>
      <c r="AU1839" s="89"/>
      <c r="AV1839" s="162"/>
      <c r="AW1839" s="81"/>
    </row>
    <row r="1840" ht="15.75" customHeight="1">
      <c r="A1840" s="354" t="s">
        <v>7092</v>
      </c>
      <c r="B1840" s="73"/>
      <c r="C1840" s="57" t="s">
        <v>12959</v>
      </c>
      <c r="D1840" s="241" t="s">
        <v>17815</v>
      </c>
      <c r="E1840" s="241" t="s">
        <v>17816</v>
      </c>
      <c r="F1840" s="79">
        <v>2.0</v>
      </c>
      <c r="G1840" s="83" t="s">
        <v>17817</v>
      </c>
      <c r="H1840" s="61" t="s">
        <v>91</v>
      </c>
      <c r="I1840" s="215" t="s">
        <v>17818</v>
      </c>
      <c r="J1840" s="476" t="s">
        <v>17819</v>
      </c>
      <c r="K1840" s="69"/>
      <c r="L1840" s="65" t="s">
        <v>5670</v>
      </c>
      <c r="M1840" s="61" t="s">
        <v>5827</v>
      </c>
      <c r="N1840" s="73"/>
      <c r="O1840" s="61" t="s">
        <v>12646</v>
      </c>
      <c r="P1840" s="67" t="str">
        <f t="shared" si="19"/>
        <v>50.522583, 30.226549</v>
      </c>
      <c r="Q1840" s="67" t="str">
        <f t="shared" si="20"/>
        <v>50.522498, 30.225746</v>
      </c>
      <c r="R1840" s="67">
        <f t="shared" si="21"/>
        <v>50.522498</v>
      </c>
      <c r="S1840" s="67">
        <f t="shared" si="22"/>
        <v>30.225746</v>
      </c>
      <c r="T1840" s="161"/>
      <c r="U1840" s="69"/>
      <c r="V1840" s="65" t="s">
        <v>17820</v>
      </c>
      <c r="W1840" s="71" t="s">
        <v>3601</v>
      </c>
      <c r="X1840" s="17" t="s">
        <v>9</v>
      </c>
      <c r="Y1840" s="216" t="s">
        <v>5820</v>
      </c>
      <c r="Z1840" s="73"/>
      <c r="AA1840" s="73"/>
      <c r="AB1840" s="73"/>
      <c r="AC1840" s="73"/>
      <c r="AD1840" s="73"/>
      <c r="AE1840" s="73"/>
      <c r="AF1840" s="73"/>
      <c r="AG1840" s="73"/>
      <c r="AH1840" s="73"/>
      <c r="AI1840" s="73"/>
      <c r="AJ1840" s="161"/>
      <c r="AK1840" s="76" t="s">
        <v>2108</v>
      </c>
      <c r="AL1840" s="83" t="s">
        <v>17821</v>
      </c>
      <c r="AM1840" s="71" t="s">
        <v>17822</v>
      </c>
      <c r="AN1840" s="84" t="s">
        <v>17823</v>
      </c>
      <c r="AO1840" s="71" t="s">
        <v>17824</v>
      </c>
      <c r="AP1840" s="161" t="str">
        <f>IMAGE("https://bellingcat-archive.nyc3.cdn.digitaloceanspaces.com/Ukraine_Witness_Datasheet/Worksheet/twitter__media_FNGOWHEXwAYwc_4.jpg")</f>
        <v/>
      </c>
      <c r="AQ1840" s="161"/>
      <c r="AR1840" s="161"/>
      <c r="AS1840" s="71" t="s">
        <v>17825</v>
      </c>
      <c r="AT1840" s="161"/>
      <c r="AU1840" s="89"/>
      <c r="AV1840" s="162"/>
      <c r="AW1840" s="81"/>
    </row>
    <row r="1841" ht="15.75" customHeight="1">
      <c r="A1841" s="354" t="s">
        <v>7092</v>
      </c>
      <c r="B1841" s="73"/>
      <c r="C1841" s="57" t="s">
        <v>12959</v>
      </c>
      <c r="D1841" s="241" t="s">
        <v>17815</v>
      </c>
      <c r="E1841" s="241" t="s">
        <v>17816</v>
      </c>
      <c r="F1841" s="79">
        <v>2.0</v>
      </c>
      <c r="G1841" s="83" t="s">
        <v>17826</v>
      </c>
      <c r="H1841" s="61" t="s">
        <v>91</v>
      </c>
      <c r="I1841" s="215" t="s">
        <v>17818</v>
      </c>
      <c r="J1841" s="476" t="s">
        <v>17819</v>
      </c>
      <c r="K1841" s="69"/>
      <c r="L1841" s="65" t="s">
        <v>5670</v>
      </c>
      <c r="M1841" s="61" t="s">
        <v>5827</v>
      </c>
      <c r="N1841" s="73"/>
      <c r="O1841" s="61" t="s">
        <v>12646</v>
      </c>
      <c r="P1841" s="67" t="str">
        <f t="shared" si="19"/>
        <v>50.522583, 30.226549</v>
      </c>
      <c r="Q1841" s="67" t="str">
        <f t="shared" si="20"/>
        <v>50.522273, 30.226925</v>
      </c>
      <c r="R1841" s="67">
        <f t="shared" si="21"/>
        <v>50.522273</v>
      </c>
      <c r="S1841" s="67">
        <f t="shared" si="22"/>
        <v>30.226925</v>
      </c>
      <c r="T1841" s="161"/>
      <c r="U1841" s="69"/>
      <c r="V1841" s="65" t="s">
        <v>17827</v>
      </c>
      <c r="W1841" s="71" t="s">
        <v>3601</v>
      </c>
      <c r="X1841" s="17" t="s">
        <v>9</v>
      </c>
      <c r="Y1841" s="216" t="s">
        <v>5820</v>
      </c>
      <c r="Z1841" s="73"/>
      <c r="AA1841" s="73"/>
      <c r="AB1841" s="73"/>
      <c r="AC1841" s="73"/>
      <c r="AD1841" s="73"/>
      <c r="AE1841" s="73"/>
      <c r="AF1841" s="73"/>
      <c r="AG1841" s="73"/>
      <c r="AH1841" s="73"/>
      <c r="AI1841" s="73"/>
      <c r="AJ1841" s="161"/>
      <c r="AK1841" s="76" t="s">
        <v>1261</v>
      </c>
      <c r="AL1841" s="83" t="s">
        <v>17828</v>
      </c>
      <c r="AM1841" s="71" t="s">
        <v>17829</v>
      </c>
      <c r="AN1841" s="84" t="s">
        <v>17830</v>
      </c>
      <c r="AO1841" s="161"/>
      <c r="AP1841" s="161"/>
      <c r="AQ1841" s="161"/>
      <c r="AR1841" s="71" t="s">
        <v>7184</v>
      </c>
      <c r="AS1841" s="161"/>
      <c r="AT1841" s="161"/>
      <c r="AU1841" s="89"/>
      <c r="AV1841" s="162"/>
      <c r="AW1841" s="81"/>
    </row>
    <row r="1842" ht="15.75" customHeight="1">
      <c r="A1842" s="354" t="s">
        <v>7092</v>
      </c>
      <c r="B1842" s="73"/>
      <c r="C1842" s="57" t="s">
        <v>12959</v>
      </c>
      <c r="D1842" s="241" t="s">
        <v>17815</v>
      </c>
      <c r="E1842" s="241" t="s">
        <v>17816</v>
      </c>
      <c r="F1842" s="79">
        <v>2.0</v>
      </c>
      <c r="G1842" s="83" t="s">
        <v>17831</v>
      </c>
      <c r="H1842" s="61" t="s">
        <v>91</v>
      </c>
      <c r="I1842" s="215" t="s">
        <v>17818</v>
      </c>
      <c r="J1842" s="476" t="s">
        <v>17819</v>
      </c>
      <c r="K1842" s="69"/>
      <c r="L1842" s="65" t="s">
        <v>5670</v>
      </c>
      <c r="M1842" s="61" t="s">
        <v>5827</v>
      </c>
      <c r="N1842" s="73"/>
      <c r="O1842" s="61" t="s">
        <v>12646</v>
      </c>
      <c r="P1842" s="67" t="str">
        <f t="shared" si="19"/>
        <v>50.522583, 30.226549</v>
      </c>
      <c r="Q1842" s="67" t="str">
        <f t="shared" si="20"/>
        <v>50.522276, 30.227415</v>
      </c>
      <c r="R1842" s="67">
        <f t="shared" si="21"/>
        <v>50.522276</v>
      </c>
      <c r="S1842" s="67">
        <f t="shared" si="22"/>
        <v>30.227415</v>
      </c>
      <c r="T1842" s="161"/>
      <c r="U1842" s="69"/>
      <c r="V1842" s="65" t="s">
        <v>17832</v>
      </c>
      <c r="W1842" s="71" t="s">
        <v>3601</v>
      </c>
      <c r="X1842" s="17" t="s">
        <v>9</v>
      </c>
      <c r="Y1842" s="216" t="s">
        <v>5820</v>
      </c>
      <c r="Z1842" s="73"/>
      <c r="AA1842" s="73"/>
      <c r="AB1842" s="73"/>
      <c r="AC1842" s="73"/>
      <c r="AD1842" s="73"/>
      <c r="AE1842" s="73"/>
      <c r="AF1842" s="73"/>
      <c r="AG1842" s="73"/>
      <c r="AH1842" s="73"/>
      <c r="AI1842" s="73"/>
      <c r="AJ1842" s="161"/>
      <c r="AK1842" s="76" t="s">
        <v>2108</v>
      </c>
      <c r="AL1842" s="83" t="s">
        <v>17833</v>
      </c>
      <c r="AM1842" s="71" t="s">
        <v>17834</v>
      </c>
      <c r="AN1842" s="84" t="s">
        <v>17835</v>
      </c>
      <c r="AO1842" s="71" t="s">
        <v>17836</v>
      </c>
      <c r="AP1842" s="161" t="str">
        <f>IMAGE("https://bellingcat-archive.nyc3.cdn.digitaloceanspaces.com/Ukraine_Witness_Datasheet/Worksheet/twitter__media_FNBgIQuXIAQbqvt.jpg")</f>
        <v/>
      </c>
      <c r="AQ1842" s="161"/>
      <c r="AR1842" s="161"/>
      <c r="AS1842" s="71" t="s">
        <v>17837</v>
      </c>
      <c r="AT1842" s="161"/>
      <c r="AU1842" s="89"/>
      <c r="AV1842" s="162"/>
      <c r="AW1842" s="81"/>
    </row>
    <row r="1843" ht="15.75" customHeight="1">
      <c r="A1843" s="373" t="s">
        <v>6924</v>
      </c>
      <c r="B1843" s="73"/>
      <c r="C1843" s="57" t="s">
        <v>12959</v>
      </c>
      <c r="D1843" s="241" t="s">
        <v>17838</v>
      </c>
      <c r="E1843" s="241" t="s">
        <v>17839</v>
      </c>
      <c r="F1843" s="79">
        <v>2.0</v>
      </c>
      <c r="G1843" s="83" t="s">
        <v>17840</v>
      </c>
      <c r="H1843" s="61"/>
      <c r="I1843" s="215" t="s">
        <v>17841</v>
      </c>
      <c r="J1843" s="476" t="s">
        <v>17842</v>
      </c>
      <c r="K1843" s="69"/>
      <c r="L1843" s="65" t="s">
        <v>5670</v>
      </c>
      <c r="M1843" s="61" t="s">
        <v>5827</v>
      </c>
      <c r="N1843" s="73"/>
      <c r="O1843" s="61" t="s">
        <v>12646</v>
      </c>
      <c r="P1843" s="67" t="str">
        <f t="shared" si="19"/>
        <v>50.52649, 30.228199</v>
      </c>
      <c r="Q1843" s="67" t="str">
        <f t="shared" si="20"/>
        <v>50.526022, 30.228603</v>
      </c>
      <c r="R1843" s="67">
        <f t="shared" si="21"/>
        <v>50.526022</v>
      </c>
      <c r="S1843" s="67">
        <f t="shared" si="22"/>
        <v>30.228603</v>
      </c>
      <c r="T1843" s="161"/>
      <c r="U1843" s="69"/>
      <c r="V1843" s="65" t="s">
        <v>17843</v>
      </c>
      <c r="W1843" s="71" t="s">
        <v>3601</v>
      </c>
      <c r="X1843" s="544"/>
      <c r="Y1843" s="252"/>
      <c r="Z1843" s="73"/>
      <c r="AA1843" s="73"/>
      <c r="AB1843" s="73"/>
      <c r="AC1843" s="73"/>
      <c r="AD1843" s="73"/>
      <c r="AE1843" s="73"/>
      <c r="AF1843" s="73"/>
      <c r="AG1843" s="73"/>
      <c r="AH1843" s="73"/>
      <c r="AI1843" s="73"/>
      <c r="AJ1843" s="161"/>
      <c r="AK1843" s="76" t="s">
        <v>17844</v>
      </c>
      <c r="AL1843" s="269"/>
      <c r="AM1843" s="71" t="s">
        <v>17845</v>
      </c>
      <c r="AN1843" s="161"/>
      <c r="AO1843" s="161"/>
      <c r="AP1843" s="161"/>
      <c r="AQ1843" s="161"/>
      <c r="AR1843" s="161"/>
      <c r="AS1843" s="161"/>
      <c r="AT1843" s="161"/>
      <c r="AU1843" s="89"/>
      <c r="AV1843" s="162"/>
      <c r="AW1843" s="81"/>
    </row>
    <row r="1844" ht="15.75" customHeight="1">
      <c r="A1844" s="373" t="s">
        <v>6924</v>
      </c>
      <c r="B1844" s="73"/>
      <c r="C1844" s="57" t="s">
        <v>12959</v>
      </c>
      <c r="D1844" s="241" t="s">
        <v>17838</v>
      </c>
      <c r="E1844" s="241" t="s">
        <v>17839</v>
      </c>
      <c r="F1844" s="79">
        <v>2.0</v>
      </c>
      <c r="G1844" s="83" t="s">
        <v>17846</v>
      </c>
      <c r="H1844" s="61"/>
      <c r="I1844" s="215" t="s">
        <v>17841</v>
      </c>
      <c r="J1844" s="476" t="s">
        <v>17842</v>
      </c>
      <c r="K1844" s="69"/>
      <c r="L1844" s="65" t="s">
        <v>5670</v>
      </c>
      <c r="M1844" s="61" t="s">
        <v>5827</v>
      </c>
      <c r="N1844" s="73"/>
      <c r="O1844" s="61" t="s">
        <v>12646</v>
      </c>
      <c r="P1844" s="67" t="str">
        <f t="shared" si="19"/>
        <v>50.52649, 30.228199</v>
      </c>
      <c r="Q1844" s="67" t="str">
        <f t="shared" si="20"/>
        <v>50.525731, 30.227883</v>
      </c>
      <c r="R1844" s="67">
        <f t="shared" si="21"/>
        <v>50.525731</v>
      </c>
      <c r="S1844" s="67">
        <f t="shared" si="22"/>
        <v>30.227883</v>
      </c>
      <c r="T1844" s="161"/>
      <c r="U1844" s="69"/>
      <c r="V1844" s="65" t="s">
        <v>17847</v>
      </c>
      <c r="W1844" s="71" t="s">
        <v>3601</v>
      </c>
      <c r="X1844" s="194"/>
      <c r="Y1844" s="252"/>
      <c r="Z1844" s="73"/>
      <c r="AA1844" s="73"/>
      <c r="AB1844" s="73"/>
      <c r="AC1844" s="73"/>
      <c r="AD1844" s="73"/>
      <c r="AE1844" s="73"/>
      <c r="AF1844" s="73"/>
      <c r="AG1844" s="73"/>
      <c r="AH1844" s="73"/>
      <c r="AI1844" s="73"/>
      <c r="AJ1844" s="161"/>
      <c r="AK1844" s="76" t="s">
        <v>1261</v>
      </c>
      <c r="AL1844" s="83" t="s">
        <v>17848</v>
      </c>
      <c r="AM1844" s="71" t="s">
        <v>17849</v>
      </c>
      <c r="AN1844" s="84" t="s">
        <v>17850</v>
      </c>
      <c r="AO1844" s="161"/>
      <c r="AP1844" s="161"/>
      <c r="AQ1844" s="161"/>
      <c r="AR1844" s="71" t="s">
        <v>17807</v>
      </c>
      <c r="AS1844" s="161"/>
      <c r="AT1844" s="161"/>
      <c r="AU1844" s="89"/>
      <c r="AV1844" s="162"/>
      <c r="AW1844" s="81"/>
    </row>
    <row r="1845" ht="15.75" customHeight="1">
      <c r="A1845" s="373" t="s">
        <v>6924</v>
      </c>
      <c r="B1845" s="73"/>
      <c r="C1845" s="57" t="s">
        <v>12959</v>
      </c>
      <c r="D1845" s="241" t="s">
        <v>17851</v>
      </c>
      <c r="E1845" s="241" t="s">
        <v>17852</v>
      </c>
      <c r="F1845" s="79">
        <v>2.0</v>
      </c>
      <c r="G1845" s="83" t="s">
        <v>17853</v>
      </c>
      <c r="H1845" s="73"/>
      <c r="I1845" s="215" t="s">
        <v>17854</v>
      </c>
      <c r="J1845" s="476" t="s">
        <v>17855</v>
      </c>
      <c r="K1845" s="69"/>
      <c r="L1845" s="65" t="s">
        <v>5670</v>
      </c>
      <c r="M1845" s="61" t="s">
        <v>5827</v>
      </c>
      <c r="N1845" s="73"/>
      <c r="O1845" s="61" t="s">
        <v>12646</v>
      </c>
      <c r="P1845" s="67" t="str">
        <f t="shared" si="19"/>
        <v>50.51897, 30.21263</v>
      </c>
      <c r="Q1845" s="67" t="str">
        <f t="shared" si="20"/>
        <v>50.518439, 30.212119</v>
      </c>
      <c r="R1845" s="67">
        <f t="shared" si="21"/>
        <v>50.518439</v>
      </c>
      <c r="S1845" s="67">
        <f t="shared" si="22"/>
        <v>30.212119</v>
      </c>
      <c r="T1845" s="161"/>
      <c r="U1845" s="69"/>
      <c r="V1845" s="65" t="s">
        <v>17856</v>
      </c>
      <c r="W1845" s="71" t="s">
        <v>3601</v>
      </c>
      <c r="X1845" s="194"/>
      <c r="Y1845" s="252"/>
      <c r="Z1845" s="73"/>
      <c r="AA1845" s="73"/>
      <c r="AB1845" s="73"/>
      <c r="AC1845" s="73"/>
      <c r="AD1845" s="73"/>
      <c r="AE1845" s="73"/>
      <c r="AF1845" s="73"/>
      <c r="AG1845" s="73"/>
      <c r="AH1845" s="73"/>
      <c r="AI1845" s="73"/>
      <c r="AJ1845" s="161"/>
      <c r="AK1845" s="76" t="s">
        <v>1261</v>
      </c>
      <c r="AL1845" s="83" t="s">
        <v>17857</v>
      </c>
      <c r="AM1845" s="71" t="s">
        <v>17858</v>
      </c>
      <c r="AN1845" s="84" t="s">
        <v>17859</v>
      </c>
      <c r="AO1845" s="161"/>
      <c r="AP1845" s="161"/>
      <c r="AQ1845" s="161"/>
      <c r="AR1845" s="71" t="s">
        <v>17807</v>
      </c>
      <c r="AS1845" s="161"/>
      <c r="AT1845" s="161"/>
      <c r="AU1845" s="89"/>
      <c r="AV1845" s="162"/>
      <c r="AW1845" s="81"/>
    </row>
    <row r="1846" ht="15.75" customHeight="1">
      <c r="A1846" s="373" t="s">
        <v>6924</v>
      </c>
      <c r="B1846" s="73"/>
      <c r="C1846" s="57" t="s">
        <v>12959</v>
      </c>
      <c r="D1846" s="241" t="s">
        <v>17860</v>
      </c>
      <c r="E1846" s="241" t="s">
        <v>17861</v>
      </c>
      <c r="F1846" s="79">
        <v>2.0</v>
      </c>
      <c r="G1846" s="83" t="s">
        <v>17862</v>
      </c>
      <c r="H1846" s="61" t="s">
        <v>91</v>
      </c>
      <c r="I1846" s="215" t="s">
        <v>17863</v>
      </c>
      <c r="J1846" s="476" t="s">
        <v>17864</v>
      </c>
      <c r="K1846" s="69"/>
      <c r="L1846" s="65" t="s">
        <v>5670</v>
      </c>
      <c r="M1846" s="104" t="s">
        <v>6167</v>
      </c>
      <c r="N1846" s="73"/>
      <c r="O1846" s="61" t="s">
        <v>12793</v>
      </c>
      <c r="P1846" s="67" t="str">
        <f t="shared" si="19"/>
        <v>47.50675676, 34.58523022</v>
      </c>
      <c r="Q1846" s="67" t="str">
        <f t="shared" si="20"/>
        <v>47.506004, 34.585644</v>
      </c>
      <c r="R1846" s="67">
        <f t="shared" si="21"/>
        <v>47.506004</v>
      </c>
      <c r="S1846" s="67">
        <f t="shared" si="22"/>
        <v>34.585644</v>
      </c>
      <c r="T1846" s="161"/>
      <c r="U1846" s="69"/>
      <c r="V1846" s="65" t="s">
        <v>17865</v>
      </c>
      <c r="W1846" s="71" t="s">
        <v>3601</v>
      </c>
      <c r="X1846" s="194"/>
      <c r="Y1846" s="216" t="s">
        <v>5820</v>
      </c>
      <c r="Z1846" s="73"/>
      <c r="AA1846" s="73"/>
      <c r="AB1846" s="73"/>
      <c r="AC1846" s="73"/>
      <c r="AD1846" s="73"/>
      <c r="AE1846" s="73"/>
      <c r="AF1846" s="73"/>
      <c r="AG1846" s="73"/>
      <c r="AH1846" s="73"/>
      <c r="AI1846" s="73"/>
      <c r="AJ1846" s="161"/>
      <c r="AK1846" s="76" t="s">
        <v>2108</v>
      </c>
      <c r="AL1846" s="83" t="s">
        <v>17866</v>
      </c>
      <c r="AM1846" s="71" t="s">
        <v>17867</v>
      </c>
      <c r="AN1846" s="84" t="s">
        <v>17868</v>
      </c>
      <c r="AO1846" s="71" t="s">
        <v>17869</v>
      </c>
      <c r="AP1846" s="161" t="str">
        <f>IMAGE("https://bellingcat-archive.nyc3.cdn.digitaloceanspaces.com/Ukraine_Witness_Datasheet/Worksheet/twitter__media_FNHDWcbWUAQ3R-F.jpg")</f>
        <v/>
      </c>
      <c r="AQ1846" s="161"/>
      <c r="AR1846" s="161"/>
      <c r="AS1846" s="71" t="s">
        <v>17870</v>
      </c>
      <c r="AT1846" s="161"/>
      <c r="AU1846" s="89"/>
      <c r="AV1846" s="162"/>
      <c r="AW1846" s="81"/>
    </row>
    <row r="1847" ht="15.75" customHeight="1">
      <c r="A1847" s="373" t="s">
        <v>6924</v>
      </c>
      <c r="B1847" s="73"/>
      <c r="C1847" s="57" t="s">
        <v>12959</v>
      </c>
      <c r="D1847" s="241" t="s">
        <v>17860</v>
      </c>
      <c r="E1847" s="241" t="s">
        <v>17861</v>
      </c>
      <c r="F1847" s="79">
        <v>2.0</v>
      </c>
      <c r="G1847" s="83" t="s">
        <v>17871</v>
      </c>
      <c r="H1847" s="61" t="s">
        <v>91</v>
      </c>
      <c r="I1847" s="215" t="s">
        <v>17863</v>
      </c>
      <c r="J1847" s="476" t="s">
        <v>17864</v>
      </c>
      <c r="K1847" s="69"/>
      <c r="L1847" s="65" t="s">
        <v>5670</v>
      </c>
      <c r="M1847" s="104" t="s">
        <v>6167</v>
      </c>
      <c r="N1847" s="73"/>
      <c r="O1847" s="61" t="s">
        <v>12793</v>
      </c>
      <c r="P1847" s="67" t="str">
        <f t="shared" si="19"/>
        <v>47.50675676, 34.58523022</v>
      </c>
      <c r="Q1847" s="67" t="str">
        <f t="shared" si="20"/>
        <v>47.506226, 34.585293</v>
      </c>
      <c r="R1847" s="67">
        <f t="shared" si="21"/>
        <v>47.506226</v>
      </c>
      <c r="S1847" s="67">
        <f t="shared" si="22"/>
        <v>34.585293</v>
      </c>
      <c r="T1847" s="161"/>
      <c r="U1847" s="69"/>
      <c r="V1847" s="65" t="s">
        <v>17872</v>
      </c>
      <c r="W1847" s="71" t="s">
        <v>3601</v>
      </c>
      <c r="X1847" s="194"/>
      <c r="Y1847" s="216" t="s">
        <v>5820</v>
      </c>
      <c r="Z1847" s="73"/>
      <c r="AA1847" s="73"/>
      <c r="AB1847" s="73"/>
      <c r="AC1847" s="73"/>
      <c r="AD1847" s="73"/>
      <c r="AE1847" s="73"/>
      <c r="AF1847" s="73"/>
      <c r="AG1847" s="73"/>
      <c r="AH1847" s="73"/>
      <c r="AI1847" s="73"/>
      <c r="AJ1847" s="161"/>
      <c r="AK1847" s="76" t="s">
        <v>6276</v>
      </c>
      <c r="AL1847" s="83" t="s">
        <v>17873</v>
      </c>
      <c r="AM1847" s="71" t="s">
        <v>17874</v>
      </c>
      <c r="AN1847" s="84" t="s">
        <v>17875</v>
      </c>
      <c r="AO1847" s="71" t="s">
        <v>17876</v>
      </c>
      <c r="AP1847" s="161"/>
      <c r="AQ1847" s="161"/>
      <c r="AR1847" s="161"/>
      <c r="AS1847" s="71" t="s">
        <v>17877</v>
      </c>
      <c r="AT1847" s="161"/>
      <c r="AU1847" s="89"/>
      <c r="AV1847" s="162"/>
      <c r="AW1847" s="81"/>
    </row>
    <row r="1848" ht="15.75" customHeight="1">
      <c r="A1848" s="354" t="s">
        <v>6682</v>
      </c>
      <c r="B1848" s="73"/>
      <c r="C1848" s="57" t="s">
        <v>12959</v>
      </c>
      <c r="D1848" s="241" t="s">
        <v>17878</v>
      </c>
      <c r="E1848" s="241" t="s">
        <v>17879</v>
      </c>
      <c r="F1848" s="79">
        <v>5.0</v>
      </c>
      <c r="G1848" s="83" t="s">
        <v>17880</v>
      </c>
      <c r="H1848" s="61" t="s">
        <v>91</v>
      </c>
      <c r="I1848" s="215" t="s">
        <v>17881</v>
      </c>
      <c r="J1848" s="476" t="s">
        <v>17882</v>
      </c>
      <c r="K1848" s="69"/>
      <c r="L1848" s="65" t="s">
        <v>5670</v>
      </c>
      <c r="M1848" s="61" t="s">
        <v>5827</v>
      </c>
      <c r="N1848" s="73"/>
      <c r="O1848" s="92" t="s">
        <v>17883</v>
      </c>
      <c r="P1848" s="67" t="str">
        <f t="shared" si="19"/>
        <v>50.434677, 30.088311</v>
      </c>
      <c r="Q1848" s="67" t="str">
        <f t="shared" si="20"/>
        <v>50.434238, 30.087797</v>
      </c>
      <c r="R1848" s="67">
        <f t="shared" si="21"/>
        <v>50.434238</v>
      </c>
      <c r="S1848" s="67">
        <f t="shared" si="22"/>
        <v>30.087797</v>
      </c>
      <c r="T1848" s="161"/>
      <c r="U1848" s="69"/>
      <c r="V1848" s="65" t="s">
        <v>17884</v>
      </c>
      <c r="W1848" s="71" t="s">
        <v>6108</v>
      </c>
      <c r="X1848" s="17" t="s">
        <v>9</v>
      </c>
      <c r="Y1848" s="216" t="s">
        <v>5820</v>
      </c>
      <c r="Z1848" s="73"/>
      <c r="AA1848" s="73"/>
      <c r="AB1848" s="73"/>
      <c r="AC1848" s="73"/>
      <c r="AD1848" s="73"/>
      <c r="AE1848" s="73"/>
      <c r="AF1848" s="73"/>
      <c r="AG1848" s="73"/>
      <c r="AH1848" s="73"/>
      <c r="AI1848" s="73"/>
      <c r="AJ1848" s="161"/>
      <c r="AK1848" s="76" t="s">
        <v>6276</v>
      </c>
      <c r="AL1848" s="83" t="s">
        <v>17885</v>
      </c>
      <c r="AM1848" s="71" t="s">
        <v>17886</v>
      </c>
      <c r="AN1848" s="84" t="s">
        <v>17887</v>
      </c>
      <c r="AO1848" s="71" t="s">
        <v>17888</v>
      </c>
      <c r="AP1848" s="161" t="str">
        <f>IMAGE("https://bellingcat-archive.nyc3.cdn.digitaloceanspaces.com/Ukraine_Witness_Datasheet/Worksheet/telegram_ZPa7ugIxoIe5T5sPA-EIauyovgv77LaL6KJHqbvaiJtr6us1p5Nxp_iqNEbTxw8x_xF679Os1MCbehIvl6JghgYGiu2fKNpTFWdRXGPYDiCIsWADt1xAqkOYfrVLkU6Q.jpg")</f>
        <v/>
      </c>
      <c r="AQ1848" s="161"/>
      <c r="AR1848" s="161"/>
      <c r="AS1848" s="71" t="s">
        <v>17889</v>
      </c>
      <c r="AT1848" s="161"/>
      <c r="AU1848" s="89"/>
      <c r="AV1848" s="162"/>
      <c r="AW1848" s="81"/>
    </row>
    <row r="1849" ht="15.75" customHeight="1">
      <c r="A1849" s="354" t="s">
        <v>6682</v>
      </c>
      <c r="B1849" s="73"/>
      <c r="C1849" s="57" t="s">
        <v>12959</v>
      </c>
      <c r="D1849" s="241" t="s">
        <v>17878</v>
      </c>
      <c r="E1849" s="241" t="s">
        <v>17879</v>
      </c>
      <c r="F1849" s="79">
        <v>5.0</v>
      </c>
      <c r="G1849" s="83" t="s">
        <v>17890</v>
      </c>
      <c r="H1849" s="61" t="s">
        <v>91</v>
      </c>
      <c r="I1849" s="215" t="s">
        <v>17881</v>
      </c>
      <c r="J1849" s="476" t="s">
        <v>17882</v>
      </c>
      <c r="K1849" s="69"/>
      <c r="L1849" s="65" t="s">
        <v>5670</v>
      </c>
      <c r="M1849" s="61" t="s">
        <v>5827</v>
      </c>
      <c r="N1849" s="73"/>
      <c r="O1849" s="92" t="s">
        <v>17883</v>
      </c>
      <c r="P1849" s="67" t="str">
        <f t="shared" si="19"/>
        <v>50.434677, 30.088311</v>
      </c>
      <c r="Q1849" s="67" t="str">
        <f t="shared" si="20"/>
        <v>50.434427, 30.087479</v>
      </c>
      <c r="R1849" s="67">
        <f t="shared" si="21"/>
        <v>50.434427</v>
      </c>
      <c r="S1849" s="67">
        <f t="shared" si="22"/>
        <v>30.087479</v>
      </c>
      <c r="T1849" s="161"/>
      <c r="U1849" s="69"/>
      <c r="V1849" s="65" t="s">
        <v>17891</v>
      </c>
      <c r="W1849" s="71" t="s">
        <v>8546</v>
      </c>
      <c r="X1849" s="17" t="s">
        <v>9</v>
      </c>
      <c r="Y1849" s="216" t="s">
        <v>5820</v>
      </c>
      <c r="Z1849" s="73"/>
      <c r="AA1849" s="73"/>
      <c r="AB1849" s="73"/>
      <c r="AC1849" s="73"/>
      <c r="AD1849" s="73"/>
      <c r="AE1849" s="73"/>
      <c r="AF1849" s="73"/>
      <c r="AG1849" s="73"/>
      <c r="AH1849" s="73"/>
      <c r="AI1849" s="73"/>
      <c r="AJ1849" s="161"/>
      <c r="AK1849" s="76" t="s">
        <v>1261</v>
      </c>
      <c r="AL1849" s="83" t="s">
        <v>17892</v>
      </c>
      <c r="AM1849" s="71" t="s">
        <v>17893</v>
      </c>
      <c r="AN1849" s="84" t="s">
        <v>17894</v>
      </c>
      <c r="AO1849" s="161"/>
      <c r="AP1849" s="161"/>
      <c r="AQ1849" s="161"/>
      <c r="AR1849" s="71" t="s">
        <v>17895</v>
      </c>
      <c r="AS1849" s="161"/>
      <c r="AT1849" s="161"/>
      <c r="AU1849" s="89"/>
      <c r="AV1849" s="162"/>
      <c r="AW1849" s="81"/>
    </row>
    <row r="1850" ht="15.75" customHeight="1">
      <c r="A1850" s="354" t="s">
        <v>7092</v>
      </c>
      <c r="B1850" s="73"/>
      <c r="C1850" s="57" t="s">
        <v>14806</v>
      </c>
      <c r="D1850" s="241" t="s">
        <v>17896</v>
      </c>
      <c r="E1850" s="241" t="s">
        <v>17897</v>
      </c>
      <c r="F1850" s="79">
        <v>2.0</v>
      </c>
      <c r="G1850" s="83" t="s">
        <v>17898</v>
      </c>
      <c r="H1850" s="73"/>
      <c r="I1850" s="215" t="s">
        <v>17899</v>
      </c>
      <c r="J1850" s="476" t="s">
        <v>17900</v>
      </c>
      <c r="K1850" s="69"/>
      <c r="L1850" s="65" t="s">
        <v>5670</v>
      </c>
      <c r="M1850" s="61" t="s">
        <v>5827</v>
      </c>
      <c r="N1850" s="73"/>
      <c r="O1850" s="92" t="s">
        <v>10304</v>
      </c>
      <c r="P1850" s="67" t="str">
        <f t="shared" si="19"/>
        <v>50.42184788, 30.04548481</v>
      </c>
      <c r="Q1850" s="67" t="str">
        <f t="shared" si="20"/>
        <v>50.421514, 30.045104</v>
      </c>
      <c r="R1850" s="67">
        <f t="shared" si="21"/>
        <v>50.421514</v>
      </c>
      <c r="S1850" s="67">
        <f t="shared" si="22"/>
        <v>30.045104</v>
      </c>
      <c r="T1850" s="161"/>
      <c r="U1850" s="69"/>
      <c r="V1850" s="65" t="s">
        <v>17901</v>
      </c>
      <c r="W1850" s="71" t="s">
        <v>3601</v>
      </c>
      <c r="X1850" s="17" t="s">
        <v>9</v>
      </c>
      <c r="Y1850" s="216" t="s">
        <v>5820</v>
      </c>
      <c r="Z1850" s="73"/>
      <c r="AA1850" s="73"/>
      <c r="AB1850" s="73"/>
      <c r="AC1850" s="73"/>
      <c r="AD1850" s="73"/>
      <c r="AE1850" s="73"/>
      <c r="AF1850" s="73"/>
      <c r="AG1850" s="73"/>
      <c r="AH1850" s="73"/>
      <c r="AI1850" s="73"/>
      <c r="AJ1850" s="161"/>
      <c r="AK1850" s="76" t="s">
        <v>1261</v>
      </c>
      <c r="AL1850" s="83" t="s">
        <v>17902</v>
      </c>
      <c r="AM1850" s="71" t="s">
        <v>17903</v>
      </c>
      <c r="AN1850" s="84" t="s">
        <v>17904</v>
      </c>
      <c r="AO1850" s="161"/>
      <c r="AP1850" s="161"/>
      <c r="AQ1850" s="161"/>
      <c r="AR1850" s="71" t="s">
        <v>10489</v>
      </c>
      <c r="AS1850" s="161"/>
      <c r="AT1850" s="161"/>
      <c r="AU1850" s="89"/>
      <c r="AV1850" s="162"/>
      <c r="AW1850" s="81"/>
    </row>
    <row r="1851" ht="15.75" customHeight="1">
      <c r="A1851" s="354" t="s">
        <v>7092</v>
      </c>
      <c r="B1851" s="73"/>
      <c r="C1851" s="57" t="s">
        <v>14806</v>
      </c>
      <c r="D1851" s="241" t="s">
        <v>17896</v>
      </c>
      <c r="E1851" s="241" t="s">
        <v>17897</v>
      </c>
      <c r="F1851" s="79">
        <v>2.0</v>
      </c>
      <c r="G1851" s="83" t="s">
        <v>17905</v>
      </c>
      <c r="H1851" s="61" t="s">
        <v>5522</v>
      </c>
      <c r="I1851" s="215" t="s">
        <v>17899</v>
      </c>
      <c r="J1851" s="476" t="s">
        <v>17900</v>
      </c>
      <c r="K1851" s="69"/>
      <c r="L1851" s="65" t="s">
        <v>5670</v>
      </c>
      <c r="M1851" s="61" t="s">
        <v>5827</v>
      </c>
      <c r="N1851" s="73"/>
      <c r="O1851" s="92" t="s">
        <v>10304</v>
      </c>
      <c r="P1851" s="67" t="str">
        <f t="shared" si="19"/>
        <v>50.42184788, 30.04548481</v>
      </c>
      <c r="Q1851" s="67" t="str">
        <f t="shared" si="20"/>
        <v>50.421835, 30.046571</v>
      </c>
      <c r="R1851" s="67">
        <f t="shared" si="21"/>
        <v>50.421835</v>
      </c>
      <c r="S1851" s="67">
        <f t="shared" si="22"/>
        <v>30.046571</v>
      </c>
      <c r="T1851" s="161"/>
      <c r="U1851" s="69"/>
      <c r="V1851" s="65" t="s">
        <v>17906</v>
      </c>
      <c r="W1851" s="71" t="s">
        <v>3601</v>
      </c>
      <c r="X1851" s="17" t="s">
        <v>9</v>
      </c>
      <c r="Y1851" s="216" t="s">
        <v>5820</v>
      </c>
      <c r="Z1851" s="73"/>
      <c r="AA1851" s="73"/>
      <c r="AB1851" s="73"/>
      <c r="AC1851" s="73"/>
      <c r="AD1851" s="73"/>
      <c r="AE1851" s="73"/>
      <c r="AF1851" s="73"/>
      <c r="AG1851" s="73"/>
      <c r="AH1851" s="73"/>
      <c r="AI1851" s="73"/>
      <c r="AJ1851" s="161"/>
      <c r="AK1851" s="76" t="s">
        <v>1261</v>
      </c>
      <c r="AL1851" s="83" t="s">
        <v>17907</v>
      </c>
      <c r="AM1851" s="71" t="s">
        <v>17908</v>
      </c>
      <c r="AN1851" s="84" t="s">
        <v>17909</v>
      </c>
      <c r="AO1851" s="161"/>
      <c r="AP1851" s="161"/>
      <c r="AQ1851" s="161"/>
      <c r="AR1851" s="71" t="s">
        <v>17910</v>
      </c>
      <c r="AS1851" s="161"/>
      <c r="AT1851" s="161"/>
      <c r="AU1851" s="89"/>
      <c r="AV1851" s="162"/>
      <c r="AW1851" s="81"/>
    </row>
    <row r="1852" ht="15.75" customHeight="1">
      <c r="A1852" s="354" t="s">
        <v>7092</v>
      </c>
      <c r="B1852" s="73"/>
      <c r="C1852" s="57" t="s">
        <v>14806</v>
      </c>
      <c r="D1852" s="241" t="s">
        <v>17911</v>
      </c>
      <c r="E1852" s="241" t="s">
        <v>17912</v>
      </c>
      <c r="F1852" s="79">
        <v>2.0</v>
      </c>
      <c r="G1852" s="83" t="s">
        <v>17913</v>
      </c>
      <c r="H1852" s="61" t="s">
        <v>91</v>
      </c>
      <c r="I1852" s="215" t="s">
        <v>17914</v>
      </c>
      <c r="J1852" s="476" t="s">
        <v>17915</v>
      </c>
      <c r="K1852" s="69"/>
      <c r="L1852" s="65" t="s">
        <v>5670</v>
      </c>
      <c r="M1852" s="61" t="s">
        <v>5590</v>
      </c>
      <c r="N1852" s="73"/>
      <c r="O1852" s="61" t="s">
        <v>5626</v>
      </c>
      <c r="P1852" s="67" t="str">
        <f t="shared" si="19"/>
        <v>50.023189, 36.322433</v>
      </c>
      <c r="Q1852" s="67" t="str">
        <f t="shared" si="20"/>
        <v>50.022436, 36.322321</v>
      </c>
      <c r="R1852" s="67">
        <f t="shared" si="21"/>
        <v>50.022436</v>
      </c>
      <c r="S1852" s="67">
        <f t="shared" si="22"/>
        <v>36.322321</v>
      </c>
      <c r="T1852" s="161"/>
      <c r="U1852" s="69"/>
      <c r="V1852" s="65" t="s">
        <v>17916</v>
      </c>
      <c r="W1852" s="71" t="s">
        <v>3601</v>
      </c>
      <c r="X1852" s="17" t="s">
        <v>9</v>
      </c>
      <c r="Y1852" s="216" t="s">
        <v>5820</v>
      </c>
      <c r="Z1852" s="73"/>
      <c r="AA1852" s="73"/>
      <c r="AB1852" s="73"/>
      <c r="AC1852" s="73"/>
      <c r="AD1852" s="73"/>
      <c r="AE1852" s="73"/>
      <c r="AF1852" s="73"/>
      <c r="AG1852" s="73"/>
      <c r="AH1852" s="73"/>
      <c r="AI1852" s="73"/>
      <c r="AJ1852" s="161"/>
      <c r="AK1852" s="76" t="s">
        <v>6276</v>
      </c>
      <c r="AL1852" s="83" t="s">
        <v>17917</v>
      </c>
      <c r="AM1852" s="71" t="s">
        <v>17918</v>
      </c>
      <c r="AN1852" s="84" t="s">
        <v>17919</v>
      </c>
      <c r="AO1852" s="71" t="s">
        <v>17920</v>
      </c>
      <c r="AP1852" s="161" t="str">
        <f>IMAGE("https://bellingcat-archive.nyc3.cdn.digitaloceanspaces.com/Ukraine_Witness_Datasheet/Worksheet/telegram_5e17K-ffSex-rIYMigR8b5uY6nPFEcKUYBhWeRB3--T3B3UOOe8y4h8ao30xtojvRrRtT9jyobHLVEB1A9o1XKEk-lNy_nKZ8V9VVSmct6aCe5LY8RClNzR89sjKoZyg.jpg")</f>
        <v/>
      </c>
      <c r="AQ1852" s="161"/>
      <c r="AR1852" s="161"/>
      <c r="AS1852" s="71" t="s">
        <v>17921</v>
      </c>
      <c r="AT1852" s="161"/>
      <c r="AU1852" s="89"/>
      <c r="AV1852" s="162"/>
      <c r="AW1852" s="81"/>
    </row>
    <row r="1853" ht="15.75" customHeight="1">
      <c r="A1853" s="354" t="s">
        <v>7092</v>
      </c>
      <c r="B1853" s="73"/>
      <c r="C1853" s="57" t="s">
        <v>14806</v>
      </c>
      <c r="D1853" s="241" t="s">
        <v>17911</v>
      </c>
      <c r="E1853" s="241" t="s">
        <v>17912</v>
      </c>
      <c r="F1853" s="79">
        <v>2.0</v>
      </c>
      <c r="G1853" s="83" t="s">
        <v>17922</v>
      </c>
      <c r="H1853" s="61" t="s">
        <v>91</v>
      </c>
      <c r="I1853" s="215" t="s">
        <v>17914</v>
      </c>
      <c r="J1853" s="476" t="s">
        <v>17915</v>
      </c>
      <c r="K1853" s="69"/>
      <c r="L1853" s="65" t="s">
        <v>5670</v>
      </c>
      <c r="M1853" s="61" t="s">
        <v>5590</v>
      </c>
      <c r="N1853" s="73"/>
      <c r="O1853" s="61" t="s">
        <v>5626</v>
      </c>
      <c r="P1853" s="67" t="str">
        <f t="shared" si="19"/>
        <v>50.023189, 36.322433</v>
      </c>
      <c r="Q1853" s="67" t="str">
        <f t="shared" si="20"/>
        <v>50.023063, 36.323544</v>
      </c>
      <c r="R1853" s="67">
        <f t="shared" si="21"/>
        <v>50.023063</v>
      </c>
      <c r="S1853" s="67">
        <f t="shared" si="22"/>
        <v>36.323544</v>
      </c>
      <c r="T1853" s="161"/>
      <c r="U1853" s="69"/>
      <c r="V1853" s="65" t="s">
        <v>17923</v>
      </c>
      <c r="W1853" s="71" t="s">
        <v>3601</v>
      </c>
      <c r="X1853" s="17" t="s">
        <v>9</v>
      </c>
      <c r="Y1853" s="216" t="s">
        <v>5820</v>
      </c>
      <c r="Z1853" s="73"/>
      <c r="AA1853" s="73"/>
      <c r="AB1853" s="73"/>
      <c r="AC1853" s="73"/>
      <c r="AD1853" s="73"/>
      <c r="AE1853" s="73"/>
      <c r="AF1853" s="73"/>
      <c r="AG1853" s="73"/>
      <c r="AH1853" s="73"/>
      <c r="AI1853" s="73"/>
      <c r="AJ1853" s="161"/>
      <c r="AK1853" s="76" t="s">
        <v>1261</v>
      </c>
      <c r="AL1853" s="83" t="s">
        <v>17924</v>
      </c>
      <c r="AM1853" s="71" t="s">
        <v>17925</v>
      </c>
      <c r="AN1853" s="84" t="s">
        <v>17926</v>
      </c>
      <c r="AO1853" s="161"/>
      <c r="AP1853" s="161"/>
      <c r="AQ1853" s="161"/>
      <c r="AR1853" s="71" t="s">
        <v>17927</v>
      </c>
      <c r="AS1853" s="161"/>
      <c r="AT1853" s="161"/>
      <c r="AU1853" s="89"/>
      <c r="AV1853" s="162"/>
      <c r="AW1853" s="81"/>
    </row>
    <row r="1854" ht="15.75" customHeight="1">
      <c r="A1854" s="354" t="s">
        <v>7092</v>
      </c>
      <c r="B1854" s="73"/>
      <c r="C1854" s="57" t="s">
        <v>14806</v>
      </c>
      <c r="D1854" s="241" t="s">
        <v>17928</v>
      </c>
      <c r="E1854" s="241" t="s">
        <v>17929</v>
      </c>
      <c r="F1854" s="79">
        <v>2.0</v>
      </c>
      <c r="G1854" s="83" t="s">
        <v>17930</v>
      </c>
      <c r="H1854" s="61" t="s">
        <v>5522</v>
      </c>
      <c r="I1854" s="215" t="s">
        <v>17931</v>
      </c>
      <c r="J1854" s="476" t="s">
        <v>17932</v>
      </c>
      <c r="K1854" s="69"/>
      <c r="L1854" s="65" t="s">
        <v>5670</v>
      </c>
      <c r="M1854" s="61" t="s">
        <v>5590</v>
      </c>
      <c r="N1854" s="73"/>
      <c r="O1854" s="61" t="s">
        <v>5626</v>
      </c>
      <c r="P1854" s="67" t="str">
        <f t="shared" si="19"/>
        <v>49.98307659, 36.19798439</v>
      </c>
      <c r="Q1854" s="67" t="str">
        <f t="shared" si="20"/>
        <v>49.982688, 36.198299</v>
      </c>
      <c r="R1854" s="67">
        <f t="shared" si="21"/>
        <v>49.982688</v>
      </c>
      <c r="S1854" s="67">
        <f t="shared" si="22"/>
        <v>36.198299</v>
      </c>
      <c r="T1854" s="161"/>
      <c r="U1854" s="69"/>
      <c r="V1854" s="65" t="s">
        <v>17933</v>
      </c>
      <c r="W1854" s="71" t="s">
        <v>3601</v>
      </c>
      <c r="X1854" s="17" t="s">
        <v>9</v>
      </c>
      <c r="Y1854" s="216" t="s">
        <v>5820</v>
      </c>
      <c r="Z1854" s="73"/>
      <c r="AA1854" s="73"/>
      <c r="AB1854" s="73"/>
      <c r="AC1854" s="73"/>
      <c r="AD1854" s="73"/>
      <c r="AE1854" s="73"/>
      <c r="AF1854" s="73"/>
      <c r="AG1854" s="73"/>
      <c r="AH1854" s="73"/>
      <c r="AI1854" s="73"/>
      <c r="AJ1854" s="161"/>
      <c r="AK1854" s="76" t="s">
        <v>6276</v>
      </c>
      <c r="AL1854" s="83" t="s">
        <v>17934</v>
      </c>
      <c r="AM1854" s="71" t="s">
        <v>17935</v>
      </c>
      <c r="AN1854" s="84" t="s">
        <v>17936</v>
      </c>
      <c r="AO1854" s="71" t="s">
        <v>17937</v>
      </c>
      <c r="AP1854" s="161" t="str">
        <f>IMAGE("https://bellingcat-archive.nyc3.cdn.digitaloceanspaces.com/Ukraine_Witness_Datasheet/Worksheet/telegram_2648785b6d/out7.jpg")</f>
        <v/>
      </c>
      <c r="AQ1854" s="84" t="s">
        <v>17938</v>
      </c>
      <c r="AR1854" s="84" t="s">
        <v>17930</v>
      </c>
      <c r="AS1854" s="71" t="s">
        <v>17939</v>
      </c>
      <c r="AT1854" s="71">
        <v>19.0</v>
      </c>
      <c r="AU1854" s="89"/>
      <c r="AV1854" s="162"/>
      <c r="AW1854" s="81"/>
    </row>
    <row r="1855" ht="15.75" customHeight="1">
      <c r="A1855" s="354" t="s">
        <v>7092</v>
      </c>
      <c r="B1855" s="73"/>
      <c r="C1855" s="57" t="s">
        <v>14806</v>
      </c>
      <c r="D1855" s="241" t="s">
        <v>17928</v>
      </c>
      <c r="E1855" s="241" t="s">
        <v>17929</v>
      </c>
      <c r="F1855" s="79">
        <v>2.0</v>
      </c>
      <c r="G1855" s="83" t="s">
        <v>17940</v>
      </c>
      <c r="H1855" s="61" t="s">
        <v>5522</v>
      </c>
      <c r="I1855" s="215" t="s">
        <v>17931</v>
      </c>
      <c r="J1855" s="476" t="s">
        <v>17932</v>
      </c>
      <c r="K1855" s="69"/>
      <c r="L1855" s="65" t="s">
        <v>5670</v>
      </c>
      <c r="M1855" s="61" t="s">
        <v>5590</v>
      </c>
      <c r="N1855" s="73"/>
      <c r="O1855" s="61" t="s">
        <v>5626</v>
      </c>
      <c r="P1855" s="67" t="str">
        <f t="shared" si="19"/>
        <v>49.98307659, 36.19798439</v>
      </c>
      <c r="Q1855" s="67" t="str">
        <f t="shared" si="20"/>
        <v>49.982793, 36.198712</v>
      </c>
      <c r="R1855" s="67">
        <f t="shared" si="21"/>
        <v>49.982793</v>
      </c>
      <c r="S1855" s="67">
        <f t="shared" si="22"/>
        <v>36.198712</v>
      </c>
      <c r="T1855" s="161"/>
      <c r="U1855" s="69"/>
      <c r="V1855" s="65" t="s">
        <v>17941</v>
      </c>
      <c r="W1855" s="71" t="s">
        <v>3601</v>
      </c>
      <c r="X1855" s="17" t="s">
        <v>9</v>
      </c>
      <c r="Y1855" s="216" t="s">
        <v>5820</v>
      </c>
      <c r="Z1855" s="73"/>
      <c r="AA1855" s="73"/>
      <c r="AB1855" s="73"/>
      <c r="AC1855" s="73"/>
      <c r="AD1855" s="73"/>
      <c r="AE1855" s="73"/>
      <c r="AF1855" s="73"/>
      <c r="AG1855" s="73"/>
      <c r="AH1855" s="73"/>
      <c r="AI1855" s="73"/>
      <c r="AJ1855" s="161"/>
      <c r="AK1855" s="76" t="s">
        <v>1261</v>
      </c>
      <c r="AL1855" s="83" t="s">
        <v>17942</v>
      </c>
      <c r="AM1855" s="71" t="s">
        <v>17943</v>
      </c>
      <c r="AN1855" s="84" t="s">
        <v>17944</v>
      </c>
      <c r="AO1855" s="161"/>
      <c r="AP1855" s="161"/>
      <c r="AQ1855" s="161"/>
      <c r="AR1855" s="71" t="s">
        <v>2228</v>
      </c>
      <c r="AS1855" s="161"/>
      <c r="AT1855" s="161"/>
      <c r="AU1855" s="89"/>
      <c r="AV1855" s="162"/>
      <c r="AW1855" s="81"/>
    </row>
    <row r="1856" ht="15.75" customHeight="1">
      <c r="A1856" s="373" t="s">
        <v>6924</v>
      </c>
      <c r="B1856" s="73"/>
      <c r="C1856" s="57" t="s">
        <v>14806</v>
      </c>
      <c r="D1856" s="241" t="s">
        <v>17945</v>
      </c>
      <c r="E1856" s="241" t="s">
        <v>17946</v>
      </c>
      <c r="F1856" s="79">
        <v>2.0</v>
      </c>
      <c r="G1856" s="83" t="s">
        <v>17947</v>
      </c>
      <c r="H1856" s="61" t="s">
        <v>5522</v>
      </c>
      <c r="I1856" s="215" t="s">
        <v>15247</v>
      </c>
      <c r="J1856" s="476" t="s">
        <v>17948</v>
      </c>
      <c r="K1856" s="69"/>
      <c r="L1856" s="65" t="s">
        <v>5670</v>
      </c>
      <c r="M1856" s="61" t="s">
        <v>5590</v>
      </c>
      <c r="N1856" s="73"/>
      <c r="O1856" s="61" t="s">
        <v>5626</v>
      </c>
      <c r="P1856" s="67" t="str">
        <f t="shared" si="19"/>
        <v>50.089999, 36.256595</v>
      </c>
      <c r="Q1856" s="67" t="str">
        <f t="shared" si="20"/>
        <v>50.089309, 36.257337</v>
      </c>
      <c r="R1856" s="67">
        <f t="shared" si="21"/>
        <v>50.089309</v>
      </c>
      <c r="S1856" s="67">
        <f t="shared" si="22"/>
        <v>36.257337</v>
      </c>
      <c r="T1856" s="161"/>
      <c r="U1856" s="69"/>
      <c r="V1856" s="65" t="s">
        <v>17949</v>
      </c>
      <c r="W1856" s="71" t="s">
        <v>3601</v>
      </c>
      <c r="X1856" s="194"/>
      <c r="Y1856" s="252"/>
      <c r="Z1856" s="73"/>
      <c r="AA1856" s="73"/>
      <c r="AB1856" s="73"/>
      <c r="AC1856" s="73"/>
      <c r="AD1856" s="73"/>
      <c r="AE1856" s="73"/>
      <c r="AF1856" s="73"/>
      <c r="AG1856" s="73"/>
      <c r="AH1856" s="73"/>
      <c r="AI1856" s="73"/>
      <c r="AJ1856" s="161"/>
      <c r="AK1856" s="76" t="s">
        <v>1261</v>
      </c>
      <c r="AL1856" s="83" t="s">
        <v>17950</v>
      </c>
      <c r="AM1856" s="71" t="s">
        <v>17951</v>
      </c>
      <c r="AN1856" s="84" t="s">
        <v>17952</v>
      </c>
      <c r="AO1856" s="161"/>
      <c r="AP1856" s="161"/>
      <c r="AQ1856" s="161"/>
      <c r="AR1856" s="71" t="s">
        <v>17953</v>
      </c>
      <c r="AS1856" s="161"/>
      <c r="AT1856" s="161"/>
      <c r="AU1856" s="89"/>
      <c r="AV1856" s="162"/>
      <c r="AW1856" s="81"/>
    </row>
    <row r="1857" ht="15.75" customHeight="1">
      <c r="A1857" s="354" t="s">
        <v>7092</v>
      </c>
      <c r="B1857" s="73"/>
      <c r="C1857" s="57" t="s">
        <v>10973</v>
      </c>
      <c r="D1857" s="241" t="s">
        <v>17954</v>
      </c>
      <c r="E1857" s="241" t="s">
        <v>17955</v>
      </c>
      <c r="F1857" s="79">
        <v>2.0</v>
      </c>
      <c r="G1857" s="83" t="s">
        <v>17956</v>
      </c>
      <c r="H1857" s="61" t="s">
        <v>5522</v>
      </c>
      <c r="I1857" s="215" t="s">
        <v>17957</v>
      </c>
      <c r="J1857" s="476" t="s">
        <v>17958</v>
      </c>
      <c r="K1857" s="69"/>
      <c r="L1857" s="65" t="s">
        <v>5670</v>
      </c>
      <c r="M1857" s="61" t="s">
        <v>5590</v>
      </c>
      <c r="N1857" s="73"/>
      <c r="O1857" s="61" t="s">
        <v>5626</v>
      </c>
      <c r="P1857" s="67" t="str">
        <f t="shared" si="19"/>
        <v>49.9806225, 36.17695352</v>
      </c>
      <c r="Q1857" s="67" t="str">
        <f t="shared" si="20"/>
        <v>49.980087, 36.17692</v>
      </c>
      <c r="R1857" s="67">
        <f t="shared" si="21"/>
        <v>49.980087</v>
      </c>
      <c r="S1857" s="67">
        <f t="shared" si="22"/>
        <v>36.17692</v>
      </c>
      <c r="T1857" s="161"/>
      <c r="U1857" s="69"/>
      <c r="V1857" s="65" t="s">
        <v>17959</v>
      </c>
      <c r="W1857" s="71" t="s">
        <v>3601</v>
      </c>
      <c r="X1857" s="17" t="s">
        <v>9</v>
      </c>
      <c r="Y1857" s="216" t="s">
        <v>5820</v>
      </c>
      <c r="Z1857" s="73"/>
      <c r="AA1857" s="73"/>
      <c r="AB1857" s="73"/>
      <c r="AC1857" s="73"/>
      <c r="AD1857" s="73"/>
      <c r="AE1857" s="73"/>
      <c r="AF1857" s="73"/>
      <c r="AG1857" s="73"/>
      <c r="AH1857" s="73"/>
      <c r="AI1857" s="73"/>
      <c r="AJ1857" s="161"/>
      <c r="AK1857" s="76" t="s">
        <v>798</v>
      </c>
      <c r="AL1857" s="83" t="s">
        <v>17960</v>
      </c>
      <c r="AM1857" s="71" t="s">
        <v>17961</v>
      </c>
      <c r="AN1857" s="84" t="s">
        <v>17962</v>
      </c>
      <c r="AO1857" s="71" t="s">
        <v>17963</v>
      </c>
      <c r="AP1857" s="161" t="str">
        <f>IMAGE("https://bellingcat-archive.nyc3.cdn.digitaloceanspaces.com/Ukraine_Witness_Datasheet/Worksheet/youtube_dl_1498899746521587713/out20.jpg")</f>
        <v/>
      </c>
      <c r="AQ1857" s="84" t="s">
        <v>17964</v>
      </c>
      <c r="AR1857" s="71" t="s">
        <v>17965</v>
      </c>
      <c r="AS1857" s="71" t="s">
        <v>17966</v>
      </c>
      <c r="AT1857" s="71">
        <v>77.066</v>
      </c>
      <c r="AU1857" s="89"/>
      <c r="AV1857" s="162"/>
      <c r="AW1857" s="81"/>
    </row>
    <row r="1858" ht="15.75" customHeight="1">
      <c r="A1858" s="354" t="s">
        <v>7092</v>
      </c>
      <c r="B1858" s="73"/>
      <c r="C1858" s="57" t="s">
        <v>13542</v>
      </c>
      <c r="D1858" s="241" t="s">
        <v>17967</v>
      </c>
      <c r="E1858" s="241" t="s">
        <v>17968</v>
      </c>
      <c r="F1858" s="79">
        <v>3.0</v>
      </c>
      <c r="G1858" s="83" t="s">
        <v>17969</v>
      </c>
      <c r="H1858" s="61" t="s">
        <v>5522</v>
      </c>
      <c r="I1858" s="215" t="s">
        <v>17970</v>
      </c>
      <c r="J1858" s="476" t="s">
        <v>17971</v>
      </c>
      <c r="K1858" s="69"/>
      <c r="L1858" s="65" t="s">
        <v>5670</v>
      </c>
      <c r="M1858" s="61" t="s">
        <v>5590</v>
      </c>
      <c r="N1858" s="73"/>
      <c r="O1858" s="61" t="s">
        <v>5626</v>
      </c>
      <c r="P1858" s="67" t="str">
        <f t="shared" si="19"/>
        <v>50.041392, 36.357527</v>
      </c>
      <c r="Q1858" s="67" t="str">
        <f t="shared" si="20"/>
        <v>50.041044, 36.357404</v>
      </c>
      <c r="R1858" s="67">
        <f t="shared" si="21"/>
        <v>50.041044</v>
      </c>
      <c r="S1858" s="67">
        <f t="shared" si="22"/>
        <v>36.357404</v>
      </c>
      <c r="T1858" s="161"/>
      <c r="U1858" s="69"/>
      <c r="V1858" s="65" t="s">
        <v>17972</v>
      </c>
      <c r="W1858" s="71" t="s">
        <v>3601</v>
      </c>
      <c r="X1858" s="17" t="s">
        <v>9</v>
      </c>
      <c r="Y1858" s="216" t="s">
        <v>5820</v>
      </c>
      <c r="Z1858" s="73"/>
      <c r="AA1858" s="73"/>
      <c r="AB1858" s="73"/>
      <c r="AC1858" s="73"/>
      <c r="AD1858" s="73"/>
      <c r="AE1858" s="73"/>
      <c r="AF1858" s="73"/>
      <c r="AG1858" s="73"/>
      <c r="AH1858" s="73"/>
      <c r="AI1858" s="73"/>
      <c r="AJ1858" s="161"/>
      <c r="AK1858" s="76" t="s">
        <v>6276</v>
      </c>
      <c r="AL1858" s="83" t="s">
        <v>17973</v>
      </c>
      <c r="AM1858" s="71" t="s">
        <v>17974</v>
      </c>
      <c r="AN1858" s="84" t="s">
        <v>17975</v>
      </c>
      <c r="AO1858" s="71" t="s">
        <v>17976</v>
      </c>
      <c r="AP1858" s="161" t="str">
        <f>IMAGE("https://bellingcat-archive.nyc3.cdn.digitaloceanspaces.com/Ukraine_Witness_Datasheet/Worksheet/telegram_0e721957a2/out7.jpg")</f>
        <v/>
      </c>
      <c r="AQ1858" s="84" t="s">
        <v>17977</v>
      </c>
      <c r="AR1858" s="84" t="s">
        <v>17969</v>
      </c>
      <c r="AS1858" s="71" t="s">
        <v>17978</v>
      </c>
      <c r="AT1858" s="71">
        <v>34.0</v>
      </c>
      <c r="AU1858" s="89"/>
      <c r="AV1858" s="162"/>
      <c r="AW1858" s="81"/>
    </row>
    <row r="1859" ht="15.75" customHeight="1">
      <c r="A1859" s="354" t="s">
        <v>7092</v>
      </c>
      <c r="B1859" s="73"/>
      <c r="C1859" s="57" t="s">
        <v>13542</v>
      </c>
      <c r="D1859" s="241" t="s">
        <v>17967</v>
      </c>
      <c r="E1859" s="241" t="s">
        <v>17968</v>
      </c>
      <c r="F1859" s="79">
        <v>2.0</v>
      </c>
      <c r="G1859" s="83" t="s">
        <v>17979</v>
      </c>
      <c r="H1859" s="61" t="s">
        <v>5522</v>
      </c>
      <c r="I1859" s="215" t="s">
        <v>17970</v>
      </c>
      <c r="J1859" s="476" t="s">
        <v>17971</v>
      </c>
      <c r="K1859" s="69"/>
      <c r="L1859" s="65" t="s">
        <v>5670</v>
      </c>
      <c r="M1859" s="61" t="s">
        <v>5590</v>
      </c>
      <c r="N1859" s="73"/>
      <c r="O1859" s="61" t="s">
        <v>5626</v>
      </c>
      <c r="P1859" s="67" t="str">
        <f t="shared" si="19"/>
        <v>50.041392, 36.357527</v>
      </c>
      <c r="Q1859" s="67" t="str">
        <f t="shared" si="20"/>
        <v>50.040998, 36.358104</v>
      </c>
      <c r="R1859" s="67">
        <f t="shared" si="21"/>
        <v>50.040998</v>
      </c>
      <c r="S1859" s="67">
        <f t="shared" si="22"/>
        <v>36.358104</v>
      </c>
      <c r="T1859" s="161"/>
      <c r="U1859" s="69"/>
      <c r="V1859" s="65" t="s">
        <v>17980</v>
      </c>
      <c r="W1859" s="71" t="s">
        <v>3601</v>
      </c>
      <c r="X1859" s="17" t="s">
        <v>9</v>
      </c>
      <c r="Y1859" s="216" t="s">
        <v>5820</v>
      </c>
      <c r="Z1859" s="73"/>
      <c r="AA1859" s="73"/>
      <c r="AB1859" s="73"/>
      <c r="AC1859" s="73"/>
      <c r="AD1859" s="73"/>
      <c r="AE1859" s="73"/>
      <c r="AF1859" s="73"/>
      <c r="AG1859" s="73"/>
      <c r="AH1859" s="73"/>
      <c r="AI1859" s="73"/>
      <c r="AJ1859" s="161"/>
      <c r="AK1859" s="76" t="s">
        <v>1261</v>
      </c>
      <c r="AL1859" s="83" t="s">
        <v>17981</v>
      </c>
      <c r="AM1859" s="71" t="s">
        <v>17982</v>
      </c>
      <c r="AN1859" s="84" t="s">
        <v>17983</v>
      </c>
      <c r="AO1859" s="161"/>
      <c r="AP1859" s="161"/>
      <c r="AQ1859" s="161"/>
      <c r="AR1859" s="71" t="s">
        <v>17984</v>
      </c>
      <c r="AS1859" s="161"/>
      <c r="AT1859" s="161"/>
      <c r="AU1859" s="89"/>
      <c r="AV1859" s="162"/>
      <c r="AW1859" s="81"/>
    </row>
    <row r="1860" ht="15.75" customHeight="1">
      <c r="A1860" s="373" t="s">
        <v>6924</v>
      </c>
      <c r="B1860" s="73"/>
      <c r="C1860" s="57" t="s">
        <v>14806</v>
      </c>
      <c r="D1860" s="241" t="s">
        <v>17395</v>
      </c>
      <c r="E1860" s="241" t="s">
        <v>17396</v>
      </c>
      <c r="F1860" s="79">
        <v>2.0</v>
      </c>
      <c r="G1860" s="83" t="s">
        <v>17985</v>
      </c>
      <c r="H1860" s="61" t="s">
        <v>5522</v>
      </c>
      <c r="I1860" s="215" t="s">
        <v>15266</v>
      </c>
      <c r="J1860" s="476" t="s">
        <v>17986</v>
      </c>
      <c r="K1860" s="69"/>
      <c r="L1860" s="65" t="s">
        <v>5670</v>
      </c>
      <c r="M1860" s="61" t="s">
        <v>5590</v>
      </c>
      <c r="N1860" s="73"/>
      <c r="O1860" s="61" t="s">
        <v>5626</v>
      </c>
      <c r="P1860" s="67" t="str">
        <f t="shared" si="19"/>
        <v>50.060955, 36.202167</v>
      </c>
      <c r="Q1860" s="67" t="str">
        <f t="shared" si="20"/>
        <v>50.060656, 36.202442</v>
      </c>
      <c r="R1860" s="67">
        <f t="shared" si="21"/>
        <v>50.060656</v>
      </c>
      <c r="S1860" s="67">
        <f t="shared" si="22"/>
        <v>36.202442</v>
      </c>
      <c r="T1860" s="161"/>
      <c r="U1860" s="69"/>
      <c r="V1860" s="65" t="s">
        <v>17987</v>
      </c>
      <c r="W1860" s="71" t="s">
        <v>3601</v>
      </c>
      <c r="X1860" s="194"/>
      <c r="Y1860" s="252"/>
      <c r="Z1860" s="73"/>
      <c r="AA1860" s="73"/>
      <c r="AB1860" s="73"/>
      <c r="AC1860" s="73"/>
      <c r="AD1860" s="73"/>
      <c r="AE1860" s="73"/>
      <c r="AF1860" s="73"/>
      <c r="AG1860" s="73"/>
      <c r="AH1860" s="73"/>
      <c r="AI1860" s="73"/>
      <c r="AJ1860" s="161"/>
      <c r="AK1860" s="76" t="s">
        <v>1261</v>
      </c>
      <c r="AL1860" s="83" t="s">
        <v>17988</v>
      </c>
      <c r="AM1860" s="71" t="s">
        <v>17989</v>
      </c>
      <c r="AN1860" s="84" t="s">
        <v>17990</v>
      </c>
      <c r="AO1860" s="161"/>
      <c r="AP1860" s="161"/>
      <c r="AQ1860" s="161"/>
      <c r="AR1860" s="71" t="s">
        <v>17991</v>
      </c>
      <c r="AS1860" s="161"/>
      <c r="AT1860" s="161"/>
      <c r="AU1860" s="89"/>
      <c r="AV1860" s="162"/>
      <c r="AW1860" s="81"/>
    </row>
    <row r="1861" ht="15.75" customHeight="1">
      <c r="A1861" s="349" t="s">
        <v>7092</v>
      </c>
      <c r="B1861" s="73"/>
      <c r="C1861" s="57" t="s">
        <v>15275</v>
      </c>
      <c r="D1861" s="241" t="s">
        <v>17992</v>
      </c>
      <c r="E1861" s="241" t="s">
        <v>17993</v>
      </c>
      <c r="F1861" s="79">
        <v>2.0</v>
      </c>
      <c r="G1861" s="83" t="s">
        <v>17994</v>
      </c>
      <c r="H1861" s="61" t="s">
        <v>5522</v>
      </c>
      <c r="I1861" s="215" t="s">
        <v>17995</v>
      </c>
      <c r="J1861" s="476" t="s">
        <v>17996</v>
      </c>
      <c r="K1861" s="69"/>
      <c r="L1861" s="65" t="s">
        <v>5670</v>
      </c>
      <c r="M1861" s="61" t="s">
        <v>5590</v>
      </c>
      <c r="N1861" s="73"/>
      <c r="O1861" s="61" t="s">
        <v>5626</v>
      </c>
      <c r="P1861" s="67" t="str">
        <f t="shared" si="19"/>
        <v>49.9886069, 36.24502288</v>
      </c>
      <c r="Q1861" s="67" t="str">
        <f t="shared" si="20"/>
        <v>49.988123, 36.244887</v>
      </c>
      <c r="R1861" s="67">
        <f t="shared" si="21"/>
        <v>49.988123</v>
      </c>
      <c r="S1861" s="67">
        <f t="shared" si="22"/>
        <v>36.244887</v>
      </c>
      <c r="T1861" s="161"/>
      <c r="U1861" s="69"/>
      <c r="V1861" s="65" t="s">
        <v>17997</v>
      </c>
      <c r="W1861" s="71" t="s">
        <v>3601</v>
      </c>
      <c r="X1861" s="194"/>
      <c r="Y1861" s="216" t="s">
        <v>5820</v>
      </c>
      <c r="Z1861" s="73"/>
      <c r="AA1861" s="73"/>
      <c r="AB1861" s="73"/>
      <c r="AC1861" s="73"/>
      <c r="AD1861" s="73"/>
      <c r="AE1861" s="73"/>
      <c r="AF1861" s="73"/>
      <c r="AG1861" s="73"/>
      <c r="AH1861" s="73"/>
      <c r="AI1861" s="73"/>
      <c r="AJ1861" s="161"/>
      <c r="AK1861" s="76" t="s">
        <v>6276</v>
      </c>
      <c r="AL1861" s="83" t="s">
        <v>17998</v>
      </c>
      <c r="AM1861" s="71" t="s">
        <v>17999</v>
      </c>
      <c r="AN1861" s="84" t="s">
        <v>18000</v>
      </c>
      <c r="AO1861" s="71" t="s">
        <v>18001</v>
      </c>
      <c r="AP1861" s="161"/>
      <c r="AQ1861" s="161"/>
      <c r="AR1861" s="161"/>
      <c r="AS1861" s="161"/>
      <c r="AT1861" s="161"/>
      <c r="AU1861" s="89"/>
      <c r="AV1861" s="162"/>
      <c r="AW1861" s="81"/>
    </row>
    <row r="1862" ht="15.75" customHeight="1">
      <c r="A1862" s="349" t="s">
        <v>7092</v>
      </c>
      <c r="B1862" s="73"/>
      <c r="C1862" s="57" t="s">
        <v>15275</v>
      </c>
      <c r="D1862" s="241" t="s">
        <v>17992</v>
      </c>
      <c r="E1862" s="241" t="s">
        <v>17993</v>
      </c>
      <c r="F1862" s="79">
        <v>2.0</v>
      </c>
      <c r="G1862" s="83" t="s">
        <v>18002</v>
      </c>
      <c r="H1862" s="61" t="s">
        <v>5522</v>
      </c>
      <c r="I1862" s="215" t="s">
        <v>17995</v>
      </c>
      <c r="J1862" s="476" t="s">
        <v>17996</v>
      </c>
      <c r="K1862" s="69"/>
      <c r="L1862" s="65" t="s">
        <v>5670</v>
      </c>
      <c r="M1862" s="61" t="s">
        <v>5590</v>
      </c>
      <c r="N1862" s="73"/>
      <c r="O1862" s="61" t="s">
        <v>5626</v>
      </c>
      <c r="P1862" s="67" t="str">
        <f t="shared" si="19"/>
        <v>49.9886069, 36.24502288</v>
      </c>
      <c r="Q1862" s="67" t="str">
        <f t="shared" si="20"/>
        <v>49.988067, 36.244324</v>
      </c>
      <c r="R1862" s="67">
        <f t="shared" si="21"/>
        <v>49.988067</v>
      </c>
      <c r="S1862" s="67">
        <f t="shared" si="22"/>
        <v>36.244324</v>
      </c>
      <c r="T1862" s="161"/>
      <c r="U1862" s="69"/>
      <c r="V1862" s="65" t="s">
        <v>18003</v>
      </c>
      <c r="W1862" s="71" t="s">
        <v>3601</v>
      </c>
      <c r="X1862" s="194"/>
      <c r="Y1862" s="216" t="s">
        <v>5820</v>
      </c>
      <c r="Z1862" s="73"/>
      <c r="AA1862" s="73"/>
      <c r="AB1862" s="73"/>
      <c r="AC1862" s="73"/>
      <c r="AD1862" s="73"/>
      <c r="AE1862" s="73"/>
      <c r="AF1862" s="73"/>
      <c r="AG1862" s="73"/>
      <c r="AH1862" s="73"/>
      <c r="AI1862" s="73"/>
      <c r="AJ1862" s="161"/>
      <c r="AK1862" s="76" t="s">
        <v>1261</v>
      </c>
      <c r="AL1862" s="83" t="s">
        <v>18004</v>
      </c>
      <c r="AM1862" s="71" t="s">
        <v>18005</v>
      </c>
      <c r="AN1862" s="84" t="s">
        <v>18006</v>
      </c>
      <c r="AO1862" s="161"/>
      <c r="AP1862" s="161"/>
      <c r="AQ1862" s="161"/>
      <c r="AR1862" s="71" t="s">
        <v>18007</v>
      </c>
      <c r="AS1862" s="161"/>
      <c r="AT1862" s="161"/>
      <c r="AU1862" s="89"/>
      <c r="AV1862" s="162"/>
      <c r="AW1862" s="81"/>
    </row>
    <row r="1863" ht="15.75" customHeight="1">
      <c r="A1863" s="354" t="s">
        <v>7092</v>
      </c>
      <c r="B1863" s="73"/>
      <c r="C1863" s="57" t="s">
        <v>15275</v>
      </c>
      <c r="D1863" s="241" t="s">
        <v>18008</v>
      </c>
      <c r="E1863" s="241" t="s">
        <v>18009</v>
      </c>
      <c r="F1863" s="79">
        <v>2.0</v>
      </c>
      <c r="G1863" s="83" t="s">
        <v>18010</v>
      </c>
      <c r="H1863" s="61" t="s">
        <v>5522</v>
      </c>
      <c r="I1863" s="215" t="s">
        <v>18011</v>
      </c>
      <c r="J1863" s="476" t="s">
        <v>18012</v>
      </c>
      <c r="K1863" s="69"/>
      <c r="L1863" s="65" t="s">
        <v>5670</v>
      </c>
      <c r="M1863" s="61" t="s">
        <v>5590</v>
      </c>
      <c r="N1863" s="73"/>
      <c r="O1863" s="61" t="s">
        <v>5626</v>
      </c>
      <c r="P1863" s="67" t="str">
        <f t="shared" si="19"/>
        <v>50.040964, 36.226526</v>
      </c>
      <c r="Q1863" s="67" t="str">
        <f t="shared" si="20"/>
        <v>50.040252, 36.226179</v>
      </c>
      <c r="R1863" s="67">
        <f t="shared" si="21"/>
        <v>50.040252</v>
      </c>
      <c r="S1863" s="67">
        <f t="shared" si="22"/>
        <v>36.226179</v>
      </c>
      <c r="T1863" s="161"/>
      <c r="U1863" s="69"/>
      <c r="V1863" s="65" t="s">
        <v>18013</v>
      </c>
      <c r="W1863" s="71" t="s">
        <v>3601</v>
      </c>
      <c r="X1863" s="17" t="s">
        <v>9</v>
      </c>
      <c r="Y1863" s="216" t="s">
        <v>5820</v>
      </c>
      <c r="Z1863" s="73"/>
      <c r="AA1863" s="73"/>
      <c r="AB1863" s="73"/>
      <c r="AC1863" s="73"/>
      <c r="AD1863" s="73"/>
      <c r="AE1863" s="73"/>
      <c r="AF1863" s="73"/>
      <c r="AG1863" s="73"/>
      <c r="AH1863" s="73"/>
      <c r="AI1863" s="73"/>
      <c r="AJ1863" s="161"/>
      <c r="AK1863" s="76" t="s">
        <v>6276</v>
      </c>
      <c r="AL1863" s="83" t="s">
        <v>18014</v>
      </c>
      <c r="AM1863" s="71" t="s">
        <v>18015</v>
      </c>
      <c r="AN1863" s="84" t="s">
        <v>18016</v>
      </c>
      <c r="AO1863" s="71" t="s">
        <v>18017</v>
      </c>
      <c r="AP1863" s="161" t="str">
        <f>IMAGE("https://bellingcat-archive.nyc3.cdn.digitaloceanspaces.com/Ukraine_Witness_Datasheet/Worksheet/telegram_5c1e3a11e5/out7.jpg")</f>
        <v/>
      </c>
      <c r="AQ1863" s="84" t="s">
        <v>18018</v>
      </c>
      <c r="AR1863" s="84" t="s">
        <v>18010</v>
      </c>
      <c r="AS1863" s="71" t="s">
        <v>18019</v>
      </c>
      <c r="AT1863" s="71">
        <v>18.0</v>
      </c>
      <c r="AU1863" s="89"/>
      <c r="AV1863" s="162"/>
      <c r="AW1863" s="81"/>
    </row>
    <row r="1864" ht="15.75" customHeight="1">
      <c r="A1864" s="354" t="s">
        <v>7092</v>
      </c>
      <c r="B1864" s="73"/>
      <c r="C1864" s="57" t="s">
        <v>15275</v>
      </c>
      <c r="D1864" s="241" t="s">
        <v>18008</v>
      </c>
      <c r="E1864" s="241" t="s">
        <v>18009</v>
      </c>
      <c r="F1864" s="79">
        <v>2.0</v>
      </c>
      <c r="G1864" s="83" t="s">
        <v>18020</v>
      </c>
      <c r="H1864" s="61" t="s">
        <v>5522</v>
      </c>
      <c r="I1864" s="215" t="s">
        <v>18011</v>
      </c>
      <c r="J1864" s="476" t="s">
        <v>18012</v>
      </c>
      <c r="K1864" s="69"/>
      <c r="L1864" s="65" t="s">
        <v>5670</v>
      </c>
      <c r="M1864" s="61" t="s">
        <v>5590</v>
      </c>
      <c r="N1864" s="73"/>
      <c r="O1864" s="61" t="s">
        <v>5626</v>
      </c>
      <c r="P1864" s="67" t="str">
        <f t="shared" si="19"/>
        <v>50.040964, 36.226526</v>
      </c>
      <c r="Q1864" s="67" t="str">
        <f t="shared" si="20"/>
        <v>50.040836, 36.225289</v>
      </c>
      <c r="R1864" s="67">
        <f t="shared" si="21"/>
        <v>50.040836</v>
      </c>
      <c r="S1864" s="67">
        <f t="shared" si="22"/>
        <v>36.225289</v>
      </c>
      <c r="T1864" s="161"/>
      <c r="U1864" s="69"/>
      <c r="V1864" s="65" t="s">
        <v>18021</v>
      </c>
      <c r="W1864" s="71" t="s">
        <v>3601</v>
      </c>
      <c r="X1864" s="17" t="s">
        <v>9</v>
      </c>
      <c r="Y1864" s="216" t="s">
        <v>5820</v>
      </c>
      <c r="Z1864" s="73"/>
      <c r="AA1864" s="73"/>
      <c r="AB1864" s="73"/>
      <c r="AC1864" s="73"/>
      <c r="AD1864" s="73"/>
      <c r="AE1864" s="73"/>
      <c r="AF1864" s="73"/>
      <c r="AG1864" s="73"/>
      <c r="AH1864" s="73"/>
      <c r="AI1864" s="73"/>
      <c r="AJ1864" s="161"/>
      <c r="AK1864" s="76" t="s">
        <v>6276</v>
      </c>
      <c r="AL1864" s="83" t="s">
        <v>18022</v>
      </c>
      <c r="AM1864" s="71" t="s">
        <v>18023</v>
      </c>
      <c r="AN1864" s="84" t="s">
        <v>18024</v>
      </c>
      <c r="AO1864" s="71" t="s">
        <v>18025</v>
      </c>
      <c r="AP1864" s="161" t="str">
        <f>IMAGE("https://bellingcat-archive.nyc3.cdn.digitaloceanspaces.com/Ukraine_Witness_Datasheet/Worksheet/telegram_vN3fKqT78dJAN_48tSYzkXUj-nJandtTg7zva85EI4td8zPGFR3P0AuqmjUJy_Tm1hkpxGVWAhPRRS1HbUI3siEEruprKU3DlrDbYe10fUeU02eTB1mBDz58R0WgIbnA.jpg")</f>
        <v/>
      </c>
      <c r="AQ1864" s="161"/>
      <c r="AR1864" s="161"/>
      <c r="AS1864" s="71" t="s">
        <v>18026</v>
      </c>
      <c r="AT1864" s="161"/>
      <c r="AU1864" s="89"/>
      <c r="AV1864" s="162"/>
      <c r="AW1864" s="81"/>
    </row>
    <row r="1865" ht="15.75" customHeight="1">
      <c r="A1865" s="354" t="s">
        <v>7092</v>
      </c>
      <c r="B1865" s="73"/>
      <c r="C1865" s="57" t="s">
        <v>15275</v>
      </c>
      <c r="D1865" s="241" t="s">
        <v>18008</v>
      </c>
      <c r="E1865" s="241" t="s">
        <v>18009</v>
      </c>
      <c r="F1865" s="79">
        <v>2.0</v>
      </c>
      <c r="G1865" s="83" t="s">
        <v>18027</v>
      </c>
      <c r="H1865" s="61" t="s">
        <v>5522</v>
      </c>
      <c r="I1865" s="215" t="s">
        <v>18011</v>
      </c>
      <c r="J1865" s="476" t="s">
        <v>18012</v>
      </c>
      <c r="K1865" s="69"/>
      <c r="L1865" s="65" t="s">
        <v>5670</v>
      </c>
      <c r="M1865" s="61" t="s">
        <v>5590</v>
      </c>
      <c r="N1865" s="73"/>
      <c r="O1865" s="61" t="s">
        <v>5626</v>
      </c>
      <c r="P1865" s="67" t="str">
        <f t="shared" si="19"/>
        <v>50.040964, 36.226526</v>
      </c>
      <c r="Q1865" s="67" t="str">
        <f t="shared" si="20"/>
        <v>50.040265, 36.226353</v>
      </c>
      <c r="R1865" s="67">
        <f t="shared" si="21"/>
        <v>50.040265</v>
      </c>
      <c r="S1865" s="67">
        <f t="shared" si="22"/>
        <v>36.226353</v>
      </c>
      <c r="T1865" s="161"/>
      <c r="U1865" s="69"/>
      <c r="V1865" s="65" t="s">
        <v>18028</v>
      </c>
      <c r="W1865" s="71" t="s">
        <v>3601</v>
      </c>
      <c r="X1865" s="17" t="s">
        <v>9</v>
      </c>
      <c r="Y1865" s="216" t="s">
        <v>5820</v>
      </c>
      <c r="Z1865" s="73"/>
      <c r="AA1865" s="73"/>
      <c r="AB1865" s="73"/>
      <c r="AC1865" s="73"/>
      <c r="AD1865" s="73"/>
      <c r="AE1865" s="73"/>
      <c r="AF1865" s="73"/>
      <c r="AG1865" s="73"/>
      <c r="AH1865" s="73"/>
      <c r="AI1865" s="73"/>
      <c r="AJ1865" s="161"/>
      <c r="AK1865" s="76" t="s">
        <v>1261</v>
      </c>
      <c r="AL1865" s="83" t="s">
        <v>18029</v>
      </c>
      <c r="AM1865" s="71" t="s">
        <v>18030</v>
      </c>
      <c r="AN1865" s="84" t="s">
        <v>18031</v>
      </c>
      <c r="AO1865" s="161"/>
      <c r="AP1865" s="161"/>
      <c r="AQ1865" s="161"/>
      <c r="AR1865" s="71" t="s">
        <v>18032</v>
      </c>
      <c r="AS1865" s="161"/>
      <c r="AT1865" s="161"/>
      <c r="AU1865" s="89"/>
      <c r="AV1865" s="162"/>
      <c r="AW1865" s="81"/>
    </row>
    <row r="1866" ht="15.75" customHeight="1">
      <c r="A1866" s="354" t="s">
        <v>9897</v>
      </c>
      <c r="B1866" s="73"/>
      <c r="C1866" s="57" t="s">
        <v>14806</v>
      </c>
      <c r="D1866" s="241" t="s">
        <v>18033</v>
      </c>
      <c r="E1866" s="241" t="s">
        <v>18034</v>
      </c>
      <c r="F1866" s="79">
        <v>3.0</v>
      </c>
      <c r="G1866" s="83" t="s">
        <v>18035</v>
      </c>
      <c r="H1866" s="61" t="s">
        <v>91</v>
      </c>
      <c r="I1866" s="215" t="s">
        <v>18036</v>
      </c>
      <c r="J1866" s="476" t="s">
        <v>18037</v>
      </c>
      <c r="K1866" s="69"/>
      <c r="L1866" s="65" t="s">
        <v>5670</v>
      </c>
      <c r="M1866" s="92" t="s">
        <v>6167</v>
      </c>
      <c r="N1866" s="73"/>
      <c r="O1866" s="92" t="s">
        <v>18038</v>
      </c>
      <c r="P1866" s="67" t="str">
        <f t="shared" si="19"/>
        <v>47.6620889, 36.2509812</v>
      </c>
      <c r="Q1866" s="67" t="str">
        <f t="shared" si="20"/>
        <v>47.661772, 36.251758</v>
      </c>
      <c r="R1866" s="67">
        <f t="shared" si="21"/>
        <v>47.661772</v>
      </c>
      <c r="S1866" s="67">
        <f t="shared" si="22"/>
        <v>36.251758</v>
      </c>
      <c r="T1866" s="161"/>
      <c r="U1866" s="69"/>
      <c r="V1866" s="65" t="s">
        <v>18039</v>
      </c>
      <c r="W1866" s="71" t="s">
        <v>3601</v>
      </c>
      <c r="X1866" s="17" t="s">
        <v>9</v>
      </c>
      <c r="Y1866" s="216" t="s">
        <v>5820</v>
      </c>
      <c r="Z1866" s="73"/>
      <c r="AA1866" s="73"/>
      <c r="AB1866" s="73"/>
      <c r="AC1866" s="73"/>
      <c r="AD1866" s="73"/>
      <c r="AE1866" s="73"/>
      <c r="AF1866" s="73"/>
      <c r="AG1866" s="73"/>
      <c r="AH1866" s="73"/>
      <c r="AI1866" s="73"/>
      <c r="AJ1866" s="161"/>
      <c r="AK1866" s="76" t="s">
        <v>18040</v>
      </c>
      <c r="AL1866" s="269"/>
      <c r="AM1866" s="71" t="s">
        <v>18041</v>
      </c>
      <c r="AN1866" s="161"/>
      <c r="AO1866" s="161"/>
      <c r="AP1866" s="161"/>
      <c r="AQ1866" s="161"/>
      <c r="AR1866" s="161"/>
      <c r="AS1866" s="161"/>
      <c r="AT1866" s="161"/>
      <c r="AU1866" s="89"/>
      <c r="AV1866" s="162"/>
      <c r="AW1866" s="81"/>
    </row>
    <row r="1867" ht="15.75" customHeight="1">
      <c r="A1867" s="354" t="s">
        <v>9897</v>
      </c>
      <c r="B1867" s="73"/>
      <c r="C1867" s="57" t="s">
        <v>14806</v>
      </c>
      <c r="D1867" s="241" t="s">
        <v>18033</v>
      </c>
      <c r="E1867" s="241" t="s">
        <v>18034</v>
      </c>
      <c r="F1867" s="79">
        <v>3.0</v>
      </c>
      <c r="G1867" s="83" t="s">
        <v>18042</v>
      </c>
      <c r="H1867" s="61" t="s">
        <v>91</v>
      </c>
      <c r="I1867" s="215" t="s">
        <v>18036</v>
      </c>
      <c r="J1867" s="476" t="s">
        <v>18037</v>
      </c>
      <c r="K1867" s="69"/>
      <c r="L1867" s="65" t="s">
        <v>5670</v>
      </c>
      <c r="M1867" s="92" t="s">
        <v>6167</v>
      </c>
      <c r="N1867" s="73"/>
      <c r="O1867" s="92" t="s">
        <v>18038</v>
      </c>
      <c r="P1867" s="67" t="str">
        <f t="shared" si="19"/>
        <v>47.6620889, 36.2509812</v>
      </c>
      <c r="Q1867" s="67" t="str">
        <f t="shared" si="20"/>
        <v>47.661353, 36.250652</v>
      </c>
      <c r="R1867" s="67">
        <f t="shared" si="21"/>
        <v>47.661353</v>
      </c>
      <c r="S1867" s="67">
        <f t="shared" si="22"/>
        <v>36.250652</v>
      </c>
      <c r="T1867" s="161"/>
      <c r="U1867" s="69"/>
      <c r="V1867" s="65" t="s">
        <v>18043</v>
      </c>
      <c r="W1867" s="71" t="s">
        <v>3601</v>
      </c>
      <c r="X1867" s="17" t="s">
        <v>9</v>
      </c>
      <c r="Y1867" s="216" t="s">
        <v>5820</v>
      </c>
      <c r="Z1867" s="73"/>
      <c r="AA1867" s="73"/>
      <c r="AB1867" s="73"/>
      <c r="AC1867" s="73"/>
      <c r="AD1867" s="73"/>
      <c r="AE1867" s="73"/>
      <c r="AF1867" s="73"/>
      <c r="AG1867" s="73"/>
      <c r="AH1867" s="73"/>
      <c r="AI1867" s="73"/>
      <c r="AJ1867" s="161"/>
      <c r="AK1867" s="76" t="s">
        <v>798</v>
      </c>
      <c r="AL1867" s="83" t="s">
        <v>18044</v>
      </c>
      <c r="AM1867" s="71" t="s">
        <v>18045</v>
      </c>
      <c r="AN1867" s="84" t="s">
        <v>18046</v>
      </c>
      <c r="AO1867" s="71" t="s">
        <v>18047</v>
      </c>
      <c r="AP1867" s="161" t="str">
        <f>IMAGE("https://bellingcat-archive.nyc3.cdn.digitaloceanspaces.com/Ukraine_Witness_Datasheet/Worksheet/youtube_dl_2fQJ-fFrIvU/out20.jpg")</f>
        <v/>
      </c>
      <c r="AQ1867" s="84" t="s">
        <v>18048</v>
      </c>
      <c r="AR1867" s="71" t="s">
        <v>18049</v>
      </c>
      <c r="AS1867" s="71" t="s">
        <v>17103</v>
      </c>
      <c r="AT1867" s="71">
        <v>60.0</v>
      </c>
      <c r="AU1867" s="89"/>
      <c r="AV1867" s="162"/>
      <c r="AW1867" s="81"/>
    </row>
    <row r="1868" ht="15.75" customHeight="1">
      <c r="A1868" s="373" t="s">
        <v>6924</v>
      </c>
      <c r="B1868" s="73"/>
      <c r="C1868" s="57" t="s">
        <v>15275</v>
      </c>
      <c r="D1868" s="260"/>
      <c r="E1868" s="260"/>
      <c r="F1868" s="79">
        <v>2.0</v>
      </c>
      <c r="G1868" s="83" t="s">
        <v>18050</v>
      </c>
      <c r="H1868" s="73"/>
      <c r="I1868" s="215" t="s">
        <v>18051</v>
      </c>
      <c r="J1868" s="476" t="s">
        <v>18052</v>
      </c>
      <c r="K1868" s="69"/>
      <c r="L1868" s="70"/>
      <c r="M1868" s="73"/>
      <c r="N1868" s="73"/>
      <c r="O1868" s="73"/>
      <c r="P1868" s="67" t="str">
        <f t="shared" si="19"/>
        <v/>
      </c>
      <c r="Q1868" s="67" t="str">
        <f t="shared" si="20"/>
        <v/>
      </c>
      <c r="R1868" s="67" t="str">
        <f t="shared" si="21"/>
        <v/>
      </c>
      <c r="S1868" s="67" t="str">
        <f t="shared" si="22"/>
        <v/>
      </c>
      <c r="T1868" s="161"/>
      <c r="U1868" s="69"/>
      <c r="V1868" s="65" t="s">
        <v>18053</v>
      </c>
      <c r="W1868" s="161"/>
      <c r="X1868" s="194"/>
      <c r="Y1868" s="216" t="s">
        <v>5820</v>
      </c>
      <c r="Z1868" s="73"/>
      <c r="AA1868" s="73"/>
      <c r="AB1868" s="73"/>
      <c r="AC1868" s="73"/>
      <c r="AD1868" s="73"/>
      <c r="AE1868" s="73"/>
      <c r="AF1868" s="73"/>
      <c r="AG1868" s="73"/>
      <c r="AH1868" s="73"/>
      <c r="AI1868" s="73"/>
      <c r="AJ1868" s="161"/>
      <c r="AK1868" s="76" t="s">
        <v>6276</v>
      </c>
      <c r="AL1868" s="83" t="s">
        <v>18054</v>
      </c>
      <c r="AM1868" s="71" t="s">
        <v>18055</v>
      </c>
      <c r="AN1868" s="84" t="s">
        <v>18056</v>
      </c>
      <c r="AO1868" s="71" t="s">
        <v>18057</v>
      </c>
      <c r="AP1868" s="161" t="str">
        <f>IMAGE("https://bellingcat-archive.nyc3.cdn.digitaloceanspaces.com/Ukraine_Witness_Datasheet/Worksheet/telegram_8db9a026d3/out20.jpg")</f>
        <v/>
      </c>
      <c r="AQ1868" s="84" t="s">
        <v>18058</v>
      </c>
      <c r="AR1868" s="84" t="s">
        <v>18050</v>
      </c>
      <c r="AS1868" s="71" t="s">
        <v>18059</v>
      </c>
      <c r="AT1868" s="71">
        <v>106.0</v>
      </c>
      <c r="AU1868" s="89"/>
      <c r="AV1868" s="162"/>
      <c r="AW1868" s="81"/>
    </row>
    <row r="1869" ht="15.75" customHeight="1">
      <c r="A1869" s="349" t="s">
        <v>7092</v>
      </c>
      <c r="B1869" s="73"/>
      <c r="C1869" s="57" t="s">
        <v>15275</v>
      </c>
      <c r="D1869" s="241" t="s">
        <v>18060</v>
      </c>
      <c r="E1869" s="241" t="s">
        <v>18061</v>
      </c>
      <c r="F1869" s="79">
        <v>3.0</v>
      </c>
      <c r="G1869" s="83" t="s">
        <v>18062</v>
      </c>
      <c r="H1869" s="73"/>
      <c r="I1869" s="215" t="s">
        <v>18063</v>
      </c>
      <c r="J1869" s="476" t="s">
        <v>18064</v>
      </c>
      <c r="K1869" s="69"/>
      <c r="L1869" s="70"/>
      <c r="M1869" s="73"/>
      <c r="N1869" s="73"/>
      <c r="O1869" s="73"/>
      <c r="P1869" s="67" t="str">
        <f t="shared" si="19"/>
        <v>49.18923795, 37.27374449</v>
      </c>
      <c r="Q1869" s="67" t="str">
        <f t="shared" si="20"/>
        <v>49.188987, 37.272568</v>
      </c>
      <c r="R1869" s="67">
        <f t="shared" si="21"/>
        <v>49.188987</v>
      </c>
      <c r="S1869" s="67">
        <f t="shared" si="22"/>
        <v>37.272568</v>
      </c>
      <c r="T1869" s="161"/>
      <c r="U1869" s="69"/>
      <c r="V1869" s="65" t="s">
        <v>18065</v>
      </c>
      <c r="W1869" s="161"/>
      <c r="X1869" s="194"/>
      <c r="Y1869" s="216" t="s">
        <v>5820</v>
      </c>
      <c r="Z1869" s="73"/>
      <c r="AA1869" s="73"/>
      <c r="AB1869" s="73"/>
      <c r="AC1869" s="73"/>
      <c r="AD1869" s="73"/>
      <c r="AE1869" s="73"/>
      <c r="AF1869" s="73"/>
      <c r="AG1869" s="73"/>
      <c r="AH1869" s="73"/>
      <c r="AI1869" s="73"/>
      <c r="AJ1869" s="161"/>
      <c r="AK1869" s="76" t="s">
        <v>2108</v>
      </c>
      <c r="AL1869" s="83" t="s">
        <v>18066</v>
      </c>
      <c r="AM1869" s="71" t="s">
        <v>18067</v>
      </c>
      <c r="AN1869" s="84" t="s">
        <v>18068</v>
      </c>
      <c r="AO1869" s="71" t="s">
        <v>18069</v>
      </c>
      <c r="AP1869" s="161" t="str">
        <f>IMAGE("https://bellingcat-archive.nyc3.cdn.digitaloceanspaces.com/Ukraine_Witness_Datasheet/Worksheet/twitter__media_FNVjobLXsAU01BX.jpg")</f>
        <v/>
      </c>
      <c r="AQ1869" s="161"/>
      <c r="AR1869" s="161"/>
      <c r="AS1869" s="71" t="s">
        <v>18070</v>
      </c>
      <c r="AT1869" s="161"/>
      <c r="AU1869" s="89"/>
      <c r="AV1869" s="162"/>
      <c r="AW1869" s="81"/>
    </row>
    <row r="1870" ht="15.75" customHeight="1">
      <c r="A1870" s="72" t="s">
        <v>15467</v>
      </c>
      <c r="B1870" s="73"/>
      <c r="C1870" s="57" t="s">
        <v>14806</v>
      </c>
      <c r="D1870" s="104">
        <v>50.026112</v>
      </c>
      <c r="E1870" s="66">
        <v>36.24032</v>
      </c>
      <c r="F1870" s="79">
        <v>1.0</v>
      </c>
      <c r="G1870" s="84" t="s">
        <v>18071</v>
      </c>
      <c r="H1870" s="61" t="s">
        <v>91</v>
      </c>
      <c r="I1870" s="62" t="s">
        <v>12782</v>
      </c>
      <c r="J1870" s="71" t="s">
        <v>18072</v>
      </c>
      <c r="K1870" s="69"/>
      <c r="L1870" s="65" t="s">
        <v>3542</v>
      </c>
      <c r="M1870" s="61" t="s">
        <v>5590</v>
      </c>
      <c r="N1870" s="61" t="s">
        <v>18073</v>
      </c>
      <c r="O1870" s="61" t="s">
        <v>5626</v>
      </c>
      <c r="P1870" s="67" t="str">
        <f t="shared" si="19"/>
        <v>50.026112, 36.24032</v>
      </c>
      <c r="Q1870" s="67" t="str">
        <f t="shared" si="20"/>
        <v>50.025505, 36.240825</v>
      </c>
      <c r="R1870" s="67">
        <f t="shared" si="21"/>
        <v>50.025505</v>
      </c>
      <c r="S1870" s="67">
        <f t="shared" si="22"/>
        <v>36.240825</v>
      </c>
      <c r="T1870" s="71" t="s">
        <v>18074</v>
      </c>
      <c r="U1870" s="64" t="s">
        <v>9330</v>
      </c>
      <c r="V1870" s="65" t="s">
        <v>18075</v>
      </c>
      <c r="W1870" s="71" t="s">
        <v>12840</v>
      </c>
      <c r="X1870" s="72" t="s">
        <v>5504</v>
      </c>
      <c r="Y1870" s="61" t="s">
        <v>5820</v>
      </c>
      <c r="Z1870" s="73"/>
      <c r="AA1870" s="73"/>
      <c r="AB1870" s="73"/>
      <c r="AC1870" s="73"/>
      <c r="AD1870" s="73"/>
      <c r="AE1870" s="73"/>
      <c r="AF1870" s="73"/>
      <c r="AG1870" s="73"/>
      <c r="AH1870" s="73"/>
      <c r="AI1870" s="73"/>
      <c r="AJ1870" s="161"/>
      <c r="AK1870" s="76" t="s">
        <v>2108</v>
      </c>
      <c r="AL1870" s="83" t="s">
        <v>18076</v>
      </c>
      <c r="AM1870" s="71" t="s">
        <v>18077</v>
      </c>
      <c r="AN1870" s="84" t="s">
        <v>18078</v>
      </c>
      <c r="AO1870" s="71" t="s">
        <v>18079</v>
      </c>
      <c r="AP1870" s="161" t="str">
        <f>IMAGE("https://bellingcat-archive.nyc3.cdn.digitaloceanspaces.com/Ukraine_Witness_Datasheet/Worksheet/twitter__media_FNMOJXNXwAkkpgu.jpg")</f>
        <v/>
      </c>
      <c r="AQ1870" s="161"/>
      <c r="AR1870" s="161"/>
      <c r="AS1870" s="71" t="s">
        <v>18080</v>
      </c>
      <c r="AT1870" s="161"/>
      <c r="AU1870" s="89"/>
      <c r="AV1870" s="80" t="s">
        <v>63</v>
      </c>
      <c r="AW1870" s="81"/>
    </row>
    <row r="1871" ht="15.75" customHeight="1">
      <c r="A1871" s="518" t="s">
        <v>18081</v>
      </c>
      <c r="B1871" s="73"/>
      <c r="C1871" s="57" t="s">
        <v>15852</v>
      </c>
      <c r="D1871" s="104">
        <v>49.711239914112</v>
      </c>
      <c r="E1871" s="104">
        <v>37.6126111944409</v>
      </c>
      <c r="F1871" s="545">
        <v>1.0</v>
      </c>
      <c r="G1871" s="84" t="s">
        <v>18082</v>
      </c>
      <c r="H1871" s="61" t="s">
        <v>5522</v>
      </c>
      <c r="I1871" s="75"/>
      <c r="J1871" s="71" t="s">
        <v>18083</v>
      </c>
      <c r="K1871" s="69"/>
      <c r="L1871" s="65" t="s">
        <v>3542</v>
      </c>
      <c r="M1871" s="61" t="s">
        <v>5590</v>
      </c>
      <c r="O1871" s="61" t="s">
        <v>8303</v>
      </c>
      <c r="P1871" s="67" t="str">
        <f t="shared" si="19"/>
        <v>49.711239914112, 37.6126111944409</v>
      </c>
      <c r="Q1871" s="67" t="str">
        <f t="shared" si="20"/>
        <v>49.710563, 37.612042</v>
      </c>
      <c r="R1871" s="67">
        <f t="shared" si="21"/>
        <v>49.710563</v>
      </c>
      <c r="S1871" s="67">
        <f t="shared" si="22"/>
        <v>37.612042</v>
      </c>
      <c r="T1871" s="161"/>
      <c r="U1871" s="69"/>
      <c r="V1871" s="65" t="s">
        <v>18084</v>
      </c>
      <c r="W1871" s="71" t="s">
        <v>74</v>
      </c>
      <c r="X1871" s="72" t="s">
        <v>5504</v>
      </c>
      <c r="Y1871" s="61" t="s">
        <v>5820</v>
      </c>
      <c r="Z1871" s="73"/>
      <c r="AA1871" s="73"/>
      <c r="AB1871" s="73"/>
      <c r="AC1871" s="73"/>
      <c r="AD1871" s="73"/>
      <c r="AE1871" s="73"/>
      <c r="AF1871" s="73"/>
      <c r="AG1871" s="73"/>
      <c r="AH1871" s="73"/>
      <c r="AI1871" s="73"/>
      <c r="AJ1871" s="161"/>
      <c r="AK1871" s="76" t="s">
        <v>798</v>
      </c>
      <c r="AL1871" s="83" t="s">
        <v>18085</v>
      </c>
      <c r="AM1871" s="71" t="s">
        <v>18086</v>
      </c>
      <c r="AN1871" s="84" t="s">
        <v>18087</v>
      </c>
      <c r="AO1871" s="71" t="s">
        <v>18088</v>
      </c>
      <c r="AP1871" s="161" t="str">
        <f>IMAGE("https://bellingcat-archive.nyc3.cdn.digitaloceanspaces.com/Ukraine_Witness_Datasheet/Worksheet/youtube_dl_1501278792299565059/out7.jpg")</f>
        <v/>
      </c>
      <c r="AQ1871" s="84" t="s">
        <v>18089</v>
      </c>
      <c r="AR1871" s="71" t="s">
        <v>18090</v>
      </c>
      <c r="AS1871" s="71" t="s">
        <v>18091</v>
      </c>
      <c r="AT1871" s="71">
        <v>11.966</v>
      </c>
      <c r="AU1871" s="89"/>
      <c r="AV1871" s="80" t="s">
        <v>63</v>
      </c>
      <c r="AW1871" s="81"/>
    </row>
    <row r="1872" ht="15.75" customHeight="1">
      <c r="A1872" s="72" t="s">
        <v>18092</v>
      </c>
      <c r="B1872" s="73"/>
      <c r="C1872" s="57" t="s">
        <v>15852</v>
      </c>
      <c r="D1872" s="104">
        <v>46.7673891653848</v>
      </c>
      <c r="E1872" s="104">
        <v>36.7810701179611</v>
      </c>
      <c r="F1872" s="79">
        <v>1.0</v>
      </c>
      <c r="G1872" s="84" t="s">
        <v>18093</v>
      </c>
      <c r="H1872" s="61" t="s">
        <v>5522</v>
      </c>
      <c r="I1872" s="75"/>
      <c r="J1872" s="71" t="s">
        <v>18094</v>
      </c>
      <c r="K1872" s="69"/>
      <c r="L1872" s="65" t="s">
        <v>3542</v>
      </c>
      <c r="M1872" s="61" t="s">
        <v>7160</v>
      </c>
      <c r="N1872" s="73"/>
      <c r="O1872" s="92" t="s">
        <v>8841</v>
      </c>
      <c r="P1872" s="67" t="str">
        <f t="shared" si="19"/>
        <v>46.7673891653848, 36.7810701179611</v>
      </c>
      <c r="Q1872" s="67" t="str">
        <f t="shared" si="20"/>
        <v>46.766663, 36.780533</v>
      </c>
      <c r="R1872" s="67">
        <f t="shared" si="21"/>
        <v>46.766663</v>
      </c>
      <c r="S1872" s="67">
        <f t="shared" si="22"/>
        <v>36.780533</v>
      </c>
      <c r="T1872" s="161"/>
      <c r="U1872" s="69"/>
      <c r="V1872" s="65" t="s">
        <v>18095</v>
      </c>
      <c r="W1872" s="71" t="s">
        <v>74</v>
      </c>
      <c r="X1872" s="72" t="s">
        <v>5504</v>
      </c>
      <c r="Y1872" s="61" t="s">
        <v>5820</v>
      </c>
      <c r="Z1872" s="73"/>
      <c r="AA1872" s="328"/>
      <c r="AB1872" s="73"/>
      <c r="AC1872" s="73"/>
      <c r="AD1872" s="73"/>
      <c r="AE1872" s="73"/>
      <c r="AF1872" s="73"/>
      <c r="AG1872" s="73"/>
      <c r="AH1872" s="73"/>
      <c r="AI1872" s="73"/>
      <c r="AJ1872" s="161"/>
      <c r="AK1872" s="76" t="s">
        <v>6276</v>
      </c>
      <c r="AL1872" s="83" t="s">
        <v>18096</v>
      </c>
      <c r="AM1872" s="71" t="s">
        <v>18097</v>
      </c>
      <c r="AN1872" s="84" t="s">
        <v>18098</v>
      </c>
      <c r="AO1872" s="71" t="s">
        <v>18099</v>
      </c>
      <c r="AP1872" s="161"/>
      <c r="AQ1872" s="161"/>
      <c r="AR1872" s="161"/>
      <c r="AS1872" s="161"/>
      <c r="AT1872" s="161"/>
      <c r="AU1872" s="89"/>
      <c r="AV1872" s="80" t="s">
        <v>63</v>
      </c>
      <c r="AW1872" s="81"/>
    </row>
    <row r="1873" ht="15.75" customHeight="1">
      <c r="A1873" s="72" t="s">
        <v>7849</v>
      </c>
      <c r="B1873" s="73"/>
      <c r="C1873" s="57" t="s">
        <v>15852</v>
      </c>
      <c r="D1873" s="104">
        <v>50.397275</v>
      </c>
      <c r="E1873" s="104">
        <v>34.583943</v>
      </c>
      <c r="F1873" s="79">
        <v>2.0</v>
      </c>
      <c r="G1873" s="84" t="s">
        <v>18100</v>
      </c>
      <c r="H1873" s="61" t="s">
        <v>66</v>
      </c>
      <c r="I1873" s="75"/>
      <c r="J1873" s="71" t="s">
        <v>18101</v>
      </c>
      <c r="K1873" s="69"/>
      <c r="L1873" s="65" t="s">
        <v>3542</v>
      </c>
      <c r="M1873" s="61" t="s">
        <v>5978</v>
      </c>
      <c r="N1873" s="73"/>
      <c r="O1873" s="61" t="s">
        <v>18102</v>
      </c>
      <c r="P1873" s="67" t="str">
        <f t="shared" si="19"/>
        <v>50.397275, 34.583943</v>
      </c>
      <c r="Q1873" s="67" t="str">
        <f t="shared" si="20"/>
        <v>50.397171, 34.584725</v>
      </c>
      <c r="R1873" s="67">
        <f t="shared" si="21"/>
        <v>50.397171</v>
      </c>
      <c r="S1873" s="67">
        <f t="shared" si="22"/>
        <v>34.584725</v>
      </c>
      <c r="T1873" s="161"/>
      <c r="U1873" s="69"/>
      <c r="V1873" s="65" t="s">
        <v>18103</v>
      </c>
      <c r="W1873" s="71" t="s">
        <v>18104</v>
      </c>
      <c r="X1873" s="72" t="s">
        <v>5504</v>
      </c>
      <c r="Y1873" s="61" t="s">
        <v>5820</v>
      </c>
      <c r="Z1873" s="73"/>
      <c r="AA1873" s="73"/>
      <c r="AB1873" s="73"/>
      <c r="AC1873" s="73"/>
      <c r="AD1873" s="73"/>
      <c r="AE1873" s="73"/>
      <c r="AF1873" s="73"/>
      <c r="AG1873" s="73"/>
      <c r="AH1873" s="73"/>
      <c r="AI1873" s="73"/>
      <c r="AJ1873" s="161"/>
      <c r="AK1873" s="76" t="s">
        <v>798</v>
      </c>
      <c r="AL1873" s="83" t="s">
        <v>18105</v>
      </c>
      <c r="AM1873" s="71" t="s">
        <v>18106</v>
      </c>
      <c r="AN1873" s="84" t="s">
        <v>18107</v>
      </c>
      <c r="AO1873" s="71" t="s">
        <v>18108</v>
      </c>
      <c r="AP1873" s="161" t="str">
        <f>IMAGE("https://bellingcat-archive.nyc3.cdn.digitaloceanspaces.com/Ukraine_Witness_Datasheet/Worksheet/youtube_dl_1501302120166924292/out20.jpg")</f>
        <v/>
      </c>
      <c r="AQ1873" s="84" t="s">
        <v>18109</v>
      </c>
      <c r="AR1873" s="71" t="s">
        <v>18110</v>
      </c>
      <c r="AS1873" s="71" t="s">
        <v>18111</v>
      </c>
      <c r="AT1873" s="71">
        <v>99.853</v>
      </c>
      <c r="AU1873" s="89"/>
      <c r="AV1873" s="80" t="s">
        <v>63</v>
      </c>
      <c r="AW1873" s="81"/>
    </row>
    <row r="1874" ht="15.75" customHeight="1">
      <c r="A1874" s="354" t="s">
        <v>9897</v>
      </c>
      <c r="B1874" s="73"/>
      <c r="C1874" s="57" t="s">
        <v>14806</v>
      </c>
      <c r="D1874" s="241" t="s">
        <v>17173</v>
      </c>
      <c r="E1874" s="241" t="s">
        <v>17174</v>
      </c>
      <c r="F1874" s="79">
        <v>5.0</v>
      </c>
      <c r="G1874" s="83" t="s">
        <v>18112</v>
      </c>
      <c r="H1874" s="61" t="s">
        <v>91</v>
      </c>
      <c r="I1874" s="215" t="s">
        <v>17176</v>
      </c>
      <c r="J1874" s="476" t="s">
        <v>18113</v>
      </c>
      <c r="K1874" s="69"/>
      <c r="L1874" s="65" t="s">
        <v>3542</v>
      </c>
      <c r="M1874" s="61" t="s">
        <v>5590</v>
      </c>
      <c r="N1874" s="73"/>
      <c r="O1874" s="61" t="s">
        <v>5626</v>
      </c>
      <c r="P1874" s="67" t="str">
        <f t="shared" si="19"/>
        <v>50.0900038, 36.2560183</v>
      </c>
      <c r="Q1874" s="67" t="str">
        <f t="shared" si="20"/>
        <v>50.089436, 36.255455</v>
      </c>
      <c r="R1874" s="67">
        <f t="shared" si="21"/>
        <v>50.089436</v>
      </c>
      <c r="S1874" s="67">
        <f t="shared" si="22"/>
        <v>36.255455</v>
      </c>
      <c r="T1874" s="161"/>
      <c r="U1874" s="69"/>
      <c r="V1874" s="65" t="s">
        <v>18114</v>
      </c>
      <c r="W1874" s="71" t="s">
        <v>10666</v>
      </c>
      <c r="X1874" s="17" t="s">
        <v>9</v>
      </c>
      <c r="Y1874" s="216" t="s">
        <v>5820</v>
      </c>
      <c r="Z1874" s="73"/>
      <c r="AA1874" s="73"/>
      <c r="AB1874" s="73"/>
      <c r="AC1874" s="73"/>
      <c r="AD1874" s="73"/>
      <c r="AE1874" s="73"/>
      <c r="AF1874" s="73"/>
      <c r="AG1874" s="73"/>
      <c r="AH1874" s="73"/>
      <c r="AI1874" s="73"/>
      <c r="AJ1874" s="161"/>
      <c r="AK1874" s="76" t="s">
        <v>798</v>
      </c>
      <c r="AL1874" s="83" t="s">
        <v>18115</v>
      </c>
      <c r="AM1874" s="71" t="s">
        <v>18116</v>
      </c>
      <c r="AN1874" s="84" t="s">
        <v>18117</v>
      </c>
      <c r="AO1874" s="71" t="s">
        <v>18118</v>
      </c>
      <c r="AP1874" s="161" t="str">
        <f>IMAGE("https://bellingcat-archive.nyc3.cdn.digitaloceanspaces.com/Ukraine_Witness_Datasheet/Worksheet/youtube_dl_1500521169610588169/out7.jpg")</f>
        <v/>
      </c>
      <c r="AQ1874" s="84" t="s">
        <v>18119</v>
      </c>
      <c r="AR1874" s="71" t="s">
        <v>18120</v>
      </c>
      <c r="AS1874" s="71" t="s">
        <v>18121</v>
      </c>
      <c r="AT1874" s="71">
        <v>30.096</v>
      </c>
      <c r="AU1874" s="89"/>
      <c r="AV1874" s="162"/>
      <c r="AW1874" s="81"/>
    </row>
    <row r="1875" ht="15.75" customHeight="1">
      <c r="A1875" s="354" t="s">
        <v>9566</v>
      </c>
      <c r="B1875" s="73"/>
      <c r="C1875" s="57" t="s">
        <v>14806</v>
      </c>
      <c r="D1875" s="241" t="s">
        <v>17228</v>
      </c>
      <c r="E1875" s="241" t="s">
        <v>17229</v>
      </c>
      <c r="F1875" s="79">
        <v>2.0</v>
      </c>
      <c r="G1875" s="83" t="s">
        <v>18122</v>
      </c>
      <c r="H1875" s="61" t="s">
        <v>91</v>
      </c>
      <c r="I1875" s="215" t="s">
        <v>15154</v>
      </c>
      <c r="J1875" s="476" t="s">
        <v>17231</v>
      </c>
      <c r="K1875" s="69"/>
      <c r="L1875" s="65" t="s">
        <v>3542</v>
      </c>
      <c r="M1875" s="92" t="s">
        <v>14678</v>
      </c>
      <c r="N1875" s="73"/>
      <c r="O1875" s="92" t="s">
        <v>14998</v>
      </c>
      <c r="P1875" s="67" t="str">
        <f t="shared" si="19"/>
        <v>49.243102, 28.604546</v>
      </c>
      <c r="Q1875" s="67" t="str">
        <f t="shared" si="20"/>
        <v>49.24271, 28.605001</v>
      </c>
      <c r="R1875" s="67">
        <f t="shared" si="21"/>
        <v>49.24271</v>
      </c>
      <c r="S1875" s="67">
        <f t="shared" si="22"/>
        <v>28.605001</v>
      </c>
      <c r="T1875" s="161"/>
      <c r="U1875" s="69"/>
      <c r="V1875" s="65" t="s">
        <v>18123</v>
      </c>
      <c r="W1875" s="71" t="s">
        <v>3601</v>
      </c>
      <c r="X1875" s="17" t="s">
        <v>9</v>
      </c>
      <c r="Y1875" s="216" t="s">
        <v>5820</v>
      </c>
      <c r="Z1875" s="73"/>
      <c r="AA1875" s="73"/>
      <c r="AB1875" s="73"/>
      <c r="AC1875" s="73"/>
      <c r="AD1875" s="73"/>
      <c r="AE1875" s="73"/>
      <c r="AF1875" s="73"/>
      <c r="AG1875" s="73"/>
      <c r="AH1875" s="73"/>
      <c r="AI1875" s="73"/>
      <c r="AJ1875" s="161"/>
      <c r="AK1875" s="76" t="s">
        <v>798</v>
      </c>
      <c r="AL1875" s="83" t="s">
        <v>18124</v>
      </c>
      <c r="AM1875" s="71" t="s">
        <v>18125</v>
      </c>
      <c r="AN1875" s="84" t="s">
        <v>18126</v>
      </c>
      <c r="AO1875" s="71" t="s">
        <v>18127</v>
      </c>
      <c r="AP1875" s="161" t="str">
        <f>IMAGE("https://bellingcat-archive.nyc3.cdn.digitaloceanspaces.com/Ukraine_Witness_Datasheet/Worksheet/youtube_dl_89wxodrwgrl81/out7.jpg")</f>
        <v/>
      </c>
      <c r="AQ1875" s="84" t="s">
        <v>18128</v>
      </c>
      <c r="AR1875" s="71" t="s">
        <v>18129</v>
      </c>
      <c r="AS1875" s="71" t="s">
        <v>18130</v>
      </c>
      <c r="AT1875" s="71">
        <v>22.0</v>
      </c>
      <c r="AU1875" s="89"/>
      <c r="AV1875" s="162"/>
      <c r="AW1875" s="81"/>
    </row>
    <row r="1876" ht="15.75" customHeight="1">
      <c r="A1876" s="354" t="s">
        <v>9566</v>
      </c>
      <c r="B1876" s="73"/>
      <c r="C1876" s="57" t="s">
        <v>13542</v>
      </c>
      <c r="D1876" s="241" t="s">
        <v>17358</v>
      </c>
      <c r="E1876" s="241" t="s">
        <v>17359</v>
      </c>
      <c r="F1876" s="79">
        <v>3.0</v>
      </c>
      <c r="G1876" s="83" t="s">
        <v>18131</v>
      </c>
      <c r="H1876" s="61" t="s">
        <v>5522</v>
      </c>
      <c r="I1876" s="215" t="s">
        <v>14667</v>
      </c>
      <c r="J1876" s="476" t="s">
        <v>18132</v>
      </c>
      <c r="K1876" s="69"/>
      <c r="L1876" s="65" t="s">
        <v>3542</v>
      </c>
      <c r="M1876" s="61" t="s">
        <v>5590</v>
      </c>
      <c r="N1876" s="73"/>
      <c r="O1876" s="61" t="s">
        <v>5626</v>
      </c>
      <c r="P1876" s="67" t="str">
        <f t="shared" si="19"/>
        <v>50.042143, 36.359936</v>
      </c>
      <c r="Q1876" s="67" t="str">
        <f t="shared" si="20"/>
        <v>50.041504, 36.359449</v>
      </c>
      <c r="R1876" s="67">
        <f t="shared" si="21"/>
        <v>50.041504</v>
      </c>
      <c r="S1876" s="67">
        <f t="shared" si="22"/>
        <v>36.359449</v>
      </c>
      <c r="T1876" s="161"/>
      <c r="U1876" s="69"/>
      <c r="V1876" s="65" t="s">
        <v>18133</v>
      </c>
      <c r="W1876" s="71" t="s">
        <v>3601</v>
      </c>
      <c r="X1876" s="17" t="s">
        <v>9</v>
      </c>
      <c r="Y1876" s="216" t="s">
        <v>5820</v>
      </c>
      <c r="Z1876" s="73"/>
      <c r="AA1876" s="73"/>
      <c r="AB1876" s="73"/>
      <c r="AC1876" s="73"/>
      <c r="AD1876" s="73"/>
      <c r="AE1876" s="73"/>
      <c r="AF1876" s="73"/>
      <c r="AG1876" s="73"/>
      <c r="AH1876" s="73"/>
      <c r="AI1876" s="73"/>
      <c r="AJ1876" s="161"/>
      <c r="AK1876" s="76" t="s">
        <v>6276</v>
      </c>
      <c r="AL1876" s="83" t="s">
        <v>18134</v>
      </c>
      <c r="AM1876" s="71" t="s">
        <v>18135</v>
      </c>
      <c r="AN1876" s="84" t="s">
        <v>18136</v>
      </c>
      <c r="AO1876" s="71" t="s">
        <v>18137</v>
      </c>
      <c r="AP1876" s="161" t="str">
        <f>IMAGE("https://bellingcat-archive.nyc3.cdn.digitaloceanspaces.com/Ukraine_Witness_Datasheet/Worksheet/telegram_9c8446229d/out7.jpg")</f>
        <v/>
      </c>
      <c r="AQ1876" s="84" t="s">
        <v>18138</v>
      </c>
      <c r="AR1876" s="84" t="s">
        <v>18131</v>
      </c>
      <c r="AS1876" s="161"/>
      <c r="AT1876" s="71">
        <v>9.0</v>
      </c>
      <c r="AU1876" s="89"/>
      <c r="AV1876" s="162"/>
      <c r="AW1876" s="81"/>
    </row>
    <row r="1877" ht="15.75" customHeight="1">
      <c r="A1877" s="354" t="s">
        <v>8554</v>
      </c>
      <c r="B1877" s="73"/>
      <c r="C1877" s="57" t="s">
        <v>15852</v>
      </c>
      <c r="D1877" s="241" t="s">
        <v>18139</v>
      </c>
      <c r="E1877" s="241" t="s">
        <v>18140</v>
      </c>
      <c r="F1877" s="79">
        <v>2.0</v>
      </c>
      <c r="G1877" s="83" t="s">
        <v>18141</v>
      </c>
      <c r="H1877" s="61" t="s">
        <v>5522</v>
      </c>
      <c r="I1877" s="215" t="s">
        <v>18142</v>
      </c>
      <c r="J1877" s="476" t="s">
        <v>18143</v>
      </c>
      <c r="K1877" s="69"/>
      <c r="L1877" s="65" t="s">
        <v>3542</v>
      </c>
      <c r="M1877" s="61" t="s">
        <v>5590</v>
      </c>
      <c r="N1877" s="73"/>
      <c r="O1877" s="61" t="s">
        <v>5626</v>
      </c>
      <c r="P1877" s="67" t="str">
        <f t="shared" si="19"/>
        <v>50.00742846, 36.23756099</v>
      </c>
      <c r="Q1877" s="67" t="str">
        <f t="shared" si="20"/>
        <v>50.006852, 36.237457</v>
      </c>
      <c r="R1877" s="67">
        <f t="shared" si="21"/>
        <v>50.006852</v>
      </c>
      <c r="S1877" s="67">
        <f t="shared" si="22"/>
        <v>36.237457</v>
      </c>
      <c r="T1877" s="161"/>
      <c r="U1877" s="69"/>
      <c r="V1877" s="65" t="s">
        <v>18144</v>
      </c>
      <c r="W1877" s="71" t="s">
        <v>3601</v>
      </c>
      <c r="X1877" s="17" t="s">
        <v>9</v>
      </c>
      <c r="Y1877" s="216" t="s">
        <v>5820</v>
      </c>
      <c r="Z1877" s="73"/>
      <c r="AA1877" s="73"/>
      <c r="AB1877" s="73"/>
      <c r="AC1877" s="73"/>
      <c r="AD1877" s="73"/>
      <c r="AE1877" s="73"/>
      <c r="AF1877" s="73"/>
      <c r="AG1877" s="73"/>
      <c r="AH1877" s="73"/>
      <c r="AI1877" s="73"/>
      <c r="AJ1877" s="161"/>
      <c r="AK1877" s="76" t="s">
        <v>798</v>
      </c>
      <c r="AL1877" s="83" t="s">
        <v>18145</v>
      </c>
      <c r="AM1877" s="71" t="s">
        <v>18146</v>
      </c>
      <c r="AN1877" s="84" t="s">
        <v>18147</v>
      </c>
      <c r="AO1877" s="71" t="s">
        <v>18148</v>
      </c>
      <c r="AP1877" s="161" t="str">
        <f>IMAGE("https://bellingcat-archive.nyc3.cdn.digitaloceanspaces.com/Ukraine_Witness_Datasheet/Worksheet/youtube_dl_1501218905158828035/out7.jpg")</f>
        <v/>
      </c>
      <c r="AQ1877" s="84" t="s">
        <v>18149</v>
      </c>
      <c r="AR1877" s="71" t="s">
        <v>18150</v>
      </c>
      <c r="AS1877" s="71" t="s">
        <v>18151</v>
      </c>
      <c r="AT1877" s="71">
        <v>11.17</v>
      </c>
      <c r="AU1877" s="89"/>
      <c r="AV1877" s="162"/>
      <c r="AW1877" s="81"/>
    </row>
    <row r="1878" ht="15.75" customHeight="1">
      <c r="A1878" s="354" t="s">
        <v>9566</v>
      </c>
      <c r="B1878" s="73"/>
      <c r="C1878" s="57" t="s">
        <v>15275</v>
      </c>
      <c r="D1878" s="241" t="s">
        <v>18152</v>
      </c>
      <c r="E1878" s="241" t="s">
        <v>18153</v>
      </c>
      <c r="F1878" s="79">
        <v>2.0</v>
      </c>
      <c r="G1878" s="83" t="s">
        <v>18154</v>
      </c>
      <c r="H1878" s="61" t="s">
        <v>5522</v>
      </c>
      <c r="I1878" s="215" t="s">
        <v>18155</v>
      </c>
      <c r="J1878" s="476" t="s">
        <v>18156</v>
      </c>
      <c r="K1878" s="69"/>
      <c r="L1878" s="65" t="s">
        <v>3542</v>
      </c>
      <c r="M1878" s="61" t="s">
        <v>5524</v>
      </c>
      <c r="N1878" s="73"/>
      <c r="O1878" s="61" t="s">
        <v>3598</v>
      </c>
      <c r="P1878" s="67" t="str">
        <f t="shared" si="19"/>
        <v>48.514506, 39.299563</v>
      </c>
      <c r="Q1878" s="67" t="str">
        <f t="shared" si="20"/>
        <v>48.513885, 39.298739</v>
      </c>
      <c r="R1878" s="67">
        <f t="shared" si="21"/>
        <v>48.513885</v>
      </c>
      <c r="S1878" s="67">
        <f t="shared" si="22"/>
        <v>39.298739</v>
      </c>
      <c r="T1878" s="161"/>
      <c r="U1878" s="69"/>
      <c r="V1878" s="65" t="s">
        <v>18157</v>
      </c>
      <c r="W1878" s="71" t="s">
        <v>3601</v>
      </c>
      <c r="X1878" s="17" t="s">
        <v>9</v>
      </c>
      <c r="Y1878" s="216" t="s">
        <v>5820</v>
      </c>
      <c r="Z1878" s="73"/>
      <c r="AA1878" s="73"/>
      <c r="AB1878" s="73"/>
      <c r="AC1878" s="73"/>
      <c r="AD1878" s="73"/>
      <c r="AE1878" s="73"/>
      <c r="AF1878" s="73"/>
      <c r="AG1878" s="73"/>
      <c r="AH1878" s="73"/>
      <c r="AI1878" s="73"/>
      <c r="AJ1878" s="161"/>
      <c r="AK1878" s="76" t="s">
        <v>6276</v>
      </c>
      <c r="AL1878" s="83" t="s">
        <v>18158</v>
      </c>
      <c r="AM1878" s="71" t="s">
        <v>18159</v>
      </c>
      <c r="AN1878" s="84" t="s">
        <v>18160</v>
      </c>
      <c r="AO1878" s="71" t="s">
        <v>18161</v>
      </c>
      <c r="AP1878" s="161" t="str">
        <f>IMAGE("https://bellingcat-archive.nyc3.cdn.digitaloceanspaces.com/Ukraine_Witness_Datasheet/Worksheet/telegram_df5d17c124/out7.jpg")</f>
        <v/>
      </c>
      <c r="AQ1878" s="84" t="s">
        <v>18162</v>
      </c>
      <c r="AR1878" s="84" t="s">
        <v>18154</v>
      </c>
      <c r="AS1878" s="71" t="s">
        <v>18163</v>
      </c>
      <c r="AT1878" s="71">
        <v>19.0</v>
      </c>
      <c r="AU1878" s="89"/>
      <c r="AV1878" s="162"/>
      <c r="AW1878" s="81"/>
    </row>
    <row r="1879" ht="15.75" customHeight="1">
      <c r="A1879" s="354" t="s">
        <v>9566</v>
      </c>
      <c r="B1879" s="73"/>
      <c r="C1879" s="57" t="s">
        <v>15275</v>
      </c>
      <c r="D1879" s="241" t="s">
        <v>18152</v>
      </c>
      <c r="E1879" s="241" t="s">
        <v>18153</v>
      </c>
      <c r="F1879" s="79">
        <v>2.0</v>
      </c>
      <c r="G1879" s="83" t="s">
        <v>18164</v>
      </c>
      <c r="H1879" s="61" t="s">
        <v>5522</v>
      </c>
      <c r="I1879" s="215" t="s">
        <v>18155</v>
      </c>
      <c r="J1879" s="476" t="s">
        <v>18156</v>
      </c>
      <c r="K1879" s="69"/>
      <c r="L1879" s="65" t="s">
        <v>3542</v>
      </c>
      <c r="M1879" s="61" t="s">
        <v>5524</v>
      </c>
      <c r="N1879" s="73"/>
      <c r="O1879" s="61" t="s">
        <v>3598</v>
      </c>
      <c r="P1879" s="67" t="str">
        <f t="shared" si="19"/>
        <v>48.514506, 39.299563</v>
      </c>
      <c r="Q1879" s="67" t="str">
        <f t="shared" si="20"/>
        <v>48.514504, 39.300614</v>
      </c>
      <c r="R1879" s="67">
        <f t="shared" si="21"/>
        <v>48.514504</v>
      </c>
      <c r="S1879" s="67">
        <f t="shared" si="22"/>
        <v>39.300614</v>
      </c>
      <c r="T1879" s="161"/>
      <c r="U1879" s="69"/>
      <c r="V1879" s="65" t="s">
        <v>18165</v>
      </c>
      <c r="W1879" s="71" t="s">
        <v>3601</v>
      </c>
      <c r="X1879" s="17" t="s">
        <v>9</v>
      </c>
      <c r="Y1879" s="216" t="s">
        <v>5820</v>
      </c>
      <c r="Z1879" s="73"/>
      <c r="AA1879" s="73"/>
      <c r="AB1879" s="73"/>
      <c r="AC1879" s="73"/>
      <c r="AD1879" s="73"/>
      <c r="AE1879" s="73"/>
      <c r="AF1879" s="73"/>
      <c r="AG1879" s="73"/>
      <c r="AH1879" s="73"/>
      <c r="AI1879" s="73"/>
      <c r="AJ1879" s="161"/>
      <c r="AK1879" s="76" t="s">
        <v>6276</v>
      </c>
      <c r="AL1879" s="83" t="s">
        <v>18166</v>
      </c>
      <c r="AM1879" s="71" t="s">
        <v>18167</v>
      </c>
      <c r="AN1879" s="84" t="s">
        <v>18168</v>
      </c>
      <c r="AO1879" s="71" t="s">
        <v>18169</v>
      </c>
      <c r="AP1879" s="161" t="str">
        <f>IMAGE("https://bellingcat-archive.nyc3.cdn.digitaloceanspaces.com/Ukraine_Witness_Datasheet/Worksheet/telegram_d5e754b441/out7.jpg")</f>
        <v/>
      </c>
      <c r="AQ1879" s="84" t="s">
        <v>18170</v>
      </c>
      <c r="AR1879" s="84" t="s">
        <v>18164</v>
      </c>
      <c r="AS1879" s="71" t="s">
        <v>18171</v>
      </c>
      <c r="AT1879" s="71">
        <v>4.0</v>
      </c>
      <c r="AU1879" s="89"/>
      <c r="AV1879" s="162"/>
      <c r="AW1879" s="81"/>
    </row>
    <row r="1880" ht="15.75" customHeight="1">
      <c r="A1880" s="354" t="s">
        <v>9566</v>
      </c>
      <c r="B1880" s="73"/>
      <c r="C1880" s="57" t="s">
        <v>15275</v>
      </c>
      <c r="D1880" s="241" t="s">
        <v>18152</v>
      </c>
      <c r="E1880" s="241" t="s">
        <v>18153</v>
      </c>
      <c r="F1880" s="79">
        <v>2.0</v>
      </c>
      <c r="G1880" s="83" t="s">
        <v>18172</v>
      </c>
      <c r="H1880" s="61" t="s">
        <v>5522</v>
      </c>
      <c r="I1880" s="215" t="s">
        <v>18155</v>
      </c>
      <c r="J1880" s="476" t="s">
        <v>18156</v>
      </c>
      <c r="K1880" s="69"/>
      <c r="L1880" s="65" t="s">
        <v>3542</v>
      </c>
      <c r="M1880" s="61" t="s">
        <v>5524</v>
      </c>
      <c r="N1880" s="73"/>
      <c r="O1880" s="61" t="s">
        <v>3598</v>
      </c>
      <c r="P1880" s="67" t="str">
        <f t="shared" si="19"/>
        <v>48.514506, 39.299563</v>
      </c>
      <c r="Q1880" s="67" t="str">
        <f t="shared" si="20"/>
        <v>48.51434, 39.300167</v>
      </c>
      <c r="R1880" s="67">
        <f t="shared" si="21"/>
        <v>48.51434</v>
      </c>
      <c r="S1880" s="67">
        <f t="shared" si="22"/>
        <v>39.300167</v>
      </c>
      <c r="T1880" s="161"/>
      <c r="U1880" s="69"/>
      <c r="V1880" s="65" t="s">
        <v>18173</v>
      </c>
      <c r="W1880" s="71" t="s">
        <v>3601</v>
      </c>
      <c r="X1880" s="17" t="s">
        <v>9</v>
      </c>
      <c r="Y1880" s="216" t="s">
        <v>5820</v>
      </c>
      <c r="Z1880" s="73"/>
      <c r="AA1880" s="73"/>
      <c r="AB1880" s="73"/>
      <c r="AC1880" s="73"/>
      <c r="AD1880" s="73"/>
      <c r="AE1880" s="73"/>
      <c r="AF1880" s="73"/>
      <c r="AG1880" s="73"/>
      <c r="AH1880" s="73"/>
      <c r="AI1880" s="73"/>
      <c r="AJ1880" s="161"/>
      <c r="AK1880" s="76" t="s">
        <v>6276</v>
      </c>
      <c r="AL1880" s="83" t="s">
        <v>18174</v>
      </c>
      <c r="AM1880" s="71" t="s">
        <v>18175</v>
      </c>
      <c r="AN1880" s="84" t="s">
        <v>18176</v>
      </c>
      <c r="AO1880" s="71" t="s">
        <v>18177</v>
      </c>
      <c r="AP1880" s="161" t="str">
        <f>IMAGE("https://bellingcat-archive.nyc3.cdn.digitaloceanspaces.com/Ukraine_Witness_Datasheet/Worksheet/telegram_9cc60898af/out7.jpg")</f>
        <v/>
      </c>
      <c r="AQ1880" s="84" t="s">
        <v>18178</v>
      </c>
      <c r="AR1880" s="84" t="s">
        <v>18172</v>
      </c>
      <c r="AS1880" s="161"/>
      <c r="AT1880" s="71">
        <v>6.0</v>
      </c>
      <c r="AU1880" s="89"/>
      <c r="AV1880" s="162"/>
      <c r="AW1880" s="81"/>
    </row>
    <row r="1881" ht="15.75" customHeight="1">
      <c r="A1881" s="373" t="s">
        <v>6924</v>
      </c>
      <c r="B1881" s="73"/>
      <c r="C1881" s="57" t="s">
        <v>14806</v>
      </c>
      <c r="D1881" s="260"/>
      <c r="E1881" s="260"/>
      <c r="F1881" s="79" t="s">
        <v>18179</v>
      </c>
      <c r="G1881" s="83" t="s">
        <v>18180</v>
      </c>
      <c r="H1881" s="73"/>
      <c r="I1881" s="215" t="s">
        <v>18181</v>
      </c>
      <c r="J1881" s="476" t="s">
        <v>18182</v>
      </c>
      <c r="K1881" s="69"/>
      <c r="L1881" s="70"/>
      <c r="M1881" s="73"/>
      <c r="N1881" s="73"/>
      <c r="O1881" s="73"/>
      <c r="P1881" s="67" t="str">
        <f t="shared" si="19"/>
        <v/>
      </c>
      <c r="Q1881" s="67" t="str">
        <f t="shared" si="20"/>
        <v/>
      </c>
      <c r="R1881" s="67" t="str">
        <f t="shared" si="21"/>
        <v/>
      </c>
      <c r="S1881" s="67" t="str">
        <f t="shared" si="22"/>
        <v/>
      </c>
      <c r="T1881" s="161"/>
      <c r="U1881" s="69"/>
      <c r="V1881" s="65" t="s">
        <v>18183</v>
      </c>
      <c r="W1881" s="161"/>
      <c r="X1881" s="194"/>
      <c r="Y1881" s="216" t="s">
        <v>5820</v>
      </c>
      <c r="Z1881" s="73"/>
      <c r="AA1881" s="73"/>
      <c r="AB1881" s="73"/>
      <c r="AC1881" s="73"/>
      <c r="AD1881" s="73"/>
      <c r="AE1881" s="73"/>
      <c r="AF1881" s="73"/>
      <c r="AG1881" s="73"/>
      <c r="AH1881" s="73"/>
      <c r="AI1881" s="73"/>
      <c r="AJ1881" s="161"/>
      <c r="AK1881" s="76" t="s">
        <v>2108</v>
      </c>
      <c r="AL1881" s="83" t="s">
        <v>18184</v>
      </c>
      <c r="AM1881" s="71" t="s">
        <v>18185</v>
      </c>
      <c r="AN1881" s="84" t="s">
        <v>18186</v>
      </c>
      <c r="AO1881" s="71" t="s">
        <v>18187</v>
      </c>
      <c r="AP1881" s="161" t="str">
        <f>IMAGE("https://bellingcat-archive.nyc3.cdn.digitaloceanspaces.com/Ukraine_Witness_Datasheet/Worksheet/twitter__media_FNOFEsIWUAIbF_2.jpg")</f>
        <v/>
      </c>
      <c r="AQ1881" s="161"/>
      <c r="AR1881" s="161"/>
      <c r="AS1881" s="71" t="s">
        <v>18188</v>
      </c>
      <c r="AT1881" s="161"/>
      <c r="AU1881" s="89"/>
      <c r="AV1881" s="162"/>
      <c r="AW1881" s="81"/>
    </row>
    <row r="1882" ht="15.75" customHeight="1">
      <c r="A1882" s="373" t="s">
        <v>6924</v>
      </c>
      <c r="B1882" s="73"/>
      <c r="C1882" s="57" t="s">
        <v>14806</v>
      </c>
      <c r="D1882" s="260"/>
      <c r="E1882" s="260"/>
      <c r="F1882" s="79" t="s">
        <v>18179</v>
      </c>
      <c r="G1882" s="83" t="s">
        <v>18189</v>
      </c>
      <c r="H1882" s="73"/>
      <c r="I1882" s="215" t="s">
        <v>18181</v>
      </c>
      <c r="J1882" s="476" t="s">
        <v>18182</v>
      </c>
      <c r="K1882" s="69"/>
      <c r="L1882" s="70"/>
      <c r="M1882" s="73"/>
      <c r="N1882" s="73"/>
      <c r="O1882" s="73"/>
      <c r="P1882" s="67" t="str">
        <f t="shared" si="19"/>
        <v/>
      </c>
      <c r="Q1882" s="67" t="str">
        <f t="shared" si="20"/>
        <v/>
      </c>
      <c r="R1882" s="67" t="str">
        <f t="shared" si="21"/>
        <v/>
      </c>
      <c r="S1882" s="67" t="str">
        <f t="shared" si="22"/>
        <v/>
      </c>
      <c r="T1882" s="161"/>
      <c r="U1882" s="69"/>
      <c r="V1882" s="65" t="s">
        <v>18190</v>
      </c>
      <c r="W1882" s="161"/>
      <c r="X1882" s="194"/>
      <c r="Y1882" s="216" t="s">
        <v>5820</v>
      </c>
      <c r="Z1882" s="73"/>
      <c r="AA1882" s="73"/>
      <c r="AB1882" s="73"/>
      <c r="AC1882" s="73"/>
      <c r="AD1882" s="73"/>
      <c r="AE1882" s="73"/>
      <c r="AF1882" s="73"/>
      <c r="AG1882" s="73"/>
      <c r="AH1882" s="73"/>
      <c r="AI1882" s="73"/>
      <c r="AJ1882" s="161"/>
      <c r="AK1882" s="76" t="s">
        <v>1261</v>
      </c>
      <c r="AL1882" s="83" t="s">
        <v>18191</v>
      </c>
      <c r="AM1882" s="71" t="s">
        <v>18192</v>
      </c>
      <c r="AN1882" s="84" t="s">
        <v>18193</v>
      </c>
      <c r="AO1882" s="161"/>
      <c r="AP1882" s="161"/>
      <c r="AQ1882" s="161"/>
      <c r="AR1882" s="71" t="s">
        <v>18194</v>
      </c>
      <c r="AS1882" s="161"/>
      <c r="AT1882" s="161"/>
      <c r="AU1882" s="89"/>
      <c r="AV1882" s="162"/>
      <c r="AW1882" s="81"/>
    </row>
    <row r="1883" ht="15.75" customHeight="1">
      <c r="A1883" s="373" t="s">
        <v>6924</v>
      </c>
      <c r="B1883" s="73"/>
      <c r="C1883" s="57" t="s">
        <v>14806</v>
      </c>
      <c r="D1883" s="260"/>
      <c r="E1883" s="260"/>
      <c r="F1883" s="79" t="s">
        <v>18179</v>
      </c>
      <c r="G1883" s="83" t="s">
        <v>18195</v>
      </c>
      <c r="H1883" s="73"/>
      <c r="I1883" s="215" t="s">
        <v>18181</v>
      </c>
      <c r="J1883" s="476" t="s">
        <v>18182</v>
      </c>
      <c r="K1883" s="69"/>
      <c r="L1883" s="70"/>
      <c r="M1883" s="73"/>
      <c r="N1883" s="73"/>
      <c r="O1883" s="73"/>
      <c r="P1883" s="67" t="str">
        <f t="shared" si="19"/>
        <v/>
      </c>
      <c r="Q1883" s="67" t="str">
        <f t="shared" si="20"/>
        <v/>
      </c>
      <c r="R1883" s="67" t="str">
        <f t="shared" si="21"/>
        <v/>
      </c>
      <c r="S1883" s="67" t="str">
        <f t="shared" si="22"/>
        <v/>
      </c>
      <c r="T1883" s="161"/>
      <c r="U1883" s="69"/>
      <c r="V1883" s="65" t="s">
        <v>18196</v>
      </c>
      <c r="W1883" s="161"/>
      <c r="X1883" s="194"/>
      <c r="Y1883" s="216" t="s">
        <v>5820</v>
      </c>
      <c r="Z1883" s="73"/>
      <c r="AA1883" s="73"/>
      <c r="AB1883" s="73"/>
      <c r="AC1883" s="73"/>
      <c r="AD1883" s="73"/>
      <c r="AE1883" s="73"/>
      <c r="AF1883" s="73"/>
      <c r="AG1883" s="73"/>
      <c r="AH1883" s="73"/>
      <c r="AI1883" s="73"/>
      <c r="AJ1883" s="161"/>
      <c r="AK1883" s="76" t="s">
        <v>1261</v>
      </c>
      <c r="AL1883" s="83" t="s">
        <v>18197</v>
      </c>
      <c r="AM1883" s="71" t="s">
        <v>18198</v>
      </c>
      <c r="AN1883" s="84" t="s">
        <v>18199</v>
      </c>
      <c r="AO1883" s="161"/>
      <c r="AP1883" s="161"/>
      <c r="AQ1883" s="161"/>
      <c r="AR1883" s="71" t="s">
        <v>18200</v>
      </c>
      <c r="AS1883" s="161"/>
      <c r="AT1883" s="161"/>
      <c r="AU1883" s="89"/>
      <c r="AV1883" s="162"/>
      <c r="AW1883" s="81"/>
    </row>
    <row r="1884" ht="15.75" customHeight="1">
      <c r="A1884" s="373" t="s">
        <v>6924</v>
      </c>
      <c r="B1884" s="73"/>
      <c r="C1884" s="57" t="s">
        <v>14806</v>
      </c>
      <c r="D1884" s="260"/>
      <c r="E1884" s="260"/>
      <c r="F1884" s="79" t="s">
        <v>18179</v>
      </c>
      <c r="G1884" s="83" t="s">
        <v>18201</v>
      </c>
      <c r="H1884" s="73"/>
      <c r="I1884" s="215" t="s">
        <v>18181</v>
      </c>
      <c r="J1884" s="476" t="s">
        <v>18182</v>
      </c>
      <c r="K1884" s="69"/>
      <c r="L1884" s="70"/>
      <c r="M1884" s="73"/>
      <c r="N1884" s="73"/>
      <c r="O1884" s="73"/>
      <c r="P1884" s="67" t="str">
        <f t="shared" si="19"/>
        <v/>
      </c>
      <c r="Q1884" s="67" t="str">
        <f t="shared" si="20"/>
        <v/>
      </c>
      <c r="R1884" s="67" t="str">
        <f t="shared" si="21"/>
        <v/>
      </c>
      <c r="S1884" s="67" t="str">
        <f t="shared" si="22"/>
        <v/>
      </c>
      <c r="T1884" s="161"/>
      <c r="U1884" s="69"/>
      <c r="V1884" s="65" t="s">
        <v>18202</v>
      </c>
      <c r="W1884" s="161"/>
      <c r="X1884" s="194"/>
      <c r="Y1884" s="216" t="s">
        <v>5820</v>
      </c>
      <c r="Z1884" s="73"/>
      <c r="AA1884" s="73"/>
      <c r="AB1884" s="73"/>
      <c r="AC1884" s="73"/>
      <c r="AD1884" s="73"/>
      <c r="AE1884" s="73"/>
      <c r="AF1884" s="73"/>
      <c r="AG1884" s="73"/>
      <c r="AH1884" s="73"/>
      <c r="AI1884" s="73"/>
      <c r="AJ1884" s="161"/>
      <c r="AK1884" s="76" t="s">
        <v>1261</v>
      </c>
      <c r="AL1884" s="83" t="s">
        <v>18203</v>
      </c>
      <c r="AM1884" s="71" t="s">
        <v>18204</v>
      </c>
      <c r="AN1884" s="84" t="s">
        <v>18205</v>
      </c>
      <c r="AO1884" s="161"/>
      <c r="AP1884" s="161"/>
      <c r="AQ1884" s="161"/>
      <c r="AR1884" s="71" t="s">
        <v>2228</v>
      </c>
      <c r="AS1884" s="161"/>
      <c r="AT1884" s="161"/>
      <c r="AU1884" s="89"/>
      <c r="AV1884" s="162"/>
      <c r="AW1884" s="81"/>
    </row>
    <row r="1885" ht="15.75" customHeight="1">
      <c r="A1885" s="354" t="s">
        <v>9566</v>
      </c>
      <c r="B1885" s="73"/>
      <c r="C1885" s="57" t="s">
        <v>15275</v>
      </c>
      <c r="D1885" s="241" t="s">
        <v>18206</v>
      </c>
      <c r="E1885" s="241" t="s">
        <v>18207</v>
      </c>
      <c r="F1885" s="79">
        <v>2.0</v>
      </c>
      <c r="G1885" s="83" t="s">
        <v>18208</v>
      </c>
      <c r="H1885" s="61" t="s">
        <v>5522</v>
      </c>
      <c r="I1885" s="215" t="s">
        <v>18209</v>
      </c>
      <c r="J1885" s="476" t="s">
        <v>18210</v>
      </c>
      <c r="K1885" s="69"/>
      <c r="L1885" s="65" t="s">
        <v>3542</v>
      </c>
      <c r="M1885" s="92" t="s">
        <v>6563</v>
      </c>
      <c r="N1885" s="73"/>
      <c r="O1885" s="92" t="s">
        <v>6658</v>
      </c>
      <c r="P1885" s="67" t="str">
        <f t="shared" si="19"/>
        <v>46.842734, 32.005031</v>
      </c>
      <c r="Q1885" s="67" t="str">
        <f t="shared" si="20"/>
        <v>46.842336, 32.00467</v>
      </c>
      <c r="R1885" s="67">
        <f t="shared" si="21"/>
        <v>46.842336</v>
      </c>
      <c r="S1885" s="67">
        <f t="shared" si="22"/>
        <v>32.00467</v>
      </c>
      <c r="T1885" s="161"/>
      <c r="U1885" s="69"/>
      <c r="V1885" s="65" t="s">
        <v>18211</v>
      </c>
      <c r="W1885" s="71" t="s">
        <v>3601</v>
      </c>
      <c r="X1885" s="17" t="s">
        <v>9</v>
      </c>
      <c r="Y1885" s="216" t="s">
        <v>5820</v>
      </c>
      <c r="Z1885" s="73"/>
      <c r="AA1885" s="73"/>
      <c r="AB1885" s="73"/>
      <c r="AC1885" s="73"/>
      <c r="AD1885" s="73"/>
      <c r="AE1885" s="73"/>
      <c r="AF1885" s="73"/>
      <c r="AG1885" s="73"/>
      <c r="AH1885" s="73"/>
      <c r="AI1885" s="73"/>
      <c r="AJ1885" s="161"/>
      <c r="AK1885" s="76" t="s">
        <v>798</v>
      </c>
      <c r="AL1885" s="83" t="s">
        <v>18212</v>
      </c>
      <c r="AM1885" s="71" t="s">
        <v>18213</v>
      </c>
      <c r="AN1885" s="84" t="s">
        <v>18214</v>
      </c>
      <c r="AO1885" s="71" t="s">
        <v>18215</v>
      </c>
      <c r="AP1885" s="161" t="str">
        <f>IMAGE("https://bellingcat-archive.nyc3.cdn.digitaloceanspaces.com/Ukraine_Witness_Datasheet/Worksheet/youtube_dl_1500804490106179589/out7.jpg")</f>
        <v/>
      </c>
      <c r="AQ1885" s="84" t="s">
        <v>18216</v>
      </c>
      <c r="AR1885" s="71" t="s">
        <v>18217</v>
      </c>
      <c r="AS1885" s="71" t="s">
        <v>18218</v>
      </c>
      <c r="AT1885" s="71">
        <v>30.743</v>
      </c>
      <c r="AU1885" s="89"/>
      <c r="AV1885" s="162"/>
      <c r="AW1885" s="81"/>
    </row>
    <row r="1886" ht="15.75" customHeight="1">
      <c r="A1886" s="354" t="s">
        <v>9566</v>
      </c>
      <c r="B1886" s="73"/>
      <c r="C1886" s="57" t="s">
        <v>15275</v>
      </c>
      <c r="D1886" s="241" t="s">
        <v>18219</v>
      </c>
      <c r="E1886" s="241" t="s">
        <v>18220</v>
      </c>
      <c r="F1886" s="79">
        <v>2.0</v>
      </c>
      <c r="G1886" s="83" t="s">
        <v>18221</v>
      </c>
      <c r="H1886" s="61" t="s">
        <v>5522</v>
      </c>
      <c r="I1886" s="215" t="s">
        <v>18222</v>
      </c>
      <c r="J1886" s="476" t="s">
        <v>18223</v>
      </c>
      <c r="K1886" s="69"/>
      <c r="L1886" s="65" t="s">
        <v>3542</v>
      </c>
      <c r="M1886" s="61" t="s">
        <v>5590</v>
      </c>
      <c r="N1886" s="73"/>
      <c r="O1886" s="61" t="s">
        <v>5626</v>
      </c>
      <c r="P1886" s="67" t="str">
        <f t="shared" si="19"/>
        <v>49.98062, 36.360366</v>
      </c>
      <c r="Q1886" s="67" t="str">
        <f t="shared" si="20"/>
        <v>49.980372, 36.360887</v>
      </c>
      <c r="R1886" s="67">
        <f t="shared" si="21"/>
        <v>49.980372</v>
      </c>
      <c r="S1886" s="67">
        <f t="shared" si="22"/>
        <v>36.360887</v>
      </c>
      <c r="T1886" s="161"/>
      <c r="U1886" s="69"/>
      <c r="V1886" s="65" t="s">
        <v>18224</v>
      </c>
      <c r="W1886" s="71" t="s">
        <v>3601</v>
      </c>
      <c r="X1886" s="17" t="s">
        <v>9</v>
      </c>
      <c r="Y1886" s="216" t="s">
        <v>5820</v>
      </c>
      <c r="Z1886" s="73"/>
      <c r="AA1886" s="73"/>
      <c r="AB1886" s="73"/>
      <c r="AC1886" s="73"/>
      <c r="AD1886" s="73"/>
      <c r="AE1886" s="73"/>
      <c r="AF1886" s="73"/>
      <c r="AG1886" s="73"/>
      <c r="AH1886" s="73"/>
      <c r="AI1886" s="73"/>
      <c r="AJ1886" s="161"/>
      <c r="AK1886" s="76" t="s">
        <v>798</v>
      </c>
      <c r="AL1886" s="83" t="s">
        <v>18225</v>
      </c>
      <c r="AM1886" s="71" t="s">
        <v>18226</v>
      </c>
      <c r="AN1886" s="84" t="s">
        <v>18227</v>
      </c>
      <c r="AO1886" s="71" t="s">
        <v>18228</v>
      </c>
      <c r="AP1886" s="161" t="str">
        <f>IMAGE("https://bellingcat-archive.nyc3.cdn.digitaloceanspaces.com/Ukraine_Witness_Datasheet/Worksheet/youtube_dl_1500833207348232192/out7.jpg")</f>
        <v/>
      </c>
      <c r="AQ1886" s="84" t="s">
        <v>18229</v>
      </c>
      <c r="AR1886" s="71" t="s">
        <v>18230</v>
      </c>
      <c r="AS1886" s="71" t="s">
        <v>18231</v>
      </c>
      <c r="AT1886" s="71">
        <v>5.0</v>
      </c>
      <c r="AU1886" s="89"/>
      <c r="AV1886" s="162"/>
      <c r="AW1886" s="81"/>
    </row>
    <row r="1887" ht="15.75" customHeight="1">
      <c r="A1887" s="354" t="s">
        <v>9566</v>
      </c>
      <c r="B1887" s="73"/>
      <c r="C1887" s="57" t="s">
        <v>15275</v>
      </c>
      <c r="D1887" s="241" t="s">
        <v>18232</v>
      </c>
      <c r="E1887" s="241" t="s">
        <v>18233</v>
      </c>
      <c r="F1887" s="79">
        <v>2.0</v>
      </c>
      <c r="G1887" s="83" t="s">
        <v>18234</v>
      </c>
      <c r="H1887" s="73"/>
      <c r="I1887" s="215" t="s">
        <v>18235</v>
      </c>
      <c r="J1887" s="476" t="s">
        <v>18236</v>
      </c>
      <c r="K1887" s="69"/>
      <c r="L1887" s="65" t="s">
        <v>3542</v>
      </c>
      <c r="M1887" s="61" t="s">
        <v>5590</v>
      </c>
      <c r="N1887" s="73"/>
      <c r="O1887" s="61" t="s">
        <v>5626</v>
      </c>
      <c r="P1887" s="67" t="str">
        <f t="shared" si="19"/>
        <v>50.040521, 36.226183</v>
      </c>
      <c r="Q1887" s="67" t="str">
        <f t="shared" si="20"/>
        <v>50.040516, 36.226837</v>
      </c>
      <c r="R1887" s="67">
        <f t="shared" si="21"/>
        <v>50.040516</v>
      </c>
      <c r="S1887" s="67">
        <f t="shared" si="22"/>
        <v>36.226837</v>
      </c>
      <c r="T1887" s="161"/>
      <c r="U1887" s="69"/>
      <c r="V1887" s="65" t="s">
        <v>18237</v>
      </c>
      <c r="W1887" s="71" t="s">
        <v>3601</v>
      </c>
      <c r="X1887" s="17" t="s">
        <v>9</v>
      </c>
      <c r="Y1887" s="216" t="s">
        <v>5820</v>
      </c>
      <c r="Z1887" s="73"/>
      <c r="AA1887" s="73"/>
      <c r="AB1887" s="73"/>
      <c r="AC1887" s="73"/>
      <c r="AD1887" s="73"/>
      <c r="AE1887" s="73"/>
      <c r="AF1887" s="73"/>
      <c r="AG1887" s="73"/>
      <c r="AH1887" s="73"/>
      <c r="AI1887" s="73"/>
      <c r="AJ1887" s="161"/>
      <c r="AK1887" s="76" t="s">
        <v>798</v>
      </c>
      <c r="AL1887" s="83" t="s">
        <v>18238</v>
      </c>
      <c r="AM1887" s="71" t="s">
        <v>18239</v>
      </c>
      <c r="AN1887" s="84" t="s">
        <v>18240</v>
      </c>
      <c r="AO1887" s="71" t="s">
        <v>18241</v>
      </c>
      <c r="AP1887" s="161" t="str">
        <f>IMAGE("https://bellingcat-archive.nyc3.cdn.digitaloceanspaces.com/Ukraine_Witness_Datasheet/Worksheet/youtube_dl_1500852898837716998/out7.jpg")</f>
        <v/>
      </c>
      <c r="AQ1887" s="84" t="s">
        <v>18242</v>
      </c>
      <c r="AR1887" s="71" t="s">
        <v>18243</v>
      </c>
      <c r="AS1887" s="71" t="s">
        <v>18244</v>
      </c>
      <c r="AT1887" s="71">
        <v>15.077</v>
      </c>
      <c r="AU1887" s="89"/>
      <c r="AV1887" s="162"/>
      <c r="AW1887" s="81"/>
    </row>
    <row r="1888" ht="15.75" customHeight="1">
      <c r="A1888" s="208" t="s">
        <v>18245</v>
      </c>
      <c r="B1888" s="73"/>
      <c r="C1888" s="57" t="s">
        <v>15852</v>
      </c>
      <c r="D1888" s="104">
        <v>46.9385482</v>
      </c>
      <c r="E1888" s="104">
        <v>32.0397153</v>
      </c>
      <c r="F1888" s="79">
        <v>2.0</v>
      </c>
      <c r="G1888" s="84" t="s">
        <v>18246</v>
      </c>
      <c r="H1888" s="61" t="s">
        <v>91</v>
      </c>
      <c r="I1888" s="75"/>
      <c r="J1888" s="71" t="s">
        <v>18247</v>
      </c>
      <c r="K1888" s="69"/>
      <c r="L1888" s="65" t="s">
        <v>3542</v>
      </c>
      <c r="M1888" s="61" t="s">
        <v>7889</v>
      </c>
      <c r="N1888" s="73"/>
      <c r="O1888" s="61" t="s">
        <v>6658</v>
      </c>
      <c r="P1888" s="67" t="str">
        <f t="shared" si="19"/>
        <v>46.9385482, 32.0397153</v>
      </c>
      <c r="Q1888" s="67" t="str">
        <f t="shared" si="20"/>
        <v>46.938254, 32.038707</v>
      </c>
      <c r="R1888" s="67">
        <f t="shared" si="21"/>
        <v>46.938254</v>
      </c>
      <c r="S1888" s="67">
        <f t="shared" si="22"/>
        <v>32.038707</v>
      </c>
      <c r="T1888" s="161"/>
      <c r="U1888" s="69"/>
      <c r="V1888" s="65" t="s">
        <v>18248</v>
      </c>
      <c r="W1888" s="71" t="s">
        <v>3601</v>
      </c>
      <c r="X1888" s="208"/>
      <c r="Y1888" s="61" t="s">
        <v>5820</v>
      </c>
      <c r="Z1888" s="73"/>
      <c r="AA1888" s="73"/>
      <c r="AB1888" s="73"/>
      <c r="AC1888" s="73"/>
      <c r="AD1888" s="73"/>
      <c r="AE1888" s="73"/>
      <c r="AF1888" s="73"/>
      <c r="AG1888" s="73"/>
      <c r="AH1888" s="73"/>
      <c r="AI1888" s="73"/>
      <c r="AJ1888" s="161"/>
      <c r="AK1888" s="76" t="s">
        <v>2108</v>
      </c>
      <c r="AL1888" s="83" t="s">
        <v>18249</v>
      </c>
      <c r="AM1888" s="71" t="s">
        <v>18250</v>
      </c>
      <c r="AN1888" s="84" t="s">
        <v>18251</v>
      </c>
      <c r="AO1888" s="71" t="s">
        <v>18252</v>
      </c>
      <c r="AP1888" s="161" t="str">
        <f>IMAGE("https://bellingcat-archive.nyc3.cdn.digitaloceanspaces.com/Ukraine_Witness_Datasheet/Worksheet/twitter__media_FNXLzgKXsAIVylr.jpg")</f>
        <v/>
      </c>
      <c r="AQ1888" s="161"/>
      <c r="AR1888" s="161"/>
      <c r="AS1888" s="71" t="s">
        <v>18253</v>
      </c>
      <c r="AT1888" s="161"/>
      <c r="AU1888" s="89"/>
      <c r="AV1888" s="162"/>
      <c r="AW1888" s="81"/>
    </row>
    <row r="1889" ht="15.75" customHeight="1">
      <c r="A1889" s="349" t="s">
        <v>9566</v>
      </c>
      <c r="B1889" s="73"/>
      <c r="C1889" s="57" t="s">
        <v>15852</v>
      </c>
      <c r="D1889" s="542" t="s">
        <v>18254</v>
      </c>
      <c r="E1889" s="542" t="s">
        <v>18255</v>
      </c>
      <c r="F1889" s="79">
        <v>2.0</v>
      </c>
      <c r="G1889" s="83" t="s">
        <v>18256</v>
      </c>
      <c r="H1889" s="61" t="s">
        <v>5522</v>
      </c>
      <c r="I1889" s="215" t="s">
        <v>18257</v>
      </c>
      <c r="J1889" s="476" t="s">
        <v>18064</v>
      </c>
      <c r="K1889" s="69"/>
      <c r="L1889" s="65" t="s">
        <v>3542</v>
      </c>
      <c r="M1889" s="61" t="s">
        <v>5590</v>
      </c>
      <c r="N1889" s="73"/>
      <c r="O1889" s="61" t="s">
        <v>9227</v>
      </c>
      <c r="P1889" s="67" t="str">
        <f t="shared" si="19"/>
        <v>49.189244,  37.273764</v>
      </c>
      <c r="Q1889" s="67" t="str">
        <f t="shared" si="20"/>
        <v>49.188694, 37.273585</v>
      </c>
      <c r="R1889" s="67">
        <f t="shared" si="21"/>
        <v>49.188694</v>
      </c>
      <c r="S1889" s="67">
        <f t="shared" si="22"/>
        <v>37.273585</v>
      </c>
      <c r="T1889" s="161"/>
      <c r="U1889" s="69"/>
      <c r="V1889" s="65" t="s">
        <v>18258</v>
      </c>
      <c r="W1889" s="71" t="s">
        <v>3601</v>
      </c>
      <c r="X1889" s="72" t="s">
        <v>5504</v>
      </c>
      <c r="Y1889" s="216" t="s">
        <v>5820</v>
      </c>
      <c r="Z1889" s="73"/>
      <c r="AA1889" s="73"/>
      <c r="AB1889" s="73"/>
      <c r="AC1889" s="73"/>
      <c r="AD1889" s="73"/>
      <c r="AE1889" s="73"/>
      <c r="AF1889" s="73"/>
      <c r="AG1889" s="73"/>
      <c r="AH1889" s="73"/>
      <c r="AI1889" s="73"/>
      <c r="AJ1889" s="161"/>
      <c r="AK1889" s="76" t="s">
        <v>798</v>
      </c>
      <c r="AL1889" s="83" t="s">
        <v>18259</v>
      </c>
      <c r="AM1889" s="71" t="s">
        <v>18260</v>
      </c>
      <c r="AN1889" s="84" t="s">
        <v>18261</v>
      </c>
      <c r="AO1889" s="71" t="s">
        <v>18262</v>
      </c>
      <c r="AP1889" s="161" t="str">
        <f>IMAGE("https://bellingcat-archive.nyc3.cdn.digitaloceanspaces.com/Ukraine_Witness_Datasheet/Worksheet/youtube_dl_1501202129586905089/out7.jpg")</f>
        <v/>
      </c>
      <c r="AQ1889" s="84" t="s">
        <v>18263</v>
      </c>
      <c r="AR1889" s="71" t="s">
        <v>18264</v>
      </c>
      <c r="AS1889" s="71" t="s">
        <v>18265</v>
      </c>
      <c r="AT1889" s="71">
        <v>44.966</v>
      </c>
      <c r="AU1889" s="89"/>
      <c r="AV1889" s="80" t="s">
        <v>63</v>
      </c>
      <c r="AW1889" s="81"/>
    </row>
    <row r="1890" ht="15.75" customHeight="1">
      <c r="A1890" s="373" t="s">
        <v>6924</v>
      </c>
      <c r="B1890" s="73"/>
      <c r="C1890" s="57" t="s">
        <v>15852</v>
      </c>
      <c r="D1890" s="260"/>
      <c r="E1890" s="260"/>
      <c r="F1890" s="79">
        <v>5.0</v>
      </c>
      <c r="G1890" s="83" t="s">
        <v>18266</v>
      </c>
      <c r="H1890" s="61" t="s">
        <v>91</v>
      </c>
      <c r="I1890" s="215" t="s">
        <v>18267</v>
      </c>
      <c r="J1890" s="476" t="s">
        <v>18268</v>
      </c>
      <c r="K1890" s="69"/>
      <c r="L1890" s="70"/>
      <c r="M1890" s="73"/>
      <c r="N1890" s="73"/>
      <c r="O1890" s="73"/>
      <c r="P1890" s="67" t="str">
        <f t="shared" si="19"/>
        <v/>
      </c>
      <c r="Q1890" s="67" t="str">
        <f t="shared" si="20"/>
        <v/>
      </c>
      <c r="R1890" s="67" t="str">
        <f t="shared" si="21"/>
        <v/>
      </c>
      <c r="S1890" s="67" t="str">
        <f t="shared" si="22"/>
        <v/>
      </c>
      <c r="T1890" s="161"/>
      <c r="U1890" s="69"/>
      <c r="V1890" s="65" t="s">
        <v>18269</v>
      </c>
      <c r="W1890" s="161"/>
      <c r="X1890" s="194"/>
      <c r="Y1890" s="216" t="s">
        <v>5820</v>
      </c>
      <c r="Z1890" s="73"/>
      <c r="AA1890" s="73"/>
      <c r="AB1890" s="73"/>
      <c r="AC1890" s="73"/>
      <c r="AD1890" s="73"/>
      <c r="AE1890" s="73"/>
      <c r="AF1890" s="73"/>
      <c r="AG1890" s="73"/>
      <c r="AH1890" s="73"/>
      <c r="AI1890" s="73"/>
      <c r="AJ1890" s="161"/>
      <c r="AK1890" s="76" t="s">
        <v>2108</v>
      </c>
      <c r="AL1890" s="83" t="s">
        <v>18270</v>
      </c>
      <c r="AM1890" s="71" t="s">
        <v>18271</v>
      </c>
      <c r="AN1890" s="84" t="s">
        <v>18272</v>
      </c>
      <c r="AO1890" s="71" t="s">
        <v>18273</v>
      </c>
      <c r="AP1890" s="161" t="str">
        <f>IMAGE("https://bellingcat-archive.nyc3.cdn.digitaloceanspaces.com/Ukraine_Witness_Datasheet/Worksheet/twitter__media_FNWl-vnVcAAHg1G.jpg")</f>
        <v/>
      </c>
      <c r="AQ1890" s="161"/>
      <c r="AR1890" s="161"/>
      <c r="AS1890" s="71" t="s">
        <v>18274</v>
      </c>
      <c r="AT1890" s="161"/>
      <c r="AU1890" s="89"/>
      <c r="AV1890" s="162"/>
      <c r="AW1890" s="81"/>
    </row>
    <row r="1891" ht="15.75" customHeight="1">
      <c r="A1891" s="357" t="s">
        <v>170</v>
      </c>
      <c r="B1891" s="73"/>
      <c r="C1891" s="57" t="s">
        <v>15852</v>
      </c>
      <c r="D1891" s="123">
        <v>46.118621</v>
      </c>
      <c r="E1891" s="123">
        <v>32.910217</v>
      </c>
      <c r="F1891" s="79">
        <v>1.0</v>
      </c>
      <c r="G1891" s="84" t="s">
        <v>18275</v>
      </c>
      <c r="H1891" s="61" t="s">
        <v>5368</v>
      </c>
      <c r="I1891" s="75"/>
      <c r="J1891" s="71" t="s">
        <v>5858</v>
      </c>
      <c r="K1891" s="88" t="s">
        <v>18275</v>
      </c>
      <c r="L1891" s="65" t="s">
        <v>3542</v>
      </c>
      <c r="M1891" s="61" t="s">
        <v>5702</v>
      </c>
      <c r="N1891" s="73"/>
      <c r="O1891" s="61" t="s">
        <v>7098</v>
      </c>
      <c r="P1891" s="94" t="s">
        <v>18276</v>
      </c>
      <c r="Q1891" s="67" t="str">
        <f t="shared" si="20"/>
        <v>46.117862, 32.909934</v>
      </c>
      <c r="R1891" s="67">
        <f t="shared" si="21"/>
        <v>46.117862</v>
      </c>
      <c r="S1891" s="67">
        <f t="shared" si="22"/>
        <v>32.909934</v>
      </c>
      <c r="T1891" s="161"/>
      <c r="U1891" s="69"/>
      <c r="V1891" s="65" t="s">
        <v>18277</v>
      </c>
      <c r="W1891" s="71" t="s">
        <v>5858</v>
      </c>
      <c r="X1891" s="17" t="s">
        <v>9</v>
      </c>
      <c r="Y1891" s="61" t="s">
        <v>75</v>
      </c>
      <c r="Z1891" s="71" t="s">
        <v>18278</v>
      </c>
      <c r="AA1891" s="73"/>
      <c r="AB1891" s="73"/>
      <c r="AC1891" s="73"/>
      <c r="AD1891" s="73"/>
      <c r="AE1891" s="73"/>
      <c r="AF1891" s="73"/>
      <c r="AG1891" s="73"/>
      <c r="AH1891" s="73"/>
      <c r="AI1891" s="73"/>
      <c r="AJ1891" s="161"/>
      <c r="AK1891" s="76" t="s">
        <v>798</v>
      </c>
      <c r="AL1891" s="83" t="s">
        <v>18279</v>
      </c>
      <c r="AM1891" s="71" t="s">
        <v>18280</v>
      </c>
      <c r="AN1891" s="84" t="s">
        <v>18281</v>
      </c>
      <c r="AO1891" s="71" t="s">
        <v>18282</v>
      </c>
      <c r="AP1891" s="161" t="str">
        <f>IMAGE("https://bellingcat-archive.nyc3.cdn.digitaloceanspaces.com/Ukraine_Witness_Datasheet/Worksheet/youtube_dl_1501504889050087428/out20.jpg")</f>
        <v/>
      </c>
      <c r="AQ1891" s="84" t="s">
        <v>18283</v>
      </c>
      <c r="AR1891" s="71" t="s">
        <v>18284</v>
      </c>
      <c r="AS1891" s="71" t="s">
        <v>18285</v>
      </c>
      <c r="AT1891" s="71">
        <v>73.209</v>
      </c>
      <c r="AU1891" s="89"/>
      <c r="AV1891" s="162"/>
      <c r="AW1891" s="81"/>
    </row>
    <row r="1892" ht="15.75" customHeight="1">
      <c r="A1892" s="374" t="s">
        <v>2580</v>
      </c>
      <c r="B1892" s="73"/>
      <c r="C1892" s="57" t="s">
        <v>18286</v>
      </c>
      <c r="D1892" s="121"/>
      <c r="E1892" s="121"/>
      <c r="F1892" s="79">
        <v>2.0</v>
      </c>
      <c r="G1892" s="84" t="s">
        <v>18287</v>
      </c>
      <c r="H1892" s="61" t="s">
        <v>5522</v>
      </c>
      <c r="I1892" s="62" t="s">
        <v>18288</v>
      </c>
      <c r="J1892" s="71" t="s">
        <v>18289</v>
      </c>
      <c r="K1892" s="69"/>
      <c r="L1892" s="65" t="s">
        <v>3542</v>
      </c>
      <c r="M1892" s="61" t="s">
        <v>5978</v>
      </c>
      <c r="N1892" s="73"/>
      <c r="O1892" s="61" t="s">
        <v>18290</v>
      </c>
      <c r="P1892" s="74" t="s">
        <v>18291</v>
      </c>
      <c r="Q1892" s="67" t="str">
        <f t="shared" si="20"/>
        <v/>
      </c>
      <c r="R1892" s="67" t="str">
        <f t="shared" si="21"/>
        <v/>
      </c>
      <c r="S1892" s="67" t="str">
        <f t="shared" si="22"/>
        <v/>
      </c>
      <c r="T1892" s="161"/>
      <c r="U1892" s="69"/>
      <c r="V1892" s="65" t="s">
        <v>18292</v>
      </c>
      <c r="W1892" s="71" t="s">
        <v>18293</v>
      </c>
      <c r="X1892" s="194"/>
      <c r="Y1892" s="73"/>
      <c r="Z1892" s="161"/>
      <c r="AA1892" s="73"/>
      <c r="AB1892" s="73"/>
      <c r="AC1892" s="73"/>
      <c r="AD1892" s="73"/>
      <c r="AE1892" s="73"/>
      <c r="AF1892" s="73"/>
      <c r="AG1892" s="73"/>
      <c r="AH1892" s="73"/>
      <c r="AI1892" s="73"/>
      <c r="AJ1892" s="161"/>
      <c r="AK1892" s="76" t="s">
        <v>798</v>
      </c>
      <c r="AL1892" s="83" t="s">
        <v>18294</v>
      </c>
      <c r="AM1892" s="71" t="s">
        <v>18295</v>
      </c>
      <c r="AN1892" s="84" t="s">
        <v>18296</v>
      </c>
      <c r="AO1892" s="71" t="s">
        <v>18297</v>
      </c>
      <c r="AP1892" s="161" t="str">
        <f>IMAGE("https://bellingcat-archive.nyc3.cdn.digitaloceanspaces.com/Ukraine_Witness_Datasheet/Worksheet/youtube_dl_1501491738342576131/out7.jpg")</f>
        <v/>
      </c>
      <c r="AQ1892" s="84" t="s">
        <v>18298</v>
      </c>
      <c r="AR1892" s="71" t="s">
        <v>18299</v>
      </c>
      <c r="AS1892" s="71" t="s">
        <v>18300</v>
      </c>
      <c r="AT1892" s="71">
        <v>41.533</v>
      </c>
      <c r="AU1892" s="89"/>
      <c r="AV1892" s="162"/>
      <c r="AW1892" s="81"/>
    </row>
    <row r="1893" ht="15.75" customHeight="1">
      <c r="A1893" s="72" t="s">
        <v>11075</v>
      </c>
      <c r="B1893" s="73"/>
      <c r="C1893" s="57" t="s">
        <v>15275</v>
      </c>
      <c r="D1893" s="74">
        <v>50.044299</v>
      </c>
      <c r="E1893" s="74">
        <v>36.277918</v>
      </c>
      <c r="F1893" s="79">
        <v>3.0</v>
      </c>
      <c r="G1893" s="84" t="s">
        <v>18301</v>
      </c>
      <c r="H1893" s="61" t="s">
        <v>91</v>
      </c>
      <c r="I1893" s="75"/>
      <c r="J1893" s="71" t="s">
        <v>18302</v>
      </c>
      <c r="K1893" s="64"/>
      <c r="L1893" s="65" t="s">
        <v>3542</v>
      </c>
      <c r="M1893" s="61" t="s">
        <v>5590</v>
      </c>
      <c r="N1893" s="73"/>
      <c r="O1893" s="61" t="s">
        <v>5626</v>
      </c>
      <c r="P1893" s="67" t="str">
        <f t="shared" ref="P1893:P1897" si="25">IF(ISBLANK(D1893), "", CONCATENATE(D1893,", ", E1893))</f>
        <v>50.044299, 36.277918</v>
      </c>
      <c r="Q1893" s="67" t="str">
        <f t="shared" si="20"/>
        <v>50.043928, 36.278483</v>
      </c>
      <c r="R1893" s="67">
        <f t="shared" si="21"/>
        <v>50.043928</v>
      </c>
      <c r="S1893" s="67">
        <f t="shared" si="22"/>
        <v>36.278483</v>
      </c>
      <c r="T1893" s="84" t="s">
        <v>18303</v>
      </c>
      <c r="U1893" s="69"/>
      <c r="V1893" s="65" t="s">
        <v>18304</v>
      </c>
      <c r="W1893" s="71" t="s">
        <v>18305</v>
      </c>
      <c r="X1893" s="72" t="s">
        <v>5504</v>
      </c>
      <c r="Y1893" s="61" t="s">
        <v>5820</v>
      </c>
      <c r="Z1893" s="161"/>
      <c r="AA1893" s="73"/>
      <c r="AB1893" s="73"/>
      <c r="AC1893" s="73"/>
      <c r="AD1893" s="73"/>
      <c r="AE1893" s="73"/>
      <c r="AF1893" s="73"/>
      <c r="AG1893" s="73"/>
      <c r="AH1893" s="73"/>
      <c r="AI1893" s="73"/>
      <c r="AJ1893" s="161"/>
      <c r="AK1893" s="76" t="s">
        <v>6276</v>
      </c>
      <c r="AL1893" s="83" t="s">
        <v>18306</v>
      </c>
      <c r="AM1893" s="71" t="s">
        <v>18307</v>
      </c>
      <c r="AN1893" s="84" t="s">
        <v>18308</v>
      </c>
      <c r="AO1893" s="71" t="s">
        <v>18309</v>
      </c>
      <c r="AP1893" s="161" t="str">
        <f>IMAGE("https://bellingcat-archive.nyc3.cdn.digitaloceanspaces.com/Ukraine_Witness_Datasheet/Worksheet/telegram_vedqJedyIHARrYPtojvtoW1sM5uHFWS5EspXaLxRkeHWehUDiGQXiybieNXtLKmZX4tG1bO-tCOGlQEIz2rJYcEsIAeA3zSVNB3RiwLOoxV5GUop43fZd1uR1Mvkrhsw.jpg")</f>
        <v/>
      </c>
      <c r="AQ1893" s="161"/>
      <c r="AR1893" s="161"/>
      <c r="AS1893" s="71" t="s">
        <v>18310</v>
      </c>
      <c r="AT1893" s="161"/>
      <c r="AU1893" s="89"/>
      <c r="AV1893" s="80" t="s">
        <v>63</v>
      </c>
      <c r="AW1893" s="81"/>
    </row>
    <row r="1894" ht="15.75" customHeight="1">
      <c r="A1894" s="72" t="s">
        <v>11075</v>
      </c>
      <c r="B1894" s="73"/>
      <c r="C1894" s="57" t="s">
        <v>15275</v>
      </c>
      <c r="D1894" s="74">
        <v>50.703732</v>
      </c>
      <c r="E1894" s="74">
        <v>31.150754</v>
      </c>
      <c r="F1894" s="79">
        <v>3.0</v>
      </c>
      <c r="G1894" s="84" t="s">
        <v>18311</v>
      </c>
      <c r="H1894" s="61" t="s">
        <v>5522</v>
      </c>
      <c r="I1894" s="75"/>
      <c r="J1894" s="71" t="s">
        <v>18312</v>
      </c>
      <c r="K1894" s="69"/>
      <c r="L1894" s="65" t="s">
        <v>3542</v>
      </c>
      <c r="M1894" s="61" t="s">
        <v>5827</v>
      </c>
      <c r="N1894" s="73"/>
      <c r="O1894" s="61" t="s">
        <v>17575</v>
      </c>
      <c r="P1894" s="67" t="str">
        <f t="shared" si="25"/>
        <v>50.703732, 31.150754</v>
      </c>
      <c r="Q1894" s="67" t="str">
        <f t="shared" si="20"/>
        <v>50.703311, 31.150022</v>
      </c>
      <c r="R1894" s="67">
        <f t="shared" si="21"/>
        <v>50.703311</v>
      </c>
      <c r="S1894" s="67">
        <f t="shared" si="22"/>
        <v>31.150022</v>
      </c>
      <c r="T1894" s="60" t="s">
        <v>18313</v>
      </c>
      <c r="U1894" s="69"/>
      <c r="V1894" s="65" t="s">
        <v>18314</v>
      </c>
      <c r="W1894" s="71" t="s">
        <v>18305</v>
      </c>
      <c r="X1894" s="72" t="s">
        <v>5504</v>
      </c>
      <c r="Y1894" s="61" t="s">
        <v>5820</v>
      </c>
      <c r="Z1894" s="161"/>
      <c r="AA1894" s="73"/>
      <c r="AB1894" s="73"/>
      <c r="AC1894" s="73"/>
      <c r="AD1894" s="73"/>
      <c r="AE1894" s="73"/>
      <c r="AF1894" s="73"/>
      <c r="AG1894" s="73"/>
      <c r="AH1894" s="73"/>
      <c r="AI1894" s="73"/>
      <c r="AJ1894" s="161"/>
      <c r="AK1894" s="76" t="s">
        <v>6276</v>
      </c>
      <c r="AL1894" s="83" t="s">
        <v>18315</v>
      </c>
      <c r="AM1894" s="71" t="s">
        <v>18316</v>
      </c>
      <c r="AN1894" s="84" t="s">
        <v>18317</v>
      </c>
      <c r="AO1894" s="71" t="s">
        <v>18318</v>
      </c>
      <c r="AP1894" s="161" t="str">
        <f>IMAGE("https://bellingcat-archive.nyc3.cdn.digitaloceanspaces.com/Ukraine_Witness_Datasheet/Worksheet/telegram_e3f70ace9d/out7.jpg")</f>
        <v/>
      </c>
      <c r="AQ1894" s="84" t="s">
        <v>18319</v>
      </c>
      <c r="AR1894" s="84" t="s">
        <v>18311</v>
      </c>
      <c r="AS1894" s="71" t="s">
        <v>18320</v>
      </c>
      <c r="AT1894" s="71">
        <v>31.0</v>
      </c>
      <c r="AU1894" s="89"/>
      <c r="AV1894" s="80" t="s">
        <v>63</v>
      </c>
      <c r="AW1894" s="81"/>
    </row>
    <row r="1895" ht="15.75" customHeight="1">
      <c r="A1895" s="72" t="s">
        <v>11075</v>
      </c>
      <c r="B1895" s="73"/>
      <c r="C1895" s="57" t="s">
        <v>15275</v>
      </c>
      <c r="D1895" s="74">
        <v>46.943014</v>
      </c>
      <c r="E1895" s="74">
        <v>32.036155</v>
      </c>
      <c r="F1895" s="79">
        <v>3.0</v>
      </c>
      <c r="G1895" s="84" t="s">
        <v>18321</v>
      </c>
      <c r="H1895" s="61" t="s">
        <v>91</v>
      </c>
      <c r="I1895" s="75"/>
      <c r="J1895" s="71" t="s">
        <v>18322</v>
      </c>
      <c r="K1895" s="69"/>
      <c r="L1895" s="65" t="s">
        <v>3542</v>
      </c>
      <c r="M1895" s="61" t="s">
        <v>6563</v>
      </c>
      <c r="N1895" s="73"/>
      <c r="O1895" s="61" t="s">
        <v>6658</v>
      </c>
      <c r="P1895" s="67" t="str">
        <f t="shared" si="25"/>
        <v>46.943014, 32.036155</v>
      </c>
      <c r="Q1895" s="67" t="str">
        <f t="shared" si="20"/>
        <v>46.942569, 32.035258</v>
      </c>
      <c r="R1895" s="67">
        <f t="shared" si="21"/>
        <v>46.942569</v>
      </c>
      <c r="S1895" s="67">
        <f t="shared" si="22"/>
        <v>32.035258</v>
      </c>
      <c r="T1895" s="84" t="s">
        <v>18323</v>
      </c>
      <c r="U1895" s="69"/>
      <c r="V1895" s="65" t="s">
        <v>18324</v>
      </c>
      <c r="W1895" s="71" t="s">
        <v>15866</v>
      </c>
      <c r="X1895" s="72" t="s">
        <v>5504</v>
      </c>
      <c r="Y1895" s="61" t="s">
        <v>5820</v>
      </c>
      <c r="Z1895" s="161"/>
      <c r="AA1895" s="73"/>
      <c r="AB1895" s="73"/>
      <c r="AC1895" s="73"/>
      <c r="AD1895" s="73"/>
      <c r="AE1895" s="73"/>
      <c r="AF1895" s="73"/>
      <c r="AG1895" s="73"/>
      <c r="AH1895" s="73"/>
      <c r="AI1895" s="73"/>
      <c r="AJ1895" s="161"/>
      <c r="AK1895" s="76" t="s">
        <v>6276</v>
      </c>
      <c r="AL1895" s="83" t="s">
        <v>18325</v>
      </c>
      <c r="AM1895" s="71" t="s">
        <v>18326</v>
      </c>
      <c r="AN1895" s="84" t="s">
        <v>18327</v>
      </c>
      <c r="AO1895" s="71" t="s">
        <v>18328</v>
      </c>
      <c r="AP1895" s="161" t="str">
        <f>IMAGE("https://bellingcat-archive.nyc3.cdn.digitaloceanspaces.com/Ukraine_Witness_Datasheet/Worksheet/telegram_v0LRT9ZxKI4DX6Ks9gcwehA0h58HfzdVPJCNfZ_Zd-0wgGMEGpMETOLCEsuwBdtbJ8Mm600fq25Lvy8mWP_Jc7LsHkjDLkRMB4PbqPuYOAqFauZ1AB6eE27FK5A6b7_A.jpg")</f>
        <v/>
      </c>
      <c r="AQ1895" s="161"/>
      <c r="AR1895" s="161"/>
      <c r="AS1895" s="71" t="s">
        <v>15861</v>
      </c>
      <c r="AT1895" s="161"/>
      <c r="AU1895" s="89"/>
      <c r="AV1895" s="80" t="s">
        <v>63</v>
      </c>
      <c r="AW1895" s="81"/>
    </row>
    <row r="1896" ht="15.75" customHeight="1">
      <c r="A1896" s="72" t="s">
        <v>11075</v>
      </c>
      <c r="B1896" s="73"/>
      <c r="C1896" s="57" t="s">
        <v>15275</v>
      </c>
      <c r="D1896" s="74">
        <v>50.179509</v>
      </c>
      <c r="E1896" s="74">
        <v>30.317104</v>
      </c>
      <c r="F1896" s="79">
        <v>3.0</v>
      </c>
      <c r="G1896" s="84" t="s">
        <v>18329</v>
      </c>
      <c r="H1896" s="61" t="s">
        <v>5522</v>
      </c>
      <c r="I1896" s="75"/>
      <c r="J1896" s="71" t="s">
        <v>18330</v>
      </c>
      <c r="K1896" s="88" t="s">
        <v>18331</v>
      </c>
      <c r="L1896" s="65" t="s">
        <v>3542</v>
      </c>
      <c r="M1896" s="61" t="s">
        <v>5827</v>
      </c>
      <c r="N1896" s="73"/>
      <c r="O1896" s="61" t="s">
        <v>8013</v>
      </c>
      <c r="P1896" s="67" t="str">
        <f t="shared" si="25"/>
        <v>50.179509, 30.317104</v>
      </c>
      <c r="Q1896" s="67" t="str">
        <f t="shared" si="20"/>
        <v>50.179342, 30.317929</v>
      </c>
      <c r="R1896" s="67">
        <f t="shared" si="21"/>
        <v>50.179342</v>
      </c>
      <c r="S1896" s="67">
        <f t="shared" si="22"/>
        <v>30.317929</v>
      </c>
      <c r="T1896" s="71" t="s">
        <v>18332</v>
      </c>
      <c r="U1896" s="69"/>
      <c r="V1896" s="65" t="s">
        <v>18333</v>
      </c>
      <c r="W1896" s="71" t="s">
        <v>5904</v>
      </c>
      <c r="X1896" s="502" t="s">
        <v>14471</v>
      </c>
      <c r="Y1896" s="61" t="s">
        <v>75</v>
      </c>
      <c r="Z1896" s="71" t="s">
        <v>18334</v>
      </c>
      <c r="AA1896" s="73"/>
      <c r="AB1896" s="73"/>
      <c r="AC1896" s="73"/>
      <c r="AD1896" s="73"/>
      <c r="AE1896" s="73"/>
      <c r="AF1896" s="73"/>
      <c r="AG1896" s="73"/>
      <c r="AH1896" s="73"/>
      <c r="AI1896" s="73"/>
      <c r="AJ1896" s="161"/>
      <c r="AK1896" s="76" t="s">
        <v>6276</v>
      </c>
      <c r="AL1896" s="83" t="s">
        <v>18335</v>
      </c>
      <c r="AM1896" s="71" t="s">
        <v>18336</v>
      </c>
      <c r="AN1896" s="84" t="s">
        <v>18337</v>
      </c>
      <c r="AO1896" s="71" t="s">
        <v>18338</v>
      </c>
      <c r="AP1896" s="161" t="str">
        <f>IMAGE("https://bellingcat-archive.nyc3.cdn.digitaloceanspaces.com/Ukraine_Witness_Datasheet/Worksheet/telegram_9b8b9715e0/out7.jpg")</f>
        <v/>
      </c>
      <c r="AQ1896" s="84" t="s">
        <v>18339</v>
      </c>
      <c r="AR1896" s="84" t="s">
        <v>18329</v>
      </c>
      <c r="AS1896" s="71" t="s">
        <v>18340</v>
      </c>
      <c r="AT1896" s="71">
        <v>40.0</v>
      </c>
      <c r="AU1896" s="89"/>
      <c r="AV1896" s="80" t="s">
        <v>63</v>
      </c>
      <c r="AW1896" s="81"/>
    </row>
    <row r="1897" ht="15.75" customHeight="1">
      <c r="A1897" s="72" t="s">
        <v>11075</v>
      </c>
      <c r="B1897" s="73"/>
      <c r="C1897" s="57" t="s">
        <v>15852</v>
      </c>
      <c r="D1897" s="104">
        <v>50.8975254157021</v>
      </c>
      <c r="E1897" s="104">
        <v>34.7668431270504</v>
      </c>
      <c r="F1897" s="79">
        <v>5.0</v>
      </c>
      <c r="G1897" s="84" t="s">
        <v>18341</v>
      </c>
      <c r="H1897" s="61" t="s">
        <v>91</v>
      </c>
      <c r="I1897" s="75"/>
      <c r="J1897" s="71" t="s">
        <v>18342</v>
      </c>
      <c r="K1897" s="88" t="s">
        <v>18343</v>
      </c>
      <c r="L1897" s="65" t="s">
        <v>3542</v>
      </c>
      <c r="M1897" s="61" t="s">
        <v>18344</v>
      </c>
      <c r="N1897" s="73"/>
      <c r="O1897" s="61" t="s">
        <v>5979</v>
      </c>
      <c r="P1897" s="67" t="str">
        <f t="shared" si="25"/>
        <v>50.8975254157021, 34.7668431270504</v>
      </c>
      <c r="Q1897" s="67" t="str">
        <f t="shared" si="20"/>
        <v>50.897156, 34.766942</v>
      </c>
      <c r="R1897" s="67">
        <f t="shared" si="21"/>
        <v>50.897156</v>
      </c>
      <c r="S1897" s="67">
        <f t="shared" si="22"/>
        <v>34.766942</v>
      </c>
      <c r="T1897" s="71" t="s">
        <v>18345</v>
      </c>
      <c r="U1897" s="69"/>
      <c r="V1897" s="65" t="s">
        <v>18346</v>
      </c>
      <c r="W1897" s="71" t="s">
        <v>18347</v>
      </c>
      <c r="X1897" s="17" t="s">
        <v>9</v>
      </c>
      <c r="Y1897" s="61" t="s">
        <v>5820</v>
      </c>
      <c r="Z1897" s="161"/>
      <c r="AA1897" s="73"/>
      <c r="AB1897" s="73"/>
      <c r="AC1897" s="73"/>
      <c r="AD1897" s="73"/>
      <c r="AE1897" s="73"/>
      <c r="AF1897" s="73"/>
      <c r="AG1897" s="73"/>
      <c r="AH1897" s="73"/>
      <c r="AI1897" s="73"/>
      <c r="AJ1897" s="161"/>
      <c r="AK1897" s="76" t="s">
        <v>6276</v>
      </c>
      <c r="AL1897" s="83" t="s">
        <v>18348</v>
      </c>
      <c r="AM1897" s="71" t="s">
        <v>18349</v>
      </c>
      <c r="AN1897" s="84" t="s">
        <v>18350</v>
      </c>
      <c r="AO1897" s="71" t="s">
        <v>18351</v>
      </c>
      <c r="AP1897" s="161" t="str">
        <f>IMAGE("https://bellingcat-archive.nyc3.cdn.digitaloceanspaces.com/Ukraine_Witness_Datasheet/Worksheet/telegram_qgjjutJQJ57AzC3vWdkUaFD8rFXj-4xL9QmUEAW_n7QD7yb3p-D_jG21SCsQ0fuC1wiL8_-3OmTLrPqdy9xOV1yIn6oYpeYmfj9FXKWQIN1libKmSrJnapImato_dlrQ.jpg")</f>
        <v/>
      </c>
      <c r="AQ1897" s="161"/>
      <c r="AR1897" s="161"/>
      <c r="AS1897" s="71" t="s">
        <v>18352</v>
      </c>
      <c r="AT1897" s="161"/>
      <c r="AU1897" s="89"/>
      <c r="AV1897" s="80" t="s">
        <v>63</v>
      </c>
      <c r="AW1897" s="81"/>
    </row>
    <row r="1898" ht="15.75" customHeight="1">
      <c r="A1898" s="349" t="s">
        <v>11075</v>
      </c>
      <c r="B1898" s="73"/>
      <c r="C1898" s="57" t="s">
        <v>15852</v>
      </c>
      <c r="D1898" s="104">
        <v>50.8975254157021</v>
      </c>
      <c r="E1898" s="104">
        <v>34.7668431270504</v>
      </c>
      <c r="F1898" s="79">
        <v>5.0</v>
      </c>
      <c r="G1898" s="83" t="s">
        <v>18353</v>
      </c>
      <c r="H1898" s="61" t="s">
        <v>5522</v>
      </c>
      <c r="I1898" s="215"/>
      <c r="J1898" s="476" t="s">
        <v>18354</v>
      </c>
      <c r="K1898" s="88" t="s">
        <v>18343</v>
      </c>
      <c r="L1898" s="65" t="s">
        <v>3542</v>
      </c>
      <c r="M1898" s="61" t="s">
        <v>18344</v>
      </c>
      <c r="N1898" s="73"/>
      <c r="O1898" s="61" t="s">
        <v>5979</v>
      </c>
      <c r="P1898" s="67"/>
      <c r="Q1898" s="67"/>
      <c r="R1898" s="67"/>
      <c r="S1898" s="67"/>
      <c r="T1898" s="220" t="s">
        <v>18355</v>
      </c>
      <c r="U1898" s="69"/>
      <c r="V1898" s="65"/>
      <c r="W1898" s="71" t="s">
        <v>18347</v>
      </c>
      <c r="X1898" s="17" t="s">
        <v>9</v>
      </c>
      <c r="Y1898" s="216" t="s">
        <v>75</v>
      </c>
      <c r="Z1898" s="71" t="s">
        <v>18356</v>
      </c>
      <c r="AA1898" s="73"/>
      <c r="AB1898" s="73"/>
      <c r="AC1898" s="73"/>
      <c r="AD1898" s="73"/>
      <c r="AE1898" s="73"/>
      <c r="AF1898" s="73"/>
      <c r="AG1898" s="73"/>
      <c r="AH1898" s="73"/>
      <c r="AI1898" s="73"/>
      <c r="AJ1898" s="161"/>
      <c r="AK1898" s="76" t="s">
        <v>798</v>
      </c>
      <c r="AL1898" s="83" t="s">
        <v>18357</v>
      </c>
      <c r="AM1898" s="71" t="s">
        <v>18358</v>
      </c>
      <c r="AN1898" s="84" t="s">
        <v>18359</v>
      </c>
      <c r="AO1898" s="71" t="s">
        <v>18360</v>
      </c>
      <c r="AP1898" s="161" t="str">
        <f>IMAGE("https://bellingcat-archive.nyc3.cdn.digitaloceanspaces.com/Ukraine_Witness_Datasheet/Worksheet/youtube_dl_mQYvo2YyFVs/out20.jpg")</f>
        <v/>
      </c>
      <c r="AQ1898" s="84" t="s">
        <v>18361</v>
      </c>
      <c r="AR1898" s="71" t="s">
        <v>18362</v>
      </c>
      <c r="AS1898" s="71" t="s">
        <v>18363</v>
      </c>
      <c r="AT1898" s="71">
        <v>106.0</v>
      </c>
      <c r="AU1898" s="89"/>
      <c r="AV1898" s="80" t="s">
        <v>63</v>
      </c>
      <c r="AW1898" s="81"/>
    </row>
    <row r="1899" ht="15.75" customHeight="1">
      <c r="A1899" s="349" t="s">
        <v>8554</v>
      </c>
      <c r="B1899" s="73"/>
      <c r="C1899" s="57" t="s">
        <v>15852</v>
      </c>
      <c r="D1899" s="241" t="s">
        <v>18364</v>
      </c>
      <c r="E1899" s="241" t="s">
        <v>18365</v>
      </c>
      <c r="F1899" s="79">
        <v>2.0</v>
      </c>
      <c r="G1899" s="83" t="s">
        <v>18366</v>
      </c>
      <c r="H1899" s="73"/>
      <c r="I1899" s="215" t="s">
        <v>18288</v>
      </c>
      <c r="J1899" s="476" t="s">
        <v>18367</v>
      </c>
      <c r="K1899" s="69"/>
      <c r="L1899" s="65" t="s">
        <v>3542</v>
      </c>
      <c r="M1899" s="61" t="s">
        <v>5590</v>
      </c>
      <c r="N1899" s="73"/>
      <c r="O1899" s="61" t="s">
        <v>5591</v>
      </c>
      <c r="P1899" s="67" t="str">
        <f t="shared" ref="P1899:P1910" si="26">IF(ISBLANK(D1899), "", CONCATENATE(D1899,", ", E1899))</f>
        <v>50.0043, 36.2376</v>
      </c>
      <c r="Q1899" s="67" t="str">
        <f t="shared" ref="Q1899:Q1931" si="27">IF(ISBLANK(D1899),"",CONCATENATE(R1899, ", ", S1899))</f>
        <v>50.003947, 36.237747</v>
      </c>
      <c r="R1899" s="67">
        <f t="shared" ref="R1899:R1931" si="28">IFERROR(IF(ISBLANK(D1899), "", ROUND(D1899-0.00001*SIN(MOD(POW(ROW()*1337,3/2),1)*PI())*(MOD(POW(ROW()*2337,3/2),1)*50+35),6)), "bad coordinate")</f>
        <v>50.003947</v>
      </c>
      <c r="S1899" s="67">
        <f t="shared" ref="S1899:S1931" si="29">IFERROR(IF(ISBLANK(E1899), "", ROUND(E1899+0.000015*COS(MOD(POW(ROW()*1337,3/2),1)*PI())*(MOD(POW(ROW()*2337,3/2),1)*50+35),6)), "bad coordinate")</f>
        <v>36.237747</v>
      </c>
      <c r="T1899" s="161"/>
      <c r="U1899" s="69"/>
      <c r="V1899" s="65" t="s">
        <v>18368</v>
      </c>
      <c r="W1899" s="71" t="s">
        <v>18305</v>
      </c>
      <c r="X1899" s="72" t="s">
        <v>5504</v>
      </c>
      <c r="Y1899" s="216" t="s">
        <v>5820</v>
      </c>
      <c r="Z1899" s="161"/>
      <c r="AA1899" s="73"/>
      <c r="AB1899" s="73"/>
      <c r="AC1899" s="73"/>
      <c r="AD1899" s="73"/>
      <c r="AE1899" s="73"/>
      <c r="AF1899" s="73"/>
      <c r="AG1899" s="73"/>
      <c r="AH1899" s="73"/>
      <c r="AI1899" s="73"/>
      <c r="AJ1899" s="161"/>
      <c r="AK1899" s="76" t="s">
        <v>798</v>
      </c>
      <c r="AL1899" s="83" t="s">
        <v>18369</v>
      </c>
      <c r="AM1899" s="71" t="s">
        <v>18370</v>
      </c>
      <c r="AN1899" s="84" t="s">
        <v>18371</v>
      </c>
      <c r="AO1899" s="71" t="s">
        <v>18372</v>
      </c>
      <c r="AP1899" s="161" t="str">
        <f>IMAGE("https://bellingcat-archive.nyc3.cdn.digitaloceanspaces.com/Ukraine_Witness_Datasheet/Worksheet/youtube_dl_1501422413485154306/out7.jpg")</f>
        <v/>
      </c>
      <c r="AQ1899" s="84" t="s">
        <v>18373</v>
      </c>
      <c r="AR1899" s="71" t="s">
        <v>18374</v>
      </c>
      <c r="AS1899" s="71" t="s">
        <v>18375</v>
      </c>
      <c r="AT1899" s="71">
        <v>32.345</v>
      </c>
      <c r="AU1899" s="89"/>
      <c r="AV1899" s="80" t="s">
        <v>63</v>
      </c>
      <c r="AW1899" s="81"/>
    </row>
    <row r="1900" ht="15.75" customHeight="1">
      <c r="A1900" s="477" t="s">
        <v>14858</v>
      </c>
      <c r="B1900" s="73"/>
      <c r="C1900" s="57" t="s">
        <v>13542</v>
      </c>
      <c r="D1900" s="241" t="s">
        <v>18376</v>
      </c>
      <c r="E1900" s="241" t="s">
        <v>18377</v>
      </c>
      <c r="F1900" s="89"/>
      <c r="G1900" s="83" t="s">
        <v>18378</v>
      </c>
      <c r="H1900" s="73"/>
      <c r="I1900" s="215" t="s">
        <v>18379</v>
      </c>
      <c r="J1900" s="476" t="s">
        <v>18380</v>
      </c>
      <c r="K1900" s="69"/>
      <c r="L1900" s="70"/>
      <c r="M1900" s="73"/>
      <c r="N1900" s="73"/>
      <c r="O1900" s="73"/>
      <c r="P1900" s="67" t="str">
        <f t="shared" si="26"/>
        <v>50.498014, 31.259219</v>
      </c>
      <c r="Q1900" s="67" t="str">
        <f t="shared" si="27"/>
        <v>50.497492, 31.258989</v>
      </c>
      <c r="R1900" s="67">
        <f t="shared" si="28"/>
        <v>50.497492</v>
      </c>
      <c r="S1900" s="67">
        <f t="shared" si="29"/>
        <v>31.258989</v>
      </c>
      <c r="T1900" s="161"/>
      <c r="U1900" s="69"/>
      <c r="V1900" s="65" t="s">
        <v>18381</v>
      </c>
      <c r="W1900" s="161"/>
      <c r="X1900" s="194"/>
      <c r="Y1900" s="216" t="s">
        <v>5820</v>
      </c>
      <c r="Z1900" s="161"/>
      <c r="AA1900" s="73"/>
      <c r="AB1900" s="73"/>
      <c r="AC1900" s="73"/>
      <c r="AD1900" s="73"/>
      <c r="AE1900" s="73"/>
      <c r="AF1900" s="73"/>
      <c r="AG1900" s="73"/>
      <c r="AH1900" s="73"/>
      <c r="AI1900" s="73"/>
      <c r="AJ1900" s="161"/>
      <c r="AK1900" s="76" t="s">
        <v>930</v>
      </c>
      <c r="AL1900" s="83" t="s">
        <v>15013</v>
      </c>
      <c r="AM1900" s="71" t="s">
        <v>18382</v>
      </c>
      <c r="AN1900" s="84" t="s">
        <v>18383</v>
      </c>
      <c r="AO1900" s="71" t="s">
        <v>15016</v>
      </c>
      <c r="AP1900" s="161" t="str">
        <f>IMAGE("https://bellingcat-archive.nyc3.cdn.digitaloceanspaces.com/Ukraine_Witness_Datasheet/Worksheet/youtube_dl_1500447665024348168/out20.jpg")</f>
        <v/>
      </c>
      <c r="AQ1900" s="84" t="s">
        <v>15017</v>
      </c>
      <c r="AR1900" s="71" t="s">
        <v>15018</v>
      </c>
      <c r="AS1900" s="71" t="s">
        <v>15019</v>
      </c>
      <c r="AT1900" s="71">
        <v>106.266</v>
      </c>
      <c r="AU1900" s="89"/>
      <c r="AV1900" s="162"/>
      <c r="AW1900" s="81"/>
    </row>
    <row r="1901" ht="15.75" customHeight="1">
      <c r="A1901" s="208"/>
      <c r="B1901" s="73"/>
      <c r="C1901" s="176"/>
      <c r="D1901" s="121"/>
      <c r="E1901" s="121"/>
      <c r="F1901" s="79">
        <v>4.0</v>
      </c>
      <c r="G1901" s="84" t="s">
        <v>18384</v>
      </c>
      <c r="H1901" s="73"/>
      <c r="I1901" s="75"/>
      <c r="J1901" s="71" t="s">
        <v>18385</v>
      </c>
      <c r="K1901" s="69"/>
      <c r="L1901" s="70"/>
      <c r="M1901" s="73"/>
      <c r="N1901" s="73"/>
      <c r="O1901" s="73"/>
      <c r="P1901" s="67" t="str">
        <f t="shared" si="26"/>
        <v/>
      </c>
      <c r="Q1901" s="67" t="str">
        <f t="shared" si="27"/>
        <v/>
      </c>
      <c r="R1901" s="67" t="str">
        <f t="shared" si="28"/>
        <v/>
      </c>
      <c r="S1901" s="67" t="str">
        <f t="shared" si="29"/>
        <v/>
      </c>
      <c r="T1901" s="161"/>
      <c r="U1901" s="69"/>
      <c r="V1901" s="65" t="s">
        <v>18386</v>
      </c>
      <c r="W1901" s="161"/>
      <c r="X1901" s="194"/>
      <c r="Y1901" s="73"/>
      <c r="Z1901" s="161"/>
      <c r="AA1901" s="73"/>
      <c r="AB1901" s="73"/>
      <c r="AC1901" s="73"/>
      <c r="AD1901" s="73"/>
      <c r="AE1901" s="73"/>
      <c r="AF1901" s="73"/>
      <c r="AG1901" s="73"/>
      <c r="AH1901" s="73"/>
      <c r="AI1901" s="73"/>
      <c r="AJ1901" s="161"/>
      <c r="AK1901" s="76" t="s">
        <v>6276</v>
      </c>
      <c r="AL1901" s="83" t="s">
        <v>18387</v>
      </c>
      <c r="AM1901" s="71" t="s">
        <v>18388</v>
      </c>
      <c r="AN1901" s="84" t="s">
        <v>18389</v>
      </c>
      <c r="AO1901" s="71" t="s">
        <v>18390</v>
      </c>
      <c r="AP1901" s="161" t="str">
        <f>IMAGE("https://bellingcat-archive.nyc3.cdn.digitaloceanspaces.com/Ukraine_Witness_Datasheet/Worksheet/telegram_46Qbld0FOb_INMnfdgOsjBp6dZtR4AB6bdcmRFuH2MK6nz-CkXaRHRgEEJcsUKN_Muyaf9suNBApolrg8EFzkyztvqBu6tz9RvcZeZ5HNxviSXoMcCUXlFg0DSkNikYA.jpg")</f>
        <v/>
      </c>
      <c r="AQ1901" s="161"/>
      <c r="AR1901" s="161"/>
      <c r="AS1901" s="71" t="s">
        <v>18391</v>
      </c>
      <c r="AT1901" s="161"/>
      <c r="AU1901" s="89"/>
      <c r="AV1901" s="162"/>
      <c r="AW1901" s="81"/>
    </row>
    <row r="1902" ht="15.75" customHeight="1">
      <c r="A1902" s="17" t="s">
        <v>63</v>
      </c>
      <c r="B1902" s="73"/>
      <c r="C1902" s="57" t="s">
        <v>15275</v>
      </c>
      <c r="D1902" s="74">
        <v>50.036474</v>
      </c>
      <c r="E1902" s="74">
        <v>36.228814</v>
      </c>
      <c r="F1902" s="79">
        <v>2.0</v>
      </c>
      <c r="G1902" s="84" t="s">
        <v>18392</v>
      </c>
      <c r="H1902" s="61" t="s">
        <v>5522</v>
      </c>
      <c r="I1902" s="75"/>
      <c r="J1902" s="71" t="s">
        <v>18393</v>
      </c>
      <c r="K1902" s="69"/>
      <c r="L1902" s="65" t="s">
        <v>3542</v>
      </c>
      <c r="M1902" s="61" t="s">
        <v>5590</v>
      </c>
      <c r="N1902" s="73"/>
      <c r="O1902" s="61" t="s">
        <v>5591</v>
      </c>
      <c r="P1902" s="67" t="str">
        <f t="shared" si="26"/>
        <v>50.036474, 36.228814</v>
      </c>
      <c r="Q1902" s="67" t="str">
        <f t="shared" si="27"/>
        <v>50.036165, 36.229373</v>
      </c>
      <c r="R1902" s="67">
        <f t="shared" si="28"/>
        <v>50.036165</v>
      </c>
      <c r="S1902" s="67">
        <f t="shared" si="29"/>
        <v>36.229373</v>
      </c>
      <c r="T1902" s="161"/>
      <c r="U1902" s="69"/>
      <c r="V1902" s="65" t="s">
        <v>18394</v>
      </c>
      <c r="W1902" s="71" t="s">
        <v>18305</v>
      </c>
      <c r="X1902" s="17" t="s">
        <v>9</v>
      </c>
      <c r="Y1902" s="61" t="s">
        <v>75</v>
      </c>
      <c r="Z1902" s="71" t="s">
        <v>13187</v>
      </c>
      <c r="AA1902" s="73"/>
      <c r="AB1902" s="73"/>
      <c r="AC1902" s="73"/>
      <c r="AD1902" s="73"/>
      <c r="AE1902" s="73"/>
      <c r="AF1902" s="73"/>
      <c r="AG1902" s="73"/>
      <c r="AH1902" s="73"/>
      <c r="AI1902" s="73"/>
      <c r="AJ1902" s="161"/>
      <c r="AK1902" s="76" t="s">
        <v>798</v>
      </c>
      <c r="AL1902" s="83" t="s">
        <v>18395</v>
      </c>
      <c r="AM1902" s="71" t="s">
        <v>18396</v>
      </c>
      <c r="AN1902" s="84" t="s">
        <v>18397</v>
      </c>
      <c r="AO1902" s="71" t="s">
        <v>18398</v>
      </c>
      <c r="AP1902" s="161" t="str">
        <f>IMAGE("https://bellingcat-archive.nyc3.cdn.digitaloceanspaces.com/Ukraine_Witness_Datasheet/Worksheet/youtube_dl_1501449834791944192/out20.jpg")</f>
        <v/>
      </c>
      <c r="AQ1902" s="84" t="s">
        <v>18399</v>
      </c>
      <c r="AR1902" s="71" t="s">
        <v>18400</v>
      </c>
      <c r="AS1902" s="71" t="s">
        <v>18401</v>
      </c>
      <c r="AT1902" s="71">
        <v>73.266</v>
      </c>
      <c r="AU1902" s="89"/>
      <c r="AV1902" s="162"/>
      <c r="AW1902" s="81"/>
    </row>
    <row r="1903" ht="15.75" customHeight="1">
      <c r="A1903" s="208"/>
      <c r="B1903" s="73"/>
      <c r="C1903" s="176"/>
      <c r="D1903" s="121"/>
      <c r="E1903" s="121"/>
      <c r="F1903" s="79">
        <v>4.0</v>
      </c>
      <c r="G1903" s="84" t="s">
        <v>18402</v>
      </c>
      <c r="H1903" s="73"/>
      <c r="I1903" s="75"/>
      <c r="J1903" s="71" t="s">
        <v>18403</v>
      </c>
      <c r="K1903" s="69"/>
      <c r="L1903" s="70"/>
      <c r="M1903" s="73"/>
      <c r="N1903" s="73"/>
      <c r="O1903" s="73"/>
      <c r="P1903" s="67" t="str">
        <f t="shared" si="26"/>
        <v/>
      </c>
      <c r="Q1903" s="67" t="str">
        <f t="shared" si="27"/>
        <v/>
      </c>
      <c r="R1903" s="67" t="str">
        <f t="shared" si="28"/>
        <v/>
      </c>
      <c r="S1903" s="67" t="str">
        <f t="shared" si="29"/>
        <v/>
      </c>
      <c r="T1903" s="161"/>
      <c r="U1903" s="69"/>
      <c r="V1903" s="65" t="s">
        <v>18404</v>
      </c>
      <c r="W1903" s="161"/>
      <c r="X1903" s="194"/>
      <c r="Y1903" s="73"/>
      <c r="Z1903" s="161"/>
      <c r="AA1903" s="73"/>
      <c r="AB1903" s="73"/>
      <c r="AC1903" s="73"/>
      <c r="AD1903" s="73"/>
      <c r="AE1903" s="73"/>
      <c r="AF1903" s="73"/>
      <c r="AG1903" s="73"/>
      <c r="AH1903" s="73"/>
      <c r="AI1903" s="73"/>
      <c r="AJ1903" s="161"/>
      <c r="AK1903" s="76" t="s">
        <v>798</v>
      </c>
      <c r="AL1903" s="83" t="s">
        <v>18405</v>
      </c>
      <c r="AM1903" s="71" t="s">
        <v>18406</v>
      </c>
      <c r="AN1903" s="84" t="s">
        <v>18407</v>
      </c>
      <c r="AO1903" s="71" t="s">
        <v>18408</v>
      </c>
      <c r="AP1903" s="161" t="str">
        <f>IMAGE("https://bellingcat-archive.nyc3.cdn.digitaloceanspaces.com/Ukraine_Witness_Datasheet/Worksheet/youtube_dl_1501530809345454082/out7.jpg")</f>
        <v/>
      </c>
      <c r="AQ1903" s="84" t="s">
        <v>18409</v>
      </c>
      <c r="AR1903" s="71" t="s">
        <v>18410</v>
      </c>
      <c r="AS1903" s="71" t="s">
        <v>18411</v>
      </c>
      <c r="AT1903" s="71">
        <v>15.1</v>
      </c>
      <c r="AU1903" s="89"/>
      <c r="AV1903" s="162"/>
      <c r="AW1903" s="81"/>
    </row>
    <row r="1904" ht="15.75" customHeight="1">
      <c r="A1904" s="208"/>
      <c r="B1904" s="73"/>
      <c r="C1904" s="176"/>
      <c r="D1904" s="121"/>
      <c r="E1904" s="121"/>
      <c r="F1904" s="79">
        <v>1.0</v>
      </c>
      <c r="G1904" s="84" t="s">
        <v>18412</v>
      </c>
      <c r="H1904" s="73"/>
      <c r="I1904" s="75"/>
      <c r="J1904" s="71" t="s">
        <v>18413</v>
      </c>
      <c r="K1904" s="69"/>
      <c r="L1904" s="70"/>
      <c r="M1904" s="73"/>
      <c r="N1904" s="73"/>
      <c r="O1904" s="73"/>
      <c r="P1904" s="67" t="str">
        <f t="shared" si="26"/>
        <v/>
      </c>
      <c r="Q1904" s="67" t="str">
        <f t="shared" si="27"/>
        <v/>
      </c>
      <c r="R1904" s="67" t="str">
        <f t="shared" si="28"/>
        <v/>
      </c>
      <c r="S1904" s="67" t="str">
        <f t="shared" si="29"/>
        <v/>
      </c>
      <c r="T1904" s="161"/>
      <c r="U1904" s="69"/>
      <c r="V1904" s="65" t="s">
        <v>18414</v>
      </c>
      <c r="W1904" s="161"/>
      <c r="X1904" s="194"/>
      <c r="Y1904" s="73"/>
      <c r="Z1904" s="73"/>
      <c r="AA1904" s="73"/>
      <c r="AB1904" s="73"/>
      <c r="AC1904" s="73"/>
      <c r="AD1904" s="73"/>
      <c r="AE1904" s="73"/>
      <c r="AF1904" s="73"/>
      <c r="AG1904" s="73"/>
      <c r="AH1904" s="73"/>
      <c r="AI1904" s="73"/>
      <c r="AJ1904" s="161"/>
      <c r="AK1904" s="76" t="s">
        <v>798</v>
      </c>
      <c r="AL1904" s="83" t="s">
        <v>18415</v>
      </c>
      <c r="AM1904" s="71" t="s">
        <v>18416</v>
      </c>
      <c r="AN1904" s="84" t="s">
        <v>18417</v>
      </c>
      <c r="AO1904" s="71" t="s">
        <v>18418</v>
      </c>
      <c r="AP1904" s="161" t="str">
        <f>IMAGE("https://bellingcat-archive.nyc3.cdn.digitaloceanspaces.com/Ukraine_Witness_Datasheet/Worksheet/youtube_dl_1501531197008232449/out7.jpg")</f>
        <v/>
      </c>
      <c r="AQ1904" s="84" t="s">
        <v>18419</v>
      </c>
      <c r="AR1904" s="71" t="s">
        <v>18420</v>
      </c>
      <c r="AS1904" s="71" t="s">
        <v>18421</v>
      </c>
      <c r="AT1904" s="71">
        <v>10.733</v>
      </c>
      <c r="AU1904" s="89"/>
      <c r="AV1904" s="162"/>
      <c r="AW1904" s="81"/>
    </row>
    <row r="1905" ht="15.75" customHeight="1">
      <c r="A1905" s="204" t="s">
        <v>63</v>
      </c>
      <c r="B1905" s="73"/>
      <c r="C1905" s="57" t="s">
        <v>18286</v>
      </c>
      <c r="D1905" s="74">
        <v>50.033381</v>
      </c>
      <c r="E1905" s="74">
        <v>36.347923</v>
      </c>
      <c r="F1905" s="79">
        <v>2.0</v>
      </c>
      <c r="G1905" s="84" t="s">
        <v>18422</v>
      </c>
      <c r="H1905" s="61" t="s">
        <v>5522</v>
      </c>
      <c r="I1905" s="75"/>
      <c r="J1905" s="71" t="s">
        <v>18423</v>
      </c>
      <c r="K1905" s="69"/>
      <c r="L1905" s="65" t="s">
        <v>3542</v>
      </c>
      <c r="M1905" s="61" t="s">
        <v>5590</v>
      </c>
      <c r="N1905" s="73"/>
      <c r="O1905" s="61" t="s">
        <v>5591</v>
      </c>
      <c r="P1905" s="67" t="str">
        <f t="shared" si="26"/>
        <v>50.033381, 36.347923</v>
      </c>
      <c r="Q1905" s="67" t="str">
        <f t="shared" si="27"/>
        <v>50.03286, 36.347829</v>
      </c>
      <c r="R1905" s="67">
        <f t="shared" si="28"/>
        <v>50.03286</v>
      </c>
      <c r="S1905" s="67">
        <f t="shared" si="29"/>
        <v>36.347829</v>
      </c>
      <c r="T1905" s="161"/>
      <c r="U1905" s="69"/>
      <c r="V1905" s="65" t="s">
        <v>18424</v>
      </c>
      <c r="W1905" s="71" t="s">
        <v>18305</v>
      </c>
      <c r="X1905" s="17" t="s">
        <v>9</v>
      </c>
      <c r="Y1905" s="216" t="s">
        <v>5820</v>
      </c>
      <c r="Z1905" s="73"/>
      <c r="AA1905" s="73"/>
      <c r="AB1905" s="73"/>
      <c r="AC1905" s="73"/>
      <c r="AD1905" s="73"/>
      <c r="AE1905" s="73"/>
      <c r="AF1905" s="73"/>
      <c r="AG1905" s="73"/>
      <c r="AH1905" s="73"/>
      <c r="AI1905" s="73"/>
      <c r="AJ1905" s="161"/>
      <c r="AK1905" s="76" t="s">
        <v>798</v>
      </c>
      <c r="AL1905" s="83" t="s">
        <v>18425</v>
      </c>
      <c r="AM1905" s="71" t="s">
        <v>18426</v>
      </c>
      <c r="AN1905" s="84" t="s">
        <v>18427</v>
      </c>
      <c r="AO1905" s="71" t="s">
        <v>18428</v>
      </c>
      <c r="AP1905" s="161" t="str">
        <f>IMAGE("https://bellingcat-archive.nyc3.cdn.digitaloceanspaces.com/Ukraine_Witness_Datasheet/Worksheet/youtube_dl_1501449372713816064/out7.jpg")</f>
        <v/>
      </c>
      <c r="AQ1905" s="84" t="s">
        <v>18429</v>
      </c>
      <c r="AR1905" s="71" t="s">
        <v>18430</v>
      </c>
      <c r="AS1905" s="71" t="s">
        <v>18431</v>
      </c>
      <c r="AT1905" s="71">
        <v>3.6</v>
      </c>
      <c r="AU1905" s="89"/>
      <c r="AV1905" s="80" t="s">
        <v>5457</v>
      </c>
      <c r="AW1905" s="81"/>
    </row>
    <row r="1906" ht="15.75" customHeight="1">
      <c r="A1906" s="204" t="s">
        <v>63</v>
      </c>
      <c r="B1906" s="73"/>
      <c r="C1906" s="57" t="s">
        <v>18286</v>
      </c>
      <c r="D1906" s="74">
        <v>46.115264</v>
      </c>
      <c r="E1906" s="74">
        <v>32.912571</v>
      </c>
      <c r="F1906" s="79">
        <v>1.0</v>
      </c>
      <c r="G1906" s="84" t="s">
        <v>18432</v>
      </c>
      <c r="H1906" s="61" t="s">
        <v>5522</v>
      </c>
      <c r="I1906" s="75"/>
      <c r="J1906" s="71" t="s">
        <v>18433</v>
      </c>
      <c r="K1906" s="69"/>
      <c r="L1906" s="65" t="s">
        <v>3542</v>
      </c>
      <c r="M1906" s="61" t="s">
        <v>5702</v>
      </c>
      <c r="N1906" s="73"/>
      <c r="O1906" s="364" t="s">
        <v>18434</v>
      </c>
      <c r="P1906" s="67" t="str">
        <f t="shared" si="26"/>
        <v>46.115264, 32.912571</v>
      </c>
      <c r="Q1906" s="67" t="str">
        <f t="shared" si="27"/>
        <v>46.114741, 32.912843</v>
      </c>
      <c r="R1906" s="67">
        <f t="shared" si="28"/>
        <v>46.114741</v>
      </c>
      <c r="S1906" s="67">
        <f t="shared" si="29"/>
        <v>32.912843</v>
      </c>
      <c r="T1906" s="161"/>
      <c r="U1906" s="69"/>
      <c r="V1906" s="65" t="s">
        <v>18435</v>
      </c>
      <c r="W1906" s="71" t="s">
        <v>5858</v>
      </c>
      <c r="X1906" s="17" t="s">
        <v>9</v>
      </c>
      <c r="Y1906" s="216" t="s">
        <v>5820</v>
      </c>
      <c r="Z1906" s="73"/>
      <c r="AA1906" s="73"/>
      <c r="AB1906" s="73"/>
      <c r="AC1906" s="73"/>
      <c r="AD1906" s="73"/>
      <c r="AE1906" s="73"/>
      <c r="AF1906" s="73"/>
      <c r="AG1906" s="73"/>
      <c r="AH1906" s="73"/>
      <c r="AI1906" s="73"/>
      <c r="AJ1906" s="161"/>
      <c r="AK1906" s="76" t="s">
        <v>798</v>
      </c>
      <c r="AL1906" s="83" t="s">
        <v>18436</v>
      </c>
      <c r="AM1906" s="71" t="s">
        <v>18437</v>
      </c>
      <c r="AN1906" s="84" t="s">
        <v>18438</v>
      </c>
      <c r="AO1906" s="71" t="s">
        <v>18439</v>
      </c>
      <c r="AP1906" s="161" t="str">
        <f>IMAGE("https://bellingcat-archive.nyc3.cdn.digitaloceanspaces.com/Ukraine_Witness_Datasheet/Worksheet/youtube_dl_1501462954075693060/out7.jpg")</f>
        <v/>
      </c>
      <c r="AQ1906" s="84" t="s">
        <v>18440</v>
      </c>
      <c r="AR1906" s="71" t="s">
        <v>18441</v>
      </c>
      <c r="AS1906" s="71" t="s">
        <v>18442</v>
      </c>
      <c r="AT1906" s="71">
        <v>10.231</v>
      </c>
      <c r="AU1906" s="89"/>
      <c r="AV1906" s="80" t="s">
        <v>5457</v>
      </c>
      <c r="AW1906" s="81"/>
    </row>
    <row r="1907" ht="15.75" customHeight="1">
      <c r="A1907" s="357" t="s">
        <v>63</v>
      </c>
      <c r="B1907" s="73"/>
      <c r="C1907" s="57" t="s">
        <v>18286</v>
      </c>
      <c r="D1907" s="74">
        <v>46.113391</v>
      </c>
      <c r="E1907" s="74">
        <v>32.929247</v>
      </c>
      <c r="F1907" s="79">
        <v>1.0</v>
      </c>
      <c r="G1907" s="84" t="s">
        <v>18443</v>
      </c>
      <c r="H1907" s="61" t="s">
        <v>5522</v>
      </c>
      <c r="I1907" s="75"/>
      <c r="J1907" s="71" t="s">
        <v>15203</v>
      </c>
      <c r="K1907" s="69"/>
      <c r="L1907" s="65" t="s">
        <v>3542</v>
      </c>
      <c r="M1907" s="61" t="s">
        <v>5702</v>
      </c>
      <c r="N1907" s="73"/>
      <c r="O1907" s="364" t="s">
        <v>18434</v>
      </c>
      <c r="P1907" s="67" t="str">
        <f t="shared" si="26"/>
        <v>46.113391, 32.929247</v>
      </c>
      <c r="Q1907" s="67" t="str">
        <f t="shared" si="27"/>
        <v>46.113252, 32.929963</v>
      </c>
      <c r="R1907" s="67">
        <f t="shared" si="28"/>
        <v>46.113252</v>
      </c>
      <c r="S1907" s="67">
        <f t="shared" si="29"/>
        <v>32.929963</v>
      </c>
      <c r="T1907" s="161"/>
      <c r="U1907" s="69"/>
      <c r="V1907" s="65" t="s">
        <v>18444</v>
      </c>
      <c r="W1907" s="71" t="s">
        <v>5858</v>
      </c>
      <c r="X1907" s="72" t="s">
        <v>5504</v>
      </c>
      <c r="Y1907" s="216" t="s">
        <v>5820</v>
      </c>
      <c r="Z1907" s="73"/>
      <c r="AA1907" s="73"/>
      <c r="AB1907" s="73"/>
      <c r="AC1907" s="73"/>
      <c r="AD1907" s="73"/>
      <c r="AE1907" s="73"/>
      <c r="AF1907" s="73"/>
      <c r="AG1907" s="73"/>
      <c r="AH1907" s="73"/>
      <c r="AI1907" s="73"/>
      <c r="AJ1907" s="161"/>
      <c r="AK1907" s="76" t="s">
        <v>798</v>
      </c>
      <c r="AL1907" s="83" t="s">
        <v>18445</v>
      </c>
      <c r="AM1907" s="71" t="s">
        <v>18446</v>
      </c>
      <c r="AN1907" s="84" t="s">
        <v>18447</v>
      </c>
      <c r="AO1907" s="71" t="s">
        <v>18448</v>
      </c>
      <c r="AP1907" s="161" t="str">
        <f>IMAGE("https://bellingcat-archive.nyc3.cdn.digitaloceanspaces.com/Ukraine_Witness_Datasheet/Worksheet/youtube_dl_1501522573850468352/out7.jpg")</f>
        <v/>
      </c>
      <c r="AQ1907" s="84" t="s">
        <v>18449</v>
      </c>
      <c r="AR1907" s="71" t="s">
        <v>18450</v>
      </c>
      <c r="AS1907" s="71" t="s">
        <v>18451</v>
      </c>
      <c r="AT1907" s="71">
        <v>32.066</v>
      </c>
      <c r="AU1907" s="89"/>
      <c r="AV1907" s="80" t="s">
        <v>63</v>
      </c>
      <c r="AW1907" s="81"/>
    </row>
    <row r="1908" ht="15.75" customHeight="1">
      <c r="A1908" s="17" t="s">
        <v>63</v>
      </c>
      <c r="B1908" s="73"/>
      <c r="C1908" s="101" t="s">
        <v>15275</v>
      </c>
      <c r="D1908" s="74">
        <v>50.036474</v>
      </c>
      <c r="E1908" s="74">
        <v>36.228814</v>
      </c>
      <c r="F1908" s="79">
        <v>2.0</v>
      </c>
      <c r="G1908" s="84" t="s">
        <v>18452</v>
      </c>
      <c r="H1908" s="61" t="s">
        <v>91</v>
      </c>
      <c r="I1908" s="75"/>
      <c r="J1908" s="71" t="s">
        <v>18393</v>
      </c>
      <c r="K1908" s="69"/>
      <c r="L1908" s="65" t="s">
        <v>3542</v>
      </c>
      <c r="M1908" s="61" t="s">
        <v>5590</v>
      </c>
      <c r="N1908" s="73"/>
      <c r="O1908" s="61" t="s">
        <v>5591</v>
      </c>
      <c r="P1908" s="67" t="str">
        <f t="shared" si="26"/>
        <v>50.036474, 36.228814</v>
      </c>
      <c r="Q1908" s="67" t="str">
        <f t="shared" si="27"/>
        <v>50.035897, 36.229074</v>
      </c>
      <c r="R1908" s="67">
        <f t="shared" si="28"/>
        <v>50.035897</v>
      </c>
      <c r="S1908" s="67">
        <f t="shared" si="29"/>
        <v>36.229074</v>
      </c>
      <c r="T1908" s="161"/>
      <c r="U1908" s="69"/>
      <c r="V1908" s="65" t="s">
        <v>18453</v>
      </c>
      <c r="W1908" s="71" t="s">
        <v>18305</v>
      </c>
      <c r="X1908" s="17" t="s">
        <v>9</v>
      </c>
      <c r="Y1908" s="216" t="s">
        <v>5820</v>
      </c>
      <c r="Z1908" s="73"/>
      <c r="AA1908" s="73"/>
      <c r="AB1908" s="73"/>
      <c r="AC1908" s="73"/>
      <c r="AD1908" s="73"/>
      <c r="AE1908" s="73"/>
      <c r="AF1908" s="73"/>
      <c r="AG1908" s="73"/>
      <c r="AH1908" s="73"/>
      <c r="AI1908" s="73"/>
      <c r="AJ1908" s="161"/>
      <c r="AK1908" s="76" t="s">
        <v>2108</v>
      </c>
      <c r="AL1908" s="83" t="s">
        <v>18454</v>
      </c>
      <c r="AM1908" s="71" t="s">
        <v>18455</v>
      </c>
      <c r="AN1908" s="84" t="s">
        <v>18456</v>
      </c>
      <c r="AO1908" s="71" t="s">
        <v>18457</v>
      </c>
      <c r="AP1908" s="161" t="str">
        <f>IMAGE("https://bellingcat-archive.nyc3.cdn.digitaloceanspaces.com/Ukraine_Witness_Datasheet/Worksheet/twitter__media_FNZUDI9WQAYuNvS.jpg")</f>
        <v/>
      </c>
      <c r="AQ1908" s="161"/>
      <c r="AR1908" s="161"/>
      <c r="AS1908" s="71" t="s">
        <v>18458</v>
      </c>
      <c r="AT1908" s="161"/>
      <c r="AU1908" s="89"/>
      <c r="AV1908" s="162"/>
      <c r="AW1908" s="81"/>
    </row>
    <row r="1909" ht="15.75" customHeight="1">
      <c r="A1909" s="204" t="s">
        <v>63</v>
      </c>
      <c r="B1909" s="73"/>
      <c r="C1909" s="101" t="s">
        <v>15275</v>
      </c>
      <c r="D1909" s="74">
        <v>50.034789</v>
      </c>
      <c r="E1909" s="74">
        <v>36.229682</v>
      </c>
      <c r="F1909" s="79">
        <v>2.0</v>
      </c>
      <c r="G1909" s="84" t="s">
        <v>18459</v>
      </c>
      <c r="H1909" s="61" t="s">
        <v>91</v>
      </c>
      <c r="I1909" s="75"/>
      <c r="J1909" s="71" t="s">
        <v>18460</v>
      </c>
      <c r="K1909" s="69"/>
      <c r="L1909" s="65" t="s">
        <v>3542</v>
      </c>
      <c r="M1909" s="61" t="s">
        <v>5590</v>
      </c>
      <c r="N1909" s="73"/>
      <c r="O1909" s="61" t="s">
        <v>5591</v>
      </c>
      <c r="P1909" s="67" t="str">
        <f t="shared" si="26"/>
        <v>50.034789, 36.229682</v>
      </c>
      <c r="Q1909" s="67" t="str">
        <f t="shared" si="27"/>
        <v>50.034555, 36.230535</v>
      </c>
      <c r="R1909" s="67">
        <f t="shared" si="28"/>
        <v>50.034555</v>
      </c>
      <c r="S1909" s="67">
        <f t="shared" si="29"/>
        <v>36.230535</v>
      </c>
      <c r="T1909" s="161"/>
      <c r="U1909" s="69"/>
      <c r="V1909" s="65" t="s">
        <v>18461</v>
      </c>
      <c r="W1909" s="71" t="s">
        <v>18305</v>
      </c>
      <c r="X1909" s="17" t="s">
        <v>9</v>
      </c>
      <c r="Y1909" s="216" t="s">
        <v>5820</v>
      </c>
      <c r="Z1909" s="73"/>
      <c r="AA1909" s="73"/>
      <c r="AB1909" s="73"/>
      <c r="AC1909" s="73"/>
      <c r="AD1909" s="73"/>
      <c r="AE1909" s="73"/>
      <c r="AF1909" s="73"/>
      <c r="AG1909" s="73"/>
      <c r="AH1909" s="73"/>
      <c r="AI1909" s="73"/>
      <c r="AJ1909" s="161"/>
      <c r="AK1909" s="76" t="s">
        <v>2108</v>
      </c>
      <c r="AL1909" s="83" t="s">
        <v>18462</v>
      </c>
      <c r="AM1909" s="71" t="s">
        <v>18463</v>
      </c>
      <c r="AN1909" s="84" t="s">
        <v>18464</v>
      </c>
      <c r="AO1909" s="71" t="s">
        <v>18465</v>
      </c>
      <c r="AP1909" s="161" t="str">
        <f>IMAGE("https://bellingcat-archive.nyc3.cdn.digitaloceanspaces.com/Ukraine_Witness_Datasheet/Worksheet/twitter__media_FNZZXh_WQAARS0t.jpg")</f>
        <v/>
      </c>
      <c r="AQ1909" s="161"/>
      <c r="AR1909" s="161"/>
      <c r="AS1909" s="71" t="s">
        <v>18466</v>
      </c>
      <c r="AT1909" s="161"/>
      <c r="AU1909" s="89"/>
      <c r="AV1909" s="80" t="s">
        <v>5457</v>
      </c>
      <c r="AW1909" s="81"/>
    </row>
    <row r="1910" ht="15.75" customHeight="1">
      <c r="A1910" s="208" t="s">
        <v>63</v>
      </c>
      <c r="B1910" s="73"/>
      <c r="C1910" s="101" t="s">
        <v>18286</v>
      </c>
      <c r="D1910" s="74">
        <v>48.760238</v>
      </c>
      <c r="E1910" s="74">
        <v>37.559128</v>
      </c>
      <c r="F1910" s="79">
        <v>1.0</v>
      </c>
      <c r="G1910" s="368" t="s">
        <v>18467</v>
      </c>
      <c r="H1910" s="61" t="s">
        <v>5522</v>
      </c>
      <c r="I1910" s="75"/>
      <c r="J1910" s="71" t="s">
        <v>18468</v>
      </c>
      <c r="K1910" s="69"/>
      <c r="L1910" s="65" t="s">
        <v>3542</v>
      </c>
      <c r="M1910" s="363" t="s">
        <v>5750</v>
      </c>
      <c r="N1910" s="73"/>
      <c r="O1910" s="364" t="s">
        <v>18469</v>
      </c>
      <c r="P1910" s="67" t="str">
        <f t="shared" si="26"/>
        <v>48.760238, 37.559128</v>
      </c>
      <c r="Q1910" s="67" t="str">
        <f t="shared" si="27"/>
        <v>48.760184, 37.560296</v>
      </c>
      <c r="R1910" s="67">
        <f t="shared" si="28"/>
        <v>48.760184</v>
      </c>
      <c r="S1910" s="67">
        <f t="shared" si="29"/>
        <v>37.560296</v>
      </c>
      <c r="T1910" s="161"/>
      <c r="U1910" s="546"/>
      <c r="V1910" s="65" t="s">
        <v>18470</v>
      </c>
      <c r="W1910" s="71" t="s">
        <v>5904</v>
      </c>
      <c r="X1910" s="17" t="s">
        <v>9</v>
      </c>
      <c r="Y1910" s="216" t="s">
        <v>5820</v>
      </c>
      <c r="Z1910" s="73"/>
      <c r="AA1910" s="73"/>
      <c r="AB1910" s="73"/>
      <c r="AC1910" s="73"/>
      <c r="AD1910" s="73"/>
      <c r="AE1910" s="73"/>
      <c r="AF1910" s="73"/>
      <c r="AG1910" s="73"/>
      <c r="AH1910" s="73"/>
      <c r="AI1910" s="73"/>
      <c r="AJ1910" s="161"/>
      <c r="AK1910" s="76" t="s">
        <v>18471</v>
      </c>
      <c r="AL1910" s="269"/>
      <c r="AM1910" s="71" t="s">
        <v>18472</v>
      </c>
      <c r="AN1910" s="161"/>
      <c r="AO1910" s="161"/>
      <c r="AP1910" s="161"/>
      <c r="AQ1910" s="161"/>
      <c r="AR1910" s="161"/>
      <c r="AS1910" s="161"/>
      <c r="AT1910" s="161"/>
      <c r="AU1910" s="89"/>
      <c r="AV1910" s="162"/>
      <c r="AW1910" s="81"/>
    </row>
    <row r="1911" ht="15.75" customHeight="1">
      <c r="A1911" s="411" t="s">
        <v>2580</v>
      </c>
      <c r="B1911" s="73"/>
      <c r="C1911" s="101" t="s">
        <v>18286</v>
      </c>
      <c r="D1911" s="74">
        <v>50.03515</v>
      </c>
      <c r="E1911" s="66">
        <v>36.241928</v>
      </c>
      <c r="F1911" s="79">
        <v>2.0</v>
      </c>
      <c r="G1911" s="130" t="s">
        <v>18473</v>
      </c>
      <c r="H1911" s="61" t="s">
        <v>91</v>
      </c>
      <c r="I1911" s="75"/>
      <c r="J1911" s="71" t="s">
        <v>18474</v>
      </c>
      <c r="K1911" s="69"/>
      <c r="L1911" s="65" t="s">
        <v>3542</v>
      </c>
      <c r="M1911" s="61" t="s">
        <v>5590</v>
      </c>
      <c r="N1911" s="73"/>
      <c r="O1911" s="61" t="s">
        <v>5591</v>
      </c>
      <c r="P1911" s="74" t="s">
        <v>18475</v>
      </c>
      <c r="Q1911" s="67" t="str">
        <f t="shared" si="27"/>
        <v>50.034841, 36.240748</v>
      </c>
      <c r="R1911" s="67">
        <f t="shared" si="28"/>
        <v>50.034841</v>
      </c>
      <c r="S1911" s="67">
        <f t="shared" si="29"/>
        <v>36.240748</v>
      </c>
      <c r="T1911" s="161"/>
      <c r="U1911" s="69"/>
      <c r="V1911" s="65" t="s">
        <v>18476</v>
      </c>
      <c r="W1911" s="71" t="s">
        <v>18305</v>
      </c>
      <c r="X1911" s="208"/>
      <c r="Y1911" s="61" t="s">
        <v>11347</v>
      </c>
      <c r="Z1911" s="73"/>
      <c r="AA1911" s="73"/>
      <c r="AB1911" s="73"/>
      <c r="AC1911" s="73"/>
      <c r="AD1911" s="73"/>
      <c r="AE1911" s="73"/>
      <c r="AF1911" s="73"/>
      <c r="AG1911" s="73"/>
      <c r="AH1911" s="73"/>
      <c r="AI1911" s="73"/>
      <c r="AJ1911" s="161"/>
      <c r="AK1911" s="76" t="s">
        <v>2108</v>
      </c>
      <c r="AL1911" s="83" t="s">
        <v>18477</v>
      </c>
      <c r="AM1911" s="71" t="s">
        <v>18478</v>
      </c>
      <c r="AN1911" s="84" t="s">
        <v>18479</v>
      </c>
      <c r="AO1911" s="71" t="s">
        <v>18480</v>
      </c>
      <c r="AP1911" s="161" t="str">
        <f>IMAGE("https://bellingcat-archive.nyc3.cdn.digitaloceanspaces.com/Ukraine_Witness_Datasheet/Worksheet/twitter__media_FNaNKnfXoAY1VsH.jpg")</f>
        <v/>
      </c>
      <c r="AQ1911" s="161"/>
      <c r="AR1911" s="161"/>
      <c r="AS1911" s="71" t="s">
        <v>18481</v>
      </c>
      <c r="AT1911" s="161"/>
      <c r="AU1911" s="89"/>
      <c r="AV1911" s="162"/>
      <c r="AW1911" s="81"/>
    </row>
    <row r="1912" ht="15.75" customHeight="1">
      <c r="A1912" s="374" t="s">
        <v>2580</v>
      </c>
      <c r="B1912" s="73"/>
      <c r="C1912" s="101" t="s">
        <v>18286</v>
      </c>
      <c r="D1912" s="121"/>
      <c r="E1912" s="121"/>
      <c r="F1912" s="79">
        <v>2.0</v>
      </c>
      <c r="G1912" s="84" t="s">
        <v>18482</v>
      </c>
      <c r="H1912" s="61" t="s">
        <v>5522</v>
      </c>
      <c r="I1912" s="75"/>
      <c r="J1912" s="71" t="s">
        <v>18483</v>
      </c>
      <c r="K1912" s="69"/>
      <c r="L1912" s="65" t="s">
        <v>5670</v>
      </c>
      <c r="M1912" s="61" t="s">
        <v>5590</v>
      </c>
      <c r="N1912" s="73"/>
      <c r="O1912" s="61" t="s">
        <v>5591</v>
      </c>
      <c r="P1912" s="67" t="str">
        <f t="shared" ref="P1912:P1931" si="30">IF(ISBLANK(D1912), "", CONCATENATE(D1912,", ", E1912))</f>
        <v/>
      </c>
      <c r="Q1912" s="67" t="str">
        <f t="shared" si="27"/>
        <v/>
      </c>
      <c r="R1912" s="67" t="str">
        <f t="shared" si="28"/>
        <v/>
      </c>
      <c r="S1912" s="67" t="str">
        <f t="shared" si="29"/>
        <v/>
      </c>
      <c r="T1912" s="161"/>
      <c r="U1912" s="69"/>
      <c r="V1912" s="65" t="s">
        <v>18484</v>
      </c>
      <c r="W1912" s="71" t="s">
        <v>18305</v>
      </c>
      <c r="X1912" s="194"/>
      <c r="Y1912" s="61" t="s">
        <v>11347</v>
      </c>
      <c r="Z1912" s="73"/>
      <c r="AA1912" s="73"/>
      <c r="AB1912" s="73"/>
      <c r="AC1912" s="73"/>
      <c r="AD1912" s="73"/>
      <c r="AE1912" s="73"/>
      <c r="AF1912" s="73"/>
      <c r="AG1912" s="73"/>
      <c r="AH1912" s="73"/>
      <c r="AI1912" s="73"/>
      <c r="AJ1912" s="161"/>
      <c r="AK1912" s="76" t="s">
        <v>798</v>
      </c>
      <c r="AL1912" s="83" t="s">
        <v>18485</v>
      </c>
      <c r="AM1912" s="71" t="s">
        <v>18486</v>
      </c>
      <c r="AN1912" s="84" t="s">
        <v>18487</v>
      </c>
      <c r="AO1912" s="71" t="s">
        <v>18488</v>
      </c>
      <c r="AP1912" s="161" t="str">
        <f>IMAGE("https://bellingcat-archive.nyc3.cdn.digitaloceanspaces.com/Ukraine_Witness_Datasheet/Worksheet/youtube_dl_1501554239516155912/out7.jpg")</f>
        <v/>
      </c>
      <c r="AQ1912" s="84" t="s">
        <v>18489</v>
      </c>
      <c r="AR1912" s="71" t="s">
        <v>18490</v>
      </c>
      <c r="AS1912" s="71" t="s">
        <v>18491</v>
      </c>
      <c r="AT1912" s="71">
        <v>9.566</v>
      </c>
      <c r="AU1912" s="89"/>
      <c r="AV1912" s="162"/>
      <c r="AW1912" s="81"/>
    </row>
    <row r="1913" ht="15.75" customHeight="1">
      <c r="A1913" s="204" t="s">
        <v>9566</v>
      </c>
      <c r="B1913" s="73"/>
      <c r="C1913" s="101" t="s">
        <v>15852</v>
      </c>
      <c r="D1913" s="335">
        <v>50.028721</v>
      </c>
      <c r="E1913" s="547">
        <v>36.367396</v>
      </c>
      <c r="F1913" s="79">
        <v>1.0</v>
      </c>
      <c r="G1913" s="130" t="s">
        <v>18492</v>
      </c>
      <c r="H1913" s="61" t="s">
        <v>91</v>
      </c>
      <c r="I1913" s="62" t="s">
        <v>18493</v>
      </c>
      <c r="J1913" s="71" t="s">
        <v>18494</v>
      </c>
      <c r="K1913" s="69"/>
      <c r="L1913" s="65" t="s">
        <v>3542</v>
      </c>
      <c r="M1913" s="61" t="s">
        <v>5590</v>
      </c>
      <c r="N1913" s="73"/>
      <c r="O1913" s="61" t="s">
        <v>5591</v>
      </c>
      <c r="P1913" s="67" t="str">
        <f t="shared" si="30"/>
        <v>50.028721, 36.367396</v>
      </c>
      <c r="Q1913" s="67" t="str">
        <f t="shared" si="27"/>
        <v>50.028098, 36.367082</v>
      </c>
      <c r="R1913" s="67">
        <f t="shared" si="28"/>
        <v>50.028098</v>
      </c>
      <c r="S1913" s="67">
        <f t="shared" si="29"/>
        <v>36.367082</v>
      </c>
      <c r="T1913" s="161"/>
      <c r="U1913" s="69"/>
      <c r="V1913" s="65" t="s">
        <v>18495</v>
      </c>
      <c r="W1913" s="71" t="s">
        <v>18305</v>
      </c>
      <c r="X1913" s="17" t="s">
        <v>9</v>
      </c>
      <c r="Y1913" s="216" t="s">
        <v>5820</v>
      </c>
      <c r="Z1913" s="73"/>
      <c r="AA1913" s="73"/>
      <c r="AB1913" s="73"/>
      <c r="AC1913" s="73"/>
      <c r="AD1913" s="73"/>
      <c r="AE1913" s="73"/>
      <c r="AF1913" s="73"/>
      <c r="AG1913" s="73"/>
      <c r="AH1913" s="73"/>
      <c r="AI1913" s="73"/>
      <c r="AJ1913" s="161"/>
      <c r="AK1913" s="76" t="s">
        <v>2108</v>
      </c>
      <c r="AL1913" s="83" t="s">
        <v>18496</v>
      </c>
      <c r="AM1913" s="71" t="s">
        <v>18497</v>
      </c>
      <c r="AN1913" s="84" t="s">
        <v>18498</v>
      </c>
      <c r="AO1913" s="71" t="s">
        <v>18499</v>
      </c>
      <c r="AP1913" s="161" t="str">
        <f>IMAGE("https://bellingcat-archive.nyc3.cdn.digitaloceanspaces.com/Ukraine_Witness_Datasheet/Worksheet/twitter__media_FNVv189XIAcpiBG.jpg")</f>
        <v/>
      </c>
      <c r="AQ1913" s="161"/>
      <c r="AR1913" s="161"/>
      <c r="AS1913" s="71" t="s">
        <v>18500</v>
      </c>
      <c r="AT1913" s="161"/>
      <c r="AU1913" s="89"/>
      <c r="AV1913" s="80" t="s">
        <v>88</v>
      </c>
      <c r="AW1913" s="81"/>
    </row>
    <row r="1914" ht="15.75" customHeight="1">
      <c r="A1914" s="411" t="s">
        <v>9566</v>
      </c>
      <c r="B1914" s="73"/>
      <c r="C1914" s="548">
        <v>44776.0</v>
      </c>
      <c r="D1914" s="335">
        <v>47.0075586</v>
      </c>
      <c r="E1914" s="547">
        <v>31.9992375</v>
      </c>
      <c r="F1914" s="79">
        <v>1.0</v>
      </c>
      <c r="G1914" s="242" t="s">
        <v>18501</v>
      </c>
      <c r="H1914" s="73"/>
      <c r="I1914" s="62" t="s">
        <v>18502</v>
      </c>
      <c r="J1914" s="71" t="s">
        <v>18503</v>
      </c>
      <c r="K1914" s="69"/>
      <c r="L1914" s="65" t="s">
        <v>3542</v>
      </c>
      <c r="M1914" s="61" t="s">
        <v>6563</v>
      </c>
      <c r="N1914" s="73"/>
      <c r="O1914" s="328" t="s">
        <v>18504</v>
      </c>
      <c r="P1914" s="67" t="str">
        <f t="shared" si="30"/>
        <v>47.0075586, 31.9992375</v>
      </c>
      <c r="Q1914" s="67" t="str">
        <f t="shared" si="27"/>
        <v>47.007524, 31.999833</v>
      </c>
      <c r="R1914" s="67">
        <f t="shared" si="28"/>
        <v>47.007524</v>
      </c>
      <c r="S1914" s="67">
        <f t="shared" si="29"/>
        <v>31.999833</v>
      </c>
      <c r="T1914" s="161"/>
      <c r="U1914" s="69"/>
      <c r="V1914" s="65" t="s">
        <v>18505</v>
      </c>
      <c r="W1914" s="71" t="s">
        <v>12840</v>
      </c>
      <c r="X1914" s="208"/>
      <c r="Y1914" s="216" t="s">
        <v>5820</v>
      </c>
      <c r="Z1914" s="73"/>
      <c r="AA1914" s="73"/>
      <c r="AB1914" s="73"/>
      <c r="AC1914" s="73"/>
      <c r="AD1914" s="73"/>
      <c r="AE1914" s="73"/>
      <c r="AF1914" s="73"/>
      <c r="AG1914" s="73"/>
      <c r="AH1914" s="73"/>
      <c r="AI1914" s="73"/>
      <c r="AJ1914" s="161"/>
      <c r="AK1914" s="76" t="s">
        <v>1261</v>
      </c>
      <c r="AL1914" s="83" t="s">
        <v>18506</v>
      </c>
      <c r="AM1914" s="71" t="s">
        <v>18507</v>
      </c>
      <c r="AN1914" s="84" t="s">
        <v>18508</v>
      </c>
      <c r="AO1914" s="161"/>
      <c r="AP1914" s="161"/>
      <c r="AQ1914" s="161"/>
      <c r="AR1914" s="71" t="s">
        <v>7184</v>
      </c>
      <c r="AS1914" s="161"/>
      <c r="AT1914" s="161"/>
      <c r="AU1914" s="89"/>
      <c r="AV1914" s="162"/>
      <c r="AW1914" s="81"/>
    </row>
    <row r="1915" ht="15.75" customHeight="1">
      <c r="A1915" s="411" t="s">
        <v>9566</v>
      </c>
      <c r="B1915" s="73"/>
      <c r="C1915" s="548">
        <v>44776.0</v>
      </c>
      <c r="D1915" s="335">
        <v>47.0075586</v>
      </c>
      <c r="E1915" s="547">
        <v>31.9992375</v>
      </c>
      <c r="F1915" s="79">
        <v>1.0</v>
      </c>
      <c r="G1915" s="84" t="s">
        <v>18509</v>
      </c>
      <c r="H1915" s="73"/>
      <c r="I1915" s="62" t="s">
        <v>18502</v>
      </c>
      <c r="J1915" s="71" t="s">
        <v>18503</v>
      </c>
      <c r="K1915" s="69"/>
      <c r="L1915" s="65" t="s">
        <v>3542</v>
      </c>
      <c r="M1915" s="61" t="s">
        <v>6563</v>
      </c>
      <c r="N1915" s="73"/>
      <c r="O1915" s="328" t="s">
        <v>18504</v>
      </c>
      <c r="P1915" s="67" t="str">
        <f t="shared" si="30"/>
        <v>47.0075586, 31.9992375</v>
      </c>
      <c r="Q1915" s="67" t="str">
        <f t="shared" si="27"/>
        <v>47.007037, 31.999147</v>
      </c>
      <c r="R1915" s="67">
        <f t="shared" si="28"/>
        <v>47.007037</v>
      </c>
      <c r="S1915" s="67">
        <f t="shared" si="29"/>
        <v>31.999147</v>
      </c>
      <c r="T1915" s="161"/>
      <c r="U1915" s="69"/>
      <c r="V1915" s="65" t="s">
        <v>18510</v>
      </c>
      <c r="W1915" s="71" t="s">
        <v>12840</v>
      </c>
      <c r="X1915" s="208"/>
      <c r="Y1915" s="216" t="s">
        <v>5820</v>
      </c>
      <c r="Z1915" s="73"/>
      <c r="AA1915" s="73"/>
      <c r="AB1915" s="73"/>
      <c r="AC1915" s="73"/>
      <c r="AD1915" s="73"/>
      <c r="AE1915" s="73"/>
      <c r="AF1915" s="73"/>
      <c r="AG1915" s="73"/>
      <c r="AH1915" s="73"/>
      <c r="AI1915" s="73"/>
      <c r="AJ1915" s="161"/>
      <c r="AK1915" s="76" t="s">
        <v>1261</v>
      </c>
      <c r="AL1915" s="83" t="s">
        <v>18511</v>
      </c>
      <c r="AM1915" s="71" t="s">
        <v>18512</v>
      </c>
      <c r="AN1915" s="84" t="s">
        <v>18513</v>
      </c>
      <c r="AO1915" s="161"/>
      <c r="AP1915" s="161"/>
      <c r="AQ1915" s="161"/>
      <c r="AR1915" s="71" t="s">
        <v>7184</v>
      </c>
      <c r="AS1915" s="161"/>
      <c r="AT1915" s="161"/>
      <c r="AU1915" s="89"/>
      <c r="AV1915" s="162"/>
      <c r="AW1915" s="81"/>
    </row>
    <row r="1916" ht="15.75" customHeight="1">
      <c r="A1916" s="411" t="s">
        <v>9566</v>
      </c>
      <c r="B1916" s="73"/>
      <c r="C1916" s="548">
        <v>44776.0</v>
      </c>
      <c r="D1916" s="335">
        <v>47.0075586</v>
      </c>
      <c r="E1916" s="547">
        <v>31.9992375</v>
      </c>
      <c r="F1916" s="79">
        <v>1.0</v>
      </c>
      <c r="G1916" s="84" t="s">
        <v>18514</v>
      </c>
      <c r="H1916" s="73"/>
      <c r="I1916" s="62" t="s">
        <v>18502</v>
      </c>
      <c r="J1916" s="71" t="s">
        <v>18503</v>
      </c>
      <c r="K1916" s="69"/>
      <c r="L1916" s="65" t="s">
        <v>3542</v>
      </c>
      <c r="M1916" s="61" t="s">
        <v>6563</v>
      </c>
      <c r="N1916" s="73"/>
      <c r="O1916" s="328" t="s">
        <v>18504</v>
      </c>
      <c r="P1916" s="67" t="str">
        <f t="shared" si="30"/>
        <v>47.0075586, 31.9992375</v>
      </c>
      <c r="Q1916" s="67" t="str">
        <f t="shared" si="27"/>
        <v>47.007339, 31.998107</v>
      </c>
      <c r="R1916" s="67">
        <f t="shared" si="28"/>
        <v>47.007339</v>
      </c>
      <c r="S1916" s="67">
        <f t="shared" si="29"/>
        <v>31.998107</v>
      </c>
      <c r="T1916" s="161"/>
      <c r="U1916" s="69"/>
      <c r="V1916" s="65" t="s">
        <v>18515</v>
      </c>
      <c r="W1916" s="71" t="s">
        <v>12840</v>
      </c>
      <c r="X1916" s="208"/>
      <c r="Y1916" s="216" t="s">
        <v>5820</v>
      </c>
      <c r="Z1916" s="73"/>
      <c r="AA1916" s="73"/>
      <c r="AB1916" s="73"/>
      <c r="AC1916" s="73"/>
      <c r="AD1916" s="73"/>
      <c r="AE1916" s="73"/>
      <c r="AF1916" s="73"/>
      <c r="AG1916" s="73"/>
      <c r="AH1916" s="73"/>
      <c r="AI1916" s="73"/>
      <c r="AJ1916" s="161"/>
      <c r="AK1916" s="76" t="s">
        <v>1261</v>
      </c>
      <c r="AL1916" s="83" t="s">
        <v>18516</v>
      </c>
      <c r="AM1916" s="71" t="s">
        <v>18517</v>
      </c>
      <c r="AN1916" s="84" t="s">
        <v>18518</v>
      </c>
      <c r="AO1916" s="161"/>
      <c r="AP1916" s="161"/>
      <c r="AQ1916" s="161"/>
      <c r="AR1916" s="71" t="s">
        <v>2228</v>
      </c>
      <c r="AS1916" s="161"/>
      <c r="AT1916" s="161"/>
      <c r="AU1916" s="89"/>
      <c r="AV1916" s="162"/>
      <c r="AW1916" s="81"/>
    </row>
    <row r="1917" ht="15.75" customHeight="1">
      <c r="A1917" s="411" t="s">
        <v>9566</v>
      </c>
      <c r="B1917" s="73"/>
      <c r="C1917" s="548">
        <v>44776.0</v>
      </c>
      <c r="D1917" s="335">
        <v>47.0075586</v>
      </c>
      <c r="E1917" s="547">
        <v>31.9992375</v>
      </c>
      <c r="F1917" s="79">
        <v>1.0</v>
      </c>
      <c r="G1917" s="130" t="s">
        <v>18519</v>
      </c>
      <c r="H1917" s="73"/>
      <c r="I1917" s="62" t="s">
        <v>18502</v>
      </c>
      <c r="J1917" s="71" t="s">
        <v>18503</v>
      </c>
      <c r="K1917" s="69"/>
      <c r="L1917" s="65" t="s">
        <v>3542</v>
      </c>
      <c r="M1917" s="61" t="s">
        <v>6563</v>
      </c>
      <c r="N1917" s="73"/>
      <c r="O1917" s="328" t="s">
        <v>18504</v>
      </c>
      <c r="P1917" s="67" t="str">
        <f t="shared" si="30"/>
        <v>47.0075586, 31.9992375</v>
      </c>
      <c r="Q1917" s="67" t="str">
        <f t="shared" si="27"/>
        <v>47.007465, 31.998615</v>
      </c>
      <c r="R1917" s="67">
        <f t="shared" si="28"/>
        <v>47.007465</v>
      </c>
      <c r="S1917" s="67">
        <f t="shared" si="29"/>
        <v>31.998615</v>
      </c>
      <c r="T1917" s="161"/>
      <c r="U1917" s="69"/>
      <c r="V1917" s="65" t="s">
        <v>18520</v>
      </c>
      <c r="W1917" s="71" t="s">
        <v>12840</v>
      </c>
      <c r="X1917" s="208"/>
      <c r="Y1917" s="216" t="s">
        <v>5820</v>
      </c>
      <c r="Z1917" s="73"/>
      <c r="AA1917" s="73"/>
      <c r="AB1917" s="73"/>
      <c r="AC1917" s="73"/>
      <c r="AD1917" s="73"/>
      <c r="AE1917" s="73"/>
      <c r="AF1917" s="73"/>
      <c r="AG1917" s="73"/>
      <c r="AH1917" s="73"/>
      <c r="AI1917" s="73"/>
      <c r="AJ1917" s="161"/>
      <c r="AK1917" s="76" t="s">
        <v>1261</v>
      </c>
      <c r="AL1917" s="83" t="s">
        <v>18521</v>
      </c>
      <c r="AM1917" s="71" t="s">
        <v>18522</v>
      </c>
      <c r="AN1917" s="84" t="s">
        <v>18523</v>
      </c>
      <c r="AO1917" s="161"/>
      <c r="AP1917" s="161"/>
      <c r="AQ1917" s="161"/>
      <c r="AR1917" s="71" t="s">
        <v>7184</v>
      </c>
      <c r="AS1917" s="161"/>
      <c r="AT1917" s="161"/>
      <c r="AU1917" s="89"/>
      <c r="AV1917" s="162"/>
      <c r="AW1917" s="81"/>
    </row>
    <row r="1918" ht="15.75" customHeight="1">
      <c r="A1918" s="411" t="s">
        <v>9566</v>
      </c>
      <c r="B1918" s="73"/>
      <c r="C1918" s="548">
        <v>44776.0</v>
      </c>
      <c r="D1918" s="335">
        <v>47.0075586</v>
      </c>
      <c r="E1918" s="547">
        <v>31.9992375</v>
      </c>
      <c r="F1918" s="79">
        <v>1.0</v>
      </c>
      <c r="G1918" s="549" t="s">
        <v>18524</v>
      </c>
      <c r="H1918" s="73"/>
      <c r="I1918" s="62" t="s">
        <v>18502</v>
      </c>
      <c r="J1918" s="71" t="s">
        <v>18503</v>
      </c>
      <c r="K1918" s="69"/>
      <c r="L1918" s="65" t="s">
        <v>3542</v>
      </c>
      <c r="M1918" s="61" t="s">
        <v>6563</v>
      </c>
      <c r="N1918" s="73"/>
      <c r="O1918" s="328" t="s">
        <v>18504</v>
      </c>
      <c r="P1918" s="67" t="str">
        <f t="shared" si="30"/>
        <v>47.0075586, 31.9992375</v>
      </c>
      <c r="Q1918" s="67" t="str">
        <f t="shared" si="27"/>
        <v>47.006917, 31.99963</v>
      </c>
      <c r="R1918" s="67">
        <f t="shared" si="28"/>
        <v>47.006917</v>
      </c>
      <c r="S1918" s="67">
        <f t="shared" si="29"/>
        <v>31.99963</v>
      </c>
      <c r="T1918" s="161"/>
      <c r="U1918" s="69"/>
      <c r="V1918" s="65" t="s">
        <v>18525</v>
      </c>
      <c r="W1918" s="71" t="s">
        <v>12840</v>
      </c>
      <c r="X1918" s="208"/>
      <c r="Y1918" s="216" t="s">
        <v>5820</v>
      </c>
      <c r="Z1918" s="73"/>
      <c r="AA1918" s="73"/>
      <c r="AB1918" s="73"/>
      <c r="AC1918" s="73"/>
      <c r="AD1918" s="73"/>
      <c r="AE1918" s="73"/>
      <c r="AF1918" s="73"/>
      <c r="AG1918" s="73"/>
      <c r="AH1918" s="73"/>
      <c r="AI1918" s="73"/>
      <c r="AJ1918" s="161"/>
      <c r="AK1918" s="76" t="s">
        <v>1261</v>
      </c>
      <c r="AL1918" s="83" t="s">
        <v>18526</v>
      </c>
      <c r="AM1918" s="71" t="s">
        <v>18527</v>
      </c>
      <c r="AN1918" s="84" t="s">
        <v>18528</v>
      </c>
      <c r="AO1918" s="161"/>
      <c r="AP1918" s="161"/>
      <c r="AQ1918" s="161"/>
      <c r="AR1918" s="71" t="s">
        <v>7184</v>
      </c>
      <c r="AS1918" s="161"/>
      <c r="AT1918" s="161"/>
      <c r="AU1918" s="89"/>
      <c r="AV1918" s="162"/>
      <c r="AW1918" s="81"/>
    </row>
    <row r="1919" ht="15.75" customHeight="1">
      <c r="A1919" s="466"/>
      <c r="B1919" s="73"/>
      <c r="C1919" s="101" t="s">
        <v>15852</v>
      </c>
      <c r="D1919" s="121"/>
      <c r="E1919" s="121"/>
      <c r="F1919" s="89"/>
      <c r="G1919" s="84" t="s">
        <v>18529</v>
      </c>
      <c r="H1919" s="73"/>
      <c r="I1919" s="75"/>
      <c r="J1919" s="71" t="s">
        <v>18530</v>
      </c>
      <c r="K1919" s="69"/>
      <c r="L1919" s="70"/>
      <c r="M1919" s="73"/>
      <c r="N1919" s="73"/>
      <c r="O1919" s="73"/>
      <c r="P1919" s="67" t="str">
        <f t="shared" si="30"/>
        <v/>
      </c>
      <c r="Q1919" s="67" t="str">
        <f t="shared" si="27"/>
        <v/>
      </c>
      <c r="R1919" s="67" t="str">
        <f t="shared" si="28"/>
        <v/>
      </c>
      <c r="S1919" s="67" t="str">
        <f t="shared" si="29"/>
        <v/>
      </c>
      <c r="T1919" s="161"/>
      <c r="U1919" s="69"/>
      <c r="V1919" s="65" t="s">
        <v>18531</v>
      </c>
      <c r="W1919" s="161"/>
      <c r="X1919" s="194"/>
      <c r="Y1919" s="73"/>
      <c r="Z1919" s="73"/>
      <c r="AA1919" s="73"/>
      <c r="AB1919" s="73"/>
      <c r="AC1919" s="73"/>
      <c r="AD1919" s="73"/>
      <c r="AE1919" s="73"/>
      <c r="AF1919" s="73"/>
      <c r="AG1919" s="73"/>
      <c r="AH1919" s="73"/>
      <c r="AI1919" s="73"/>
      <c r="AJ1919" s="161"/>
      <c r="AK1919" s="76" t="s">
        <v>6276</v>
      </c>
      <c r="AL1919" s="83" t="s">
        <v>18532</v>
      </c>
      <c r="AM1919" s="71" t="s">
        <v>18533</v>
      </c>
      <c r="AN1919" s="84" t="s">
        <v>18534</v>
      </c>
      <c r="AO1919" s="71" t="s">
        <v>18535</v>
      </c>
      <c r="AP1919" s="161" t="str">
        <f>IMAGE("https://bellingcat-archive.nyc3.cdn.digitaloceanspaces.com/Ukraine_Witness_Datasheet/Worksheet/telegram_0882018a0f/out7.jpg")</f>
        <v/>
      </c>
      <c r="AQ1919" s="84" t="s">
        <v>18536</v>
      </c>
      <c r="AR1919" s="84" t="s">
        <v>18529</v>
      </c>
      <c r="AS1919" s="71" t="s">
        <v>18537</v>
      </c>
      <c r="AT1919" s="71">
        <v>49.0</v>
      </c>
      <c r="AU1919" s="89"/>
      <c r="AV1919" s="162"/>
      <c r="AW1919" s="81"/>
    </row>
    <row r="1920" ht="15.75" customHeight="1">
      <c r="A1920" s="411" t="s">
        <v>9566</v>
      </c>
      <c r="B1920" s="73"/>
      <c r="C1920" s="548">
        <v>44776.0</v>
      </c>
      <c r="D1920" s="335">
        <v>47.0075586</v>
      </c>
      <c r="E1920" s="547">
        <v>31.9992375</v>
      </c>
      <c r="F1920" s="79">
        <v>1.0</v>
      </c>
      <c r="G1920" s="130" t="s">
        <v>18538</v>
      </c>
      <c r="H1920" s="61" t="s">
        <v>91</v>
      </c>
      <c r="I1920" s="62" t="s">
        <v>18502</v>
      </c>
      <c r="J1920" s="71" t="s">
        <v>18503</v>
      </c>
      <c r="K1920" s="69"/>
      <c r="L1920" s="65" t="s">
        <v>3542</v>
      </c>
      <c r="M1920" s="61" t="s">
        <v>6563</v>
      </c>
      <c r="N1920" s="73"/>
      <c r="O1920" s="328" t="s">
        <v>18504</v>
      </c>
      <c r="P1920" s="67" t="str">
        <f t="shared" si="30"/>
        <v>47.0075586, 31.9992375</v>
      </c>
      <c r="Q1920" s="67" t="str">
        <f t="shared" si="27"/>
        <v>47.007052, 31.99875</v>
      </c>
      <c r="R1920" s="67">
        <f t="shared" si="28"/>
        <v>47.007052</v>
      </c>
      <c r="S1920" s="67">
        <f t="shared" si="29"/>
        <v>31.99875</v>
      </c>
      <c r="T1920" s="161"/>
      <c r="U1920" s="69"/>
      <c r="V1920" s="65" t="s">
        <v>18539</v>
      </c>
      <c r="W1920" s="71" t="s">
        <v>12840</v>
      </c>
      <c r="X1920" s="208"/>
      <c r="Y1920" s="216" t="s">
        <v>5820</v>
      </c>
      <c r="Z1920" s="73"/>
      <c r="AA1920" s="73"/>
      <c r="AB1920" s="73"/>
      <c r="AC1920" s="73"/>
      <c r="AD1920" s="73"/>
      <c r="AE1920" s="73"/>
      <c r="AF1920" s="73"/>
      <c r="AG1920" s="73"/>
      <c r="AH1920" s="73"/>
      <c r="AI1920" s="73"/>
      <c r="AJ1920" s="161"/>
      <c r="AK1920" s="76" t="s">
        <v>1261</v>
      </c>
      <c r="AL1920" s="83" t="s">
        <v>18540</v>
      </c>
      <c r="AM1920" s="71" t="s">
        <v>18541</v>
      </c>
      <c r="AN1920" s="84" t="s">
        <v>18542</v>
      </c>
      <c r="AO1920" s="161"/>
      <c r="AP1920" s="161"/>
      <c r="AQ1920" s="161"/>
      <c r="AR1920" s="71" t="s">
        <v>7184</v>
      </c>
      <c r="AS1920" s="161"/>
      <c r="AT1920" s="161"/>
      <c r="AU1920" s="89"/>
      <c r="AV1920" s="162"/>
      <c r="AW1920" s="81"/>
    </row>
    <row r="1921" ht="15.75" customHeight="1">
      <c r="A1921" s="411" t="s">
        <v>9566</v>
      </c>
      <c r="B1921" s="73"/>
      <c r="C1921" s="548">
        <v>44776.0</v>
      </c>
      <c r="D1921" s="335">
        <v>47.0075586</v>
      </c>
      <c r="E1921" s="547">
        <v>31.9992375</v>
      </c>
      <c r="F1921" s="79">
        <v>1.0</v>
      </c>
      <c r="G1921" s="549" t="s">
        <v>18543</v>
      </c>
      <c r="H1921" s="61" t="s">
        <v>18544</v>
      </c>
      <c r="I1921" s="62" t="s">
        <v>18502</v>
      </c>
      <c r="J1921" s="71" t="s">
        <v>18503</v>
      </c>
      <c r="K1921" s="69"/>
      <c r="L1921" s="65" t="s">
        <v>3542</v>
      </c>
      <c r="M1921" s="61" t="s">
        <v>6563</v>
      </c>
      <c r="N1921" s="73"/>
      <c r="O1921" s="328" t="s">
        <v>18504</v>
      </c>
      <c r="P1921" s="67" t="str">
        <f t="shared" si="30"/>
        <v>47.0075586, 31.9992375</v>
      </c>
      <c r="Q1921" s="67" t="str">
        <f t="shared" si="27"/>
        <v>47.007324, 32.00029</v>
      </c>
      <c r="R1921" s="67">
        <f t="shared" si="28"/>
        <v>47.007324</v>
      </c>
      <c r="S1921" s="67">
        <f t="shared" si="29"/>
        <v>32.00029</v>
      </c>
      <c r="T1921" s="161"/>
      <c r="U1921" s="69"/>
      <c r="V1921" s="65" t="s">
        <v>18545</v>
      </c>
      <c r="W1921" s="71" t="s">
        <v>12840</v>
      </c>
      <c r="X1921" s="208"/>
      <c r="Y1921" s="216" t="s">
        <v>5820</v>
      </c>
      <c r="Z1921" s="73"/>
      <c r="AA1921" s="73"/>
      <c r="AB1921" s="73"/>
      <c r="AC1921" s="73"/>
      <c r="AD1921" s="73"/>
      <c r="AE1921" s="73"/>
      <c r="AF1921" s="73"/>
      <c r="AG1921" s="73"/>
      <c r="AH1921" s="73"/>
      <c r="AI1921" s="73"/>
      <c r="AJ1921" s="161"/>
      <c r="AK1921" s="76" t="s">
        <v>1261</v>
      </c>
      <c r="AL1921" s="83" t="s">
        <v>18546</v>
      </c>
      <c r="AM1921" s="71" t="s">
        <v>18547</v>
      </c>
      <c r="AN1921" s="84" t="s">
        <v>18548</v>
      </c>
      <c r="AO1921" s="161"/>
      <c r="AP1921" s="161"/>
      <c r="AQ1921" s="161"/>
      <c r="AR1921" s="71" t="s">
        <v>7184</v>
      </c>
      <c r="AS1921" s="161"/>
      <c r="AT1921" s="161"/>
      <c r="AU1921" s="89"/>
      <c r="AV1921" s="162"/>
      <c r="AW1921" s="81"/>
    </row>
    <row r="1922" ht="15.75" customHeight="1">
      <c r="A1922" s="411" t="s">
        <v>9566</v>
      </c>
      <c r="B1922" s="73"/>
      <c r="C1922" s="548">
        <v>44776.0</v>
      </c>
      <c r="D1922" s="335">
        <v>47.0075586</v>
      </c>
      <c r="E1922" s="547">
        <v>31.9992375</v>
      </c>
      <c r="F1922" s="79">
        <v>1.0</v>
      </c>
      <c r="G1922" s="549" t="s">
        <v>18549</v>
      </c>
      <c r="H1922" s="61" t="s">
        <v>18544</v>
      </c>
      <c r="I1922" s="62" t="s">
        <v>18502</v>
      </c>
      <c r="J1922" s="71" t="s">
        <v>18503</v>
      </c>
      <c r="K1922" s="69"/>
      <c r="L1922" s="65" t="s">
        <v>3542</v>
      </c>
      <c r="M1922" s="61" t="s">
        <v>6563</v>
      </c>
      <c r="N1922" s="73"/>
      <c r="O1922" s="328" t="s">
        <v>18504</v>
      </c>
      <c r="P1922" s="67" t="str">
        <f t="shared" si="30"/>
        <v>47.0075586, 31.9992375</v>
      </c>
      <c r="Q1922" s="67" t="str">
        <f t="shared" si="27"/>
        <v>47.007436, 31.99996</v>
      </c>
      <c r="R1922" s="67">
        <f t="shared" si="28"/>
        <v>47.007436</v>
      </c>
      <c r="S1922" s="67">
        <f t="shared" si="29"/>
        <v>31.99996</v>
      </c>
      <c r="T1922" s="161"/>
      <c r="U1922" s="69"/>
      <c r="V1922" s="65" t="s">
        <v>18550</v>
      </c>
      <c r="W1922" s="71" t="s">
        <v>12840</v>
      </c>
      <c r="X1922" s="208"/>
      <c r="Y1922" s="216" t="s">
        <v>5820</v>
      </c>
      <c r="Z1922" s="73"/>
      <c r="AA1922" s="73"/>
      <c r="AB1922" s="73"/>
      <c r="AC1922" s="73"/>
      <c r="AD1922" s="73"/>
      <c r="AE1922" s="73"/>
      <c r="AF1922" s="73"/>
      <c r="AG1922" s="73"/>
      <c r="AH1922" s="73"/>
      <c r="AI1922" s="73"/>
      <c r="AJ1922" s="161"/>
      <c r="AK1922" s="76" t="s">
        <v>1261</v>
      </c>
      <c r="AL1922" s="83" t="s">
        <v>18551</v>
      </c>
      <c r="AM1922" s="71" t="s">
        <v>18552</v>
      </c>
      <c r="AN1922" s="84" t="s">
        <v>18553</v>
      </c>
      <c r="AO1922" s="161"/>
      <c r="AP1922" s="161"/>
      <c r="AQ1922" s="161"/>
      <c r="AR1922" s="71" t="s">
        <v>7184</v>
      </c>
      <c r="AS1922" s="161"/>
      <c r="AT1922" s="161"/>
      <c r="AU1922" s="89"/>
      <c r="AV1922" s="162"/>
      <c r="AW1922" s="81"/>
    </row>
    <row r="1923" ht="15.75" customHeight="1">
      <c r="A1923" s="411" t="s">
        <v>9566</v>
      </c>
      <c r="B1923" s="73"/>
      <c r="C1923" s="548">
        <v>44776.0</v>
      </c>
      <c r="D1923" s="335">
        <v>47.0075586</v>
      </c>
      <c r="E1923" s="547">
        <v>31.9992375</v>
      </c>
      <c r="F1923" s="79">
        <v>1.0</v>
      </c>
      <c r="G1923" s="84" t="s">
        <v>18554</v>
      </c>
      <c r="H1923" s="61" t="s">
        <v>18544</v>
      </c>
      <c r="I1923" s="62" t="s">
        <v>18502</v>
      </c>
      <c r="J1923" s="71" t="s">
        <v>18503</v>
      </c>
      <c r="K1923" s="69"/>
      <c r="L1923" s="65" t="s">
        <v>3542</v>
      </c>
      <c r="M1923" s="61" t="s">
        <v>6563</v>
      </c>
      <c r="N1923" s="73"/>
      <c r="O1923" s="328" t="s">
        <v>18504</v>
      </c>
      <c r="P1923" s="67" t="str">
        <f t="shared" si="30"/>
        <v>47.0075586, 31.9992375</v>
      </c>
      <c r="Q1923" s="67" t="str">
        <f t="shared" si="27"/>
        <v>47.006971, 31.999545</v>
      </c>
      <c r="R1923" s="67">
        <f t="shared" si="28"/>
        <v>47.006971</v>
      </c>
      <c r="S1923" s="67">
        <f t="shared" si="29"/>
        <v>31.999545</v>
      </c>
      <c r="T1923" s="161"/>
      <c r="U1923" s="69"/>
      <c r="V1923" s="65" t="s">
        <v>18555</v>
      </c>
      <c r="W1923" s="71" t="s">
        <v>12840</v>
      </c>
      <c r="X1923" s="208"/>
      <c r="Y1923" s="216" t="s">
        <v>5820</v>
      </c>
      <c r="Z1923" s="73"/>
      <c r="AA1923" s="73"/>
      <c r="AB1923" s="73"/>
      <c r="AC1923" s="73"/>
      <c r="AD1923" s="73"/>
      <c r="AE1923" s="73"/>
      <c r="AF1923" s="73"/>
      <c r="AG1923" s="73"/>
      <c r="AH1923" s="73"/>
      <c r="AI1923" s="73"/>
      <c r="AJ1923" s="161"/>
      <c r="AK1923" s="76" t="s">
        <v>798</v>
      </c>
      <c r="AL1923" s="83" t="s">
        <v>18556</v>
      </c>
      <c r="AM1923" s="71" t="s">
        <v>18557</v>
      </c>
      <c r="AN1923" s="84" t="s">
        <v>18558</v>
      </c>
      <c r="AO1923" s="71" t="s">
        <v>18559</v>
      </c>
      <c r="AP1923" s="161" t="str">
        <f>IMAGE("https://bellingcat-archive.nyc3.cdn.digitaloceanspaces.com/Ukraine_Witness_Datasheet/Worksheet/youtube_dl_646866249743295/out3.jpg")</f>
        <v/>
      </c>
      <c r="AQ1923" s="84" t="s">
        <v>18560</v>
      </c>
      <c r="AR1923" s="71" t="s">
        <v>18561</v>
      </c>
      <c r="AS1923" s="161"/>
      <c r="AT1923" s="161"/>
      <c r="AU1923" s="89"/>
      <c r="AV1923" s="162"/>
      <c r="AW1923" s="81"/>
    </row>
    <row r="1924" ht="15.75" customHeight="1">
      <c r="A1924" s="411" t="s">
        <v>9566</v>
      </c>
      <c r="B1924" s="73"/>
      <c r="C1924" s="548">
        <v>44776.0</v>
      </c>
      <c r="D1924" s="335">
        <v>47.0075586</v>
      </c>
      <c r="E1924" s="547">
        <v>31.9992375</v>
      </c>
      <c r="F1924" s="79">
        <v>1.0</v>
      </c>
      <c r="G1924" s="84" t="s">
        <v>18562</v>
      </c>
      <c r="H1924" s="61" t="s">
        <v>91</v>
      </c>
      <c r="I1924" s="62" t="s">
        <v>18502</v>
      </c>
      <c r="J1924" s="71" t="s">
        <v>18503</v>
      </c>
      <c r="K1924" s="69"/>
      <c r="L1924" s="65" t="s">
        <v>3542</v>
      </c>
      <c r="M1924" s="61" t="s">
        <v>6563</v>
      </c>
      <c r="N1924" s="73"/>
      <c r="O1924" s="328" t="s">
        <v>18504</v>
      </c>
      <c r="P1924" s="67" t="str">
        <f t="shared" si="30"/>
        <v>47.0075586, 31.9992375</v>
      </c>
      <c r="Q1924" s="67" t="str">
        <f t="shared" si="27"/>
        <v>47.007371, 31.998768</v>
      </c>
      <c r="R1924" s="67">
        <f t="shared" si="28"/>
        <v>47.007371</v>
      </c>
      <c r="S1924" s="67">
        <f t="shared" si="29"/>
        <v>31.998768</v>
      </c>
      <c r="T1924" s="161"/>
      <c r="U1924" s="69"/>
      <c r="V1924" s="65" t="s">
        <v>18563</v>
      </c>
      <c r="W1924" s="71" t="s">
        <v>12840</v>
      </c>
      <c r="X1924" s="208"/>
      <c r="Y1924" s="216" t="s">
        <v>5820</v>
      </c>
      <c r="Z1924" s="73"/>
      <c r="AA1924" s="73"/>
      <c r="AB1924" s="73"/>
      <c r="AC1924" s="73"/>
      <c r="AD1924" s="73"/>
      <c r="AE1924" s="73"/>
      <c r="AF1924" s="73"/>
      <c r="AG1924" s="73"/>
      <c r="AH1924" s="73"/>
      <c r="AI1924" s="73"/>
      <c r="AJ1924" s="161"/>
      <c r="AK1924" s="76" t="s">
        <v>18564</v>
      </c>
      <c r="AL1924" s="269"/>
      <c r="AM1924" s="71" t="s">
        <v>18565</v>
      </c>
      <c r="AN1924" s="161"/>
      <c r="AO1924" s="161"/>
      <c r="AP1924" s="161"/>
      <c r="AQ1924" s="161"/>
      <c r="AR1924" s="161"/>
      <c r="AS1924" s="161"/>
      <c r="AT1924" s="161"/>
      <c r="AU1924" s="89"/>
      <c r="AV1924" s="162"/>
      <c r="AW1924" s="81"/>
    </row>
    <row r="1925" ht="15.75" customHeight="1">
      <c r="A1925" s="204" t="s">
        <v>9338</v>
      </c>
      <c r="B1925" s="73"/>
      <c r="C1925" s="548">
        <v>44776.0</v>
      </c>
      <c r="D1925" s="335">
        <v>50.3043025423876</v>
      </c>
      <c r="E1925" s="464">
        <v>34.8935400961419</v>
      </c>
      <c r="F1925" s="79">
        <v>2.0</v>
      </c>
      <c r="G1925" s="242" t="s">
        <v>18566</v>
      </c>
      <c r="H1925" s="61" t="s">
        <v>91</v>
      </c>
      <c r="I1925" s="62" t="s">
        <v>16957</v>
      </c>
      <c r="J1925" s="71" t="s">
        <v>18567</v>
      </c>
      <c r="K1925" s="69"/>
      <c r="L1925" s="65" t="s">
        <v>3542</v>
      </c>
      <c r="M1925" s="61" t="s">
        <v>5978</v>
      </c>
      <c r="N1925" s="73"/>
      <c r="O1925" s="61" t="s">
        <v>6001</v>
      </c>
      <c r="P1925" s="67" t="str">
        <f t="shared" si="30"/>
        <v>50.3043025423876, 34.8935400961419</v>
      </c>
      <c r="Q1925" s="67" t="str">
        <f t="shared" si="27"/>
        <v>50.304067, 34.894157</v>
      </c>
      <c r="R1925" s="67">
        <f t="shared" si="28"/>
        <v>50.304067</v>
      </c>
      <c r="S1925" s="67">
        <f t="shared" si="29"/>
        <v>34.894157</v>
      </c>
      <c r="T1925" s="161"/>
      <c r="U1925" s="69"/>
      <c r="V1925" s="65" t="s">
        <v>18568</v>
      </c>
      <c r="W1925" s="71" t="s">
        <v>3601</v>
      </c>
      <c r="X1925" s="17" t="s">
        <v>9</v>
      </c>
      <c r="Y1925" s="61" t="s">
        <v>5820</v>
      </c>
      <c r="Z1925" s="73"/>
      <c r="AA1925" s="73"/>
      <c r="AB1925" s="73"/>
      <c r="AC1925" s="73"/>
      <c r="AD1925" s="73"/>
      <c r="AE1925" s="73"/>
      <c r="AF1925" s="73"/>
      <c r="AG1925" s="73"/>
      <c r="AH1925" s="73"/>
      <c r="AI1925" s="73"/>
      <c r="AJ1925" s="161"/>
      <c r="AK1925" s="76" t="s">
        <v>2108</v>
      </c>
      <c r="AL1925" s="83" t="s">
        <v>18569</v>
      </c>
      <c r="AM1925" s="71" t="s">
        <v>18570</v>
      </c>
      <c r="AN1925" s="84" t="s">
        <v>18571</v>
      </c>
      <c r="AO1925" s="71" t="s">
        <v>18572</v>
      </c>
      <c r="AP1925" s="161" t="str">
        <f>IMAGE("https://bellingcat-archive.nyc3.cdn.digitaloceanspaces.com/Ukraine_Witness_Datasheet/Worksheet/twitter__media_FNVHFP7WUAI6934.jpg")</f>
        <v/>
      </c>
      <c r="AQ1925" s="161"/>
      <c r="AR1925" s="161"/>
      <c r="AS1925" s="71" t="s">
        <v>16964</v>
      </c>
      <c r="AT1925" s="161"/>
      <c r="AU1925" s="89"/>
      <c r="AV1925" s="80" t="s">
        <v>5457</v>
      </c>
      <c r="AW1925" s="81"/>
    </row>
    <row r="1926" ht="15.75" customHeight="1">
      <c r="A1926" s="208"/>
      <c r="B1926" s="73"/>
      <c r="C1926" s="176"/>
      <c r="D1926" s="121"/>
      <c r="E1926" s="121"/>
      <c r="F1926" s="79">
        <v>2.0</v>
      </c>
      <c r="G1926" s="84" t="s">
        <v>18573</v>
      </c>
      <c r="H1926" s="73"/>
      <c r="I1926" s="75"/>
      <c r="J1926" s="71" t="s">
        <v>18574</v>
      </c>
      <c r="K1926" s="69"/>
      <c r="L1926" s="70"/>
      <c r="M1926" s="73"/>
      <c r="N1926" s="73"/>
      <c r="O1926" s="73"/>
      <c r="P1926" s="67" t="str">
        <f t="shared" si="30"/>
        <v/>
      </c>
      <c r="Q1926" s="67" t="str">
        <f t="shared" si="27"/>
        <v/>
      </c>
      <c r="R1926" s="67" t="str">
        <f t="shared" si="28"/>
        <v/>
      </c>
      <c r="S1926" s="67" t="str">
        <f t="shared" si="29"/>
        <v/>
      </c>
      <c r="T1926" s="161"/>
      <c r="U1926" s="69"/>
      <c r="V1926" s="65" t="s">
        <v>18575</v>
      </c>
      <c r="W1926" s="161"/>
      <c r="X1926" s="194"/>
      <c r="Y1926" s="73"/>
      <c r="Z1926" s="73"/>
      <c r="AA1926" s="73"/>
      <c r="AB1926" s="73"/>
      <c r="AC1926" s="73"/>
      <c r="AD1926" s="73"/>
      <c r="AE1926" s="73"/>
      <c r="AF1926" s="73"/>
      <c r="AG1926" s="73"/>
      <c r="AH1926" s="73"/>
      <c r="AI1926" s="73"/>
      <c r="AJ1926" s="161"/>
      <c r="AK1926" s="76" t="s">
        <v>2108</v>
      </c>
      <c r="AL1926" s="83" t="s">
        <v>18576</v>
      </c>
      <c r="AM1926" s="71" t="s">
        <v>18577</v>
      </c>
      <c r="AN1926" s="84" t="s">
        <v>18578</v>
      </c>
      <c r="AO1926" s="71" t="s">
        <v>18579</v>
      </c>
      <c r="AP1926" s="161" t="str">
        <f>IMAGE("https://bellingcat-archive.nyc3.cdn.digitaloceanspaces.com/Ukraine_Witness_Datasheet/Worksheet/twitter__media_FNayS1CX0AIDq36.jpg")</f>
        <v/>
      </c>
      <c r="AQ1926" s="161"/>
      <c r="AR1926" s="161"/>
      <c r="AS1926" s="71" t="s">
        <v>18580</v>
      </c>
      <c r="AT1926" s="161"/>
      <c r="AU1926" s="89"/>
      <c r="AV1926" s="162"/>
      <c r="AW1926" s="81"/>
    </row>
    <row r="1927" ht="15.75" customHeight="1">
      <c r="A1927" s="357" t="s">
        <v>63</v>
      </c>
      <c r="B1927" s="73"/>
      <c r="C1927" s="57" t="s">
        <v>18286</v>
      </c>
      <c r="D1927" s="74">
        <v>47.700511</v>
      </c>
      <c r="E1927" s="74">
        <v>36.825919</v>
      </c>
      <c r="F1927" s="79">
        <v>5.0</v>
      </c>
      <c r="G1927" s="84" t="s">
        <v>18581</v>
      </c>
      <c r="H1927" s="61" t="s">
        <v>5522</v>
      </c>
      <c r="I1927" s="75"/>
      <c r="J1927" s="71" t="s">
        <v>18582</v>
      </c>
      <c r="K1927" s="88" t="s">
        <v>18583</v>
      </c>
      <c r="L1927" s="65" t="s">
        <v>3542</v>
      </c>
      <c r="M1927" s="104" t="s">
        <v>5750</v>
      </c>
      <c r="N1927" s="73"/>
      <c r="O1927" s="310" t="s">
        <v>18584</v>
      </c>
      <c r="P1927" s="67" t="str">
        <f t="shared" si="30"/>
        <v>47.700511, 36.825919</v>
      </c>
      <c r="Q1927" s="67" t="str">
        <f t="shared" si="27"/>
        <v>47.699849, 36.825287</v>
      </c>
      <c r="R1927" s="67">
        <f t="shared" si="28"/>
        <v>47.699849</v>
      </c>
      <c r="S1927" s="67">
        <f t="shared" si="29"/>
        <v>36.825287</v>
      </c>
      <c r="T1927" s="161"/>
      <c r="U1927" s="69"/>
      <c r="V1927" s="65" t="s">
        <v>18585</v>
      </c>
      <c r="W1927" s="71" t="s">
        <v>6108</v>
      </c>
      <c r="X1927" s="17" t="s">
        <v>9</v>
      </c>
      <c r="Y1927" s="61" t="s">
        <v>11347</v>
      </c>
      <c r="Z1927" s="73"/>
      <c r="AA1927" s="73"/>
      <c r="AB1927" s="73"/>
      <c r="AC1927" s="73"/>
      <c r="AD1927" s="73"/>
      <c r="AE1927" s="73"/>
      <c r="AF1927" s="73"/>
      <c r="AG1927" s="73"/>
      <c r="AH1927" s="73"/>
      <c r="AI1927" s="73"/>
      <c r="AJ1927" s="161"/>
      <c r="AK1927" s="76" t="s">
        <v>798</v>
      </c>
      <c r="AL1927" s="83" t="s">
        <v>18586</v>
      </c>
      <c r="AM1927" s="71" t="s">
        <v>18587</v>
      </c>
      <c r="AN1927" s="84" t="s">
        <v>18588</v>
      </c>
      <c r="AO1927" s="71" t="s">
        <v>18589</v>
      </c>
      <c r="AP1927" s="161" t="str">
        <f>IMAGE("https://bellingcat-archive.nyc3.cdn.digitaloceanspaces.com/Ukraine_Witness_Datasheet/Worksheet/youtube_dl_1501574204868677635/out7.jpg")</f>
        <v/>
      </c>
      <c r="AQ1927" s="84" t="s">
        <v>18590</v>
      </c>
      <c r="AR1927" s="71" t="s">
        <v>18591</v>
      </c>
      <c r="AS1927" s="71" t="s">
        <v>18592</v>
      </c>
      <c r="AT1927" s="71">
        <v>43.816</v>
      </c>
      <c r="AU1927" s="89"/>
      <c r="AV1927" s="80"/>
      <c r="AW1927" s="81"/>
    </row>
    <row r="1928" ht="15.75" customHeight="1">
      <c r="A1928" s="72" t="s">
        <v>63</v>
      </c>
      <c r="B1928" s="73"/>
      <c r="C1928" s="57" t="s">
        <v>18286</v>
      </c>
      <c r="D1928" s="74">
        <v>47.096947</v>
      </c>
      <c r="E1928" s="74">
        <v>37.533261</v>
      </c>
      <c r="F1928" s="79">
        <v>2.0</v>
      </c>
      <c r="G1928" s="84" t="s">
        <v>18593</v>
      </c>
      <c r="H1928" s="61" t="s">
        <v>5522</v>
      </c>
      <c r="I1928" s="75"/>
      <c r="J1928" s="71" t="s">
        <v>18594</v>
      </c>
      <c r="K1928" s="69"/>
      <c r="L1928" s="65" t="s">
        <v>3542</v>
      </c>
      <c r="M1928" s="104" t="s">
        <v>5750</v>
      </c>
      <c r="N1928" s="73"/>
      <c r="O1928" s="66" t="s">
        <v>6109</v>
      </c>
      <c r="P1928" s="67" t="str">
        <f t="shared" si="30"/>
        <v>47.096947, 37.533261</v>
      </c>
      <c r="Q1928" s="67" t="str">
        <f t="shared" si="27"/>
        <v>47.096474, 37.533432</v>
      </c>
      <c r="R1928" s="67">
        <f t="shared" si="28"/>
        <v>47.096474</v>
      </c>
      <c r="S1928" s="67">
        <f t="shared" si="29"/>
        <v>37.533432</v>
      </c>
      <c r="T1928" s="161"/>
      <c r="U1928" s="69"/>
      <c r="V1928" s="65" t="s">
        <v>18595</v>
      </c>
      <c r="W1928" s="71" t="s">
        <v>18305</v>
      </c>
      <c r="X1928" s="17" t="s">
        <v>9</v>
      </c>
      <c r="Y1928" s="61" t="s">
        <v>11347</v>
      </c>
      <c r="Z1928" s="73"/>
      <c r="AA1928" s="73"/>
      <c r="AB1928" s="73"/>
      <c r="AC1928" s="73"/>
      <c r="AD1928" s="73"/>
      <c r="AE1928" s="73"/>
      <c r="AF1928" s="73"/>
      <c r="AG1928" s="73"/>
      <c r="AH1928" s="73"/>
      <c r="AI1928" s="73"/>
      <c r="AJ1928" s="161"/>
      <c r="AK1928" s="76" t="s">
        <v>798</v>
      </c>
      <c r="AL1928" s="83" t="s">
        <v>18596</v>
      </c>
      <c r="AM1928" s="71" t="s">
        <v>18597</v>
      </c>
      <c r="AN1928" s="84" t="s">
        <v>18598</v>
      </c>
      <c r="AO1928" s="71" t="s">
        <v>18599</v>
      </c>
      <c r="AP1928" s="161" t="str">
        <f>IMAGE("https://bellingcat-archive.nyc3.cdn.digitaloceanspaces.com/Ukraine_Witness_Datasheet/Worksheet/youtube_dl_1501576206059282432/out7.jpg")</f>
        <v/>
      </c>
      <c r="AQ1928" s="84" t="s">
        <v>18600</v>
      </c>
      <c r="AR1928" s="71" t="s">
        <v>18601</v>
      </c>
      <c r="AS1928" s="71" t="s">
        <v>18602</v>
      </c>
      <c r="AT1928" s="71">
        <v>30.733</v>
      </c>
      <c r="AU1928" s="89"/>
      <c r="AV1928" s="80"/>
      <c r="AW1928" s="81"/>
    </row>
    <row r="1929" ht="15.75" customHeight="1">
      <c r="A1929" s="72" t="s">
        <v>63</v>
      </c>
      <c r="B1929" s="73"/>
      <c r="C1929" s="57" t="s">
        <v>18286</v>
      </c>
      <c r="D1929" s="74">
        <v>47.096947</v>
      </c>
      <c r="E1929" s="74">
        <v>37.533261</v>
      </c>
      <c r="F1929" s="79">
        <v>2.0</v>
      </c>
      <c r="G1929" s="84" t="s">
        <v>18603</v>
      </c>
      <c r="H1929" s="61" t="s">
        <v>5522</v>
      </c>
      <c r="I1929" s="75"/>
      <c r="J1929" s="71" t="s">
        <v>18594</v>
      </c>
      <c r="K1929" s="69"/>
      <c r="L1929" s="65" t="s">
        <v>3542</v>
      </c>
      <c r="M1929" s="92" t="s">
        <v>5750</v>
      </c>
      <c r="N1929" s="314"/>
      <c r="O1929" s="550" t="s">
        <v>6109</v>
      </c>
      <c r="P1929" s="67" t="str">
        <f t="shared" si="30"/>
        <v>47.096947, 37.533261</v>
      </c>
      <c r="Q1929" s="67" t="str">
        <f t="shared" si="27"/>
        <v>47.096618, 37.533924</v>
      </c>
      <c r="R1929" s="67">
        <f t="shared" si="28"/>
        <v>47.096618</v>
      </c>
      <c r="S1929" s="67">
        <f t="shared" si="29"/>
        <v>37.533924</v>
      </c>
      <c r="T1929" s="161"/>
      <c r="U1929" s="69"/>
      <c r="V1929" s="65" t="s">
        <v>18604</v>
      </c>
      <c r="W1929" s="71" t="s">
        <v>18305</v>
      </c>
      <c r="X1929" s="17" t="s">
        <v>9</v>
      </c>
      <c r="Y1929" s="61" t="s">
        <v>11347</v>
      </c>
      <c r="Z1929" s="73"/>
      <c r="AA1929" s="73"/>
      <c r="AB1929" s="73"/>
      <c r="AC1929" s="73"/>
      <c r="AD1929" s="73"/>
      <c r="AE1929" s="73"/>
      <c r="AF1929" s="73"/>
      <c r="AG1929" s="73"/>
      <c r="AH1929" s="73"/>
      <c r="AI1929" s="73"/>
      <c r="AJ1929" s="161"/>
      <c r="AK1929" s="76" t="s">
        <v>798</v>
      </c>
      <c r="AL1929" s="83" t="s">
        <v>18605</v>
      </c>
      <c r="AM1929" s="71" t="s">
        <v>18606</v>
      </c>
      <c r="AN1929" s="84" t="s">
        <v>18607</v>
      </c>
      <c r="AO1929" s="71" t="s">
        <v>18608</v>
      </c>
      <c r="AP1929" s="161" t="str">
        <f>IMAGE("https://bellingcat-archive.nyc3.cdn.digitaloceanspaces.com/Ukraine_Witness_Datasheet/Worksheet/youtube_dl_1501574503335354375/out7.jpg")</f>
        <v/>
      </c>
      <c r="AQ1929" s="84" t="s">
        <v>18609</v>
      </c>
      <c r="AR1929" s="71" t="s">
        <v>18610</v>
      </c>
      <c r="AS1929" s="71" t="s">
        <v>18611</v>
      </c>
      <c r="AT1929" s="71">
        <v>25.733</v>
      </c>
      <c r="AU1929" s="89"/>
      <c r="AV1929" s="80"/>
      <c r="AW1929" s="81"/>
    </row>
    <row r="1930" ht="15.75" customHeight="1">
      <c r="A1930" s="72" t="s">
        <v>63</v>
      </c>
      <c r="B1930" s="73"/>
      <c r="C1930" s="57" t="s">
        <v>18286</v>
      </c>
      <c r="D1930" s="74">
        <v>47.096947</v>
      </c>
      <c r="E1930" s="74">
        <v>37.533261</v>
      </c>
      <c r="F1930" s="79">
        <v>2.0</v>
      </c>
      <c r="G1930" s="84" t="s">
        <v>18612</v>
      </c>
      <c r="H1930" s="61" t="s">
        <v>5522</v>
      </c>
      <c r="I1930" s="75"/>
      <c r="J1930" s="71" t="s">
        <v>18594</v>
      </c>
      <c r="K1930" s="69"/>
      <c r="L1930" s="65" t="s">
        <v>3542</v>
      </c>
      <c r="M1930" s="92" t="s">
        <v>5750</v>
      </c>
      <c r="N1930" s="314"/>
      <c r="O1930" s="550" t="s">
        <v>6109</v>
      </c>
      <c r="P1930" s="67" t="str">
        <f t="shared" si="30"/>
        <v>47.096947, 37.533261</v>
      </c>
      <c r="Q1930" s="67" t="str">
        <f t="shared" si="27"/>
        <v>47.096523, 37.532372</v>
      </c>
      <c r="R1930" s="67">
        <f t="shared" si="28"/>
        <v>47.096523</v>
      </c>
      <c r="S1930" s="67">
        <f t="shared" si="29"/>
        <v>37.532372</v>
      </c>
      <c r="T1930" s="161"/>
      <c r="U1930" s="69"/>
      <c r="V1930" s="65" t="s">
        <v>18613</v>
      </c>
      <c r="W1930" s="71" t="s">
        <v>18305</v>
      </c>
      <c r="X1930" s="17" t="s">
        <v>9</v>
      </c>
      <c r="Y1930" s="61" t="s">
        <v>11347</v>
      </c>
      <c r="Z1930" s="73"/>
      <c r="AA1930" s="73"/>
      <c r="AB1930" s="73"/>
      <c r="AC1930" s="73"/>
      <c r="AD1930" s="73"/>
      <c r="AE1930" s="73"/>
      <c r="AF1930" s="73"/>
      <c r="AG1930" s="73"/>
      <c r="AH1930" s="73"/>
      <c r="AI1930" s="73"/>
      <c r="AJ1930" s="161"/>
      <c r="AK1930" s="76" t="s">
        <v>798</v>
      </c>
      <c r="AL1930" s="83" t="s">
        <v>18614</v>
      </c>
      <c r="AM1930" s="71" t="s">
        <v>18615</v>
      </c>
      <c r="AN1930" s="84" t="s">
        <v>18616</v>
      </c>
      <c r="AO1930" s="71" t="s">
        <v>18617</v>
      </c>
      <c r="AP1930" s="161" t="str">
        <f>IMAGE("https://bellingcat-archive.nyc3.cdn.digitaloceanspaces.com/Ukraine_Witness_Datasheet/Worksheet/youtube_dl_1501581589213589514/out20.jpg")</f>
        <v/>
      </c>
      <c r="AQ1930" s="84" t="s">
        <v>18618</v>
      </c>
      <c r="AR1930" s="71" t="s">
        <v>18619</v>
      </c>
      <c r="AS1930" s="71" t="s">
        <v>18620</v>
      </c>
      <c r="AT1930" s="71">
        <v>79.033</v>
      </c>
      <c r="AU1930" s="89"/>
      <c r="AV1930" s="80"/>
      <c r="AW1930" s="81"/>
    </row>
    <row r="1931" ht="15.75" customHeight="1">
      <c r="A1931" s="72" t="s">
        <v>63</v>
      </c>
      <c r="B1931" s="73"/>
      <c r="C1931" s="57" t="s">
        <v>18286</v>
      </c>
      <c r="D1931" s="74">
        <v>47.096341</v>
      </c>
      <c r="E1931" s="74">
        <v>37.533497</v>
      </c>
      <c r="F1931" s="79">
        <v>1.0</v>
      </c>
      <c r="G1931" s="84" t="s">
        <v>18621</v>
      </c>
      <c r="H1931" s="61" t="s">
        <v>5522</v>
      </c>
      <c r="I1931" s="75"/>
      <c r="J1931" s="71" t="s">
        <v>18622</v>
      </c>
      <c r="K1931" s="69"/>
      <c r="L1931" s="65" t="s">
        <v>3542</v>
      </c>
      <c r="M1931" s="92" t="s">
        <v>5750</v>
      </c>
      <c r="N1931" s="314"/>
      <c r="O1931" s="550" t="s">
        <v>6109</v>
      </c>
      <c r="P1931" s="67" t="str">
        <f t="shared" si="30"/>
        <v>47.096341, 37.533497</v>
      </c>
      <c r="Q1931" s="67" t="str">
        <f t="shared" si="27"/>
        <v>47.096334, 37.534652</v>
      </c>
      <c r="R1931" s="67">
        <f t="shared" si="28"/>
        <v>47.096334</v>
      </c>
      <c r="S1931" s="67">
        <f t="shared" si="29"/>
        <v>37.534652</v>
      </c>
      <c r="T1931" s="161"/>
      <c r="U1931" s="69"/>
      <c r="V1931" s="65" t="s">
        <v>18623</v>
      </c>
      <c r="W1931" s="71" t="s">
        <v>18305</v>
      </c>
      <c r="X1931" s="17" t="s">
        <v>9</v>
      </c>
      <c r="Y1931" s="61" t="s">
        <v>11347</v>
      </c>
      <c r="Z1931" s="73"/>
      <c r="AA1931" s="73"/>
      <c r="AB1931" s="73"/>
      <c r="AC1931" s="73"/>
      <c r="AD1931" s="73"/>
      <c r="AE1931" s="73"/>
      <c r="AF1931" s="73"/>
      <c r="AG1931" s="73"/>
      <c r="AH1931" s="73"/>
      <c r="AI1931" s="73"/>
      <c r="AJ1931" s="161"/>
      <c r="AK1931" s="76" t="s">
        <v>798</v>
      </c>
      <c r="AL1931" s="83" t="s">
        <v>18624</v>
      </c>
      <c r="AM1931" s="71" t="s">
        <v>18625</v>
      </c>
      <c r="AN1931" s="84" t="s">
        <v>18626</v>
      </c>
      <c r="AO1931" s="71" t="s">
        <v>18627</v>
      </c>
      <c r="AP1931" s="161" t="str">
        <f>IMAGE("https://bellingcat-archive.nyc3.cdn.digitaloceanspaces.com/Ukraine_Witness_Datasheet/Worksheet/youtube_dl_1501583918583230468/out7.jpg")</f>
        <v/>
      </c>
      <c r="AQ1931" s="84" t="s">
        <v>18628</v>
      </c>
      <c r="AR1931" s="71" t="s">
        <v>18629</v>
      </c>
      <c r="AS1931" s="71" t="s">
        <v>18630</v>
      </c>
      <c r="AT1931" s="71">
        <v>12.533</v>
      </c>
      <c r="AU1931" s="89"/>
      <c r="AV1931" s="80"/>
      <c r="AW1931" s="81"/>
    </row>
    <row r="1932" ht="15.75" customHeight="1">
      <c r="A1932" s="208"/>
      <c r="B1932" s="73"/>
      <c r="C1932" s="176"/>
      <c r="D1932" s="104"/>
      <c r="E1932" s="91"/>
      <c r="F1932" s="79"/>
      <c r="G1932" s="71" t="s">
        <v>13852</v>
      </c>
      <c r="H1932" s="61"/>
      <c r="I1932" s="75"/>
      <c r="J1932" s="71"/>
      <c r="K1932" s="69"/>
      <c r="L1932" s="65"/>
      <c r="M1932" s="93"/>
      <c r="N1932" s="314"/>
      <c r="O1932" s="93"/>
      <c r="P1932" s="67"/>
      <c r="Q1932" s="67"/>
      <c r="R1932" s="67"/>
      <c r="S1932" s="67"/>
      <c r="T1932" s="161"/>
      <c r="U1932" s="69"/>
      <c r="V1932" s="65"/>
      <c r="W1932" s="161"/>
      <c r="X1932" s="194"/>
      <c r="Y1932" s="73"/>
      <c r="Z1932" s="73"/>
      <c r="AA1932" s="73"/>
      <c r="AB1932" s="73"/>
      <c r="AC1932" s="73"/>
      <c r="AD1932" s="73"/>
      <c r="AE1932" s="73"/>
      <c r="AF1932" s="73"/>
      <c r="AG1932" s="73"/>
      <c r="AH1932" s="73"/>
      <c r="AI1932" s="73"/>
      <c r="AJ1932" s="161"/>
      <c r="AK1932" s="76" t="s">
        <v>18631</v>
      </c>
      <c r="AL1932" s="476"/>
      <c r="AM1932" s="71" t="s">
        <v>18632</v>
      </c>
      <c r="AN1932" s="71"/>
      <c r="AO1932" s="71"/>
      <c r="AP1932" s="161"/>
      <c r="AQ1932" s="71"/>
      <c r="AR1932" s="71"/>
      <c r="AS1932" s="71"/>
      <c r="AT1932" s="71"/>
      <c r="AU1932" s="89"/>
      <c r="AV1932" s="162"/>
      <c r="AW1932" s="81"/>
    </row>
    <row r="1933" ht="15.75" customHeight="1">
      <c r="A1933" s="357" t="s">
        <v>63</v>
      </c>
      <c r="B1933" s="73"/>
      <c r="C1933" s="57" t="s">
        <v>18286</v>
      </c>
      <c r="D1933" s="74">
        <v>47.057035</v>
      </c>
      <c r="E1933" s="74">
        <v>37.301445</v>
      </c>
      <c r="F1933" s="79">
        <v>1.0</v>
      </c>
      <c r="G1933" s="84" t="s">
        <v>18633</v>
      </c>
      <c r="H1933" s="61" t="s">
        <v>5522</v>
      </c>
      <c r="I1933" s="75"/>
      <c r="J1933" s="71" t="s">
        <v>18634</v>
      </c>
      <c r="K1933" s="88" t="s">
        <v>18635</v>
      </c>
      <c r="L1933" s="65" t="s">
        <v>3542</v>
      </c>
      <c r="M1933" s="93" t="s">
        <v>5750</v>
      </c>
      <c r="N1933" s="314"/>
      <c r="O1933" s="540" t="s">
        <v>18636</v>
      </c>
      <c r="P1933" s="67" t="str">
        <f t="shared" ref="P1933:P1939" si="31">IF(ISBLANK(D1933), "", CONCATENATE(D1933,", ", E1933))</f>
        <v>47.057035, 37.301445</v>
      </c>
      <c r="Q1933" s="67" t="str">
        <f t="shared" ref="Q1933:Q1955" si="32">IF(ISBLANK(D1933),"",CONCATENATE(R1933, ", ", S1933))</f>
        <v>47.05664, 37.301751</v>
      </c>
      <c r="R1933" s="67">
        <f t="shared" ref="R1933:R1955" si="33">IFERROR(IF(ISBLANK(D1933), "", ROUND(D1933-0.00001*SIN(MOD(POW(ROW()*1337,3/2),1)*PI())*(MOD(POW(ROW()*2337,3/2),1)*50+35),6)), "bad coordinate")</f>
        <v>47.05664</v>
      </c>
      <c r="S1933" s="67">
        <f t="shared" ref="S1933:S1955" si="34">IFERROR(IF(ISBLANK(E1933), "", ROUND(E1933+0.000015*COS(MOD(POW(ROW()*1337,3/2),1)*PI())*(MOD(POW(ROW()*2337,3/2),1)*50+35),6)), "bad coordinate")</f>
        <v>37.301751</v>
      </c>
      <c r="T1933" s="161"/>
      <c r="U1933" s="69"/>
      <c r="V1933" s="65" t="s">
        <v>18637</v>
      </c>
      <c r="W1933" s="71" t="s">
        <v>5858</v>
      </c>
      <c r="X1933" s="17" t="s">
        <v>9</v>
      </c>
      <c r="Y1933" s="61" t="s">
        <v>11347</v>
      </c>
      <c r="Z1933" s="73"/>
      <c r="AA1933" s="73"/>
      <c r="AB1933" s="73"/>
      <c r="AC1933" s="73"/>
      <c r="AD1933" s="73"/>
      <c r="AE1933" s="73"/>
      <c r="AF1933" s="73"/>
      <c r="AG1933" s="73"/>
      <c r="AH1933" s="73"/>
      <c r="AI1933" s="73"/>
      <c r="AJ1933" s="161"/>
      <c r="AK1933" s="76" t="s">
        <v>6276</v>
      </c>
      <c r="AL1933" s="83" t="s">
        <v>18638</v>
      </c>
      <c r="AM1933" s="71" t="s">
        <v>18639</v>
      </c>
      <c r="AN1933" s="84" t="s">
        <v>18640</v>
      </c>
      <c r="AO1933" s="71" t="s">
        <v>18641</v>
      </c>
      <c r="AP1933" s="161" t="str">
        <f>IMAGE("https://bellingcat-archive.nyc3.cdn.digitaloceanspaces.com/Ukraine_Witness_Datasheet/Worksheet/telegram_df4d6fcfe7/out20.jpg")</f>
        <v/>
      </c>
      <c r="AQ1933" s="84" t="s">
        <v>18642</v>
      </c>
      <c r="AR1933" s="84" t="s">
        <v>18633</v>
      </c>
      <c r="AS1933" s="71" t="s">
        <v>18643</v>
      </c>
      <c r="AT1933" s="71">
        <v>79.0</v>
      </c>
      <c r="AU1933" s="89"/>
      <c r="AV1933" s="80"/>
      <c r="AW1933" s="81"/>
    </row>
    <row r="1934" ht="15.75" customHeight="1">
      <c r="A1934" s="72" t="s">
        <v>2580</v>
      </c>
      <c r="B1934" s="73"/>
      <c r="C1934" s="57" t="s">
        <v>18286</v>
      </c>
      <c r="D1934" s="74">
        <v>47.096374</v>
      </c>
      <c r="E1934" s="74">
        <v>37.533502</v>
      </c>
      <c r="F1934" s="79">
        <v>2.0</v>
      </c>
      <c r="G1934" s="84" t="s">
        <v>18644</v>
      </c>
      <c r="H1934" s="61" t="s">
        <v>5522</v>
      </c>
      <c r="I1934" s="75"/>
      <c r="J1934" s="71" t="s">
        <v>18645</v>
      </c>
      <c r="K1934" s="69"/>
      <c r="L1934" s="65" t="s">
        <v>3542</v>
      </c>
      <c r="M1934" s="93" t="s">
        <v>5750</v>
      </c>
      <c r="N1934" s="314"/>
      <c r="O1934" s="93" t="s">
        <v>6109</v>
      </c>
      <c r="P1934" s="67" t="str">
        <f t="shared" si="31"/>
        <v>47.096374, 37.533502</v>
      </c>
      <c r="Q1934" s="67" t="str">
        <f t="shared" si="32"/>
        <v>47.096265, 37.534353</v>
      </c>
      <c r="R1934" s="67">
        <f t="shared" si="33"/>
        <v>47.096265</v>
      </c>
      <c r="S1934" s="67">
        <f t="shared" si="34"/>
        <v>37.534353</v>
      </c>
      <c r="T1934" s="161"/>
      <c r="U1934" s="69"/>
      <c r="V1934" s="65" t="s">
        <v>18646</v>
      </c>
      <c r="W1934" s="71" t="s">
        <v>3601</v>
      </c>
      <c r="X1934" s="72" t="s">
        <v>5504</v>
      </c>
      <c r="Y1934" s="61" t="s">
        <v>11347</v>
      </c>
      <c r="Z1934" s="73"/>
      <c r="AA1934" s="73"/>
      <c r="AB1934" s="73"/>
      <c r="AC1934" s="73"/>
      <c r="AD1934" s="73"/>
      <c r="AE1934" s="73"/>
      <c r="AF1934" s="73"/>
      <c r="AG1934" s="73"/>
      <c r="AH1934" s="73"/>
      <c r="AI1934" s="73"/>
      <c r="AJ1934" s="161"/>
      <c r="AK1934" s="76" t="s">
        <v>798</v>
      </c>
      <c r="AL1934" s="83" t="s">
        <v>18647</v>
      </c>
      <c r="AM1934" s="71" t="s">
        <v>18648</v>
      </c>
      <c r="AN1934" s="84" t="s">
        <v>18649</v>
      </c>
      <c r="AO1934" s="71" t="s">
        <v>18650</v>
      </c>
      <c r="AP1934" s="161" t="str">
        <f>IMAGE("https://bellingcat-archive.nyc3.cdn.digitaloceanspaces.com/Ukraine_Witness_Datasheet/Worksheet/youtube_dl_1501589837782126598/out7.jpg")</f>
        <v/>
      </c>
      <c r="AQ1934" s="84" t="s">
        <v>18651</v>
      </c>
      <c r="AR1934" s="71" t="s">
        <v>18652</v>
      </c>
      <c r="AS1934" s="71" t="s">
        <v>18653</v>
      </c>
      <c r="AT1934" s="71">
        <v>25.654</v>
      </c>
      <c r="AU1934" s="89"/>
      <c r="AV1934" s="80" t="s">
        <v>63</v>
      </c>
      <c r="AW1934" s="81"/>
    </row>
    <row r="1935" ht="15.75" customHeight="1">
      <c r="A1935" s="357" t="s">
        <v>63</v>
      </c>
      <c r="B1935" s="73"/>
      <c r="C1935" s="57" t="s">
        <v>15275</v>
      </c>
      <c r="D1935" s="74">
        <v>50.068815</v>
      </c>
      <c r="E1935" s="74">
        <v>36.372975</v>
      </c>
      <c r="F1935" s="79">
        <v>2.0</v>
      </c>
      <c r="G1935" s="84" t="s">
        <v>18654</v>
      </c>
      <c r="H1935" s="61" t="s">
        <v>5522</v>
      </c>
      <c r="I1935" s="75"/>
      <c r="J1935" s="71" t="s">
        <v>18655</v>
      </c>
      <c r="K1935" s="88" t="s">
        <v>18656</v>
      </c>
      <c r="L1935" s="65" t="s">
        <v>3542</v>
      </c>
      <c r="M1935" s="93" t="s">
        <v>5590</v>
      </c>
      <c r="N1935" s="314"/>
      <c r="O1935" s="540" t="s">
        <v>18657</v>
      </c>
      <c r="P1935" s="67" t="str">
        <f t="shared" si="31"/>
        <v>50.068815, 36.372975</v>
      </c>
      <c r="Q1935" s="67" t="str">
        <f t="shared" si="32"/>
        <v>50.068238, 36.372942</v>
      </c>
      <c r="R1935" s="67">
        <f t="shared" si="33"/>
        <v>50.068238</v>
      </c>
      <c r="S1935" s="67">
        <f t="shared" si="34"/>
        <v>36.372942</v>
      </c>
      <c r="T1935" s="161"/>
      <c r="U1935" s="69"/>
      <c r="V1935" s="65" t="s">
        <v>18658</v>
      </c>
      <c r="W1935" s="71" t="s">
        <v>5858</v>
      </c>
      <c r="X1935" s="17" t="s">
        <v>9</v>
      </c>
      <c r="Y1935" s="73"/>
      <c r="Z1935" s="73"/>
      <c r="AA1935" s="73"/>
      <c r="AB1935" s="73"/>
      <c r="AC1935" s="73"/>
      <c r="AD1935" s="73"/>
      <c r="AE1935" s="73"/>
      <c r="AF1935" s="73"/>
      <c r="AG1935" s="73"/>
      <c r="AH1935" s="73"/>
      <c r="AI1935" s="73"/>
      <c r="AJ1935" s="161"/>
      <c r="AK1935" s="76" t="s">
        <v>798</v>
      </c>
      <c r="AL1935" s="83" t="s">
        <v>18659</v>
      </c>
      <c r="AM1935" s="71" t="s">
        <v>18660</v>
      </c>
      <c r="AN1935" s="84" t="s">
        <v>18661</v>
      </c>
      <c r="AO1935" s="71" t="s">
        <v>18662</v>
      </c>
      <c r="AP1935" s="161" t="str">
        <f>IMAGE("https://bellingcat-archive.nyc3.cdn.digitaloceanspaces.com/Ukraine_Witness_Datasheet/Worksheet/youtube_dl_1500890667349909505/out7.jpg")</f>
        <v/>
      </c>
      <c r="AQ1935" s="84" t="s">
        <v>18663</v>
      </c>
      <c r="AR1935" s="71" t="s">
        <v>18664</v>
      </c>
      <c r="AS1935" s="71" t="s">
        <v>18665</v>
      </c>
      <c r="AT1935" s="71">
        <v>43.1</v>
      </c>
      <c r="AU1935" s="89"/>
      <c r="AV1935" s="80"/>
      <c r="AW1935" s="81"/>
    </row>
    <row r="1936" ht="15.75" customHeight="1">
      <c r="A1936" s="72" t="s">
        <v>63</v>
      </c>
      <c r="B1936" s="73"/>
      <c r="C1936" s="57" t="s">
        <v>18666</v>
      </c>
      <c r="D1936" s="104">
        <v>46.1128</v>
      </c>
      <c r="E1936" s="104">
        <v>32.9087</v>
      </c>
      <c r="F1936" s="79">
        <v>1.0</v>
      </c>
      <c r="G1936" s="84" t="s">
        <v>18667</v>
      </c>
      <c r="H1936" s="61" t="s">
        <v>5522</v>
      </c>
      <c r="I1936" s="75"/>
      <c r="J1936" s="71" t="s">
        <v>18668</v>
      </c>
      <c r="K1936" s="88" t="s">
        <v>18669</v>
      </c>
      <c r="L1936" s="65" t="s">
        <v>3542</v>
      </c>
      <c r="M1936" s="61" t="s">
        <v>5702</v>
      </c>
      <c r="N1936" s="73"/>
      <c r="O1936" s="61" t="s">
        <v>18670</v>
      </c>
      <c r="P1936" s="67" t="str">
        <f t="shared" si="31"/>
        <v>46.1128, 32.9087</v>
      </c>
      <c r="Q1936" s="67" t="str">
        <f t="shared" si="32"/>
        <v>46.112107, 32.908741</v>
      </c>
      <c r="R1936" s="67">
        <f t="shared" si="33"/>
        <v>46.112107</v>
      </c>
      <c r="S1936" s="67">
        <f t="shared" si="34"/>
        <v>32.908741</v>
      </c>
      <c r="T1936" s="161"/>
      <c r="U1936" s="69"/>
      <c r="V1936" s="65" t="s">
        <v>18671</v>
      </c>
      <c r="W1936" s="71" t="s">
        <v>74</v>
      </c>
      <c r="X1936" s="72" t="s">
        <v>5504</v>
      </c>
      <c r="Y1936" s="61" t="s">
        <v>75</v>
      </c>
      <c r="Z1936" s="61" t="s">
        <v>18672</v>
      </c>
      <c r="AA1936" s="73"/>
      <c r="AB1936" s="73"/>
      <c r="AC1936" s="73"/>
      <c r="AD1936" s="73"/>
      <c r="AE1936" s="73"/>
      <c r="AF1936" s="73"/>
      <c r="AG1936" s="73"/>
      <c r="AH1936" s="73"/>
      <c r="AI1936" s="73"/>
      <c r="AJ1936" s="161"/>
      <c r="AK1936" s="76" t="s">
        <v>798</v>
      </c>
      <c r="AL1936" s="83" t="s">
        <v>18673</v>
      </c>
      <c r="AM1936" s="71" t="s">
        <v>18674</v>
      </c>
      <c r="AN1936" s="84" t="s">
        <v>18675</v>
      </c>
      <c r="AO1936" s="71" t="s">
        <v>18676</v>
      </c>
      <c r="AP1936" s="161" t="str">
        <f>IMAGE("https://bellingcat-archive.nyc3.cdn.digitaloceanspaces.com/Ukraine_Witness_Datasheet/Worksheet/youtube_dl_1501495683953704962/out7.jpg")</f>
        <v/>
      </c>
      <c r="AQ1936" s="84" t="s">
        <v>18677</v>
      </c>
      <c r="AR1936" s="71" t="s">
        <v>18678</v>
      </c>
      <c r="AS1936" s="71" t="s">
        <v>18679</v>
      </c>
      <c r="AT1936" s="71">
        <v>26.033</v>
      </c>
      <c r="AU1936" s="76" t="s">
        <v>18680</v>
      </c>
      <c r="AV1936" s="80" t="s">
        <v>3944</v>
      </c>
      <c r="AW1936" s="203"/>
    </row>
    <row r="1937" ht="15.75" customHeight="1">
      <c r="A1937" s="72" t="s">
        <v>63</v>
      </c>
      <c r="B1937" s="73"/>
      <c r="C1937" s="57" t="s">
        <v>18666</v>
      </c>
      <c r="D1937" s="104">
        <v>50.1002268125</v>
      </c>
      <c r="E1937" s="104">
        <v>36.3892330433</v>
      </c>
      <c r="F1937" s="79">
        <v>1.0</v>
      </c>
      <c r="G1937" s="84" t="s">
        <v>18681</v>
      </c>
      <c r="H1937" s="61" t="s">
        <v>91</v>
      </c>
      <c r="I1937" s="75"/>
      <c r="J1937" s="71" t="s">
        <v>18682</v>
      </c>
      <c r="K1937" s="84" t="s">
        <v>18681</v>
      </c>
      <c r="L1937" s="65" t="s">
        <v>3542</v>
      </c>
      <c r="M1937" s="93" t="s">
        <v>18683</v>
      </c>
      <c r="N1937" s="73"/>
      <c r="O1937" s="61" t="s">
        <v>18657</v>
      </c>
      <c r="P1937" s="67" t="str">
        <f t="shared" si="31"/>
        <v>50.1002268125, 36.3892330433</v>
      </c>
      <c r="Q1937" s="67" t="str">
        <f t="shared" si="32"/>
        <v>50.09978, 36.38847</v>
      </c>
      <c r="R1937" s="67">
        <f t="shared" si="33"/>
        <v>50.09978</v>
      </c>
      <c r="S1937" s="67">
        <f t="shared" si="34"/>
        <v>36.38847</v>
      </c>
      <c r="T1937" s="161"/>
      <c r="U1937" s="69"/>
      <c r="V1937" s="65" t="s">
        <v>18684</v>
      </c>
      <c r="W1937" s="330" t="s">
        <v>74</v>
      </c>
      <c r="X1937" s="72" t="s">
        <v>5504</v>
      </c>
      <c r="Y1937" s="61" t="s">
        <v>11347</v>
      </c>
      <c r="Z1937" s="73"/>
      <c r="AA1937" s="73"/>
      <c r="AB1937" s="73"/>
      <c r="AC1937" s="73"/>
      <c r="AD1937" s="73"/>
      <c r="AE1937" s="73"/>
      <c r="AF1937" s="73"/>
      <c r="AG1937" s="73"/>
      <c r="AH1937" s="73"/>
      <c r="AI1937" s="73"/>
      <c r="AJ1937" s="161"/>
      <c r="AK1937" s="76" t="s">
        <v>2108</v>
      </c>
      <c r="AL1937" s="83" t="s">
        <v>18685</v>
      </c>
      <c r="AM1937" s="71" t="s">
        <v>18686</v>
      </c>
      <c r="AN1937" s="84" t="s">
        <v>18687</v>
      </c>
      <c r="AO1937" s="71" t="s">
        <v>18688</v>
      </c>
      <c r="AP1937" s="161" t="str">
        <f>IMAGE("https://bellingcat-archive.nyc3.cdn.digitaloceanspaces.com/Ukraine_Witness_Datasheet/Worksheet/twitter__media_FNXo9UZXEAQslea.jpg")</f>
        <v/>
      </c>
      <c r="AQ1937" s="161"/>
      <c r="AR1937" s="161"/>
      <c r="AS1937" s="71" t="s">
        <v>18689</v>
      </c>
      <c r="AT1937" s="161"/>
      <c r="AU1937" s="76" t="s">
        <v>18680</v>
      </c>
      <c r="AV1937" s="80" t="s">
        <v>3944</v>
      </c>
      <c r="AW1937" s="203"/>
    </row>
    <row r="1938" ht="15.75" customHeight="1">
      <c r="A1938" s="72" t="s">
        <v>63</v>
      </c>
      <c r="B1938" s="73"/>
      <c r="C1938" s="57" t="s">
        <v>18666</v>
      </c>
      <c r="D1938" s="104">
        <v>49.1905809426408</v>
      </c>
      <c r="E1938" s="104">
        <v>37.2740861293096</v>
      </c>
      <c r="F1938" s="79">
        <v>1.0</v>
      </c>
      <c r="G1938" s="84" t="s">
        <v>18690</v>
      </c>
      <c r="H1938" s="61" t="s">
        <v>91</v>
      </c>
      <c r="I1938" s="75"/>
      <c r="J1938" s="71" t="s">
        <v>18691</v>
      </c>
      <c r="K1938" s="88" t="s">
        <v>18692</v>
      </c>
      <c r="L1938" s="65" t="s">
        <v>3542</v>
      </c>
      <c r="M1938" s="93" t="s">
        <v>18683</v>
      </c>
      <c r="N1938" s="73"/>
      <c r="O1938" s="61" t="s">
        <v>18693</v>
      </c>
      <c r="P1938" s="67" t="str">
        <f t="shared" si="31"/>
        <v>49.1905809426408, 37.2740861293096</v>
      </c>
      <c r="Q1938" s="67" t="str">
        <f t="shared" si="32"/>
        <v>49.190233, 37.275132</v>
      </c>
      <c r="R1938" s="67">
        <f t="shared" si="33"/>
        <v>49.190233</v>
      </c>
      <c r="S1938" s="67">
        <f t="shared" si="34"/>
        <v>37.275132</v>
      </c>
      <c r="T1938" s="161"/>
      <c r="U1938" s="69"/>
      <c r="V1938" s="65" t="s">
        <v>18694</v>
      </c>
      <c r="W1938" s="71" t="s">
        <v>3601</v>
      </c>
      <c r="X1938" s="72" t="s">
        <v>5504</v>
      </c>
      <c r="Y1938" s="61" t="s">
        <v>11347</v>
      </c>
      <c r="Z1938" s="73"/>
      <c r="AA1938" s="73"/>
      <c r="AB1938" s="73"/>
      <c r="AC1938" s="73"/>
      <c r="AD1938" s="73"/>
      <c r="AE1938" s="73"/>
      <c r="AF1938" s="73"/>
      <c r="AG1938" s="73"/>
      <c r="AH1938" s="73"/>
      <c r="AI1938" s="73"/>
      <c r="AJ1938" s="161"/>
      <c r="AK1938" s="76" t="s">
        <v>2108</v>
      </c>
      <c r="AL1938" s="83" t="s">
        <v>18695</v>
      </c>
      <c r="AM1938" s="71" t="s">
        <v>18696</v>
      </c>
      <c r="AN1938" s="84" t="s">
        <v>18697</v>
      </c>
      <c r="AO1938" s="71" t="s">
        <v>18698</v>
      </c>
      <c r="AP1938" s="161" t="str">
        <f>IMAGE("https://bellingcat-archive.nyc3.cdn.digitaloceanspaces.com/Ukraine_Witness_Datasheet/Worksheet/twitter__media_FNZg7g0XEAAmQWK.jpg")</f>
        <v/>
      </c>
      <c r="AQ1938" s="161"/>
      <c r="AR1938" s="161"/>
      <c r="AS1938" s="71" t="s">
        <v>18699</v>
      </c>
      <c r="AT1938" s="161"/>
      <c r="AU1938" s="76" t="s">
        <v>18680</v>
      </c>
      <c r="AV1938" s="80" t="s">
        <v>3944</v>
      </c>
      <c r="AW1938" s="203"/>
    </row>
    <row r="1939" ht="15.75" customHeight="1">
      <c r="A1939" s="204" t="s">
        <v>63</v>
      </c>
      <c r="B1939" s="73"/>
      <c r="C1939" s="57" t="s">
        <v>18286</v>
      </c>
      <c r="D1939" s="74">
        <v>50.492996</v>
      </c>
      <c r="E1939" s="74">
        <v>30.255339</v>
      </c>
      <c r="F1939" s="79">
        <v>2.0</v>
      </c>
      <c r="G1939" s="84" t="s">
        <v>18700</v>
      </c>
      <c r="H1939" s="73"/>
      <c r="I1939" s="75"/>
      <c r="J1939" s="71" t="s">
        <v>18701</v>
      </c>
      <c r="K1939" s="69"/>
      <c r="L1939" s="65" t="s">
        <v>3542</v>
      </c>
      <c r="M1939" s="61" t="s">
        <v>5827</v>
      </c>
      <c r="N1939" s="73"/>
      <c r="O1939" s="61" t="s">
        <v>7550</v>
      </c>
      <c r="P1939" s="67" t="str">
        <f t="shared" si="31"/>
        <v>50.492996, 30.255339</v>
      </c>
      <c r="Q1939" s="67" t="str">
        <f t="shared" si="32"/>
        <v>50.492278, 30.255681</v>
      </c>
      <c r="R1939" s="67">
        <f t="shared" si="33"/>
        <v>50.492278</v>
      </c>
      <c r="S1939" s="67">
        <f t="shared" si="34"/>
        <v>30.255681</v>
      </c>
      <c r="T1939" s="161"/>
      <c r="U1939" s="69"/>
      <c r="V1939" s="65" t="s">
        <v>18702</v>
      </c>
      <c r="W1939" s="71" t="s">
        <v>3601</v>
      </c>
      <c r="X1939" s="72" t="s">
        <v>5504</v>
      </c>
      <c r="Y1939" s="73"/>
      <c r="Z1939" s="73"/>
      <c r="AA1939" s="73"/>
      <c r="AB1939" s="73"/>
      <c r="AC1939" s="73"/>
      <c r="AD1939" s="73"/>
      <c r="AE1939" s="73"/>
      <c r="AF1939" s="73"/>
      <c r="AG1939" s="73"/>
      <c r="AH1939" s="73"/>
      <c r="AI1939" s="73"/>
      <c r="AJ1939" s="161"/>
      <c r="AK1939" s="76" t="s">
        <v>2108</v>
      </c>
      <c r="AL1939" s="83" t="s">
        <v>18703</v>
      </c>
      <c r="AM1939" s="71" t="s">
        <v>18704</v>
      </c>
      <c r="AN1939" s="84" t="s">
        <v>18705</v>
      </c>
      <c r="AO1939" s="71" t="s">
        <v>18706</v>
      </c>
      <c r="AP1939" s="161" t="str">
        <f>IMAGE("https://bellingcat-archive.nyc3.cdn.digitaloceanspaces.com/Ukraine_Witness_Datasheet/Worksheet/twitter__media_FNYcL2cXEAIU8Fm.jpg")</f>
        <v/>
      </c>
      <c r="AQ1939" s="161"/>
      <c r="AR1939" s="161"/>
      <c r="AS1939" s="71" t="s">
        <v>18707</v>
      </c>
      <c r="AT1939" s="161"/>
      <c r="AU1939" s="236"/>
      <c r="AV1939" s="80" t="s">
        <v>3944</v>
      </c>
      <c r="AW1939" s="203"/>
    </row>
    <row r="1940" ht="15.75" customHeight="1">
      <c r="A1940" s="72" t="s">
        <v>2580</v>
      </c>
      <c r="B1940" s="73"/>
      <c r="C1940" s="57" t="s">
        <v>18286</v>
      </c>
      <c r="D1940" s="74">
        <v>49.950073</v>
      </c>
      <c r="E1940" s="74">
        <v>36.155667</v>
      </c>
      <c r="F1940" s="79">
        <v>2.0</v>
      </c>
      <c r="G1940" s="84" t="s">
        <v>18708</v>
      </c>
      <c r="H1940" s="61" t="s">
        <v>5522</v>
      </c>
      <c r="I1940" s="75"/>
      <c r="J1940" s="71" t="s">
        <v>12420</v>
      </c>
      <c r="K1940" s="69"/>
      <c r="L1940" s="65" t="s">
        <v>3542</v>
      </c>
      <c r="M1940" s="61" t="s">
        <v>5590</v>
      </c>
      <c r="N1940" s="73"/>
      <c r="O1940" s="61" t="s">
        <v>5626</v>
      </c>
      <c r="P1940" s="74" t="s">
        <v>18709</v>
      </c>
      <c r="Q1940" s="67" t="str">
        <f t="shared" si="32"/>
        <v>49.949355, 36.156349</v>
      </c>
      <c r="R1940" s="67">
        <f t="shared" si="33"/>
        <v>49.949355</v>
      </c>
      <c r="S1940" s="67">
        <f t="shared" si="34"/>
        <v>36.156349</v>
      </c>
      <c r="T1940" s="161"/>
      <c r="U1940" s="69"/>
      <c r="V1940" s="65" t="s">
        <v>18710</v>
      </c>
      <c r="W1940" s="71" t="s">
        <v>3601</v>
      </c>
      <c r="X1940" s="72" t="s">
        <v>5504</v>
      </c>
      <c r="Y1940" s="61" t="s">
        <v>11347</v>
      </c>
      <c r="Z1940" s="73"/>
      <c r="AA1940" s="73"/>
      <c r="AB1940" s="73"/>
      <c r="AC1940" s="73"/>
      <c r="AD1940" s="73"/>
      <c r="AE1940" s="73"/>
      <c r="AF1940" s="73"/>
      <c r="AG1940" s="73"/>
      <c r="AH1940" s="73"/>
      <c r="AI1940" s="73"/>
      <c r="AJ1940" s="161"/>
      <c r="AK1940" s="76" t="s">
        <v>798</v>
      </c>
      <c r="AL1940" s="83" t="s">
        <v>18711</v>
      </c>
      <c r="AM1940" s="71" t="s">
        <v>18712</v>
      </c>
      <c r="AN1940" s="84" t="s">
        <v>18713</v>
      </c>
      <c r="AO1940" s="71" t="s">
        <v>18714</v>
      </c>
      <c r="AP1940" s="161" t="str">
        <f>IMAGE("https://bellingcat-archive.nyc3.cdn.digitaloceanspaces.com/Ukraine_Witness_Datasheet/Worksheet/youtube_dl_1501596148049616906/out7.jpg")</f>
        <v/>
      </c>
      <c r="AQ1940" s="84" t="s">
        <v>18715</v>
      </c>
      <c r="AR1940" s="71" t="s">
        <v>18716</v>
      </c>
      <c r="AS1940" s="71" t="s">
        <v>18717</v>
      </c>
      <c r="AT1940" s="71">
        <v>38.933</v>
      </c>
      <c r="AU1940" s="89"/>
      <c r="AV1940" s="80" t="s">
        <v>63</v>
      </c>
      <c r="AW1940" s="81"/>
    </row>
    <row r="1941" ht="15.75" customHeight="1">
      <c r="A1941" s="204" t="s">
        <v>63</v>
      </c>
      <c r="B1941" s="73"/>
      <c r="C1941" s="57" t="s">
        <v>15852</v>
      </c>
      <c r="D1941" s="104">
        <v>50.629417</v>
      </c>
      <c r="E1941" s="66">
        <v>30.906409</v>
      </c>
      <c r="F1941" s="79">
        <v>1.0</v>
      </c>
      <c r="G1941" s="84" t="s">
        <v>18718</v>
      </c>
      <c r="H1941" s="61" t="s">
        <v>5522</v>
      </c>
      <c r="I1941" s="75"/>
      <c r="J1941" s="71" t="s">
        <v>18719</v>
      </c>
      <c r="K1941" s="88" t="s">
        <v>18720</v>
      </c>
      <c r="L1941" s="65" t="s">
        <v>3542</v>
      </c>
      <c r="M1941" s="61" t="s">
        <v>5827</v>
      </c>
      <c r="N1941" s="73"/>
      <c r="O1941" s="61" t="s">
        <v>7693</v>
      </c>
      <c r="P1941" s="67" t="str">
        <f t="shared" ref="P1941:P1952" si="35">IF(ISBLANK(D1941), "", CONCATENATE(D1941,", ", E1941))</f>
        <v>50.629417, 30.906409</v>
      </c>
      <c r="Q1941" s="67" t="str">
        <f t="shared" si="32"/>
        <v>50.628734, 30.905726</v>
      </c>
      <c r="R1941" s="67">
        <f t="shared" si="33"/>
        <v>50.628734</v>
      </c>
      <c r="S1941" s="67">
        <f t="shared" si="34"/>
        <v>30.905726</v>
      </c>
      <c r="T1941" s="71" t="s">
        <v>18721</v>
      </c>
      <c r="U1941" s="69"/>
      <c r="V1941" s="65" t="s">
        <v>18722</v>
      </c>
      <c r="W1941" s="71" t="s">
        <v>5858</v>
      </c>
      <c r="X1941" s="72" t="s">
        <v>5504</v>
      </c>
      <c r="Y1941" s="61" t="s">
        <v>11347</v>
      </c>
      <c r="Z1941" s="73"/>
      <c r="AA1941" s="73"/>
      <c r="AB1941" s="73"/>
      <c r="AC1941" s="73"/>
      <c r="AD1941" s="73"/>
      <c r="AE1941" s="73"/>
      <c r="AF1941" s="73"/>
      <c r="AG1941" s="73"/>
      <c r="AH1941" s="73"/>
      <c r="AI1941" s="73"/>
      <c r="AJ1941" s="161"/>
      <c r="AK1941" s="76" t="s">
        <v>798</v>
      </c>
      <c r="AL1941" s="83" t="s">
        <v>18723</v>
      </c>
      <c r="AM1941" s="71" t="s">
        <v>18724</v>
      </c>
      <c r="AN1941" s="84" t="s">
        <v>18725</v>
      </c>
      <c r="AO1941" s="71" t="s">
        <v>18726</v>
      </c>
      <c r="AP1941" s="161" t="str">
        <f>IMAGE("https://bellingcat-archive.nyc3.cdn.digitaloceanspaces.com/Ukraine_Witness_Datasheet/Worksheet/youtube_dl_1501211040754843649/out20.jpg")</f>
        <v/>
      </c>
      <c r="AQ1941" s="84" t="s">
        <v>18727</v>
      </c>
      <c r="AR1941" s="71" t="s">
        <v>18728</v>
      </c>
      <c r="AS1941" s="71" t="s">
        <v>18729</v>
      </c>
      <c r="AT1941" s="71">
        <v>84.067</v>
      </c>
      <c r="AU1941" s="236"/>
      <c r="AV1941" s="80" t="s">
        <v>3944</v>
      </c>
      <c r="AW1941" s="203"/>
    </row>
    <row r="1942" ht="15.75" customHeight="1">
      <c r="A1942" s="72" t="s">
        <v>63</v>
      </c>
      <c r="B1942" s="73"/>
      <c r="C1942" s="57" t="s">
        <v>15852</v>
      </c>
      <c r="D1942" s="210">
        <v>50.568271</v>
      </c>
      <c r="E1942" s="104">
        <v>30.807358</v>
      </c>
      <c r="F1942" s="79">
        <v>1.0</v>
      </c>
      <c r="G1942" s="84" t="s">
        <v>18730</v>
      </c>
      <c r="H1942" s="61" t="s">
        <v>91</v>
      </c>
      <c r="I1942" s="75"/>
      <c r="J1942" s="71" t="s">
        <v>18731</v>
      </c>
      <c r="K1942" s="88" t="s">
        <v>18732</v>
      </c>
      <c r="L1942" s="65" t="s">
        <v>3542</v>
      </c>
      <c r="M1942" s="328" t="s">
        <v>5827</v>
      </c>
      <c r="N1942" s="73"/>
      <c r="O1942" s="61" t="s">
        <v>18733</v>
      </c>
      <c r="P1942" s="67" t="str">
        <f t="shared" si="35"/>
        <v>50.568271, 30.807358</v>
      </c>
      <c r="Q1942" s="67" t="str">
        <f t="shared" si="32"/>
        <v>50.567941, 30.807745</v>
      </c>
      <c r="R1942" s="67">
        <f t="shared" si="33"/>
        <v>50.567941</v>
      </c>
      <c r="S1942" s="67">
        <f t="shared" si="34"/>
        <v>30.807745</v>
      </c>
      <c r="T1942" s="161"/>
      <c r="U1942" s="69"/>
      <c r="V1942" s="65" t="s">
        <v>18734</v>
      </c>
      <c r="W1942" s="71" t="s">
        <v>18735</v>
      </c>
      <c r="X1942" s="72" t="s">
        <v>5504</v>
      </c>
      <c r="Y1942" s="61" t="s">
        <v>11347</v>
      </c>
      <c r="Z1942" s="73"/>
      <c r="AA1942" s="73"/>
      <c r="AB1942" s="73"/>
      <c r="AC1942" s="73"/>
      <c r="AD1942" s="73"/>
      <c r="AE1942" s="73"/>
      <c r="AF1942" s="73"/>
      <c r="AG1942" s="73"/>
      <c r="AH1942" s="73"/>
      <c r="AI1942" s="73"/>
      <c r="AJ1942" s="161"/>
      <c r="AK1942" s="76" t="s">
        <v>2108</v>
      </c>
      <c r="AL1942" s="83" t="s">
        <v>18736</v>
      </c>
      <c r="AM1942" s="71" t="s">
        <v>18737</v>
      </c>
      <c r="AN1942" s="84" t="s">
        <v>18738</v>
      </c>
      <c r="AO1942" s="71" t="s">
        <v>18739</v>
      </c>
      <c r="AP1942" s="161" t="str">
        <f>IMAGE("https://bellingcat-archive.nyc3.cdn.digitaloceanspaces.com/Ukraine_Witness_Datasheet/Worksheet/twitter__media_FNVkPPSXsAQV1Bm.jpg")</f>
        <v/>
      </c>
      <c r="AQ1942" s="161"/>
      <c r="AR1942" s="161"/>
      <c r="AS1942" s="71" t="s">
        <v>18740</v>
      </c>
      <c r="AT1942" s="161"/>
      <c r="AU1942" s="76" t="s">
        <v>18680</v>
      </c>
      <c r="AV1942" s="80" t="s">
        <v>3944</v>
      </c>
      <c r="AW1942" s="203"/>
    </row>
    <row r="1943" ht="15.75" customHeight="1">
      <c r="A1943" s="72" t="s">
        <v>63</v>
      </c>
      <c r="B1943" s="73"/>
      <c r="C1943" s="57" t="s">
        <v>12959</v>
      </c>
      <c r="D1943" s="210">
        <v>46.7766993958447</v>
      </c>
      <c r="E1943" s="104">
        <v>33.3706571494227</v>
      </c>
      <c r="F1943" s="79">
        <v>1.0</v>
      </c>
      <c r="G1943" s="84" t="s">
        <v>18741</v>
      </c>
      <c r="H1943" s="61" t="s">
        <v>5522</v>
      </c>
      <c r="I1943" s="75"/>
      <c r="J1943" s="71" t="s">
        <v>18742</v>
      </c>
      <c r="K1943" s="88" t="s">
        <v>18743</v>
      </c>
      <c r="L1943" s="65" t="s">
        <v>3542</v>
      </c>
      <c r="M1943" s="61" t="s">
        <v>5702</v>
      </c>
      <c r="N1943" s="73"/>
      <c r="O1943" s="61" t="s">
        <v>18744</v>
      </c>
      <c r="P1943" s="67" t="str">
        <f t="shared" si="35"/>
        <v>46.7766993958447, 33.3706571494227</v>
      </c>
      <c r="Q1943" s="67" t="str">
        <f t="shared" si="32"/>
        <v>46.776589, 33.370087</v>
      </c>
      <c r="R1943" s="67">
        <f t="shared" si="33"/>
        <v>46.776589</v>
      </c>
      <c r="S1943" s="67">
        <f t="shared" si="34"/>
        <v>33.370087</v>
      </c>
      <c r="T1943" s="161"/>
      <c r="U1943" s="69"/>
      <c r="V1943" s="65" t="s">
        <v>18745</v>
      </c>
      <c r="W1943" s="71" t="s">
        <v>5858</v>
      </c>
      <c r="X1943" s="72" t="s">
        <v>5504</v>
      </c>
      <c r="Y1943" s="61" t="s">
        <v>11347</v>
      </c>
      <c r="Z1943" s="73"/>
      <c r="AA1943" s="73"/>
      <c r="AB1943" s="73"/>
      <c r="AC1943" s="73"/>
      <c r="AD1943" s="73"/>
      <c r="AE1943" s="73"/>
      <c r="AF1943" s="73"/>
      <c r="AG1943" s="73"/>
      <c r="AH1943" s="73"/>
      <c r="AI1943" s="73"/>
      <c r="AJ1943" s="161"/>
      <c r="AK1943" s="76" t="s">
        <v>798</v>
      </c>
      <c r="AL1943" s="83" t="s">
        <v>18746</v>
      </c>
      <c r="AM1943" s="71" t="s">
        <v>18747</v>
      </c>
      <c r="AN1943" s="84" t="s">
        <v>18748</v>
      </c>
      <c r="AO1943" s="71" t="s">
        <v>18749</v>
      </c>
      <c r="AP1943" s="161" t="str">
        <f>IMAGE("https://bellingcat-archive.nyc3.cdn.digitaloceanspaces.com/Ukraine_Witness_Datasheet/Worksheet/youtube_dl_1501191302871928835/out20.jpg")</f>
        <v/>
      </c>
      <c r="AQ1943" s="84" t="s">
        <v>18750</v>
      </c>
      <c r="AR1943" s="71" t="s">
        <v>18751</v>
      </c>
      <c r="AS1943" s="71" t="s">
        <v>18752</v>
      </c>
      <c r="AT1943" s="71">
        <v>64.64</v>
      </c>
      <c r="AU1943" s="76" t="s">
        <v>18680</v>
      </c>
      <c r="AV1943" s="80" t="s">
        <v>3944</v>
      </c>
      <c r="AW1943" s="203"/>
    </row>
    <row r="1944" ht="15.75" customHeight="1">
      <c r="A1944" s="72" t="s">
        <v>63</v>
      </c>
      <c r="B1944" s="73"/>
      <c r="C1944" s="57" t="s">
        <v>15852</v>
      </c>
      <c r="D1944" s="104">
        <v>48.9410383</v>
      </c>
      <c r="E1944" s="104">
        <v>38.5243897</v>
      </c>
      <c r="F1944" s="79">
        <v>2.0</v>
      </c>
      <c r="G1944" s="84" t="s">
        <v>18753</v>
      </c>
      <c r="H1944" s="61" t="s">
        <v>5522</v>
      </c>
      <c r="I1944" s="75"/>
      <c r="J1944" s="71" t="s">
        <v>18754</v>
      </c>
      <c r="K1944" s="88" t="s">
        <v>18755</v>
      </c>
      <c r="L1944" s="65" t="s">
        <v>3542</v>
      </c>
      <c r="M1944" s="61" t="s">
        <v>5524</v>
      </c>
      <c r="N1944" s="73"/>
      <c r="O1944" s="61" t="s">
        <v>10274</v>
      </c>
      <c r="P1944" s="67" t="str">
        <f t="shared" si="35"/>
        <v>48.9410383, 38.5243897</v>
      </c>
      <c r="Q1944" s="67" t="str">
        <f t="shared" si="32"/>
        <v>48.940599, 38.52476</v>
      </c>
      <c r="R1944" s="67">
        <f t="shared" si="33"/>
        <v>48.940599</v>
      </c>
      <c r="S1944" s="67">
        <f t="shared" si="34"/>
        <v>38.52476</v>
      </c>
      <c r="T1944" s="161"/>
      <c r="U1944" s="69"/>
      <c r="V1944" s="65" t="s">
        <v>18756</v>
      </c>
      <c r="W1944" s="71" t="s">
        <v>3601</v>
      </c>
      <c r="X1944" s="72" t="s">
        <v>5504</v>
      </c>
      <c r="Y1944" s="61" t="s">
        <v>11347</v>
      </c>
      <c r="Z1944" s="73"/>
      <c r="AA1944" s="73"/>
      <c r="AB1944" s="73"/>
      <c r="AC1944" s="73"/>
      <c r="AD1944" s="73"/>
      <c r="AE1944" s="73"/>
      <c r="AF1944" s="73"/>
      <c r="AG1944" s="73"/>
      <c r="AH1944" s="73"/>
      <c r="AI1944" s="73"/>
      <c r="AJ1944" s="161"/>
      <c r="AK1944" s="76" t="s">
        <v>798</v>
      </c>
      <c r="AL1944" s="83" t="s">
        <v>18757</v>
      </c>
      <c r="AM1944" s="71" t="s">
        <v>18758</v>
      </c>
      <c r="AN1944" s="84" t="s">
        <v>18759</v>
      </c>
      <c r="AO1944" s="71" t="s">
        <v>18760</v>
      </c>
      <c r="AP1944" s="161" t="str">
        <f>IMAGE("https://bellingcat-archive.nyc3.cdn.digitaloceanspaces.com/Ukraine_Witness_Datasheet/Worksheet/youtube_dl_1501178400609816578/out7.jpg")</f>
        <v/>
      </c>
      <c r="AQ1944" s="84" t="s">
        <v>18761</v>
      </c>
      <c r="AR1944" s="71" t="s">
        <v>18762</v>
      </c>
      <c r="AS1944" s="71" t="s">
        <v>18763</v>
      </c>
      <c r="AT1944" s="71">
        <v>25.89</v>
      </c>
      <c r="AU1944" s="76" t="s">
        <v>18680</v>
      </c>
      <c r="AV1944" s="80" t="s">
        <v>3944</v>
      </c>
      <c r="AW1944" s="203"/>
    </row>
    <row r="1945" ht="15.75" customHeight="1">
      <c r="A1945" s="426" t="s">
        <v>63</v>
      </c>
      <c r="B1945" s="73"/>
      <c r="C1945" s="57" t="s">
        <v>15852</v>
      </c>
      <c r="D1945" s="104">
        <v>51.248378</v>
      </c>
      <c r="E1945" s="104">
        <v>29.400934</v>
      </c>
      <c r="F1945" s="79">
        <v>1.0</v>
      </c>
      <c r="G1945" s="84" t="s">
        <v>18764</v>
      </c>
      <c r="H1945" s="61" t="s">
        <v>5522</v>
      </c>
      <c r="I1945" s="75"/>
      <c r="J1945" s="71" t="s">
        <v>18765</v>
      </c>
      <c r="K1945" s="88" t="s">
        <v>18766</v>
      </c>
      <c r="L1945" s="65" t="s">
        <v>3542</v>
      </c>
      <c r="M1945" s="328" t="s">
        <v>5827</v>
      </c>
      <c r="N1945" s="73"/>
      <c r="O1945" s="61"/>
      <c r="P1945" s="67" t="str">
        <f t="shared" si="35"/>
        <v>51.248378, 29.400934</v>
      </c>
      <c r="Q1945" s="67" t="str">
        <f t="shared" si="32"/>
        <v>51.24793, 29.40126</v>
      </c>
      <c r="R1945" s="67">
        <f t="shared" si="33"/>
        <v>51.24793</v>
      </c>
      <c r="S1945" s="67">
        <f t="shared" si="34"/>
        <v>29.40126</v>
      </c>
      <c r="T1945" s="74" t="s">
        <v>18767</v>
      </c>
      <c r="U1945" s="69"/>
      <c r="V1945" s="65" t="s">
        <v>18768</v>
      </c>
      <c r="W1945" s="71" t="s">
        <v>5858</v>
      </c>
      <c r="X1945" s="72" t="s">
        <v>5504</v>
      </c>
      <c r="Y1945" s="73"/>
      <c r="Z1945" s="73"/>
      <c r="AA1945" s="73"/>
      <c r="AB1945" s="73"/>
      <c r="AC1945" s="73"/>
      <c r="AD1945" s="73"/>
      <c r="AE1945" s="73"/>
      <c r="AF1945" s="73"/>
      <c r="AG1945" s="73"/>
      <c r="AH1945" s="73"/>
      <c r="AI1945" s="73"/>
      <c r="AJ1945" s="161"/>
      <c r="AK1945" s="76" t="s">
        <v>798</v>
      </c>
      <c r="AL1945" s="83" t="s">
        <v>18769</v>
      </c>
      <c r="AM1945" s="71" t="s">
        <v>18770</v>
      </c>
      <c r="AN1945" s="84" t="s">
        <v>18771</v>
      </c>
      <c r="AO1945" s="71" t="s">
        <v>18772</v>
      </c>
      <c r="AP1945" s="161" t="str">
        <f>IMAGE("https://bellingcat-archive.nyc3.cdn.digitaloceanspaces.com/Ukraine_Witness_Datasheet/Worksheet/youtube_dl_1501142211412611074/out20.jpg")</f>
        <v/>
      </c>
      <c r="AQ1945" s="84" t="s">
        <v>18773</v>
      </c>
      <c r="AR1945" s="71" t="s">
        <v>18774</v>
      </c>
      <c r="AS1945" s="71" t="s">
        <v>18775</v>
      </c>
      <c r="AT1945" s="71">
        <v>98.615</v>
      </c>
      <c r="AU1945" s="236"/>
      <c r="AV1945" s="80" t="s">
        <v>3944</v>
      </c>
      <c r="AW1945" s="203"/>
    </row>
    <row r="1946" ht="15.75" customHeight="1">
      <c r="A1946" s="426" t="s">
        <v>63</v>
      </c>
      <c r="B1946" s="73"/>
      <c r="C1946" s="57" t="s">
        <v>15852</v>
      </c>
      <c r="D1946" s="104">
        <v>50.3040723</v>
      </c>
      <c r="E1946" s="104">
        <v>34.8929058</v>
      </c>
      <c r="F1946" s="79">
        <v>1.0</v>
      </c>
      <c r="G1946" s="84" t="s">
        <v>18776</v>
      </c>
      <c r="H1946" s="61" t="s">
        <v>5522</v>
      </c>
      <c r="I1946" s="75"/>
      <c r="J1946" s="71" t="s">
        <v>18777</v>
      </c>
      <c r="K1946" s="88" t="s">
        <v>18776</v>
      </c>
      <c r="L1946" s="65" t="s">
        <v>3542</v>
      </c>
      <c r="M1946" s="61" t="s">
        <v>5978</v>
      </c>
      <c r="N1946" s="73"/>
      <c r="O1946" s="61" t="s">
        <v>6001</v>
      </c>
      <c r="P1946" s="67" t="str">
        <f t="shared" si="35"/>
        <v>50.3040723, 34.8929058</v>
      </c>
      <c r="Q1946" s="67" t="str">
        <f t="shared" si="32"/>
        <v>50.303632, 34.892232</v>
      </c>
      <c r="R1946" s="67">
        <f t="shared" si="33"/>
        <v>50.303632</v>
      </c>
      <c r="S1946" s="67">
        <f t="shared" si="34"/>
        <v>34.892232</v>
      </c>
      <c r="T1946" s="161"/>
      <c r="U1946" s="69"/>
      <c r="V1946" s="65" t="s">
        <v>18778</v>
      </c>
      <c r="W1946" s="71" t="s">
        <v>3601</v>
      </c>
      <c r="X1946" s="17" t="s">
        <v>9</v>
      </c>
      <c r="Y1946" s="73"/>
      <c r="Z1946" s="73"/>
      <c r="AA1946" s="73"/>
      <c r="AB1946" s="73"/>
      <c r="AC1946" s="73"/>
      <c r="AD1946" s="73"/>
      <c r="AE1946" s="73"/>
      <c r="AF1946" s="73"/>
      <c r="AG1946" s="73"/>
      <c r="AH1946" s="73"/>
      <c r="AI1946" s="73"/>
      <c r="AJ1946" s="161"/>
      <c r="AK1946" s="76" t="s">
        <v>2108</v>
      </c>
      <c r="AL1946" s="83" t="s">
        <v>18779</v>
      </c>
      <c r="AM1946" s="71" t="s">
        <v>18780</v>
      </c>
      <c r="AN1946" s="84" t="s">
        <v>18781</v>
      </c>
      <c r="AO1946" s="71" t="s">
        <v>18782</v>
      </c>
      <c r="AP1946" s="161" t="str">
        <f>IMAGE("https://bellingcat-archive.nyc3.cdn.digitaloceanspaces.com/Ukraine_Witness_Datasheet/Worksheet/twitter__media_FNTzkX0XIAAmynV.jpg")</f>
        <v/>
      </c>
      <c r="AQ1946" s="161"/>
      <c r="AR1946" s="161"/>
      <c r="AS1946" s="71" t="s">
        <v>18783</v>
      </c>
      <c r="AT1946" s="161"/>
      <c r="AU1946" s="236"/>
      <c r="AV1946" s="80"/>
      <c r="AW1946" s="81"/>
    </row>
    <row r="1947" ht="15.75" customHeight="1">
      <c r="A1947" s="426" t="s">
        <v>63</v>
      </c>
      <c r="B1947" s="73"/>
      <c r="C1947" s="57" t="s">
        <v>15275</v>
      </c>
      <c r="D1947" s="104">
        <v>50.3048117607671</v>
      </c>
      <c r="E1947" s="104">
        <v>34.8929592588481</v>
      </c>
      <c r="F1947" s="79">
        <v>2.0</v>
      </c>
      <c r="G1947" s="84" t="s">
        <v>18784</v>
      </c>
      <c r="H1947" s="61" t="s">
        <v>5522</v>
      </c>
      <c r="I1947" s="75"/>
      <c r="J1947" s="71" t="s">
        <v>18785</v>
      </c>
      <c r="K1947" s="88" t="s">
        <v>18786</v>
      </c>
      <c r="L1947" s="65" t="s">
        <v>3542</v>
      </c>
      <c r="M1947" s="61" t="s">
        <v>5978</v>
      </c>
      <c r="N1947" s="73"/>
      <c r="O1947" s="61" t="s">
        <v>6001</v>
      </c>
      <c r="P1947" s="67" t="str">
        <f t="shared" si="35"/>
        <v>50.3048117607671, 34.8929592588481</v>
      </c>
      <c r="Q1947" s="67" t="str">
        <f t="shared" si="32"/>
        <v>50.304268, 34.893495</v>
      </c>
      <c r="R1947" s="67">
        <f t="shared" si="33"/>
        <v>50.304268</v>
      </c>
      <c r="S1947" s="67">
        <f t="shared" si="34"/>
        <v>34.893495</v>
      </c>
      <c r="T1947" s="161"/>
      <c r="U1947" s="69"/>
      <c r="V1947" s="65" t="s">
        <v>18787</v>
      </c>
      <c r="W1947" s="71" t="s">
        <v>3601</v>
      </c>
      <c r="X1947" s="17" t="s">
        <v>9</v>
      </c>
      <c r="Y1947" s="73"/>
      <c r="Z1947" s="73"/>
      <c r="AA1947" s="73"/>
      <c r="AB1947" s="73"/>
      <c r="AC1947" s="73"/>
      <c r="AD1947" s="73"/>
      <c r="AE1947" s="73"/>
      <c r="AF1947" s="73"/>
      <c r="AG1947" s="73"/>
      <c r="AH1947" s="73"/>
      <c r="AI1947" s="73"/>
      <c r="AJ1947" s="161"/>
      <c r="AK1947" s="76" t="s">
        <v>798</v>
      </c>
      <c r="AL1947" s="83" t="s">
        <v>18788</v>
      </c>
      <c r="AM1947" s="71" t="s">
        <v>18789</v>
      </c>
      <c r="AN1947" s="84" t="s">
        <v>18790</v>
      </c>
      <c r="AO1947" s="71" t="s">
        <v>18791</v>
      </c>
      <c r="AP1947" s="161" t="str">
        <f>IMAGE("https://bellingcat-archive.nyc3.cdn.digitaloceanspaces.com/Ukraine_Witness_Datasheet/Worksheet/youtube_dl_1501085508960722944/out7.jpg")</f>
        <v/>
      </c>
      <c r="AQ1947" s="84" t="s">
        <v>18792</v>
      </c>
      <c r="AR1947" s="71" t="s">
        <v>18793</v>
      </c>
      <c r="AS1947" s="71" t="s">
        <v>18794</v>
      </c>
      <c r="AT1947" s="71">
        <v>7.244</v>
      </c>
      <c r="AU1947" s="236"/>
      <c r="AV1947" s="80"/>
      <c r="AW1947" s="81"/>
    </row>
    <row r="1948" ht="15.75" customHeight="1">
      <c r="A1948" s="426" t="s">
        <v>63</v>
      </c>
      <c r="B1948" s="73"/>
      <c r="C1948" s="57" t="s">
        <v>14806</v>
      </c>
      <c r="D1948" s="74">
        <v>50.767217</v>
      </c>
      <c r="E1948" s="74">
        <v>29.241705</v>
      </c>
      <c r="F1948" s="79">
        <v>2.0</v>
      </c>
      <c r="G1948" s="84" t="s">
        <v>18795</v>
      </c>
      <c r="H1948" s="61" t="s">
        <v>91</v>
      </c>
      <c r="I1948" s="75"/>
      <c r="J1948" s="71" t="s">
        <v>18796</v>
      </c>
      <c r="K1948" s="114" t="s">
        <v>18797</v>
      </c>
      <c r="L1948" s="65" t="s">
        <v>3542</v>
      </c>
      <c r="M1948" s="61" t="s">
        <v>9200</v>
      </c>
      <c r="N1948" s="73"/>
      <c r="O1948" s="61" t="s">
        <v>15440</v>
      </c>
      <c r="P1948" s="67" t="str">
        <f t="shared" si="35"/>
        <v>50.767217, 29.241705</v>
      </c>
      <c r="Q1948" s="67" t="str">
        <f t="shared" si="32"/>
        <v>50.766796, 29.240657</v>
      </c>
      <c r="R1948" s="67">
        <f t="shared" si="33"/>
        <v>50.766796</v>
      </c>
      <c r="S1948" s="67">
        <f t="shared" si="34"/>
        <v>29.240657</v>
      </c>
      <c r="T1948" s="161"/>
      <c r="U1948" s="69"/>
      <c r="V1948" s="65" t="s">
        <v>18798</v>
      </c>
      <c r="W1948" s="71" t="s">
        <v>3601</v>
      </c>
      <c r="X1948" s="72" t="s">
        <v>5504</v>
      </c>
      <c r="Y1948" s="61" t="s">
        <v>5820</v>
      </c>
      <c r="Z1948" s="73"/>
      <c r="AA1948" s="73"/>
      <c r="AB1948" s="73"/>
      <c r="AC1948" s="73"/>
      <c r="AD1948" s="73"/>
      <c r="AE1948" s="73"/>
      <c r="AF1948" s="73"/>
      <c r="AG1948" s="73"/>
      <c r="AH1948" s="73"/>
      <c r="AI1948" s="73"/>
      <c r="AJ1948" s="161"/>
      <c r="AK1948" s="76" t="s">
        <v>2108</v>
      </c>
      <c r="AL1948" s="83" t="s">
        <v>18799</v>
      </c>
      <c r="AM1948" s="71" t="s">
        <v>18800</v>
      </c>
      <c r="AN1948" s="84" t="s">
        <v>18801</v>
      </c>
      <c r="AO1948" s="71" t="s">
        <v>18802</v>
      </c>
      <c r="AP1948" s="161" t="str">
        <f t="shared" ref="AP1948:AP1951" si="36">IMAGE("https://bellingcat-archive.nyc3.cdn.digitaloceanspaces.com/Ukraine_Witness_Datasheet/Worksheet/twitter__media_FNRKbRaX0AkwjYe.jpg")</f>
        <v/>
      </c>
      <c r="AQ1948" s="161"/>
      <c r="AR1948" s="161"/>
      <c r="AS1948" s="71" t="s">
        <v>18803</v>
      </c>
      <c r="AT1948" s="161"/>
      <c r="AU1948" s="236"/>
      <c r="AV1948" s="80" t="s">
        <v>3944</v>
      </c>
      <c r="AW1948" s="203"/>
    </row>
    <row r="1949" ht="15.75" customHeight="1">
      <c r="A1949" s="426" t="s">
        <v>63</v>
      </c>
      <c r="B1949" s="73"/>
      <c r="C1949" s="57" t="s">
        <v>14806</v>
      </c>
      <c r="D1949" s="74">
        <v>50.767603</v>
      </c>
      <c r="E1949" s="74">
        <v>29.241123</v>
      </c>
      <c r="F1949" s="79">
        <v>2.0</v>
      </c>
      <c r="G1949" s="84" t="s">
        <v>18795</v>
      </c>
      <c r="H1949" s="61" t="s">
        <v>91</v>
      </c>
      <c r="I1949" s="75"/>
      <c r="J1949" s="71" t="s">
        <v>18804</v>
      </c>
      <c r="K1949" s="114" t="s">
        <v>18797</v>
      </c>
      <c r="L1949" s="65" t="s">
        <v>3542</v>
      </c>
      <c r="M1949" s="61" t="s">
        <v>9200</v>
      </c>
      <c r="N1949" s="73"/>
      <c r="O1949" s="61" t="s">
        <v>15440</v>
      </c>
      <c r="P1949" s="67" t="str">
        <f t="shared" si="35"/>
        <v>50.767603, 29.241123</v>
      </c>
      <c r="Q1949" s="67" t="str">
        <f t="shared" si="32"/>
        <v>50.767511, 29.241675</v>
      </c>
      <c r="R1949" s="67">
        <f t="shared" si="33"/>
        <v>50.767511</v>
      </c>
      <c r="S1949" s="67">
        <f t="shared" si="34"/>
        <v>29.241675</v>
      </c>
      <c r="T1949" s="161"/>
      <c r="U1949" s="69"/>
      <c r="V1949" s="65" t="s">
        <v>18805</v>
      </c>
      <c r="W1949" s="71" t="s">
        <v>3601</v>
      </c>
      <c r="X1949" s="72" t="s">
        <v>5504</v>
      </c>
      <c r="Y1949" s="61" t="s">
        <v>5820</v>
      </c>
      <c r="Z1949" s="73"/>
      <c r="AA1949" s="73"/>
      <c r="AB1949" s="73"/>
      <c r="AC1949" s="73"/>
      <c r="AD1949" s="73"/>
      <c r="AE1949" s="73"/>
      <c r="AF1949" s="73"/>
      <c r="AG1949" s="73"/>
      <c r="AH1949" s="73"/>
      <c r="AI1949" s="73"/>
      <c r="AJ1949" s="161"/>
      <c r="AK1949" s="76" t="s">
        <v>2108</v>
      </c>
      <c r="AL1949" s="83" t="s">
        <v>18799</v>
      </c>
      <c r="AM1949" s="71" t="s">
        <v>18806</v>
      </c>
      <c r="AN1949" s="84" t="s">
        <v>18807</v>
      </c>
      <c r="AO1949" s="71" t="s">
        <v>18808</v>
      </c>
      <c r="AP1949" s="161" t="str">
        <f t="shared" si="36"/>
        <v/>
      </c>
      <c r="AQ1949" s="161"/>
      <c r="AR1949" s="161"/>
      <c r="AS1949" s="71" t="s">
        <v>18803</v>
      </c>
      <c r="AT1949" s="161"/>
      <c r="AU1949" s="236"/>
      <c r="AV1949" s="80" t="s">
        <v>3944</v>
      </c>
      <c r="AW1949" s="203"/>
    </row>
    <row r="1950" ht="15.75" customHeight="1">
      <c r="A1950" s="426" t="s">
        <v>63</v>
      </c>
      <c r="B1950" s="73"/>
      <c r="C1950" s="57" t="s">
        <v>14806</v>
      </c>
      <c r="D1950" s="74">
        <v>50.76707</v>
      </c>
      <c r="E1950" s="74">
        <v>29.241731</v>
      </c>
      <c r="F1950" s="79">
        <v>2.0</v>
      </c>
      <c r="G1950" s="84" t="s">
        <v>18795</v>
      </c>
      <c r="H1950" s="61" t="s">
        <v>91</v>
      </c>
      <c r="I1950" s="75"/>
      <c r="J1950" s="71" t="s">
        <v>18809</v>
      </c>
      <c r="K1950" s="131" t="s">
        <v>18810</v>
      </c>
      <c r="L1950" s="65" t="s">
        <v>3542</v>
      </c>
      <c r="M1950" s="61" t="s">
        <v>9200</v>
      </c>
      <c r="N1950" s="73"/>
      <c r="O1950" s="61" t="s">
        <v>15440</v>
      </c>
      <c r="P1950" s="67" t="str">
        <f t="shared" si="35"/>
        <v>50.76707, 29.241731</v>
      </c>
      <c r="Q1950" s="67" t="str">
        <f t="shared" si="32"/>
        <v>50.766805, 29.240935</v>
      </c>
      <c r="R1950" s="67">
        <f t="shared" si="33"/>
        <v>50.766805</v>
      </c>
      <c r="S1950" s="67">
        <f t="shared" si="34"/>
        <v>29.240935</v>
      </c>
      <c r="T1950" s="161"/>
      <c r="U1950" s="69"/>
      <c r="V1950" s="65" t="s">
        <v>18811</v>
      </c>
      <c r="W1950" s="71" t="s">
        <v>3601</v>
      </c>
      <c r="X1950" s="72" t="s">
        <v>5504</v>
      </c>
      <c r="Y1950" s="61" t="s">
        <v>5820</v>
      </c>
      <c r="Z1950" s="73"/>
      <c r="AA1950" s="73"/>
      <c r="AB1950" s="73"/>
      <c r="AC1950" s="73"/>
      <c r="AD1950" s="73"/>
      <c r="AE1950" s="73"/>
      <c r="AF1950" s="73"/>
      <c r="AG1950" s="73"/>
      <c r="AH1950" s="73"/>
      <c r="AI1950" s="73"/>
      <c r="AJ1950" s="161"/>
      <c r="AK1950" s="76" t="s">
        <v>2108</v>
      </c>
      <c r="AL1950" s="83" t="s">
        <v>18799</v>
      </c>
      <c r="AM1950" s="71" t="s">
        <v>18812</v>
      </c>
      <c r="AN1950" s="84" t="s">
        <v>18813</v>
      </c>
      <c r="AO1950" s="71" t="s">
        <v>18814</v>
      </c>
      <c r="AP1950" s="161" t="str">
        <f t="shared" si="36"/>
        <v/>
      </c>
      <c r="AQ1950" s="161"/>
      <c r="AR1950" s="161"/>
      <c r="AS1950" s="71" t="s">
        <v>18803</v>
      </c>
      <c r="AT1950" s="161"/>
      <c r="AU1950" s="236"/>
      <c r="AV1950" s="80" t="s">
        <v>3944</v>
      </c>
      <c r="AW1950" s="203"/>
    </row>
    <row r="1951" ht="15.75" customHeight="1">
      <c r="A1951" s="426" t="s">
        <v>63</v>
      </c>
      <c r="B1951" s="73"/>
      <c r="C1951" s="57" t="s">
        <v>14806</v>
      </c>
      <c r="D1951" s="74">
        <v>50.767603</v>
      </c>
      <c r="E1951" s="74">
        <v>29.241123</v>
      </c>
      <c r="F1951" s="79">
        <v>2.0</v>
      </c>
      <c r="G1951" s="84" t="s">
        <v>18795</v>
      </c>
      <c r="H1951" s="61" t="s">
        <v>91</v>
      </c>
      <c r="I1951" s="75"/>
      <c r="J1951" s="71" t="s">
        <v>18815</v>
      </c>
      <c r="K1951" s="114" t="s">
        <v>18797</v>
      </c>
      <c r="L1951" s="65" t="s">
        <v>3542</v>
      </c>
      <c r="M1951" s="61" t="s">
        <v>9200</v>
      </c>
      <c r="N1951" s="73"/>
      <c r="O1951" s="61" t="s">
        <v>15440</v>
      </c>
      <c r="P1951" s="67" t="str">
        <f t="shared" si="35"/>
        <v>50.767603, 29.241123</v>
      </c>
      <c r="Q1951" s="67" t="str">
        <f t="shared" si="32"/>
        <v>50.767467, 29.240074</v>
      </c>
      <c r="R1951" s="67">
        <f t="shared" si="33"/>
        <v>50.767467</v>
      </c>
      <c r="S1951" s="67">
        <f t="shared" si="34"/>
        <v>29.240074</v>
      </c>
      <c r="T1951" s="161"/>
      <c r="U1951" s="69"/>
      <c r="V1951" s="65" t="s">
        <v>18816</v>
      </c>
      <c r="W1951" s="71" t="s">
        <v>3601</v>
      </c>
      <c r="X1951" s="72" t="s">
        <v>5504</v>
      </c>
      <c r="Y1951" s="61" t="s">
        <v>5820</v>
      </c>
      <c r="Z1951" s="73"/>
      <c r="AA1951" s="73"/>
      <c r="AB1951" s="73"/>
      <c r="AC1951" s="73"/>
      <c r="AD1951" s="73"/>
      <c r="AE1951" s="73"/>
      <c r="AF1951" s="73"/>
      <c r="AG1951" s="73"/>
      <c r="AH1951" s="73"/>
      <c r="AI1951" s="73"/>
      <c r="AJ1951" s="161"/>
      <c r="AK1951" s="76" t="s">
        <v>2108</v>
      </c>
      <c r="AL1951" s="83" t="s">
        <v>18799</v>
      </c>
      <c r="AM1951" s="71" t="s">
        <v>18817</v>
      </c>
      <c r="AN1951" s="84" t="s">
        <v>18818</v>
      </c>
      <c r="AO1951" s="71" t="s">
        <v>18814</v>
      </c>
      <c r="AP1951" s="161" t="str">
        <f t="shared" si="36"/>
        <v/>
      </c>
      <c r="AQ1951" s="161"/>
      <c r="AR1951" s="161"/>
      <c r="AS1951" s="71" t="s">
        <v>18803</v>
      </c>
      <c r="AT1951" s="161"/>
      <c r="AU1951" s="236"/>
      <c r="AV1951" s="80" t="s">
        <v>3944</v>
      </c>
      <c r="AW1951" s="203"/>
    </row>
    <row r="1952" ht="15.75" customHeight="1">
      <c r="A1952" s="72" t="s">
        <v>5457</v>
      </c>
      <c r="B1952" s="73"/>
      <c r="C1952" s="57" t="s">
        <v>18286</v>
      </c>
      <c r="D1952" s="74">
        <v>47.562428</v>
      </c>
      <c r="E1952" s="74">
        <v>31.341205</v>
      </c>
      <c r="F1952" s="79">
        <v>3.0</v>
      </c>
      <c r="G1952" s="84" t="s">
        <v>18819</v>
      </c>
      <c r="H1952" s="61" t="s">
        <v>5522</v>
      </c>
      <c r="I1952" s="75"/>
      <c r="J1952" s="71" t="s">
        <v>18820</v>
      </c>
      <c r="K1952" s="69"/>
      <c r="L1952" s="65" t="s">
        <v>3542</v>
      </c>
      <c r="M1952" s="61" t="s">
        <v>6563</v>
      </c>
      <c r="N1952" s="73"/>
      <c r="O1952" s="61" t="s">
        <v>18821</v>
      </c>
      <c r="P1952" s="67" t="str">
        <f t="shared" si="35"/>
        <v>47.562428, 31.341205</v>
      </c>
      <c r="Q1952" s="67" t="str">
        <f t="shared" si="32"/>
        <v>47.562242, 31.341887</v>
      </c>
      <c r="R1952" s="67">
        <f t="shared" si="33"/>
        <v>47.562242</v>
      </c>
      <c r="S1952" s="67">
        <f t="shared" si="34"/>
        <v>31.341887</v>
      </c>
      <c r="T1952" s="161"/>
      <c r="U1952" s="69"/>
      <c r="V1952" s="65" t="s">
        <v>18822</v>
      </c>
      <c r="W1952" s="71" t="s">
        <v>13263</v>
      </c>
      <c r="X1952" s="72" t="s">
        <v>5504</v>
      </c>
      <c r="Y1952" s="61" t="s">
        <v>5820</v>
      </c>
      <c r="Z1952" s="73"/>
      <c r="AA1952" s="73"/>
      <c r="AB1952" s="73"/>
      <c r="AC1952" s="73"/>
      <c r="AD1952" s="73"/>
      <c r="AE1952" s="73"/>
      <c r="AF1952" s="73"/>
      <c r="AG1952" s="73"/>
      <c r="AH1952" s="73"/>
      <c r="AI1952" s="73"/>
      <c r="AJ1952" s="161"/>
      <c r="AK1952" s="76" t="s">
        <v>798</v>
      </c>
      <c r="AL1952" s="83" t="s">
        <v>18823</v>
      </c>
      <c r="AM1952" s="71" t="s">
        <v>18824</v>
      </c>
      <c r="AN1952" s="84" t="s">
        <v>18825</v>
      </c>
      <c r="AO1952" s="71" t="s">
        <v>18826</v>
      </c>
      <c r="AP1952" s="161" t="str">
        <f>IMAGE("https://bellingcat-archive.nyc3.cdn.digitaloceanspaces.com/Ukraine_Witness_Datasheet/Worksheet/youtube_dl_1501595926439542784/out7.jpg")</f>
        <v/>
      </c>
      <c r="AQ1952" s="84" t="s">
        <v>18827</v>
      </c>
      <c r="AR1952" s="71" t="s">
        <v>18828</v>
      </c>
      <c r="AS1952" s="71" t="s">
        <v>18829</v>
      </c>
      <c r="AT1952" s="71">
        <v>9.777</v>
      </c>
      <c r="AU1952" s="89"/>
      <c r="AV1952" s="80" t="s">
        <v>63</v>
      </c>
      <c r="AW1952" s="81"/>
    </row>
    <row r="1953" ht="15.75" customHeight="1">
      <c r="A1953" s="426" t="s">
        <v>170</v>
      </c>
      <c r="B1953" s="73"/>
      <c r="C1953" s="57" t="s">
        <v>18286</v>
      </c>
      <c r="D1953" s="123">
        <v>50.034794</v>
      </c>
      <c r="E1953" s="123">
        <v>36.229362</v>
      </c>
      <c r="F1953" s="79">
        <v>2.0</v>
      </c>
      <c r="G1953" s="84" t="s">
        <v>18830</v>
      </c>
      <c r="H1953" s="61" t="s">
        <v>91</v>
      </c>
      <c r="I1953" s="75"/>
      <c r="J1953" s="71" t="s">
        <v>18831</v>
      </c>
      <c r="K1953" s="88" t="s">
        <v>18832</v>
      </c>
      <c r="L1953" s="65" t="s">
        <v>3542</v>
      </c>
      <c r="M1953" s="61" t="s">
        <v>5590</v>
      </c>
      <c r="N1953" s="73"/>
      <c r="O1953" s="61" t="s">
        <v>5626</v>
      </c>
      <c r="P1953" s="94" t="s">
        <v>18833</v>
      </c>
      <c r="Q1953" s="67" t="str">
        <f t="shared" si="32"/>
        <v>50.034401, 36.230201</v>
      </c>
      <c r="R1953" s="67">
        <f t="shared" si="33"/>
        <v>50.034401</v>
      </c>
      <c r="S1953" s="67">
        <f t="shared" si="34"/>
        <v>36.230201</v>
      </c>
      <c r="T1953" s="84" t="s">
        <v>18834</v>
      </c>
      <c r="U1953" s="69"/>
      <c r="V1953" s="65" t="s">
        <v>18835</v>
      </c>
      <c r="W1953" s="71" t="s">
        <v>3601</v>
      </c>
      <c r="X1953" s="17" t="s">
        <v>9</v>
      </c>
      <c r="Y1953" s="61" t="s">
        <v>5820</v>
      </c>
      <c r="Z1953" s="73"/>
      <c r="AA1953" s="73"/>
      <c r="AB1953" s="73"/>
      <c r="AC1953" s="73"/>
      <c r="AD1953" s="73"/>
      <c r="AE1953" s="73"/>
      <c r="AF1953" s="73"/>
      <c r="AG1953" s="73"/>
      <c r="AH1953" s="73"/>
      <c r="AI1953" s="73"/>
      <c r="AJ1953" s="161"/>
      <c r="AK1953" s="76" t="s">
        <v>2108</v>
      </c>
      <c r="AL1953" s="83" t="s">
        <v>18836</v>
      </c>
      <c r="AM1953" s="71" t="s">
        <v>18837</v>
      </c>
      <c r="AN1953" s="84" t="s">
        <v>18838</v>
      </c>
      <c r="AO1953" s="71" t="s">
        <v>18839</v>
      </c>
      <c r="AP1953" s="161" t="str">
        <f>IMAGE("https://bellingcat-archive.nyc3.cdn.digitaloceanspaces.com/Ukraine_Witness_Datasheet/Worksheet/twitter__media_FNZgB6fWUAUkFMT.jpg")</f>
        <v/>
      </c>
      <c r="AQ1953" s="161"/>
      <c r="AR1953" s="161"/>
      <c r="AS1953" s="71" t="s">
        <v>18840</v>
      </c>
      <c r="AT1953" s="161"/>
      <c r="AU1953" s="236"/>
      <c r="AV1953" s="80" t="s">
        <v>88</v>
      </c>
      <c r="AW1953" s="81"/>
    </row>
    <row r="1954" ht="15.75" customHeight="1">
      <c r="A1954" s="426" t="s">
        <v>63</v>
      </c>
      <c r="B1954" s="73"/>
      <c r="C1954" s="57" t="s">
        <v>15275</v>
      </c>
      <c r="D1954" s="104">
        <v>46.365775</v>
      </c>
      <c r="E1954" s="104">
        <v>33.556268</v>
      </c>
      <c r="F1954" s="79">
        <v>1.0</v>
      </c>
      <c r="G1954" s="84" t="s">
        <v>18841</v>
      </c>
      <c r="H1954" s="61" t="s">
        <v>5522</v>
      </c>
      <c r="I1954" s="75"/>
      <c r="J1954" s="71" t="s">
        <v>18842</v>
      </c>
      <c r="K1954" s="88" t="s">
        <v>18843</v>
      </c>
      <c r="L1954" s="65" t="s">
        <v>3542</v>
      </c>
      <c r="M1954" s="61" t="s">
        <v>5702</v>
      </c>
      <c r="N1954" s="73"/>
      <c r="O1954" s="61" t="s">
        <v>18844</v>
      </c>
      <c r="P1954" s="67" t="str">
        <f t="shared" ref="P1954:P1955" si="37">IF(ISBLANK(D1954), "", CONCATENATE(D1954,", ", E1954))</f>
        <v>46.365775, 33.556268</v>
      </c>
      <c r="Q1954" s="67" t="str">
        <f t="shared" si="32"/>
        <v>46.365672, 33.555467</v>
      </c>
      <c r="R1954" s="67">
        <f t="shared" si="33"/>
        <v>46.365672</v>
      </c>
      <c r="S1954" s="67">
        <f t="shared" si="34"/>
        <v>33.555467</v>
      </c>
      <c r="T1954" s="161"/>
      <c r="U1954" s="69"/>
      <c r="V1954" s="65" t="s">
        <v>18845</v>
      </c>
      <c r="W1954" s="71" t="s">
        <v>5858</v>
      </c>
      <c r="X1954" s="72" t="s">
        <v>5504</v>
      </c>
      <c r="Y1954" s="61" t="s">
        <v>75</v>
      </c>
      <c r="Z1954" s="61" t="s">
        <v>18672</v>
      </c>
      <c r="AA1954" s="73"/>
      <c r="AB1954" s="73"/>
      <c r="AC1954" s="73"/>
      <c r="AD1954" s="73"/>
      <c r="AE1954" s="73"/>
      <c r="AF1954" s="73"/>
      <c r="AG1954" s="73"/>
      <c r="AH1954" s="73"/>
      <c r="AI1954" s="73"/>
      <c r="AJ1954" s="161"/>
      <c r="AK1954" s="76" t="s">
        <v>6276</v>
      </c>
      <c r="AL1954" s="83" t="s">
        <v>18846</v>
      </c>
      <c r="AM1954" s="71" t="s">
        <v>18847</v>
      </c>
      <c r="AN1954" s="84" t="s">
        <v>18848</v>
      </c>
      <c r="AO1954" s="71" t="s">
        <v>18849</v>
      </c>
      <c r="AP1954" s="161" t="str">
        <f>IMAGE("https://bellingcat-archive.nyc3.cdn.digitaloceanspaces.com/Ukraine_Witness_Datasheet/Worksheet/telegram_46cdc9b284/out3.jpg")</f>
        <v/>
      </c>
      <c r="AQ1954" s="84" t="s">
        <v>18850</v>
      </c>
      <c r="AR1954" s="84" t="s">
        <v>18841</v>
      </c>
      <c r="AS1954" s="161"/>
      <c r="AT1954" s="71">
        <v>6.0</v>
      </c>
      <c r="AU1954" s="76" t="s">
        <v>18680</v>
      </c>
      <c r="AV1954" s="80" t="s">
        <v>3944</v>
      </c>
      <c r="AW1954" s="203"/>
    </row>
    <row r="1955" ht="15.75" customHeight="1">
      <c r="A1955" s="204" t="s">
        <v>63</v>
      </c>
      <c r="B1955" s="73"/>
      <c r="C1955" s="57" t="s">
        <v>15275</v>
      </c>
      <c r="D1955" s="74">
        <v>50.505833</v>
      </c>
      <c r="E1955" s="74">
        <v>30.319854</v>
      </c>
      <c r="F1955" s="79">
        <v>1.0</v>
      </c>
      <c r="G1955" s="84" t="s">
        <v>18851</v>
      </c>
      <c r="H1955" s="61" t="s">
        <v>91</v>
      </c>
      <c r="I1955" s="75"/>
      <c r="J1955" s="71" t="s">
        <v>18852</v>
      </c>
      <c r="K1955" s="88" t="s">
        <v>18853</v>
      </c>
      <c r="L1955" s="65" t="s">
        <v>3542</v>
      </c>
      <c r="M1955" s="61" t="s">
        <v>5827</v>
      </c>
      <c r="N1955" s="73"/>
      <c r="O1955" s="61" t="s">
        <v>18854</v>
      </c>
      <c r="P1955" s="67" t="str">
        <f t="shared" si="37"/>
        <v>50.505833, 30.319854</v>
      </c>
      <c r="Q1955" s="67" t="str">
        <f t="shared" si="32"/>
        <v>50.505468, 30.320966</v>
      </c>
      <c r="R1955" s="67">
        <f t="shared" si="33"/>
        <v>50.505468</v>
      </c>
      <c r="S1955" s="67">
        <f t="shared" si="34"/>
        <v>30.320966</v>
      </c>
      <c r="T1955" s="161"/>
      <c r="U1955" s="69"/>
      <c r="V1955" s="65" t="s">
        <v>18855</v>
      </c>
      <c r="W1955" s="71" t="s">
        <v>3601</v>
      </c>
      <c r="X1955" s="72" t="s">
        <v>5504</v>
      </c>
      <c r="Y1955" s="73"/>
      <c r="Z1955" s="73"/>
      <c r="AA1955" s="73"/>
      <c r="AB1955" s="73"/>
      <c r="AC1955" s="73"/>
      <c r="AD1955" s="73"/>
      <c r="AE1955" s="73"/>
      <c r="AF1955" s="73"/>
      <c r="AG1955" s="73"/>
      <c r="AH1955" s="73"/>
      <c r="AI1955" s="73"/>
      <c r="AJ1955" s="161"/>
      <c r="AK1955" s="76" t="s">
        <v>2108</v>
      </c>
      <c r="AL1955" s="83" t="s">
        <v>18856</v>
      </c>
      <c r="AM1955" s="71" t="s">
        <v>18857</v>
      </c>
      <c r="AN1955" s="84" t="s">
        <v>18858</v>
      </c>
      <c r="AO1955" s="71" t="s">
        <v>18859</v>
      </c>
      <c r="AP1955" s="161" t="str">
        <f>IMAGE("https://bellingcat-archive.nyc3.cdn.digitaloceanspaces.com/Ukraine_Witness_Datasheet/Worksheet/twitter__media_FNQUdAYXIAgVr0W.jpg")</f>
        <v/>
      </c>
      <c r="AQ1955" s="161"/>
      <c r="AR1955" s="161"/>
      <c r="AS1955" s="71" t="s">
        <v>18860</v>
      </c>
      <c r="AT1955" s="161"/>
      <c r="AU1955" s="89"/>
      <c r="AV1955" s="80" t="s">
        <v>3944</v>
      </c>
      <c r="AW1955" s="203"/>
    </row>
    <row r="1956" ht="15.75" customHeight="1">
      <c r="A1956" s="72" t="s">
        <v>5457</v>
      </c>
      <c r="B1956" s="73"/>
      <c r="C1956" s="57" t="s">
        <v>18286</v>
      </c>
      <c r="D1956" s="74">
        <v>50.891786</v>
      </c>
      <c r="E1956" s="74">
        <v>34.755201</v>
      </c>
      <c r="F1956" s="79">
        <v>1.0</v>
      </c>
      <c r="G1956" s="130" t="s">
        <v>18861</v>
      </c>
      <c r="H1956" s="61" t="s">
        <v>5522</v>
      </c>
      <c r="I1956" s="75"/>
      <c r="J1956" s="71" t="s">
        <v>18862</v>
      </c>
      <c r="K1956" s="69"/>
      <c r="L1956" s="65" t="s">
        <v>3542</v>
      </c>
      <c r="M1956" s="61" t="s">
        <v>5978</v>
      </c>
      <c r="N1956" s="73"/>
      <c r="O1956" s="61" t="s">
        <v>5979</v>
      </c>
      <c r="P1956" s="74" t="s">
        <v>18863</v>
      </c>
      <c r="Q1956" s="67" t="str">
        <f>IF(ISBLANK(#REF!),"",CONCATENATE(R1956, ", ", S1956))</f>
        <v>bad coordinate, bad coordinate</v>
      </c>
      <c r="R1956" s="67" t="str">
        <f>IFERROR(IF(ISBLANK(#REF!), "", ROUND(#REF!-0.00001*SIN(MOD(POW(ROW()*1337,3/2),1)*PI())*(MOD(POW(ROW()*2337,3/2),1)*50+35),6)), "bad coordinate")</f>
        <v>bad coordinate</v>
      </c>
      <c r="S1956" s="67" t="str">
        <f>IFERROR(IF(ISBLANK(#REF!), "", ROUND(#REF!+0.000015*COS(MOD(POW(ROW()*1337,3/2),1)*PI())*(MOD(POW(ROW()*2337,3/2),1)*50+35),6)), "bad coordinate")</f>
        <v>bad coordinate</v>
      </c>
      <c r="T1956" s="161"/>
      <c r="U1956" s="69"/>
      <c r="V1956" s="65" t="s">
        <v>18864</v>
      </c>
      <c r="W1956" s="71" t="s">
        <v>811</v>
      </c>
      <c r="X1956" s="72" t="s">
        <v>5504</v>
      </c>
      <c r="Y1956" s="61" t="s">
        <v>75</v>
      </c>
      <c r="Z1956" s="61" t="s">
        <v>14788</v>
      </c>
      <c r="AA1956" s="73"/>
      <c r="AB1956" s="73"/>
      <c r="AC1956" s="73"/>
      <c r="AD1956" s="73"/>
      <c r="AE1956" s="73"/>
      <c r="AF1956" s="73"/>
      <c r="AG1956" s="73"/>
      <c r="AH1956" s="73"/>
      <c r="AI1956" s="73"/>
      <c r="AJ1956" s="161"/>
      <c r="AK1956" s="76" t="s">
        <v>798</v>
      </c>
      <c r="AL1956" s="83" t="s">
        <v>18865</v>
      </c>
      <c r="AM1956" s="71" t="s">
        <v>18866</v>
      </c>
      <c r="AN1956" s="84" t="s">
        <v>18867</v>
      </c>
      <c r="AO1956" s="71" t="s">
        <v>18868</v>
      </c>
      <c r="AP1956" s="161" t="str">
        <f>IMAGE("https://bellingcat-archive.nyc3.cdn.digitaloceanspaces.com/Ukraine_Witness_Datasheet/Worksheet/youtube_dl_1501599776940384262/out7.jpg")</f>
        <v/>
      </c>
      <c r="AQ1956" s="84" t="s">
        <v>18869</v>
      </c>
      <c r="AR1956" s="71" t="s">
        <v>18870</v>
      </c>
      <c r="AS1956" s="71" t="s">
        <v>18871</v>
      </c>
      <c r="AT1956" s="71">
        <v>10.9</v>
      </c>
      <c r="AU1956" s="89"/>
      <c r="AV1956" s="80" t="s">
        <v>3944</v>
      </c>
      <c r="AW1956" s="203"/>
    </row>
    <row r="1957" ht="15.75" customHeight="1">
      <c r="A1957" s="204" t="s">
        <v>63</v>
      </c>
      <c r="B1957" s="73"/>
      <c r="C1957" s="57" t="s">
        <v>15275</v>
      </c>
      <c r="D1957" s="104">
        <v>50.489229</v>
      </c>
      <c r="E1957" s="66">
        <v>30.262149</v>
      </c>
      <c r="F1957" s="79">
        <v>1.0</v>
      </c>
      <c r="G1957" s="84" t="s">
        <v>18872</v>
      </c>
      <c r="H1957" s="61" t="s">
        <v>5522</v>
      </c>
      <c r="I1957" s="75"/>
      <c r="J1957" s="71" t="s">
        <v>18873</v>
      </c>
      <c r="K1957" s="88" t="s">
        <v>18874</v>
      </c>
      <c r="L1957" s="65" t="s">
        <v>3542</v>
      </c>
      <c r="M1957" s="61" t="s">
        <v>5827</v>
      </c>
      <c r="N1957" s="73"/>
      <c r="O1957" s="61" t="s">
        <v>7550</v>
      </c>
      <c r="P1957" s="67" t="str">
        <f>IF(ISBLANK(D1956), "", CONCATENATE(D1956,", ", E1956))</f>
        <v>50.891786, 34.755201</v>
      </c>
      <c r="Q1957" s="67" t="str">
        <f>IF(ISBLANK(D1956),"",CONCATENATE(R1957, ", ", S1957))</f>
        <v>50.891591, 34.756178</v>
      </c>
      <c r="R1957" s="67">
        <f>IFERROR(IF(ISBLANK(D1956), "", ROUND(D1956-0.00001*SIN(MOD(POW(ROW()*1337,3/2),1)*PI())*(MOD(POW(ROW()*2337,3/2),1)*50+35),6)), "bad coordinate")</f>
        <v>50.891591</v>
      </c>
      <c r="S1957" s="67">
        <f>IFERROR(IF(ISBLANK(E1956), "", ROUND(E1956+0.000015*COS(MOD(POW(ROW()*1337,3/2),1)*PI())*(MOD(POW(ROW()*2337,3/2),1)*50+35),6)), "bad coordinate")</f>
        <v>34.756178</v>
      </c>
      <c r="T1957" s="71" t="s">
        <v>18875</v>
      </c>
      <c r="U1957" s="69"/>
      <c r="V1957" s="65" t="s">
        <v>18876</v>
      </c>
      <c r="W1957" s="492" t="s">
        <v>9711</v>
      </c>
      <c r="X1957" s="72" t="s">
        <v>5504</v>
      </c>
      <c r="Y1957" s="73"/>
      <c r="Z1957" s="73"/>
      <c r="AA1957" s="73"/>
      <c r="AB1957" s="73"/>
      <c r="AC1957" s="73"/>
      <c r="AD1957" s="73"/>
      <c r="AE1957" s="73"/>
      <c r="AF1957" s="73"/>
      <c r="AG1957" s="73"/>
      <c r="AH1957" s="73"/>
      <c r="AI1957" s="73"/>
      <c r="AJ1957" s="161"/>
      <c r="AK1957" s="76" t="s">
        <v>798</v>
      </c>
      <c r="AL1957" s="83" t="s">
        <v>18877</v>
      </c>
      <c r="AM1957" s="71" t="s">
        <v>18878</v>
      </c>
      <c r="AN1957" s="84" t="s">
        <v>18879</v>
      </c>
      <c r="AO1957" s="71" t="s">
        <v>18880</v>
      </c>
      <c r="AP1957" s="161" t="str">
        <f>IMAGE("https://bellingcat-archive.nyc3.cdn.digitaloceanspaces.com/Ukraine_Witness_Datasheet/Worksheet/youtube_dl_1500842733048668172/out7.jpg")</f>
        <v/>
      </c>
      <c r="AQ1957" s="84" t="s">
        <v>18881</v>
      </c>
      <c r="AR1957" s="71" t="s">
        <v>18882</v>
      </c>
      <c r="AS1957" s="71" t="s">
        <v>18883</v>
      </c>
      <c r="AT1957" s="71">
        <v>12.166</v>
      </c>
      <c r="AU1957" s="89"/>
      <c r="AV1957" s="80" t="s">
        <v>3944</v>
      </c>
      <c r="AW1957" s="203"/>
    </row>
    <row r="1958" ht="15.75" customHeight="1">
      <c r="A1958" s="204" t="s">
        <v>63</v>
      </c>
      <c r="B1958" s="73"/>
      <c r="C1958" s="57" t="s">
        <v>15275</v>
      </c>
      <c r="D1958" s="104">
        <v>52.454997</v>
      </c>
      <c r="E1958" s="66">
        <v>30.985731</v>
      </c>
      <c r="F1958" s="79">
        <v>1.0</v>
      </c>
      <c r="G1958" s="84" t="s">
        <v>18884</v>
      </c>
      <c r="H1958" s="61" t="s">
        <v>91</v>
      </c>
      <c r="I1958" s="75"/>
      <c r="J1958" s="71" t="s">
        <v>18885</v>
      </c>
      <c r="K1958" s="88" t="s">
        <v>18886</v>
      </c>
      <c r="L1958" s="65" t="s">
        <v>69</v>
      </c>
      <c r="M1958" s="73"/>
      <c r="N1958" s="73"/>
      <c r="O1958" s="61" t="s">
        <v>18887</v>
      </c>
      <c r="P1958" s="67" t="str">
        <f t="shared" ref="P1958:P1962" si="38">IF(ISBLANK(D1958), "", CONCATENATE(D1958,", ", E1958))</f>
        <v>52.454997, 30.985731</v>
      </c>
      <c r="Q1958" s="67" t="str">
        <f t="shared" ref="Q1958:Q1969" si="39">IF(ISBLANK(D1958),"",CONCATENATE(R1958, ", ", S1958))</f>
        <v>52.454267, 30.986049</v>
      </c>
      <c r="R1958" s="67">
        <f t="shared" ref="R1958:R1969" si="40">IFERROR(IF(ISBLANK(D1958), "", ROUND(D1958-0.00001*SIN(MOD(POW(ROW()*1337,3/2),1)*PI())*(MOD(POW(ROW()*2337,3/2),1)*50+35),6)), "bad coordinate")</f>
        <v>52.454267</v>
      </c>
      <c r="S1958" s="67">
        <f t="shared" ref="S1958:S1969" si="41">IFERROR(IF(ISBLANK(E1958), "", ROUND(E1958+0.000015*COS(MOD(POW(ROW()*1337,3/2),1)*PI())*(MOD(POW(ROW()*2337,3/2),1)*50+35),6)), "bad coordinate")</f>
        <v>30.986049</v>
      </c>
      <c r="T1958" s="161"/>
      <c r="U1958" s="69"/>
      <c r="V1958" s="65" t="s">
        <v>18888</v>
      </c>
      <c r="W1958" s="71" t="s">
        <v>5858</v>
      </c>
      <c r="X1958" s="72" t="s">
        <v>5504</v>
      </c>
      <c r="Y1958" s="73"/>
      <c r="Z1958" s="73"/>
      <c r="AA1958" s="73"/>
      <c r="AB1958" s="73"/>
      <c r="AC1958" s="73"/>
      <c r="AD1958" s="73"/>
      <c r="AE1958" s="73"/>
      <c r="AF1958" s="73"/>
      <c r="AG1958" s="73"/>
      <c r="AH1958" s="73"/>
      <c r="AI1958" s="73"/>
      <c r="AJ1958" s="161"/>
      <c r="AK1958" s="76" t="s">
        <v>2108</v>
      </c>
      <c r="AL1958" s="83" t="s">
        <v>18889</v>
      </c>
      <c r="AM1958" s="71" t="s">
        <v>18890</v>
      </c>
      <c r="AN1958" s="84" t="s">
        <v>18891</v>
      </c>
      <c r="AO1958" s="71" t="s">
        <v>18892</v>
      </c>
      <c r="AP1958" s="161" t="str">
        <f>IMAGE("https://bellingcat-archive.nyc3.cdn.digitaloceanspaces.com/Ukraine_Witness_Datasheet/Worksheet/twitter__media_FNO3LpfXwAEcVvU.jpg")</f>
        <v/>
      </c>
      <c r="AQ1958" s="161"/>
      <c r="AR1958" s="161"/>
      <c r="AS1958" s="71" t="s">
        <v>18893</v>
      </c>
      <c r="AT1958" s="161"/>
      <c r="AU1958" s="89"/>
      <c r="AV1958" s="80" t="s">
        <v>3944</v>
      </c>
      <c r="AW1958" s="203"/>
    </row>
    <row r="1959" ht="15.75" customHeight="1">
      <c r="A1959" s="204" t="s">
        <v>63</v>
      </c>
      <c r="B1959" s="73"/>
      <c r="C1959" s="57" t="s">
        <v>15275</v>
      </c>
      <c r="D1959" s="104">
        <v>49.682598</v>
      </c>
      <c r="E1959" s="66">
        <v>37.170214</v>
      </c>
      <c r="F1959" s="79">
        <v>2.0</v>
      </c>
      <c r="G1959" s="84" t="s">
        <v>18894</v>
      </c>
      <c r="H1959" s="61" t="s">
        <v>5522</v>
      </c>
      <c r="I1959" s="75"/>
      <c r="J1959" s="71" t="s">
        <v>18895</v>
      </c>
      <c r="K1959" s="88" t="s">
        <v>18896</v>
      </c>
      <c r="L1959" s="65" t="s">
        <v>3542</v>
      </c>
      <c r="M1959" s="61" t="s">
        <v>5590</v>
      </c>
      <c r="N1959" s="73"/>
      <c r="O1959" s="61" t="s">
        <v>10935</v>
      </c>
      <c r="P1959" s="67" t="str">
        <f t="shared" si="38"/>
        <v>49.682598, 37.170214</v>
      </c>
      <c r="Q1959" s="67" t="str">
        <f t="shared" si="39"/>
        <v>49.68191, 37.170777</v>
      </c>
      <c r="R1959" s="67">
        <f t="shared" si="40"/>
        <v>49.68191</v>
      </c>
      <c r="S1959" s="67">
        <f t="shared" si="41"/>
        <v>37.170777</v>
      </c>
      <c r="T1959" s="161"/>
      <c r="U1959" s="69"/>
      <c r="V1959" s="65" t="s">
        <v>18897</v>
      </c>
      <c r="W1959" s="468" t="s">
        <v>7571</v>
      </c>
      <c r="X1959" s="72" t="s">
        <v>5504</v>
      </c>
      <c r="Y1959" s="61" t="s">
        <v>5820</v>
      </c>
      <c r="Z1959" s="73"/>
      <c r="AA1959" s="73"/>
      <c r="AB1959" s="73"/>
      <c r="AC1959" s="73"/>
      <c r="AD1959" s="73"/>
      <c r="AE1959" s="73"/>
      <c r="AF1959" s="73"/>
      <c r="AG1959" s="73"/>
      <c r="AH1959" s="73"/>
      <c r="AI1959" s="73"/>
      <c r="AJ1959" s="161"/>
      <c r="AK1959" s="76" t="s">
        <v>798</v>
      </c>
      <c r="AL1959" s="83" t="s">
        <v>18898</v>
      </c>
      <c r="AM1959" s="71" t="s">
        <v>18899</v>
      </c>
      <c r="AN1959" s="84" t="s">
        <v>18900</v>
      </c>
      <c r="AO1959" s="71" t="s">
        <v>18901</v>
      </c>
      <c r="AP1959" s="161" t="str">
        <f>IMAGE("https://bellingcat-archive.nyc3.cdn.digitaloceanspaces.com/Ukraine_Witness_Datasheet/Worksheet/youtube_dl_1500797349878190084/out20.jpg")</f>
        <v/>
      </c>
      <c r="AQ1959" s="84" t="s">
        <v>18902</v>
      </c>
      <c r="AR1959" s="71" t="s">
        <v>18903</v>
      </c>
      <c r="AS1959" s="71" t="s">
        <v>18904</v>
      </c>
      <c r="AT1959" s="71">
        <v>111.804</v>
      </c>
      <c r="AU1959" s="89"/>
      <c r="AV1959" s="80" t="s">
        <v>3944</v>
      </c>
      <c r="AW1959" s="203"/>
    </row>
    <row r="1960" ht="15.75" customHeight="1">
      <c r="A1960" s="72" t="s">
        <v>5457</v>
      </c>
      <c r="B1960" s="73"/>
      <c r="C1960" s="57" t="s">
        <v>18286</v>
      </c>
      <c r="D1960" s="104">
        <v>46.668322</v>
      </c>
      <c r="E1960" s="74">
        <v>32.631646</v>
      </c>
      <c r="F1960" s="79">
        <v>1.0</v>
      </c>
      <c r="G1960" s="130" t="s">
        <v>18905</v>
      </c>
      <c r="H1960" s="61" t="s">
        <v>5522</v>
      </c>
      <c r="I1960" s="75"/>
      <c r="J1960" s="71" t="s">
        <v>18906</v>
      </c>
      <c r="K1960" s="69"/>
      <c r="L1960" s="65" t="s">
        <v>3542</v>
      </c>
      <c r="M1960" s="65" t="s">
        <v>5702</v>
      </c>
      <c r="N1960" s="65"/>
      <c r="O1960" s="65" t="s">
        <v>7098</v>
      </c>
      <c r="P1960" s="67" t="str">
        <f t="shared" si="38"/>
        <v>46.668322, 32.631646</v>
      </c>
      <c r="Q1960" s="67" t="str">
        <f t="shared" si="39"/>
        <v>46.667889, 32.631251</v>
      </c>
      <c r="R1960" s="67">
        <f t="shared" si="40"/>
        <v>46.667889</v>
      </c>
      <c r="S1960" s="67">
        <f t="shared" si="41"/>
        <v>32.631251</v>
      </c>
      <c r="T1960" s="161"/>
      <c r="U1960" s="69"/>
      <c r="V1960" s="65" t="s">
        <v>18907</v>
      </c>
      <c r="W1960" s="71" t="s">
        <v>5858</v>
      </c>
      <c r="X1960" s="72" t="s">
        <v>5504</v>
      </c>
      <c r="Y1960" s="61" t="s">
        <v>5820</v>
      </c>
      <c r="Z1960" s="73"/>
      <c r="AA1960" s="73"/>
      <c r="AB1960" s="73"/>
      <c r="AC1960" s="73"/>
      <c r="AD1960" s="73"/>
      <c r="AE1960" s="73"/>
      <c r="AF1960" s="73"/>
      <c r="AG1960" s="73"/>
      <c r="AH1960" s="73"/>
      <c r="AI1960" s="73"/>
      <c r="AJ1960" s="161"/>
      <c r="AK1960" s="76" t="s">
        <v>798</v>
      </c>
      <c r="AL1960" s="83" t="s">
        <v>18908</v>
      </c>
      <c r="AM1960" s="71" t="s">
        <v>18909</v>
      </c>
      <c r="AN1960" s="84" t="s">
        <v>18910</v>
      </c>
      <c r="AO1960" s="71" t="s">
        <v>18911</v>
      </c>
      <c r="AP1960" s="161" t="str">
        <f>IMAGE("https://bellingcat-archive.nyc3.cdn.digitaloceanspaces.com/Ukraine_Witness_Datasheet/Worksheet/youtube_dl_1501545844457283585/out7.jpg")</f>
        <v/>
      </c>
      <c r="AQ1960" s="84" t="s">
        <v>18912</v>
      </c>
      <c r="AR1960" s="71" t="s">
        <v>18913</v>
      </c>
      <c r="AS1960" s="71" t="s">
        <v>18914</v>
      </c>
      <c r="AT1960" s="71">
        <v>13.696</v>
      </c>
      <c r="AU1960" s="89"/>
      <c r="AV1960" s="80" t="s">
        <v>3944</v>
      </c>
      <c r="AW1960" s="203"/>
    </row>
    <row r="1961" ht="15.75" customHeight="1">
      <c r="A1961" s="426" t="s">
        <v>63</v>
      </c>
      <c r="B1961" s="73"/>
      <c r="C1961" s="57" t="s">
        <v>15275</v>
      </c>
      <c r="D1961" s="104">
        <v>50.04478714</v>
      </c>
      <c r="E1961" s="104">
        <v>36.27931384</v>
      </c>
      <c r="F1961" s="79">
        <v>2.0</v>
      </c>
      <c r="G1961" s="84" t="s">
        <v>18915</v>
      </c>
      <c r="H1961" s="61" t="s">
        <v>5522</v>
      </c>
      <c r="I1961" s="75"/>
      <c r="J1961" s="71" t="s">
        <v>18916</v>
      </c>
      <c r="K1961" s="88" t="s">
        <v>18917</v>
      </c>
      <c r="L1961" s="65" t="s">
        <v>3542</v>
      </c>
      <c r="M1961" s="61" t="s">
        <v>5590</v>
      </c>
      <c r="N1961" s="73"/>
      <c r="O1961" s="61" t="s">
        <v>5626</v>
      </c>
      <c r="P1961" s="67" t="str">
        <f t="shared" si="38"/>
        <v>50.04478714, 36.27931384</v>
      </c>
      <c r="Q1961" s="67" t="str">
        <f t="shared" si="39"/>
        <v>50.04439, 36.280148</v>
      </c>
      <c r="R1961" s="67">
        <f t="shared" si="40"/>
        <v>50.04439</v>
      </c>
      <c r="S1961" s="67">
        <f t="shared" si="41"/>
        <v>36.280148</v>
      </c>
      <c r="T1961" s="161"/>
      <c r="U1961" s="69"/>
      <c r="V1961" s="65" t="s">
        <v>18918</v>
      </c>
      <c r="W1961" s="71" t="s">
        <v>3601</v>
      </c>
      <c r="X1961" s="72" t="s">
        <v>5504</v>
      </c>
      <c r="Y1961" s="73"/>
      <c r="Z1961" s="73"/>
      <c r="AA1961" s="73"/>
      <c r="AB1961" s="73"/>
      <c r="AC1961" s="73"/>
      <c r="AD1961" s="73"/>
      <c r="AE1961" s="73"/>
      <c r="AF1961" s="73"/>
      <c r="AG1961" s="73"/>
      <c r="AH1961" s="73"/>
      <c r="AI1961" s="73"/>
      <c r="AJ1961" s="161"/>
      <c r="AK1961" s="76" t="s">
        <v>798</v>
      </c>
      <c r="AL1961" s="83" t="s">
        <v>18919</v>
      </c>
      <c r="AM1961" s="71" t="s">
        <v>18920</v>
      </c>
      <c r="AN1961" s="84" t="s">
        <v>18921</v>
      </c>
      <c r="AO1961" s="71" t="s">
        <v>18922</v>
      </c>
      <c r="AP1961" s="161" t="str">
        <f>IMAGE("https://bellingcat-archive.nyc3.cdn.digitaloceanspaces.com/Ukraine_Witness_Datasheet/Worksheet/youtube_dl_1500810192086306816/out7.jpg")</f>
        <v/>
      </c>
      <c r="AQ1961" s="84" t="s">
        <v>18923</v>
      </c>
      <c r="AR1961" s="71" t="s">
        <v>18924</v>
      </c>
      <c r="AS1961" s="71" t="s">
        <v>18925</v>
      </c>
      <c r="AT1961" s="71">
        <v>20.566</v>
      </c>
      <c r="AU1961" s="89"/>
      <c r="AV1961" s="80" t="s">
        <v>3944</v>
      </c>
      <c r="AW1961" s="203"/>
    </row>
    <row r="1962" ht="15.75" customHeight="1">
      <c r="A1962" s="349" t="s">
        <v>9566</v>
      </c>
      <c r="B1962" s="73"/>
      <c r="C1962" s="57" t="s">
        <v>12050</v>
      </c>
      <c r="D1962" s="241" t="s">
        <v>13554</v>
      </c>
      <c r="E1962" s="241" t="s">
        <v>13555</v>
      </c>
      <c r="F1962" s="79">
        <v>3.0</v>
      </c>
      <c r="G1962" s="83" t="s">
        <v>18926</v>
      </c>
      <c r="H1962" s="73"/>
      <c r="I1962" s="215" t="s">
        <v>13557</v>
      </c>
      <c r="J1962" s="476" t="s">
        <v>13558</v>
      </c>
      <c r="K1962" s="69"/>
      <c r="L1962" s="70"/>
      <c r="M1962" s="73"/>
      <c r="N1962" s="73"/>
      <c r="O1962" s="73"/>
      <c r="P1962" s="67" t="str">
        <f t="shared" si="38"/>
        <v>51.500056, 31.27828</v>
      </c>
      <c r="Q1962" s="67" t="str">
        <f t="shared" si="39"/>
        <v>51.499595, 31.277775</v>
      </c>
      <c r="R1962" s="67">
        <f t="shared" si="40"/>
        <v>51.499595</v>
      </c>
      <c r="S1962" s="67">
        <f t="shared" si="41"/>
        <v>31.277775</v>
      </c>
      <c r="T1962" s="161"/>
      <c r="U1962" s="69"/>
      <c r="V1962" s="65" t="s">
        <v>18927</v>
      </c>
      <c r="W1962" s="71" t="s">
        <v>3601</v>
      </c>
      <c r="X1962" s="72" t="s">
        <v>5504</v>
      </c>
      <c r="Y1962" s="216" t="s">
        <v>5820</v>
      </c>
      <c r="Z1962" s="73"/>
      <c r="AA1962" s="73"/>
      <c r="AB1962" s="73"/>
      <c r="AC1962" s="73"/>
      <c r="AD1962" s="73"/>
      <c r="AE1962" s="73"/>
      <c r="AF1962" s="73"/>
      <c r="AG1962" s="73"/>
      <c r="AH1962" s="73"/>
      <c r="AI1962" s="73"/>
      <c r="AJ1962" s="161"/>
      <c r="AK1962" s="76" t="s">
        <v>1261</v>
      </c>
      <c r="AL1962" s="83" t="s">
        <v>18928</v>
      </c>
      <c r="AM1962" s="71" t="s">
        <v>18929</v>
      </c>
      <c r="AN1962" s="84" t="s">
        <v>18930</v>
      </c>
      <c r="AO1962" s="161"/>
      <c r="AP1962" s="161"/>
      <c r="AQ1962" s="161"/>
      <c r="AR1962" s="71" t="s">
        <v>18931</v>
      </c>
      <c r="AS1962" s="161"/>
      <c r="AT1962" s="161"/>
      <c r="AU1962" s="89"/>
      <c r="AV1962" s="80" t="s">
        <v>3944</v>
      </c>
      <c r="AW1962" s="203"/>
    </row>
    <row r="1963" ht="15.75" customHeight="1">
      <c r="A1963" s="373" t="s">
        <v>6924</v>
      </c>
      <c r="B1963" s="73"/>
      <c r="C1963" s="57" t="s">
        <v>18286</v>
      </c>
      <c r="D1963" s="260"/>
      <c r="E1963" s="260"/>
      <c r="F1963" s="89"/>
      <c r="G1963" s="83" t="s">
        <v>18932</v>
      </c>
      <c r="H1963" s="73"/>
      <c r="I1963" s="215" t="s">
        <v>18933</v>
      </c>
      <c r="J1963" s="476" t="s">
        <v>18934</v>
      </c>
      <c r="K1963" s="69"/>
      <c r="L1963" s="70"/>
      <c r="M1963" s="73"/>
      <c r="N1963" s="73"/>
      <c r="O1963" s="73"/>
      <c r="P1963" s="67" t="str">
        <f>IF(ISBLANK(D1962), "", CONCATENATE(D1962,", ", E1962))</f>
        <v>51.500056, 31.27828</v>
      </c>
      <c r="Q1963" s="67" t="str">
        <f t="shared" si="39"/>
        <v/>
      </c>
      <c r="R1963" s="67" t="str">
        <f t="shared" si="40"/>
        <v/>
      </c>
      <c r="S1963" s="67" t="str">
        <f t="shared" si="41"/>
        <v/>
      </c>
      <c r="T1963" s="161"/>
      <c r="U1963" s="69"/>
      <c r="V1963" s="65" t="s">
        <v>18935</v>
      </c>
      <c r="W1963" s="161"/>
      <c r="X1963" s="194"/>
      <c r="Y1963" s="216" t="s">
        <v>5820</v>
      </c>
      <c r="Z1963" s="73"/>
      <c r="AA1963" s="73"/>
      <c r="AB1963" s="73"/>
      <c r="AC1963" s="73"/>
      <c r="AD1963" s="73"/>
      <c r="AE1963" s="73"/>
      <c r="AF1963" s="73"/>
      <c r="AG1963" s="73"/>
      <c r="AH1963" s="73"/>
      <c r="AI1963" s="73"/>
      <c r="AJ1963" s="161"/>
      <c r="AK1963" s="76" t="s">
        <v>6276</v>
      </c>
      <c r="AL1963" s="83" t="s">
        <v>18936</v>
      </c>
      <c r="AM1963" s="71" t="s">
        <v>18937</v>
      </c>
      <c r="AN1963" s="84" t="s">
        <v>18938</v>
      </c>
      <c r="AO1963" s="71" t="s">
        <v>18939</v>
      </c>
      <c r="AP1963" s="161"/>
      <c r="AQ1963" s="161"/>
      <c r="AR1963" s="161"/>
      <c r="AS1963" s="71" t="s">
        <v>18940</v>
      </c>
      <c r="AT1963" s="161"/>
      <c r="AU1963" s="89"/>
      <c r="AV1963" s="162"/>
      <c r="AW1963" s="81"/>
    </row>
    <row r="1964" ht="15.75" customHeight="1">
      <c r="A1964" s="373" t="s">
        <v>6924</v>
      </c>
      <c r="B1964" s="73"/>
      <c r="C1964" s="57" t="s">
        <v>18286</v>
      </c>
      <c r="D1964" s="260"/>
      <c r="E1964" s="260"/>
      <c r="F1964" s="89"/>
      <c r="G1964" s="83" t="s">
        <v>18941</v>
      </c>
      <c r="H1964" s="73"/>
      <c r="I1964" s="215" t="s">
        <v>18933</v>
      </c>
      <c r="J1964" s="476" t="s">
        <v>18934</v>
      </c>
      <c r="K1964" s="69"/>
      <c r="L1964" s="70"/>
      <c r="M1964" s="73"/>
      <c r="N1964" s="73"/>
      <c r="O1964" s="73"/>
      <c r="P1964" s="67" t="str">
        <f t="shared" ref="P1964:P1968" si="42">IF(ISBLANK(D1964), "", CONCATENATE(D1964,", ", E1964))</f>
        <v/>
      </c>
      <c r="Q1964" s="67" t="str">
        <f t="shared" si="39"/>
        <v/>
      </c>
      <c r="R1964" s="67" t="str">
        <f t="shared" si="40"/>
        <v/>
      </c>
      <c r="S1964" s="67" t="str">
        <f t="shared" si="41"/>
        <v/>
      </c>
      <c r="T1964" s="161"/>
      <c r="U1964" s="69"/>
      <c r="V1964" s="65" t="s">
        <v>18942</v>
      </c>
      <c r="W1964" s="161"/>
      <c r="X1964" s="194"/>
      <c r="Y1964" s="216" t="s">
        <v>5820</v>
      </c>
      <c r="Z1964" s="73"/>
      <c r="AA1964" s="73"/>
      <c r="AB1964" s="73"/>
      <c r="AC1964" s="73"/>
      <c r="AD1964" s="73"/>
      <c r="AE1964" s="73"/>
      <c r="AF1964" s="73"/>
      <c r="AG1964" s="73"/>
      <c r="AH1964" s="73"/>
      <c r="AI1964" s="73"/>
      <c r="AJ1964" s="161"/>
      <c r="AK1964" s="76" t="s">
        <v>798</v>
      </c>
      <c r="AL1964" s="83" t="s">
        <v>18943</v>
      </c>
      <c r="AM1964" s="71" t="s">
        <v>18944</v>
      </c>
      <c r="AN1964" s="84" t="s">
        <v>18945</v>
      </c>
      <c r="AO1964" s="71" t="s">
        <v>18946</v>
      </c>
      <c r="AP1964" s="161" t="str">
        <f t="shared" ref="AP1964:AP1965" si="43">IMAGE("https://bellingcat-archive.nyc3.cdn.digitaloceanspaces.com/Ukraine_Witness_Datasheet/Worksheet/youtube_dl_1501443803722440711/out7.jpg")</f>
        <v/>
      </c>
      <c r="AQ1964" s="84" t="s">
        <v>18947</v>
      </c>
      <c r="AR1964" s="71" t="s">
        <v>18948</v>
      </c>
      <c r="AS1964" s="71" t="s">
        <v>18949</v>
      </c>
      <c r="AT1964" s="71">
        <v>11.156</v>
      </c>
      <c r="AU1964" s="89"/>
      <c r="AV1964" s="162"/>
      <c r="AW1964" s="81"/>
    </row>
    <row r="1965" ht="15.75" customHeight="1">
      <c r="A1965" s="373" t="s">
        <v>6924</v>
      </c>
      <c r="B1965" s="73"/>
      <c r="C1965" s="57" t="s">
        <v>18286</v>
      </c>
      <c r="D1965" s="260"/>
      <c r="E1965" s="260"/>
      <c r="F1965" s="89"/>
      <c r="G1965" s="83" t="s">
        <v>18941</v>
      </c>
      <c r="H1965" s="73"/>
      <c r="I1965" s="215" t="s">
        <v>18950</v>
      </c>
      <c r="J1965" s="476" t="s">
        <v>18951</v>
      </c>
      <c r="K1965" s="69"/>
      <c r="L1965" s="70"/>
      <c r="M1965" s="73"/>
      <c r="N1965" s="73"/>
      <c r="O1965" s="73"/>
      <c r="P1965" s="67" t="str">
        <f t="shared" si="42"/>
        <v/>
      </c>
      <c r="Q1965" s="67" t="str">
        <f t="shared" si="39"/>
        <v/>
      </c>
      <c r="R1965" s="67" t="str">
        <f t="shared" si="40"/>
        <v/>
      </c>
      <c r="S1965" s="67" t="str">
        <f t="shared" si="41"/>
        <v/>
      </c>
      <c r="T1965" s="161"/>
      <c r="U1965" s="69"/>
      <c r="V1965" s="65" t="s">
        <v>18952</v>
      </c>
      <c r="W1965" s="161"/>
      <c r="X1965" s="194"/>
      <c r="Y1965" s="216" t="s">
        <v>5820</v>
      </c>
      <c r="Z1965" s="73"/>
      <c r="AA1965" s="73"/>
      <c r="AB1965" s="73"/>
      <c r="AC1965" s="73"/>
      <c r="AD1965" s="73"/>
      <c r="AE1965" s="73"/>
      <c r="AF1965" s="73"/>
      <c r="AG1965" s="73"/>
      <c r="AH1965" s="73"/>
      <c r="AI1965" s="73"/>
      <c r="AJ1965" s="161"/>
      <c r="AK1965" s="76" t="s">
        <v>930</v>
      </c>
      <c r="AL1965" s="83" t="s">
        <v>18943</v>
      </c>
      <c r="AM1965" s="71" t="s">
        <v>18953</v>
      </c>
      <c r="AN1965" s="84" t="s">
        <v>18954</v>
      </c>
      <c r="AO1965" s="71" t="s">
        <v>18946</v>
      </c>
      <c r="AP1965" s="161" t="str">
        <f t="shared" si="43"/>
        <v/>
      </c>
      <c r="AQ1965" s="84" t="s">
        <v>18947</v>
      </c>
      <c r="AR1965" s="71" t="s">
        <v>18948</v>
      </c>
      <c r="AS1965" s="71" t="s">
        <v>18949</v>
      </c>
      <c r="AT1965" s="71">
        <v>11.156</v>
      </c>
      <c r="AU1965" s="89"/>
      <c r="AV1965" s="162"/>
      <c r="AW1965" s="81"/>
    </row>
    <row r="1966" ht="15.75" customHeight="1">
      <c r="A1966" s="373" t="s">
        <v>6924</v>
      </c>
      <c r="B1966" s="73"/>
      <c r="C1966" s="57" t="s">
        <v>18286</v>
      </c>
      <c r="D1966" s="260"/>
      <c r="E1966" s="260"/>
      <c r="F1966" s="89"/>
      <c r="G1966" s="83" t="s">
        <v>18955</v>
      </c>
      <c r="H1966" s="73"/>
      <c r="I1966" s="215" t="s">
        <v>18950</v>
      </c>
      <c r="J1966" s="476" t="s">
        <v>18951</v>
      </c>
      <c r="K1966" s="69"/>
      <c r="L1966" s="70"/>
      <c r="M1966" s="73"/>
      <c r="N1966" s="73"/>
      <c r="O1966" s="73"/>
      <c r="P1966" s="67" t="str">
        <f t="shared" si="42"/>
        <v/>
      </c>
      <c r="Q1966" s="67" t="str">
        <f t="shared" si="39"/>
        <v/>
      </c>
      <c r="R1966" s="67" t="str">
        <f t="shared" si="40"/>
        <v/>
      </c>
      <c r="S1966" s="67" t="str">
        <f t="shared" si="41"/>
        <v/>
      </c>
      <c r="T1966" s="161"/>
      <c r="U1966" s="69"/>
      <c r="V1966" s="65" t="s">
        <v>18956</v>
      </c>
      <c r="W1966" s="161"/>
      <c r="X1966" s="194"/>
      <c r="Y1966" s="216" t="s">
        <v>5820</v>
      </c>
      <c r="Z1966" s="73"/>
      <c r="AA1966" s="73"/>
      <c r="AB1966" s="73"/>
      <c r="AC1966" s="73"/>
      <c r="AD1966" s="73"/>
      <c r="AE1966" s="73"/>
      <c r="AF1966" s="73"/>
      <c r="AG1966" s="73"/>
      <c r="AH1966" s="73"/>
      <c r="AI1966" s="73"/>
      <c r="AJ1966" s="161"/>
      <c r="AK1966" s="76" t="s">
        <v>6276</v>
      </c>
      <c r="AL1966" s="83" t="s">
        <v>18957</v>
      </c>
      <c r="AM1966" s="71" t="s">
        <v>18958</v>
      </c>
      <c r="AN1966" s="84" t="s">
        <v>18959</v>
      </c>
      <c r="AO1966" s="71" t="s">
        <v>18960</v>
      </c>
      <c r="AP1966" s="161" t="str">
        <f>IMAGE("https://bellingcat-archive.nyc3.cdn.digitaloceanspaces.com/Ukraine_Witness_Datasheet/Worksheet/telegram_15e2790352/out7.jpg")</f>
        <v/>
      </c>
      <c r="AQ1966" s="84" t="s">
        <v>18961</v>
      </c>
      <c r="AR1966" s="84" t="s">
        <v>18955</v>
      </c>
      <c r="AS1966" s="71" t="s">
        <v>18962</v>
      </c>
      <c r="AT1966" s="71">
        <v>10.0</v>
      </c>
      <c r="AU1966" s="89"/>
      <c r="AV1966" s="162"/>
      <c r="AW1966" s="81"/>
    </row>
    <row r="1967" ht="15.75" customHeight="1">
      <c r="A1967" s="373" t="s">
        <v>6924</v>
      </c>
      <c r="B1967" s="73"/>
      <c r="C1967" s="57" t="s">
        <v>18286</v>
      </c>
      <c r="D1967" s="260"/>
      <c r="E1967" s="260"/>
      <c r="F1967" s="89"/>
      <c r="G1967" s="83" t="s">
        <v>18963</v>
      </c>
      <c r="H1967" s="73"/>
      <c r="I1967" s="215" t="s">
        <v>18950</v>
      </c>
      <c r="J1967" s="476" t="s">
        <v>18951</v>
      </c>
      <c r="K1967" s="69"/>
      <c r="L1967" s="70"/>
      <c r="M1967" s="73"/>
      <c r="N1967" s="73"/>
      <c r="O1967" s="73"/>
      <c r="P1967" s="67" t="str">
        <f t="shared" si="42"/>
        <v/>
      </c>
      <c r="Q1967" s="67" t="str">
        <f t="shared" si="39"/>
        <v/>
      </c>
      <c r="R1967" s="67" t="str">
        <f t="shared" si="40"/>
        <v/>
      </c>
      <c r="S1967" s="67" t="str">
        <f t="shared" si="41"/>
        <v/>
      </c>
      <c r="T1967" s="161"/>
      <c r="U1967" s="69"/>
      <c r="V1967" s="65" t="s">
        <v>18964</v>
      </c>
      <c r="W1967" s="161"/>
      <c r="X1967" s="194"/>
      <c r="Y1967" s="216" t="s">
        <v>5820</v>
      </c>
      <c r="Z1967" s="73"/>
      <c r="AA1967" s="73"/>
      <c r="AB1967" s="73"/>
      <c r="AC1967" s="73"/>
      <c r="AD1967" s="73"/>
      <c r="AE1967" s="73"/>
      <c r="AF1967" s="73"/>
      <c r="AG1967" s="73"/>
      <c r="AH1967" s="73"/>
      <c r="AI1967" s="73"/>
      <c r="AJ1967" s="161"/>
      <c r="AK1967" s="76" t="s">
        <v>2108</v>
      </c>
      <c r="AL1967" s="83" t="s">
        <v>18965</v>
      </c>
      <c r="AM1967" s="71" t="s">
        <v>18966</v>
      </c>
      <c r="AN1967" s="84" t="s">
        <v>18967</v>
      </c>
      <c r="AO1967" s="71" t="s">
        <v>18968</v>
      </c>
      <c r="AP1967" s="161" t="str">
        <f>IMAGE("https://bellingcat-archive.nyc3.cdn.digitaloceanspaces.com/Ukraine_Witness_Datasheet/Worksheet/twitter__media_FNaX0rMXwAAYuas.jpg")</f>
        <v/>
      </c>
      <c r="AQ1967" s="161"/>
      <c r="AR1967" s="161"/>
      <c r="AS1967" s="71" t="s">
        <v>18969</v>
      </c>
      <c r="AT1967" s="161"/>
      <c r="AU1967" s="89"/>
      <c r="AV1967" s="162"/>
      <c r="AW1967" s="81"/>
    </row>
    <row r="1968" ht="15.75" customHeight="1">
      <c r="A1968" s="373" t="s">
        <v>6924</v>
      </c>
      <c r="B1968" s="73"/>
      <c r="C1968" s="57" t="s">
        <v>18286</v>
      </c>
      <c r="D1968" s="260"/>
      <c r="E1968" s="260"/>
      <c r="F1968" s="89"/>
      <c r="G1968" s="83" t="s">
        <v>18970</v>
      </c>
      <c r="H1968" s="73"/>
      <c r="I1968" s="551" t="s">
        <v>18950</v>
      </c>
      <c r="J1968" s="476" t="s">
        <v>18951</v>
      </c>
      <c r="K1968" s="69"/>
      <c r="L1968" s="70"/>
      <c r="M1968" s="73"/>
      <c r="N1968" s="73"/>
      <c r="O1968" s="73"/>
      <c r="P1968" s="67" t="str">
        <f t="shared" si="42"/>
        <v/>
      </c>
      <c r="Q1968" s="67" t="str">
        <f t="shared" si="39"/>
        <v/>
      </c>
      <c r="R1968" s="67" t="str">
        <f t="shared" si="40"/>
        <v/>
      </c>
      <c r="S1968" s="67" t="str">
        <f t="shared" si="41"/>
        <v/>
      </c>
      <c r="T1968" s="161"/>
      <c r="U1968" s="69"/>
      <c r="V1968" s="65" t="s">
        <v>18971</v>
      </c>
      <c r="W1968" s="161"/>
      <c r="X1968" s="194"/>
      <c r="Y1968" s="216" t="s">
        <v>5820</v>
      </c>
      <c r="Z1968" s="73"/>
      <c r="AA1968" s="73"/>
      <c r="AB1968" s="73"/>
      <c r="AC1968" s="73"/>
      <c r="AD1968" s="73"/>
      <c r="AE1968" s="73"/>
      <c r="AF1968" s="73"/>
      <c r="AG1968" s="73"/>
      <c r="AH1968" s="73"/>
      <c r="AI1968" s="73"/>
      <c r="AJ1968" s="161"/>
      <c r="AK1968" s="76" t="s">
        <v>1261</v>
      </c>
      <c r="AL1968" s="83" t="s">
        <v>18972</v>
      </c>
      <c r="AM1968" s="71" t="s">
        <v>18973</v>
      </c>
      <c r="AN1968" s="84" t="s">
        <v>18974</v>
      </c>
      <c r="AO1968" s="161"/>
      <c r="AP1968" s="161"/>
      <c r="AQ1968" s="161"/>
      <c r="AR1968" s="71" t="s">
        <v>2228</v>
      </c>
      <c r="AS1968" s="161"/>
      <c r="AT1968" s="161"/>
      <c r="AU1968" s="89"/>
      <c r="AV1968" s="162"/>
      <c r="AW1968" s="81"/>
    </row>
    <row r="1969" ht="15.75" customHeight="1">
      <c r="A1969" s="373" t="s">
        <v>6924</v>
      </c>
      <c r="B1969" s="73"/>
      <c r="C1969" s="57" t="s">
        <v>18286</v>
      </c>
      <c r="D1969" s="260"/>
      <c r="E1969" s="260"/>
      <c r="F1969" s="89"/>
      <c r="G1969" s="83" t="s">
        <v>18975</v>
      </c>
      <c r="H1969" s="73"/>
      <c r="I1969" s="551" t="s">
        <v>18976</v>
      </c>
      <c r="J1969" s="476" t="s">
        <v>18977</v>
      </c>
      <c r="K1969" s="69"/>
      <c r="L1969" s="65"/>
      <c r="M1969" s="552"/>
      <c r="N1969" s="553"/>
      <c r="O1969" s="66"/>
      <c r="P1969" s="67" t="str">
        <f>IF(ISBLANK(D1968), "", CONCATENATE(D1968,", ", E1968))</f>
        <v/>
      </c>
      <c r="Q1969" s="67" t="str">
        <f t="shared" si="39"/>
        <v/>
      </c>
      <c r="R1969" s="67" t="str">
        <f t="shared" si="40"/>
        <v/>
      </c>
      <c r="S1969" s="67" t="str">
        <f t="shared" si="41"/>
        <v/>
      </c>
      <c r="T1969" s="554"/>
      <c r="U1969" s="69"/>
      <c r="V1969" s="65" t="s">
        <v>18978</v>
      </c>
      <c r="W1969" s="71"/>
      <c r="X1969" s="194"/>
      <c r="Y1969" s="216" t="s">
        <v>75</v>
      </c>
      <c r="Z1969" s="73"/>
      <c r="AA1969" s="73"/>
      <c r="AB1969" s="73"/>
      <c r="AC1969" s="73"/>
      <c r="AD1969" s="73"/>
      <c r="AE1969" s="73"/>
      <c r="AF1969" s="73"/>
      <c r="AG1969" s="73"/>
      <c r="AH1969" s="73"/>
      <c r="AI1969" s="73"/>
      <c r="AJ1969" s="161"/>
      <c r="AK1969" s="76" t="s">
        <v>1261</v>
      </c>
      <c r="AL1969" s="83" t="s">
        <v>18979</v>
      </c>
      <c r="AM1969" s="71" t="s">
        <v>18980</v>
      </c>
      <c r="AN1969" s="84" t="s">
        <v>18981</v>
      </c>
      <c r="AO1969" s="161"/>
      <c r="AP1969" s="161"/>
      <c r="AQ1969" s="161"/>
      <c r="AR1969" s="71" t="s">
        <v>15254</v>
      </c>
      <c r="AS1969" s="161"/>
      <c r="AT1969" s="161"/>
      <c r="AU1969" s="89"/>
      <c r="AV1969" s="162"/>
      <c r="AW1969" s="81"/>
    </row>
    <row r="1970" ht="15.75" customHeight="1">
      <c r="A1970" s="555" t="s">
        <v>6924</v>
      </c>
      <c r="B1970" s="73"/>
      <c r="C1970" s="216" t="s">
        <v>18286</v>
      </c>
      <c r="D1970" s="260"/>
      <c r="E1970" s="260"/>
      <c r="F1970" s="89"/>
      <c r="G1970" s="83" t="s">
        <v>18982</v>
      </c>
      <c r="H1970" s="73"/>
      <c r="I1970" s="551" t="s">
        <v>18976</v>
      </c>
      <c r="J1970" s="476" t="s">
        <v>18977</v>
      </c>
      <c r="K1970" s="69"/>
      <c r="L1970" s="61"/>
      <c r="M1970" s="61"/>
      <c r="N1970" s="73"/>
      <c r="O1970" s="66"/>
      <c r="P1970" s="67" t="str">
        <f t="shared" ref="P1970:P1974" si="44">IF(ISBLANK(D1970), "", CONCATENATE(D1970,", ", E1970))</f>
        <v/>
      </c>
      <c r="Q1970" s="67"/>
      <c r="R1970" s="67"/>
      <c r="S1970" s="67"/>
      <c r="T1970" s="161"/>
      <c r="U1970" s="69"/>
      <c r="V1970" s="65" t="s">
        <v>18983</v>
      </c>
      <c r="W1970" s="71"/>
      <c r="X1970" s="194"/>
      <c r="Y1970" s="216" t="s">
        <v>75</v>
      </c>
      <c r="Z1970" s="73"/>
      <c r="AA1970" s="73"/>
      <c r="AB1970" s="73"/>
      <c r="AC1970" s="73"/>
      <c r="AD1970" s="73"/>
      <c r="AE1970" s="73"/>
      <c r="AF1970" s="73"/>
      <c r="AG1970" s="73"/>
      <c r="AH1970" s="73"/>
      <c r="AI1970" s="73"/>
      <c r="AJ1970" s="161"/>
      <c r="AK1970" s="76" t="s">
        <v>1261</v>
      </c>
      <c r="AL1970" s="83" t="s">
        <v>18984</v>
      </c>
      <c r="AM1970" s="71" t="s">
        <v>18985</v>
      </c>
      <c r="AN1970" s="84" t="s">
        <v>18986</v>
      </c>
      <c r="AO1970" s="161"/>
      <c r="AP1970" s="161"/>
      <c r="AQ1970" s="161"/>
      <c r="AR1970" s="71" t="s">
        <v>15254</v>
      </c>
      <c r="AS1970" s="161"/>
      <c r="AT1970" s="161"/>
      <c r="AU1970" s="89"/>
      <c r="AV1970" s="162"/>
      <c r="AW1970" s="73"/>
    </row>
    <row r="1971" ht="15.75" customHeight="1">
      <c r="A1971" s="555" t="s">
        <v>6924</v>
      </c>
      <c r="B1971" s="73"/>
      <c r="C1971" s="216" t="s">
        <v>18286</v>
      </c>
      <c r="D1971" s="260"/>
      <c r="E1971" s="260"/>
      <c r="F1971" s="89"/>
      <c r="G1971" s="83" t="s">
        <v>18987</v>
      </c>
      <c r="H1971" s="73"/>
      <c r="I1971" s="551" t="s">
        <v>18988</v>
      </c>
      <c r="J1971" s="476" t="s">
        <v>18989</v>
      </c>
      <c r="K1971" s="69"/>
      <c r="L1971" s="61"/>
      <c r="M1971" s="61"/>
      <c r="N1971" s="73"/>
      <c r="O1971" s="66"/>
      <c r="P1971" s="67" t="str">
        <f t="shared" si="44"/>
        <v/>
      </c>
      <c r="Q1971" s="67"/>
      <c r="R1971" s="67"/>
      <c r="S1971" s="67"/>
      <c r="T1971" s="161"/>
      <c r="U1971" s="69"/>
      <c r="V1971" s="65" t="s">
        <v>18990</v>
      </c>
      <c r="W1971" s="71"/>
      <c r="X1971" s="194"/>
      <c r="Y1971" s="216" t="s">
        <v>5820</v>
      </c>
      <c r="Z1971" s="73"/>
      <c r="AA1971" s="73"/>
      <c r="AB1971" s="73"/>
      <c r="AC1971" s="73"/>
      <c r="AD1971" s="73"/>
      <c r="AE1971" s="73"/>
      <c r="AF1971" s="73"/>
      <c r="AG1971" s="73"/>
      <c r="AH1971" s="73"/>
      <c r="AI1971" s="73"/>
      <c r="AJ1971" s="161"/>
      <c r="AK1971" s="76" t="s">
        <v>6276</v>
      </c>
      <c r="AL1971" s="83" t="s">
        <v>18991</v>
      </c>
      <c r="AM1971" s="71" t="s">
        <v>18992</v>
      </c>
      <c r="AN1971" s="84" t="s">
        <v>18993</v>
      </c>
      <c r="AO1971" s="71" t="s">
        <v>18994</v>
      </c>
      <c r="AP1971" s="161" t="str">
        <f>IMAGE("https://bellingcat-archive.nyc3.cdn.digitaloceanspaces.com/Ukraine_Witness_Datasheet/Worksheet/telegram_-kSPbScmkmUQkoXn2VaL5Cl3wRVCAjXVMdOqYXNYN0DXEplw4tJ1ritphKIt9EfRulMI2x4AsQZWLJTRNtGLnjIMQEQHyGg3FrHZ1osYFJaeKWdZYijXF0MkF94jis4w.jpg")</f>
        <v/>
      </c>
      <c r="AQ1971" s="161"/>
      <c r="AR1971" s="161"/>
      <c r="AS1971" s="71" t="s">
        <v>18995</v>
      </c>
      <c r="AT1971" s="161"/>
      <c r="AU1971" s="89"/>
      <c r="AV1971" s="162"/>
      <c r="AW1971" s="73"/>
    </row>
    <row r="1972" ht="15.75" customHeight="1">
      <c r="A1972" s="556" t="s">
        <v>9566</v>
      </c>
      <c r="B1972" s="73"/>
      <c r="C1972" s="216" t="s">
        <v>18286</v>
      </c>
      <c r="D1972" s="241" t="s">
        <v>18996</v>
      </c>
      <c r="E1972" s="241" t="s">
        <v>18997</v>
      </c>
      <c r="F1972" s="89"/>
      <c r="G1972" s="83" t="s">
        <v>18998</v>
      </c>
      <c r="H1972" s="73"/>
      <c r="I1972" s="551" t="s">
        <v>18999</v>
      </c>
      <c r="J1972" s="476" t="s">
        <v>19000</v>
      </c>
      <c r="K1972" s="69"/>
      <c r="L1972" s="61"/>
      <c r="M1972" s="61"/>
      <c r="N1972" s="73"/>
      <c r="O1972" s="66"/>
      <c r="P1972" s="67" t="str">
        <f t="shared" si="44"/>
        <v>50.033172, 36.348792</v>
      </c>
      <c r="Q1972" s="67"/>
      <c r="R1972" s="67"/>
      <c r="S1972" s="67"/>
      <c r="T1972" s="84" t="s">
        <v>19001</v>
      </c>
      <c r="U1972" s="69"/>
      <c r="V1972" s="65" t="s">
        <v>19002</v>
      </c>
      <c r="W1972" s="71"/>
      <c r="X1972" s="17" t="s">
        <v>9</v>
      </c>
      <c r="Y1972" s="216" t="s">
        <v>5820</v>
      </c>
      <c r="Z1972" s="73"/>
      <c r="AA1972" s="73"/>
      <c r="AB1972" s="73"/>
      <c r="AC1972" s="73"/>
      <c r="AD1972" s="73"/>
      <c r="AE1972" s="73"/>
      <c r="AF1972" s="73"/>
      <c r="AG1972" s="73"/>
      <c r="AH1972" s="73"/>
      <c r="AI1972" s="73"/>
      <c r="AJ1972" s="161"/>
      <c r="AK1972" s="76" t="s">
        <v>798</v>
      </c>
      <c r="AL1972" s="83" t="s">
        <v>19003</v>
      </c>
      <c r="AM1972" s="71" t="s">
        <v>19004</v>
      </c>
      <c r="AN1972" s="84" t="s">
        <v>19005</v>
      </c>
      <c r="AO1972" s="71" t="s">
        <v>19006</v>
      </c>
      <c r="AP1972" s="161" t="str">
        <f>IMAGE("https://bellingcat-archive.nyc3.cdn.digitaloceanspaces.com/Ukraine_Witness_Datasheet/Worksheet/youtube_dl_1501448809003507712/out7.jpg")</f>
        <v/>
      </c>
      <c r="AQ1972" s="84" t="s">
        <v>19007</v>
      </c>
      <c r="AR1972" s="71" t="s">
        <v>19008</v>
      </c>
      <c r="AS1972" s="71" t="s">
        <v>19009</v>
      </c>
      <c r="AT1972" s="71">
        <v>12.544</v>
      </c>
      <c r="AU1972" s="89"/>
      <c r="AV1972" s="80" t="s">
        <v>88</v>
      </c>
      <c r="AW1972" s="73"/>
    </row>
    <row r="1973" ht="15.75" customHeight="1">
      <c r="A1973" s="556" t="s">
        <v>9566</v>
      </c>
      <c r="B1973" s="73"/>
      <c r="C1973" s="216" t="s">
        <v>18286</v>
      </c>
      <c r="D1973" s="241" t="s">
        <v>18996</v>
      </c>
      <c r="E1973" s="241" t="s">
        <v>18997</v>
      </c>
      <c r="F1973" s="89"/>
      <c r="G1973" s="83" t="s">
        <v>19010</v>
      </c>
      <c r="H1973" s="73"/>
      <c r="I1973" s="551" t="s">
        <v>18999</v>
      </c>
      <c r="J1973" s="476" t="s">
        <v>19000</v>
      </c>
      <c r="K1973" s="69"/>
      <c r="L1973" s="61"/>
      <c r="M1973" s="61"/>
      <c r="N1973" s="73"/>
      <c r="O1973" s="66"/>
      <c r="P1973" s="67" t="str">
        <f t="shared" si="44"/>
        <v>50.033172, 36.348792</v>
      </c>
      <c r="Q1973" s="67"/>
      <c r="R1973" s="67"/>
      <c r="S1973" s="67"/>
      <c r="T1973" s="84" t="s">
        <v>19001</v>
      </c>
      <c r="U1973" s="69"/>
      <c r="V1973" s="65" t="s">
        <v>19011</v>
      </c>
      <c r="W1973" s="71"/>
      <c r="X1973" s="17" t="s">
        <v>9</v>
      </c>
      <c r="Y1973" s="216" t="s">
        <v>5820</v>
      </c>
      <c r="Z1973" s="73"/>
      <c r="AA1973" s="73"/>
      <c r="AB1973" s="73"/>
      <c r="AC1973" s="73"/>
      <c r="AD1973" s="73"/>
      <c r="AE1973" s="73"/>
      <c r="AF1973" s="73"/>
      <c r="AG1973" s="73"/>
      <c r="AH1973" s="73"/>
      <c r="AI1973" s="73"/>
      <c r="AJ1973" s="161"/>
      <c r="AK1973" s="76" t="s">
        <v>798</v>
      </c>
      <c r="AL1973" s="83" t="s">
        <v>19012</v>
      </c>
      <c r="AM1973" s="71" t="s">
        <v>19013</v>
      </c>
      <c r="AN1973" s="84" t="s">
        <v>19014</v>
      </c>
      <c r="AO1973" s="71" t="s">
        <v>19015</v>
      </c>
      <c r="AP1973" s="161" t="str">
        <f>IMAGE("https://bellingcat-archive.nyc3.cdn.digitaloceanspaces.com/Ukraine_Witness_Datasheet/Worksheet/youtube_dl_1501496022526271488/out7.jpg")</f>
        <v/>
      </c>
      <c r="AQ1973" s="84" t="s">
        <v>19016</v>
      </c>
      <c r="AR1973" s="71" t="s">
        <v>19017</v>
      </c>
      <c r="AS1973" s="71" t="s">
        <v>19018</v>
      </c>
      <c r="AT1973" s="71">
        <v>3.629</v>
      </c>
      <c r="AU1973" s="89"/>
      <c r="AV1973" s="80" t="s">
        <v>88</v>
      </c>
      <c r="AW1973" s="73"/>
    </row>
    <row r="1974" ht="15.75" customHeight="1">
      <c r="A1974" s="556" t="s">
        <v>9566</v>
      </c>
      <c r="B1974" s="73"/>
      <c r="C1974" s="216" t="s">
        <v>18286</v>
      </c>
      <c r="D1974" s="241" t="s">
        <v>18996</v>
      </c>
      <c r="E1974" s="241" t="s">
        <v>18997</v>
      </c>
      <c r="F1974" s="89"/>
      <c r="G1974" s="83" t="s">
        <v>19019</v>
      </c>
      <c r="H1974" s="73"/>
      <c r="I1974" s="551" t="s">
        <v>18999</v>
      </c>
      <c r="J1974" s="476" t="s">
        <v>19000</v>
      </c>
      <c r="K1974" s="69"/>
      <c r="L1974" s="61"/>
      <c r="M1974" s="61"/>
      <c r="N1974" s="73"/>
      <c r="O1974" s="66"/>
      <c r="P1974" s="67" t="str">
        <f t="shared" si="44"/>
        <v>50.033172, 36.348792</v>
      </c>
      <c r="Q1974" s="67"/>
      <c r="R1974" s="67"/>
      <c r="S1974" s="67"/>
      <c r="T1974" s="84" t="s">
        <v>19001</v>
      </c>
      <c r="U1974" s="69"/>
      <c r="V1974" s="65" t="s">
        <v>19020</v>
      </c>
      <c r="W1974" s="71"/>
      <c r="X1974" s="17" t="s">
        <v>9</v>
      </c>
      <c r="Y1974" s="216" t="s">
        <v>5820</v>
      </c>
      <c r="Z1974" s="73"/>
      <c r="AA1974" s="73"/>
      <c r="AB1974" s="73"/>
      <c r="AC1974" s="73"/>
      <c r="AD1974" s="73"/>
      <c r="AE1974" s="73"/>
      <c r="AF1974" s="73"/>
      <c r="AG1974" s="73"/>
      <c r="AH1974" s="73"/>
      <c r="AI1974" s="73"/>
      <c r="AJ1974" s="161"/>
      <c r="AK1974" s="76" t="s">
        <v>6276</v>
      </c>
      <c r="AL1974" s="83" t="s">
        <v>19021</v>
      </c>
      <c r="AM1974" s="71" t="s">
        <v>19022</v>
      </c>
      <c r="AN1974" s="84" t="s">
        <v>19023</v>
      </c>
      <c r="AO1974" s="71" t="s">
        <v>19024</v>
      </c>
      <c r="AP1974" s="161"/>
      <c r="AQ1974" s="161"/>
      <c r="AR1974" s="161"/>
      <c r="AS1974" s="71" t="s">
        <v>19025</v>
      </c>
      <c r="AT1974" s="161"/>
      <c r="AU1974" s="89"/>
      <c r="AV1974" s="80" t="s">
        <v>88</v>
      </c>
      <c r="AW1974" s="73"/>
    </row>
    <row r="1975" ht="15.75" customHeight="1">
      <c r="A1975" s="556" t="s">
        <v>9566</v>
      </c>
      <c r="B1975" s="73"/>
      <c r="C1975" s="216" t="s">
        <v>18286</v>
      </c>
      <c r="D1975" s="241" t="s">
        <v>18996</v>
      </c>
      <c r="E1975" s="241" t="s">
        <v>18997</v>
      </c>
      <c r="F1975" s="89"/>
      <c r="G1975" s="83" t="s">
        <v>19026</v>
      </c>
      <c r="H1975" s="73"/>
      <c r="I1975" s="551" t="s">
        <v>18999</v>
      </c>
      <c r="J1975" s="476" t="s">
        <v>19000</v>
      </c>
      <c r="K1975" s="69"/>
      <c r="L1975" s="61"/>
      <c r="M1975" s="61"/>
      <c r="N1975" s="73"/>
      <c r="O1975" s="66"/>
      <c r="P1975" s="67" t="str">
        <f>IF(ISBLANK(D1974), "", CONCATENATE(D1974,", ", E1974))</f>
        <v>50.033172, 36.348792</v>
      </c>
      <c r="Q1975" s="67"/>
      <c r="R1975" s="67"/>
      <c r="S1975" s="67"/>
      <c r="T1975" s="84" t="s">
        <v>19001</v>
      </c>
      <c r="U1975" s="69"/>
      <c r="V1975" s="65" t="s">
        <v>19027</v>
      </c>
      <c r="W1975" s="71"/>
      <c r="X1975" s="17" t="s">
        <v>9</v>
      </c>
      <c r="Y1975" s="216" t="s">
        <v>5820</v>
      </c>
      <c r="Z1975" s="73"/>
      <c r="AA1975" s="73"/>
      <c r="AB1975" s="73"/>
      <c r="AC1975" s="73"/>
      <c r="AD1975" s="73"/>
      <c r="AE1975" s="73"/>
      <c r="AF1975" s="73"/>
      <c r="AG1975" s="73"/>
      <c r="AH1975" s="73"/>
      <c r="AI1975" s="73"/>
      <c r="AJ1975" s="161"/>
      <c r="AK1975" s="76" t="s">
        <v>6276</v>
      </c>
      <c r="AL1975" s="83" t="s">
        <v>19028</v>
      </c>
      <c r="AM1975" s="71" t="s">
        <v>19029</v>
      </c>
      <c r="AN1975" s="84" t="s">
        <v>19030</v>
      </c>
      <c r="AO1975" s="71" t="s">
        <v>19031</v>
      </c>
      <c r="AP1975" s="161" t="str">
        <f>IMAGE("https://bellingcat-archive.nyc3.cdn.digitaloceanspaces.com/Ukraine_Witness_Datasheet/Worksheet/telegram_89a3252c58/out3.jpg")</f>
        <v/>
      </c>
      <c r="AQ1975" s="84" t="s">
        <v>19032</v>
      </c>
      <c r="AR1975" s="84" t="s">
        <v>19026</v>
      </c>
      <c r="AS1975" s="161"/>
      <c r="AT1975" s="71">
        <v>3.0</v>
      </c>
      <c r="AU1975" s="89"/>
      <c r="AV1975" s="80" t="s">
        <v>88</v>
      </c>
      <c r="AW1975" s="73"/>
    </row>
    <row r="1976" ht="15.75" customHeight="1">
      <c r="A1976" s="555" t="s">
        <v>6924</v>
      </c>
      <c r="B1976" s="73"/>
      <c r="C1976" s="216" t="s">
        <v>13542</v>
      </c>
      <c r="D1976" s="241"/>
      <c r="E1976" s="241"/>
      <c r="F1976" s="89"/>
      <c r="G1976" s="83" t="s">
        <v>19033</v>
      </c>
      <c r="H1976" s="73"/>
      <c r="I1976" s="551" t="s">
        <v>19034</v>
      </c>
      <c r="J1976" s="476" t="s">
        <v>19035</v>
      </c>
      <c r="K1976" s="69"/>
      <c r="L1976" s="61"/>
      <c r="M1976" s="61"/>
      <c r="N1976" s="73"/>
      <c r="O1976" s="66"/>
      <c r="P1976" s="67" t="str">
        <f t="shared" ref="P1976:P1980" si="45">IF(ISBLANK(D1976), "", CONCATENATE(D1976,", ", E1976))</f>
        <v/>
      </c>
      <c r="Q1976" s="67"/>
      <c r="R1976" s="67"/>
      <c r="S1976" s="67"/>
      <c r="T1976" s="161"/>
      <c r="U1976" s="69"/>
      <c r="V1976" s="65" t="s">
        <v>19036</v>
      </c>
      <c r="W1976" s="71"/>
      <c r="X1976" s="194"/>
      <c r="Y1976" s="216" t="s">
        <v>75</v>
      </c>
      <c r="Z1976" s="73"/>
      <c r="AA1976" s="73"/>
      <c r="AB1976" s="73"/>
      <c r="AC1976" s="73"/>
      <c r="AD1976" s="73"/>
      <c r="AE1976" s="73"/>
      <c r="AF1976" s="73"/>
      <c r="AG1976" s="73"/>
      <c r="AH1976" s="73"/>
      <c r="AI1976" s="73"/>
      <c r="AJ1976" s="161"/>
      <c r="AK1976" s="76" t="s">
        <v>798</v>
      </c>
      <c r="AL1976" s="83" t="s">
        <v>19037</v>
      </c>
      <c r="AM1976" s="71" t="s">
        <v>19038</v>
      </c>
      <c r="AN1976" s="84" t="s">
        <v>19039</v>
      </c>
      <c r="AO1976" s="71" t="s">
        <v>19040</v>
      </c>
      <c r="AP1976" s="161" t="str">
        <f>IMAGE("https://bellingcat-archive.nyc3.cdn.digitaloceanspaces.com/Ukraine_Witness_Datasheet/Worksheet/youtube_dl_7071720567228910854/out7.jpg")</f>
        <v/>
      </c>
      <c r="AQ1976" s="84" t="s">
        <v>19041</v>
      </c>
      <c r="AR1976" s="71" t="s">
        <v>19042</v>
      </c>
      <c r="AS1976" s="71" t="s">
        <v>19043</v>
      </c>
      <c r="AT1976" s="71">
        <v>12.0</v>
      </c>
      <c r="AU1976" s="89"/>
      <c r="AV1976" s="162"/>
      <c r="AW1976" s="73"/>
    </row>
    <row r="1977" ht="15.75" customHeight="1">
      <c r="A1977" s="557" t="s">
        <v>5457</v>
      </c>
      <c r="B1977" s="73"/>
      <c r="C1977" s="216" t="s">
        <v>15275</v>
      </c>
      <c r="D1977" s="241" t="s">
        <v>19044</v>
      </c>
      <c r="E1977" s="241" t="s">
        <v>19045</v>
      </c>
      <c r="F1977" s="79">
        <v>2.0</v>
      </c>
      <c r="G1977" s="558" t="s">
        <v>19046</v>
      </c>
      <c r="H1977" s="73"/>
      <c r="I1977" s="551"/>
      <c r="J1977" s="476" t="s">
        <v>19047</v>
      </c>
      <c r="K1977" s="69"/>
      <c r="L1977" s="61" t="s">
        <v>3542</v>
      </c>
      <c r="M1977" s="61" t="s">
        <v>5590</v>
      </c>
      <c r="N1977" s="61" t="s">
        <v>19048</v>
      </c>
      <c r="O1977" s="74" t="s">
        <v>5626</v>
      </c>
      <c r="P1977" s="67" t="str">
        <f t="shared" si="45"/>
        <v>50.040794, 36.226768</v>
      </c>
      <c r="Q1977" s="67"/>
      <c r="R1977" s="67"/>
      <c r="S1977" s="67"/>
      <c r="T1977" s="161"/>
      <c r="U1977" s="69"/>
      <c r="V1977" s="65" t="s">
        <v>19049</v>
      </c>
      <c r="W1977" s="71"/>
      <c r="X1977" s="17" t="s">
        <v>9</v>
      </c>
      <c r="Y1977" s="216" t="s">
        <v>5820</v>
      </c>
      <c r="Z1977" s="73"/>
      <c r="AA1977" s="73"/>
      <c r="AB1977" s="73"/>
      <c r="AC1977" s="73"/>
      <c r="AD1977" s="73"/>
      <c r="AE1977" s="73"/>
      <c r="AF1977" s="73"/>
      <c r="AG1977" s="73"/>
      <c r="AH1977" s="73"/>
      <c r="AI1977" s="73"/>
      <c r="AJ1977" s="161"/>
      <c r="AK1977" s="76" t="s">
        <v>2108</v>
      </c>
      <c r="AL1977" s="83" t="s">
        <v>19050</v>
      </c>
      <c r="AM1977" s="71" t="s">
        <v>19051</v>
      </c>
      <c r="AN1977" s="84" t="s">
        <v>19052</v>
      </c>
      <c r="AO1977" s="71" t="s">
        <v>19053</v>
      </c>
      <c r="AP1977" s="161" t="str">
        <f>IMAGE("https://bellingcat-archive.nyc3.cdn.digitaloceanspaces.com/Ukraine_Witness_Datasheet/Worksheet/twitter__media_FNaNKnfXoAY1VsH.jpg")</f>
        <v/>
      </c>
      <c r="AQ1977" s="161"/>
      <c r="AR1977" s="161"/>
      <c r="AS1977" s="71" t="s">
        <v>18481</v>
      </c>
      <c r="AT1977" s="161"/>
      <c r="AU1977" s="89"/>
      <c r="AV1977" s="162"/>
      <c r="AW1977" s="73"/>
    </row>
    <row r="1978" ht="15.75" customHeight="1">
      <c r="A1978" s="216"/>
      <c r="B1978" s="73"/>
      <c r="C1978" s="216"/>
      <c r="D1978" s="241"/>
      <c r="E1978" s="241"/>
      <c r="F1978" s="89"/>
      <c r="G1978" s="83" t="s">
        <v>19054</v>
      </c>
      <c r="H1978" s="73"/>
      <c r="I1978" s="551"/>
      <c r="J1978" s="476"/>
      <c r="K1978" s="69"/>
      <c r="L1978" s="61"/>
      <c r="M1978" s="61"/>
      <c r="N1978" s="73"/>
      <c r="O1978" s="66"/>
      <c r="P1978" s="67" t="str">
        <f t="shared" si="45"/>
        <v/>
      </c>
      <c r="Q1978" s="67"/>
      <c r="R1978" s="67"/>
      <c r="S1978" s="67"/>
      <c r="T1978" s="161"/>
      <c r="U1978" s="69"/>
      <c r="V1978" s="65" t="s">
        <v>19055</v>
      </c>
      <c r="W1978" s="71"/>
      <c r="X1978" s="194"/>
      <c r="Y1978" s="216"/>
      <c r="Z1978" s="73"/>
      <c r="AA1978" s="73"/>
      <c r="AB1978" s="73"/>
      <c r="AC1978" s="73"/>
      <c r="AD1978" s="73"/>
      <c r="AE1978" s="73"/>
      <c r="AF1978" s="73"/>
      <c r="AG1978" s="73"/>
      <c r="AH1978" s="73"/>
      <c r="AI1978" s="73"/>
      <c r="AJ1978" s="161"/>
      <c r="AK1978" s="76" t="s">
        <v>798</v>
      </c>
      <c r="AL1978" s="83" t="s">
        <v>19056</v>
      </c>
      <c r="AM1978" s="71" t="s">
        <v>19057</v>
      </c>
      <c r="AN1978" s="84" t="s">
        <v>19058</v>
      </c>
      <c r="AO1978" s="71" t="s">
        <v>19059</v>
      </c>
      <c r="AP1978" s="161" t="str">
        <f>IMAGE("https://bellingcat-archive.nyc3.cdn.digitaloceanspaces.com/Ukraine_Witness_Datasheet/Worksheet/youtube_dl_1501606161472176135/out7.jpg")</f>
        <v/>
      </c>
      <c r="AQ1978" s="84" t="s">
        <v>19060</v>
      </c>
      <c r="AR1978" s="71" t="s">
        <v>19061</v>
      </c>
      <c r="AS1978" s="71" t="s">
        <v>19062</v>
      </c>
      <c r="AT1978" s="71">
        <v>10.266</v>
      </c>
      <c r="AU1978" s="89"/>
      <c r="AV1978" s="162"/>
      <c r="AW1978" s="73"/>
    </row>
    <row r="1979" ht="15.75" customHeight="1">
      <c r="A1979" s="559" t="s">
        <v>5457</v>
      </c>
      <c r="B1979" s="73"/>
      <c r="C1979" s="216" t="s">
        <v>18286</v>
      </c>
      <c r="D1979" s="241" t="s">
        <v>19063</v>
      </c>
      <c r="E1979" s="241" t="s">
        <v>19064</v>
      </c>
      <c r="F1979" s="79">
        <v>2.0</v>
      </c>
      <c r="G1979" s="558" t="s">
        <v>19065</v>
      </c>
      <c r="H1979" s="73"/>
      <c r="I1979" s="551"/>
      <c r="J1979" s="476" t="s">
        <v>19066</v>
      </c>
      <c r="K1979" s="69"/>
      <c r="L1979" s="61" t="s">
        <v>3542</v>
      </c>
      <c r="M1979" s="61" t="s">
        <v>5590</v>
      </c>
      <c r="N1979" s="61" t="s">
        <v>19067</v>
      </c>
      <c r="O1979" s="74" t="s">
        <v>5626</v>
      </c>
      <c r="P1979" s="67" t="str">
        <f t="shared" si="45"/>
        <v>49.950075, 36.155304</v>
      </c>
      <c r="Q1979" s="67"/>
      <c r="R1979" s="67"/>
      <c r="S1979" s="67"/>
      <c r="T1979" s="84" t="s">
        <v>19068</v>
      </c>
      <c r="U1979" s="69"/>
      <c r="V1979" s="65" t="s">
        <v>19069</v>
      </c>
      <c r="W1979" s="71" t="s">
        <v>3601</v>
      </c>
      <c r="X1979" s="72" t="s">
        <v>5504</v>
      </c>
      <c r="Y1979" s="216" t="s">
        <v>5820</v>
      </c>
      <c r="Z1979" s="73"/>
      <c r="AA1979" s="73"/>
      <c r="AB1979" s="73"/>
      <c r="AC1979" s="73"/>
      <c r="AD1979" s="73"/>
      <c r="AE1979" s="73"/>
      <c r="AF1979" s="73"/>
      <c r="AG1979" s="73"/>
      <c r="AH1979" s="73"/>
      <c r="AI1979" s="73"/>
      <c r="AJ1979" s="71" t="s">
        <v>19070</v>
      </c>
      <c r="AK1979" s="76" t="s">
        <v>930</v>
      </c>
      <c r="AL1979" s="83" t="s">
        <v>18711</v>
      </c>
      <c r="AM1979" s="71" t="s">
        <v>19071</v>
      </c>
      <c r="AN1979" s="84" t="s">
        <v>19072</v>
      </c>
      <c r="AO1979" s="71" t="s">
        <v>18714</v>
      </c>
      <c r="AP1979" s="161" t="str">
        <f>IMAGE("https://bellingcat-archive.nyc3.cdn.digitaloceanspaces.com/Ukraine_Witness_Datasheet/Worksheet/youtube_dl_1501596148049616906/out7.jpg")</f>
        <v/>
      </c>
      <c r="AQ1979" s="84" t="s">
        <v>18715</v>
      </c>
      <c r="AR1979" s="71" t="s">
        <v>18716</v>
      </c>
      <c r="AS1979" s="71" t="s">
        <v>18717</v>
      </c>
      <c r="AT1979" s="71">
        <v>38.933</v>
      </c>
      <c r="AU1979" s="89"/>
      <c r="AV1979" s="80" t="s">
        <v>88</v>
      </c>
      <c r="AW1979" s="203"/>
    </row>
    <row r="1980" ht="15.75" customHeight="1">
      <c r="A1980" s="426" t="s">
        <v>63</v>
      </c>
      <c r="B1980" s="73"/>
      <c r="C1980" s="216" t="s">
        <v>15275</v>
      </c>
      <c r="D1980" s="241" t="s">
        <v>19073</v>
      </c>
      <c r="E1980" s="241" t="s">
        <v>19074</v>
      </c>
      <c r="F1980" s="79">
        <v>2.0</v>
      </c>
      <c r="G1980" s="83" t="s">
        <v>19075</v>
      </c>
      <c r="H1980" s="73"/>
      <c r="I1980" s="551"/>
      <c r="J1980" s="476" t="s">
        <v>19076</v>
      </c>
      <c r="K1980" s="88" t="s">
        <v>19077</v>
      </c>
      <c r="L1980" s="61" t="s">
        <v>3542</v>
      </c>
      <c r="M1980" s="61" t="s">
        <v>5590</v>
      </c>
      <c r="N1980" s="61" t="s">
        <v>19048</v>
      </c>
      <c r="O1980" s="74" t="s">
        <v>5626</v>
      </c>
      <c r="P1980" s="67" t="str">
        <f t="shared" si="45"/>
        <v>50.04100788, 36.22658611</v>
      </c>
      <c r="Q1980" s="67"/>
      <c r="R1980" s="67"/>
      <c r="S1980" s="67"/>
      <c r="T1980" s="84" t="s">
        <v>19078</v>
      </c>
      <c r="U1980" s="69"/>
      <c r="V1980" s="65" t="s">
        <v>19079</v>
      </c>
      <c r="W1980" s="71" t="s">
        <v>3601</v>
      </c>
      <c r="X1980" s="72" t="s">
        <v>5504</v>
      </c>
      <c r="Y1980" s="216" t="s">
        <v>5820</v>
      </c>
      <c r="Z1980" s="73"/>
      <c r="AA1980" s="73"/>
      <c r="AB1980" s="73"/>
      <c r="AC1980" s="73"/>
      <c r="AD1980" s="73"/>
      <c r="AE1980" s="73"/>
      <c r="AF1980" s="73"/>
      <c r="AG1980" s="73"/>
      <c r="AH1980" s="73"/>
      <c r="AI1980" s="73"/>
      <c r="AJ1980" s="161"/>
      <c r="AK1980" s="76" t="s">
        <v>798</v>
      </c>
      <c r="AL1980" s="83" t="s">
        <v>19080</v>
      </c>
      <c r="AM1980" s="71" t="s">
        <v>19081</v>
      </c>
      <c r="AN1980" s="84" t="s">
        <v>19082</v>
      </c>
      <c r="AO1980" s="71" t="s">
        <v>19083</v>
      </c>
      <c r="AP1980" s="161" t="str">
        <f>IMAGE("https://bellingcat-archive.nyc3.cdn.digitaloceanspaces.com/Ukraine_Witness_Datasheet/Worksheet/youtube_dl_1500797138632073219/out7.jpg")</f>
        <v/>
      </c>
      <c r="AQ1980" s="84" t="s">
        <v>19084</v>
      </c>
      <c r="AR1980" s="71" t="s">
        <v>19085</v>
      </c>
      <c r="AS1980" s="71" t="s">
        <v>19086</v>
      </c>
      <c r="AT1980" s="71">
        <v>18.366</v>
      </c>
      <c r="AU1980" s="89"/>
      <c r="AV1980" s="80" t="s">
        <v>88</v>
      </c>
      <c r="AW1980" s="203"/>
    </row>
    <row r="1981" ht="15.75" customHeight="1">
      <c r="A1981" s="560" t="s">
        <v>15704</v>
      </c>
      <c r="B1981" s="73"/>
      <c r="C1981" s="216"/>
      <c r="D1981" s="241"/>
      <c r="E1981" s="241"/>
      <c r="F1981" s="89"/>
      <c r="G1981" s="558" t="s">
        <v>19087</v>
      </c>
      <c r="H1981" s="73"/>
      <c r="I1981" s="551"/>
      <c r="J1981" s="476"/>
      <c r="K1981" s="69"/>
      <c r="L1981" s="61"/>
      <c r="M1981" s="61"/>
      <c r="N1981" s="73"/>
      <c r="O1981" s="66"/>
      <c r="P1981" s="67" t="str">
        <f>IF(ISBLANK(D1980), "", CONCATENATE(D1980,", ", E1980))</f>
        <v>50.04100788, 36.22658611</v>
      </c>
      <c r="Q1981" s="67"/>
      <c r="R1981" s="67"/>
      <c r="S1981" s="67"/>
      <c r="T1981" s="161"/>
      <c r="U1981" s="69"/>
      <c r="V1981" s="65" t="s">
        <v>19088</v>
      </c>
      <c r="W1981" s="71"/>
      <c r="X1981" s="194"/>
      <c r="Y1981" s="216"/>
      <c r="Z1981" s="73"/>
      <c r="AA1981" s="73"/>
      <c r="AB1981" s="73"/>
      <c r="AC1981" s="73"/>
      <c r="AD1981" s="73"/>
      <c r="AE1981" s="73"/>
      <c r="AF1981" s="73"/>
      <c r="AG1981" s="73"/>
      <c r="AH1981" s="73"/>
      <c r="AI1981" s="73"/>
      <c r="AJ1981" s="161"/>
      <c r="AK1981" s="76" t="s">
        <v>798</v>
      </c>
      <c r="AL1981" s="83" t="s">
        <v>19089</v>
      </c>
      <c r="AM1981" s="71" t="s">
        <v>19090</v>
      </c>
      <c r="AN1981" s="84" t="s">
        <v>19091</v>
      </c>
      <c r="AO1981" s="71" t="s">
        <v>19092</v>
      </c>
      <c r="AP1981" s="161" t="str">
        <f>IMAGE("https://bellingcat-archive.nyc3.cdn.digitaloceanspaces.com/Ukraine_Witness_Datasheet/Worksheet/youtube_dl_1501610507672899585/out7.jpg")</f>
        <v/>
      </c>
      <c r="AQ1981" s="84" t="s">
        <v>19093</v>
      </c>
      <c r="AR1981" s="71" t="s">
        <v>19094</v>
      </c>
      <c r="AS1981" s="71" t="s">
        <v>19095</v>
      </c>
      <c r="AT1981" s="71">
        <v>10.2</v>
      </c>
      <c r="AU1981" s="89"/>
      <c r="AV1981" s="162"/>
      <c r="AW1981" s="73"/>
    </row>
    <row r="1982" ht="15.75" customHeight="1">
      <c r="A1982" s="426" t="s">
        <v>63</v>
      </c>
      <c r="B1982" s="73"/>
      <c r="C1982" s="216" t="s">
        <v>15275</v>
      </c>
      <c r="D1982" s="241" t="s">
        <v>19096</v>
      </c>
      <c r="E1982" s="241" t="s">
        <v>19097</v>
      </c>
      <c r="F1982" s="79">
        <v>2.0</v>
      </c>
      <c r="G1982" s="83" t="s">
        <v>19098</v>
      </c>
      <c r="H1982" s="73"/>
      <c r="I1982" s="551"/>
      <c r="J1982" s="476" t="s">
        <v>19099</v>
      </c>
      <c r="K1982" s="88" t="s">
        <v>19100</v>
      </c>
      <c r="L1982" s="61" t="s">
        <v>3542</v>
      </c>
      <c r="M1982" s="61" t="s">
        <v>5590</v>
      </c>
      <c r="N1982" s="61" t="s">
        <v>8399</v>
      </c>
      <c r="O1982" s="74" t="s">
        <v>5626</v>
      </c>
      <c r="P1982" s="67" t="str">
        <f t="shared" ref="P1982:P1986" si="46">IF(ISBLANK(D1982), "", CONCATENATE(D1982,", ", E1982))</f>
        <v>50.05734354, 36.194865684</v>
      </c>
      <c r="Q1982" s="67"/>
      <c r="R1982" s="67"/>
      <c r="S1982" s="67"/>
      <c r="T1982" s="161"/>
      <c r="U1982" s="69"/>
      <c r="V1982" s="65" t="s">
        <v>19101</v>
      </c>
      <c r="W1982" s="71" t="s">
        <v>3601</v>
      </c>
      <c r="X1982" s="72" t="s">
        <v>5504</v>
      </c>
      <c r="Y1982" s="216" t="s">
        <v>75</v>
      </c>
      <c r="Z1982" s="61" t="s">
        <v>14788</v>
      </c>
      <c r="AA1982" s="73"/>
      <c r="AB1982" s="73"/>
      <c r="AC1982" s="73"/>
      <c r="AD1982" s="73"/>
      <c r="AE1982" s="73"/>
      <c r="AF1982" s="73"/>
      <c r="AG1982" s="73"/>
      <c r="AH1982" s="73"/>
      <c r="AI1982" s="73"/>
      <c r="AJ1982" s="161"/>
      <c r="AK1982" s="76" t="s">
        <v>798</v>
      </c>
      <c r="AL1982" s="83" t="s">
        <v>19102</v>
      </c>
      <c r="AM1982" s="71" t="s">
        <v>19103</v>
      </c>
      <c r="AN1982" s="84" t="s">
        <v>19104</v>
      </c>
      <c r="AO1982" s="71" t="s">
        <v>19105</v>
      </c>
      <c r="AP1982" s="161" t="str">
        <f>IMAGE("https://bellingcat-archive.nyc3.cdn.digitaloceanspaces.com/Ukraine_Witness_Datasheet/Worksheet/youtube_dl_1500707092709183489/out7.jpg")</f>
        <v/>
      </c>
      <c r="AQ1982" s="84" t="s">
        <v>19106</v>
      </c>
      <c r="AR1982" s="71" t="s">
        <v>19107</v>
      </c>
      <c r="AS1982" s="71" t="s">
        <v>19108</v>
      </c>
      <c r="AT1982" s="71">
        <v>20.8</v>
      </c>
      <c r="AU1982" s="89"/>
      <c r="AV1982" s="80" t="s">
        <v>88</v>
      </c>
      <c r="AW1982" s="203"/>
    </row>
    <row r="1983" ht="15.75" customHeight="1">
      <c r="A1983" s="561" t="s">
        <v>12532</v>
      </c>
      <c r="B1983" s="73"/>
      <c r="C1983" s="216" t="s">
        <v>14806</v>
      </c>
      <c r="D1983" s="241" t="s">
        <v>19109</v>
      </c>
      <c r="E1983" s="241" t="s">
        <v>19110</v>
      </c>
      <c r="F1983" s="79">
        <v>1.0</v>
      </c>
      <c r="G1983" s="83" t="s">
        <v>19111</v>
      </c>
      <c r="H1983" s="73"/>
      <c r="I1983" s="551"/>
      <c r="J1983" s="476" t="s">
        <v>19112</v>
      </c>
      <c r="K1983" s="88" t="s">
        <v>19113</v>
      </c>
      <c r="L1983" s="61" t="s">
        <v>3542</v>
      </c>
      <c r="M1983" s="300" t="s">
        <v>5880</v>
      </c>
      <c r="N1983" s="73"/>
      <c r="O1983" s="562" t="s">
        <v>19114</v>
      </c>
      <c r="P1983" s="67" t="str">
        <f t="shared" si="46"/>
        <v>51.567215, 31.214964</v>
      </c>
      <c r="Q1983" s="67"/>
      <c r="R1983" s="67"/>
      <c r="S1983" s="67"/>
      <c r="T1983" s="161"/>
      <c r="U1983" s="69"/>
      <c r="V1983" s="65" t="s">
        <v>19115</v>
      </c>
      <c r="W1983" s="71"/>
      <c r="X1983" s="194"/>
      <c r="Y1983" s="216" t="s">
        <v>5820</v>
      </c>
      <c r="Z1983" s="73"/>
      <c r="AA1983" s="73"/>
      <c r="AB1983" s="73"/>
      <c r="AC1983" s="73"/>
      <c r="AD1983" s="73"/>
      <c r="AE1983" s="73"/>
      <c r="AF1983" s="73"/>
      <c r="AG1983" s="73"/>
      <c r="AH1983" s="73"/>
      <c r="AI1983" s="73"/>
      <c r="AJ1983" s="161"/>
      <c r="AK1983" s="76" t="s">
        <v>6276</v>
      </c>
      <c r="AL1983" s="83" t="s">
        <v>19116</v>
      </c>
      <c r="AM1983" s="71" t="s">
        <v>19117</v>
      </c>
      <c r="AN1983" s="84" t="s">
        <v>19118</v>
      </c>
      <c r="AO1983" s="71" t="s">
        <v>19119</v>
      </c>
      <c r="AP1983" s="161" t="str">
        <f>IMAGE("https://bellingcat-archive.nyc3.cdn.digitaloceanspaces.com/Ukraine_Witness_Datasheet/Worksheet/telegram_40c9fdd752/out7.jpg")</f>
        <v/>
      </c>
      <c r="AQ1983" s="84" t="s">
        <v>19120</v>
      </c>
      <c r="AR1983" s="84" t="s">
        <v>19111</v>
      </c>
      <c r="AS1983" s="71" t="s">
        <v>19121</v>
      </c>
      <c r="AT1983" s="71">
        <v>19.0</v>
      </c>
      <c r="AU1983" s="89"/>
      <c r="AV1983" s="80" t="s">
        <v>88</v>
      </c>
      <c r="AW1983" s="73"/>
    </row>
    <row r="1984" ht="15.75" customHeight="1">
      <c r="A1984" s="426" t="s">
        <v>63</v>
      </c>
      <c r="B1984" s="73"/>
      <c r="C1984" s="216" t="s">
        <v>13542</v>
      </c>
      <c r="D1984" s="241" t="s">
        <v>19122</v>
      </c>
      <c r="E1984" s="241" t="s">
        <v>19123</v>
      </c>
      <c r="F1984" s="79">
        <v>1.0</v>
      </c>
      <c r="G1984" s="83" t="s">
        <v>19124</v>
      </c>
      <c r="H1984" s="73"/>
      <c r="I1984" s="551"/>
      <c r="J1984" s="476" t="s">
        <v>19125</v>
      </c>
      <c r="K1984" s="88" t="s">
        <v>19126</v>
      </c>
      <c r="L1984" s="61" t="s">
        <v>3542</v>
      </c>
      <c r="M1984" s="300" t="s">
        <v>5880</v>
      </c>
      <c r="N1984" s="73"/>
      <c r="O1984" s="74" t="s">
        <v>8524</v>
      </c>
      <c r="P1984" s="67" t="str">
        <f t="shared" si="46"/>
        <v>51.514788, 31.238038</v>
      </c>
      <c r="Q1984" s="67"/>
      <c r="R1984" s="67"/>
      <c r="S1984" s="67"/>
      <c r="T1984" s="161"/>
      <c r="U1984" s="69"/>
      <c r="V1984" s="65" t="s">
        <v>19127</v>
      </c>
      <c r="W1984" s="71" t="s">
        <v>15866</v>
      </c>
      <c r="X1984" s="72" t="s">
        <v>5504</v>
      </c>
      <c r="Y1984" s="216" t="s">
        <v>5820</v>
      </c>
      <c r="Z1984" s="73"/>
      <c r="AA1984" s="73"/>
      <c r="AB1984" s="73"/>
      <c r="AC1984" s="73"/>
      <c r="AD1984" s="73"/>
      <c r="AE1984" s="73"/>
      <c r="AF1984" s="73"/>
      <c r="AG1984" s="73"/>
      <c r="AH1984" s="73"/>
      <c r="AI1984" s="73"/>
      <c r="AJ1984" s="161"/>
      <c r="AK1984" s="76" t="s">
        <v>2108</v>
      </c>
      <c r="AL1984" s="83" t="s">
        <v>19128</v>
      </c>
      <c r="AM1984" s="71" t="s">
        <v>19129</v>
      </c>
      <c r="AN1984" s="84" t="s">
        <v>19130</v>
      </c>
      <c r="AO1984" s="71" t="s">
        <v>19131</v>
      </c>
      <c r="AP1984" s="161" t="str">
        <f>IMAGE("https://bellingcat-archive.nyc3.cdn.digitaloceanspaces.com/Ukraine_Witness_Datasheet/Worksheet/twitter__media_FNFVFR7WQAAdjnw.jpg")</f>
        <v/>
      </c>
      <c r="AQ1984" s="161"/>
      <c r="AR1984" s="161"/>
      <c r="AS1984" s="71" t="s">
        <v>19132</v>
      </c>
      <c r="AT1984" s="161"/>
      <c r="AU1984" s="89"/>
      <c r="AV1984" s="80" t="s">
        <v>88</v>
      </c>
      <c r="AW1984" s="203"/>
    </row>
    <row r="1985" ht="14.25" customHeight="1">
      <c r="A1985" s="426" t="s">
        <v>63</v>
      </c>
      <c r="B1985" s="73"/>
      <c r="C1985" s="216" t="s">
        <v>14806</v>
      </c>
      <c r="D1985" s="241" t="s">
        <v>19133</v>
      </c>
      <c r="E1985" s="241" t="s">
        <v>19134</v>
      </c>
      <c r="F1985" s="79">
        <v>1.0</v>
      </c>
      <c r="G1985" s="83" t="s">
        <v>19135</v>
      </c>
      <c r="H1985" s="73"/>
      <c r="I1985" s="551"/>
      <c r="J1985" s="476" t="s">
        <v>19136</v>
      </c>
      <c r="K1985" s="88" t="s">
        <v>19137</v>
      </c>
      <c r="L1985" s="61" t="s">
        <v>79</v>
      </c>
      <c r="M1985" s="300" t="s">
        <v>2673</v>
      </c>
      <c r="N1985" s="73"/>
      <c r="O1985" s="74" t="s">
        <v>19138</v>
      </c>
      <c r="P1985" s="67" t="str">
        <f t="shared" si="46"/>
        <v>53.653005, 37.228760</v>
      </c>
      <c r="Q1985" s="67"/>
      <c r="R1985" s="67"/>
      <c r="S1985" s="67"/>
      <c r="T1985" s="71" t="s">
        <v>19139</v>
      </c>
      <c r="U1985" s="69"/>
      <c r="V1985" s="65" t="s">
        <v>19140</v>
      </c>
      <c r="W1985" s="71" t="s">
        <v>74</v>
      </c>
      <c r="X1985" s="72" t="s">
        <v>5504</v>
      </c>
      <c r="Y1985" s="216" t="s">
        <v>5820</v>
      </c>
      <c r="Z1985" s="73"/>
      <c r="AA1985" s="73"/>
      <c r="AB1985" s="73"/>
      <c r="AC1985" s="73"/>
      <c r="AD1985" s="73"/>
      <c r="AE1985" s="73"/>
      <c r="AF1985" s="73"/>
      <c r="AG1985" s="73"/>
      <c r="AH1985" s="73"/>
      <c r="AI1985" s="73"/>
      <c r="AJ1985" s="161"/>
      <c r="AK1985" s="76" t="s">
        <v>798</v>
      </c>
      <c r="AL1985" s="83" t="s">
        <v>19141</v>
      </c>
      <c r="AM1985" s="71" t="s">
        <v>19142</v>
      </c>
      <c r="AN1985" s="84" t="s">
        <v>19143</v>
      </c>
      <c r="AO1985" s="71" t="s">
        <v>19144</v>
      </c>
      <c r="AP1985" s="161" t="str">
        <f>IMAGE("https://bellingcat-archive.nyc3.cdn.digitaloceanspaces.com/Ukraine_Witness_Datasheet/Worksheet/youtube_dl_1500505543580217344/out7.jpg")</f>
        <v/>
      </c>
      <c r="AQ1985" s="84" t="s">
        <v>19145</v>
      </c>
      <c r="AR1985" s="71" t="s">
        <v>19146</v>
      </c>
      <c r="AS1985" s="71" t="s">
        <v>19147</v>
      </c>
      <c r="AT1985" s="71">
        <v>15.733</v>
      </c>
      <c r="AU1985" s="89"/>
      <c r="AV1985" s="80" t="s">
        <v>88</v>
      </c>
      <c r="AW1985" s="203"/>
    </row>
    <row r="1986" ht="15.75" customHeight="1">
      <c r="A1986" s="426" t="s">
        <v>63</v>
      </c>
      <c r="B1986" s="73"/>
      <c r="C1986" s="216" t="s">
        <v>14806</v>
      </c>
      <c r="D1986" s="241" t="s">
        <v>19148</v>
      </c>
      <c r="E1986" s="370" t="s">
        <v>19149</v>
      </c>
      <c r="F1986" s="79">
        <v>1.0</v>
      </c>
      <c r="G1986" s="83" t="s">
        <v>19150</v>
      </c>
      <c r="H1986" s="73"/>
      <c r="I1986" s="551"/>
      <c r="J1986" s="476" t="s">
        <v>19151</v>
      </c>
      <c r="K1986" s="88" t="s">
        <v>19152</v>
      </c>
      <c r="L1986" s="61" t="s">
        <v>3542</v>
      </c>
      <c r="M1986" s="61" t="s">
        <v>5702</v>
      </c>
      <c r="N1986" s="73"/>
      <c r="O1986" s="74" t="s">
        <v>7188</v>
      </c>
      <c r="P1986" s="67" t="str">
        <f t="shared" si="46"/>
        <v>46.2165416, 34.6685697</v>
      </c>
      <c r="Q1986" s="67"/>
      <c r="R1986" s="67"/>
      <c r="S1986" s="67"/>
      <c r="T1986" s="84" t="s">
        <v>19153</v>
      </c>
      <c r="U1986" s="69"/>
      <c r="V1986" s="65" t="s">
        <v>19154</v>
      </c>
      <c r="W1986" s="71" t="s">
        <v>74</v>
      </c>
      <c r="X1986" s="72" t="s">
        <v>5504</v>
      </c>
      <c r="Y1986" s="216" t="s">
        <v>5820</v>
      </c>
      <c r="Z1986" s="73"/>
      <c r="AA1986" s="73"/>
      <c r="AB1986" s="73"/>
      <c r="AC1986" s="73"/>
      <c r="AD1986" s="73"/>
      <c r="AE1986" s="73"/>
      <c r="AF1986" s="73"/>
      <c r="AG1986" s="73"/>
      <c r="AH1986" s="73"/>
      <c r="AI1986" s="73"/>
      <c r="AJ1986" s="161"/>
      <c r="AK1986" s="76" t="s">
        <v>798</v>
      </c>
      <c r="AL1986" s="83" t="s">
        <v>19155</v>
      </c>
      <c r="AM1986" s="71" t="s">
        <v>19156</v>
      </c>
      <c r="AN1986" s="84" t="s">
        <v>19157</v>
      </c>
      <c r="AO1986" s="71" t="s">
        <v>19158</v>
      </c>
      <c r="AP1986" s="161" t="str">
        <f>IMAGE("https://bellingcat-archive.nyc3.cdn.digitaloceanspaces.com/Ukraine_Witness_Datasheet/Worksheet/youtube_dl_1500502033526370304/out7.jpg")</f>
        <v/>
      </c>
      <c r="AQ1986" s="84" t="s">
        <v>19159</v>
      </c>
      <c r="AR1986" s="71" t="s">
        <v>19160</v>
      </c>
      <c r="AS1986" s="71" t="s">
        <v>19161</v>
      </c>
      <c r="AT1986" s="71">
        <v>14.002</v>
      </c>
      <c r="AU1986" s="89"/>
      <c r="AV1986" s="80" t="s">
        <v>88</v>
      </c>
      <c r="AW1986" s="203"/>
    </row>
    <row r="1987" ht="15.75" customHeight="1">
      <c r="A1987" s="426" t="s">
        <v>63</v>
      </c>
      <c r="B1987" s="73"/>
      <c r="C1987" s="216" t="s">
        <v>13542</v>
      </c>
      <c r="D1987" s="241" t="s">
        <v>19162</v>
      </c>
      <c r="E1987" s="241" t="s">
        <v>19163</v>
      </c>
      <c r="F1987" s="79">
        <v>1.0</v>
      </c>
      <c r="G1987" s="83" t="s">
        <v>19164</v>
      </c>
      <c r="H1987" s="73"/>
      <c r="I1987" s="551"/>
      <c r="J1987" s="476" t="s">
        <v>19165</v>
      </c>
      <c r="K1987" s="88" t="s">
        <v>19166</v>
      </c>
      <c r="L1987" s="61" t="s">
        <v>3542</v>
      </c>
      <c r="M1987" s="61" t="s">
        <v>5827</v>
      </c>
      <c r="N1987" s="73"/>
      <c r="O1987" s="74" t="s">
        <v>5868</v>
      </c>
      <c r="P1987" s="67" t="str">
        <f>IF(ISBLANK(D1986), "", CONCATENATE(D1986,", ", E1986))</f>
        <v>46.2165416, 34.6685697</v>
      </c>
      <c r="Q1987" s="67"/>
      <c r="R1987" s="67"/>
      <c r="S1987" s="67"/>
      <c r="T1987" s="84" t="s">
        <v>19167</v>
      </c>
      <c r="U1987" s="69"/>
      <c r="V1987" s="65" t="s">
        <v>19168</v>
      </c>
      <c r="W1987" s="71" t="s">
        <v>3601</v>
      </c>
      <c r="X1987" s="72" t="s">
        <v>5504</v>
      </c>
      <c r="Y1987" s="216" t="s">
        <v>5820</v>
      </c>
      <c r="Z1987" s="73"/>
      <c r="AA1987" s="73"/>
      <c r="AB1987" s="73"/>
      <c r="AC1987" s="73"/>
      <c r="AD1987" s="73"/>
      <c r="AE1987" s="73"/>
      <c r="AF1987" s="73"/>
      <c r="AG1987" s="73"/>
      <c r="AH1987" s="73"/>
      <c r="AI1987" s="73"/>
      <c r="AJ1987" s="161"/>
      <c r="AK1987" s="76" t="s">
        <v>6276</v>
      </c>
      <c r="AL1987" s="83" t="s">
        <v>19169</v>
      </c>
      <c r="AM1987" s="71" t="s">
        <v>19170</v>
      </c>
      <c r="AN1987" s="84" t="s">
        <v>19171</v>
      </c>
      <c r="AO1987" s="71" t="s">
        <v>19172</v>
      </c>
      <c r="AP1987" s="161" t="str">
        <f>IMAGE("https://bellingcat-archive.nyc3.cdn.digitaloceanspaces.com/Ukraine_Witness_Datasheet/Worksheet/telegram_07ceda6112/out20.jpg")</f>
        <v/>
      </c>
      <c r="AQ1987" s="84" t="s">
        <v>19173</v>
      </c>
      <c r="AR1987" s="84" t="s">
        <v>19164</v>
      </c>
      <c r="AS1987" s="71" t="s">
        <v>19174</v>
      </c>
      <c r="AT1987" s="71">
        <v>82.0</v>
      </c>
      <c r="AU1987" s="89"/>
      <c r="AV1987" s="80" t="s">
        <v>88</v>
      </c>
      <c r="AW1987" s="203"/>
    </row>
    <row r="1988" ht="15.75" customHeight="1">
      <c r="A1988" s="561" t="s">
        <v>12532</v>
      </c>
      <c r="B1988" s="73"/>
      <c r="C1988" s="216"/>
      <c r="D1988" s="241"/>
      <c r="E1988" s="241"/>
      <c r="F1988" s="89"/>
      <c r="G1988" s="83" t="s">
        <v>19175</v>
      </c>
      <c r="H1988" s="73"/>
      <c r="I1988" s="551"/>
      <c r="J1988" s="476"/>
      <c r="K1988" s="88" t="s">
        <v>19176</v>
      </c>
      <c r="L1988" s="61"/>
      <c r="M1988" s="61"/>
      <c r="N1988" s="73"/>
      <c r="O1988" s="66"/>
      <c r="P1988" s="67" t="str">
        <f t="shared" ref="P1988:P1992" si="47">IF(ISBLANK(D1988), "", CONCATENATE(D1988,", ", E1988))</f>
        <v/>
      </c>
      <c r="Q1988" s="67"/>
      <c r="R1988" s="67"/>
      <c r="S1988" s="67"/>
      <c r="T1988" s="161"/>
      <c r="U1988" s="69"/>
      <c r="V1988" s="65" t="s">
        <v>19177</v>
      </c>
      <c r="W1988" s="71"/>
      <c r="X1988" s="194"/>
      <c r="Y1988" s="216"/>
      <c r="Z1988" s="73"/>
      <c r="AA1988" s="73"/>
      <c r="AB1988" s="73"/>
      <c r="AC1988" s="73"/>
      <c r="AD1988" s="73"/>
      <c r="AE1988" s="73"/>
      <c r="AF1988" s="73"/>
      <c r="AG1988" s="73"/>
      <c r="AH1988" s="73"/>
      <c r="AI1988" s="73"/>
      <c r="AJ1988" s="161"/>
      <c r="AK1988" s="76" t="s">
        <v>2108</v>
      </c>
      <c r="AL1988" s="83" t="s">
        <v>8205</v>
      </c>
      <c r="AM1988" s="71" t="s">
        <v>19178</v>
      </c>
      <c r="AN1988" s="84" t="s">
        <v>19179</v>
      </c>
      <c r="AO1988" s="71" t="s">
        <v>19180</v>
      </c>
      <c r="AP1988" s="161" t="str">
        <f>IMAGE("https://bellingcat-archive.nyc3.cdn.digitaloceanspaces.com/Ukraine_Witness_Datasheet/Worksheet/twitter__media_FMllnMQXEAgaQTy.jpg")</f>
        <v/>
      </c>
      <c r="AQ1988" s="161"/>
      <c r="AR1988" s="161"/>
      <c r="AS1988" s="71" t="s">
        <v>19181</v>
      </c>
      <c r="AT1988" s="161"/>
      <c r="AU1988" s="89"/>
      <c r="AV1988" s="162"/>
      <c r="AW1988" s="73"/>
    </row>
    <row r="1989" ht="15.75" customHeight="1">
      <c r="A1989" s="426" t="s">
        <v>63</v>
      </c>
      <c r="B1989" s="73"/>
      <c r="C1989" s="216" t="s">
        <v>12959</v>
      </c>
      <c r="D1989" s="241" t="s">
        <v>19182</v>
      </c>
      <c r="E1989" s="241" t="s">
        <v>19183</v>
      </c>
      <c r="F1989" s="79">
        <v>1.0</v>
      </c>
      <c r="G1989" s="83" t="s">
        <v>19184</v>
      </c>
      <c r="H1989" s="73"/>
      <c r="I1989" s="551"/>
      <c r="J1989" s="476" t="s">
        <v>19185</v>
      </c>
      <c r="K1989" s="88" t="s">
        <v>19186</v>
      </c>
      <c r="L1989" s="61" t="s">
        <v>3542</v>
      </c>
      <c r="M1989" s="61" t="s">
        <v>5827</v>
      </c>
      <c r="N1989" s="73"/>
      <c r="O1989" s="74" t="s">
        <v>5868</v>
      </c>
      <c r="P1989" s="67" t="str">
        <f t="shared" si="47"/>
        <v>50.532533, 30.200190</v>
      </c>
      <c r="Q1989" s="67"/>
      <c r="R1989" s="67"/>
      <c r="S1989" s="67"/>
      <c r="T1989" s="161"/>
      <c r="U1989" s="69"/>
      <c r="V1989" s="65" t="s">
        <v>19187</v>
      </c>
      <c r="W1989" s="71" t="s">
        <v>74</v>
      </c>
      <c r="X1989" s="229" t="s">
        <v>6054</v>
      </c>
      <c r="Y1989" s="216" t="s">
        <v>5504</v>
      </c>
      <c r="Z1989" s="61" t="s">
        <v>14788</v>
      </c>
      <c r="AA1989" s="73"/>
      <c r="AB1989" s="73"/>
      <c r="AC1989" s="73"/>
      <c r="AD1989" s="73"/>
      <c r="AE1989" s="73"/>
      <c r="AF1989" s="73"/>
      <c r="AG1989" s="73"/>
      <c r="AH1989" s="73"/>
      <c r="AI1989" s="73"/>
      <c r="AJ1989" s="161"/>
      <c r="AK1989" s="76" t="s">
        <v>798</v>
      </c>
      <c r="AL1989" s="83" t="s">
        <v>19188</v>
      </c>
      <c r="AM1989" s="71" t="s">
        <v>19189</v>
      </c>
      <c r="AN1989" s="84" t="s">
        <v>19190</v>
      </c>
      <c r="AO1989" s="71" t="s">
        <v>19191</v>
      </c>
      <c r="AP1989" s="161" t="str">
        <f>IMAGE("https://bellingcat-archive.nyc3.cdn.digitaloceanspaces.com/Ukraine_Witness_Datasheet/Worksheet/youtube_dl_1499699405477322754/out7.jpg")</f>
        <v/>
      </c>
      <c r="AQ1989" s="84" t="s">
        <v>19192</v>
      </c>
      <c r="AR1989" s="71" t="s">
        <v>19193</v>
      </c>
      <c r="AS1989" s="71" t="s">
        <v>19194</v>
      </c>
      <c r="AT1989" s="71">
        <v>57.812</v>
      </c>
      <c r="AU1989" s="89"/>
      <c r="AV1989" s="80" t="s">
        <v>3944</v>
      </c>
      <c r="AW1989" s="203"/>
    </row>
    <row r="1990" ht="15.75" customHeight="1">
      <c r="A1990" s="426" t="s">
        <v>63</v>
      </c>
      <c r="B1990" s="73"/>
      <c r="C1990" s="216" t="s">
        <v>14806</v>
      </c>
      <c r="D1990" s="241" t="s">
        <v>19195</v>
      </c>
      <c r="E1990" s="241" t="s">
        <v>19196</v>
      </c>
      <c r="F1990" s="79">
        <v>2.0</v>
      </c>
      <c r="G1990" s="83" t="s">
        <v>19197</v>
      </c>
      <c r="H1990" s="73"/>
      <c r="I1990" s="551"/>
      <c r="J1990" s="476" t="s">
        <v>19165</v>
      </c>
      <c r="K1990" s="88" t="s">
        <v>19198</v>
      </c>
      <c r="L1990" s="61" t="s">
        <v>3542</v>
      </c>
      <c r="M1990" s="61" t="s">
        <v>5750</v>
      </c>
      <c r="N1990" s="73"/>
      <c r="O1990" s="74" t="s">
        <v>14786</v>
      </c>
      <c r="P1990" s="67" t="str">
        <f t="shared" si="47"/>
        <v>48.726308, 37.606818</v>
      </c>
      <c r="Q1990" s="67"/>
      <c r="R1990" s="67"/>
      <c r="S1990" s="67"/>
      <c r="T1990" s="161"/>
      <c r="U1990" s="69"/>
      <c r="V1990" s="65" t="s">
        <v>19199</v>
      </c>
      <c r="W1990" s="71" t="s">
        <v>3601</v>
      </c>
      <c r="X1990" s="72" t="s">
        <v>5504</v>
      </c>
      <c r="Y1990" s="216" t="s">
        <v>5820</v>
      </c>
      <c r="Z1990" s="73"/>
      <c r="AA1990" s="73"/>
      <c r="AB1990" s="73"/>
      <c r="AC1990" s="73"/>
      <c r="AD1990" s="73"/>
      <c r="AE1990" s="73"/>
      <c r="AF1990" s="73"/>
      <c r="AG1990" s="73"/>
      <c r="AH1990" s="73"/>
      <c r="AI1990" s="73"/>
      <c r="AJ1990" s="161"/>
      <c r="AK1990" s="76" t="s">
        <v>6276</v>
      </c>
      <c r="AL1990" s="83" t="s">
        <v>19200</v>
      </c>
      <c r="AM1990" s="71" t="s">
        <v>19201</v>
      </c>
      <c r="AN1990" s="84" t="s">
        <v>19202</v>
      </c>
      <c r="AO1990" s="71" t="s">
        <v>19203</v>
      </c>
      <c r="AP1990" s="161" t="str">
        <f>IMAGE("https://bellingcat-archive.nyc3.cdn.digitaloceanspaces.com/Ukraine_Witness_Datasheet/Worksheet/telegram__HFHTQMO7qufRYfZ9f88mC59Nzbas0nKfx9vftabOc1QO1UN8LcEL7wn8hYH4wEEA7zgxzShjAW_RcEAcIRfC68XUdJuEZ0TwtZKxfvHP7mOsdUGo4j3_ZRTkrAH7INQ.jpg")</f>
        <v/>
      </c>
      <c r="AQ1990" s="161"/>
      <c r="AR1990" s="161"/>
      <c r="AS1990" s="71" t="s">
        <v>19204</v>
      </c>
      <c r="AT1990" s="161"/>
      <c r="AU1990" s="89"/>
      <c r="AV1990" s="80" t="s">
        <v>3944</v>
      </c>
      <c r="AW1990" s="203"/>
    </row>
    <row r="1991" ht="15.75" customHeight="1">
      <c r="A1991" s="426" t="s">
        <v>63</v>
      </c>
      <c r="B1991" s="73"/>
      <c r="C1991" s="216" t="s">
        <v>14806</v>
      </c>
      <c r="D1991" s="241" t="s">
        <v>19205</v>
      </c>
      <c r="E1991" s="241" t="s">
        <v>19206</v>
      </c>
      <c r="F1991" s="79">
        <v>2.0</v>
      </c>
      <c r="G1991" s="83" t="s">
        <v>19207</v>
      </c>
      <c r="H1991" s="73"/>
      <c r="I1991" s="551"/>
      <c r="J1991" s="476" t="s">
        <v>19165</v>
      </c>
      <c r="K1991" s="88" t="s">
        <v>19208</v>
      </c>
      <c r="L1991" s="61" t="s">
        <v>3542</v>
      </c>
      <c r="M1991" s="61" t="s">
        <v>5827</v>
      </c>
      <c r="N1991" s="73"/>
      <c r="O1991" s="74" t="s">
        <v>10304</v>
      </c>
      <c r="P1991" s="67" t="str">
        <f t="shared" si="47"/>
        <v>50.420056, 30.044669</v>
      </c>
      <c r="Q1991" s="67"/>
      <c r="R1991" s="67"/>
      <c r="S1991" s="67"/>
      <c r="T1991" s="161"/>
      <c r="U1991" s="69"/>
      <c r="V1991" s="65" t="s">
        <v>19209</v>
      </c>
      <c r="W1991" s="71" t="s">
        <v>3601</v>
      </c>
      <c r="X1991" s="72" t="s">
        <v>5504</v>
      </c>
      <c r="Y1991" s="216" t="s">
        <v>5820</v>
      </c>
      <c r="Z1991" s="73"/>
      <c r="AA1991" s="73"/>
      <c r="AB1991" s="73"/>
      <c r="AC1991" s="73"/>
      <c r="AD1991" s="73"/>
      <c r="AE1991" s="73"/>
      <c r="AF1991" s="73"/>
      <c r="AG1991" s="73"/>
      <c r="AH1991" s="73"/>
      <c r="AI1991" s="73"/>
      <c r="AJ1991" s="161"/>
      <c r="AK1991" s="76" t="s">
        <v>2108</v>
      </c>
      <c r="AL1991" s="83" t="s">
        <v>19210</v>
      </c>
      <c r="AM1991" s="71" t="s">
        <v>19211</v>
      </c>
      <c r="AN1991" s="84" t="s">
        <v>19212</v>
      </c>
      <c r="AO1991" s="71" t="s">
        <v>19213</v>
      </c>
      <c r="AP1991" s="161" t="str">
        <f>IMAGE("https://bellingcat-archive.nyc3.cdn.digitaloceanspaces.com/Ukraine_Witness_Datasheet/Worksheet/twitter__media_FNKKTB2XEAAZuPa.jpg")</f>
        <v/>
      </c>
      <c r="AQ1991" s="161"/>
      <c r="AR1991" s="161"/>
      <c r="AS1991" s="71" t="s">
        <v>19214</v>
      </c>
      <c r="AT1991" s="161"/>
      <c r="AU1991" s="89"/>
      <c r="AV1991" s="80" t="s">
        <v>3944</v>
      </c>
      <c r="AW1991" s="203"/>
    </row>
    <row r="1992" ht="15.75" customHeight="1">
      <c r="A1992" s="426" t="s">
        <v>5457</v>
      </c>
      <c r="B1992" s="73"/>
      <c r="C1992" s="216" t="s">
        <v>15852</v>
      </c>
      <c r="D1992" s="241" t="s">
        <v>19215</v>
      </c>
      <c r="E1992" s="241" t="s">
        <v>19216</v>
      </c>
      <c r="F1992" s="79">
        <v>2.0</v>
      </c>
      <c r="G1992" s="558" t="s">
        <v>19217</v>
      </c>
      <c r="H1992" s="73"/>
      <c r="I1992" s="551"/>
      <c r="J1992" s="476" t="s">
        <v>19218</v>
      </c>
      <c r="K1992" s="88" t="s">
        <v>19219</v>
      </c>
      <c r="L1992" s="61" t="s">
        <v>3542</v>
      </c>
      <c r="M1992" s="61" t="s">
        <v>5750</v>
      </c>
      <c r="N1992" s="73"/>
      <c r="O1992" s="74" t="s">
        <v>19220</v>
      </c>
      <c r="P1992" s="67" t="str">
        <f t="shared" si="47"/>
        <v>47.095212, 37.714268</v>
      </c>
      <c r="Q1992" s="67"/>
      <c r="R1992" s="67"/>
      <c r="S1992" s="67"/>
      <c r="T1992" s="161"/>
      <c r="U1992" s="69"/>
      <c r="V1992" s="65" t="s">
        <v>19221</v>
      </c>
      <c r="W1992" s="492" t="s">
        <v>9711</v>
      </c>
      <c r="X1992" s="72" t="s">
        <v>5504</v>
      </c>
      <c r="Y1992" s="216" t="s">
        <v>5820</v>
      </c>
      <c r="Z1992" s="73"/>
      <c r="AA1992" s="73"/>
      <c r="AB1992" s="73"/>
      <c r="AC1992" s="73"/>
      <c r="AD1992" s="73"/>
      <c r="AE1992" s="73"/>
      <c r="AF1992" s="73"/>
      <c r="AG1992" s="73"/>
      <c r="AH1992" s="73"/>
      <c r="AI1992" s="73"/>
      <c r="AJ1992" s="161"/>
      <c r="AK1992" s="76" t="s">
        <v>798</v>
      </c>
      <c r="AL1992" s="83" t="s">
        <v>19222</v>
      </c>
      <c r="AM1992" s="71" t="s">
        <v>19223</v>
      </c>
      <c r="AN1992" s="84" t="s">
        <v>19224</v>
      </c>
      <c r="AO1992" s="71" t="s">
        <v>19225</v>
      </c>
      <c r="AP1992" s="161" t="str">
        <f>IMAGE("https://bellingcat-archive.nyc3.cdn.digitaloceanspaces.com/Ukraine_Witness_Datasheet/Worksheet/youtube_dl_1501613527676723205/out7.jpg")</f>
        <v/>
      </c>
      <c r="AQ1992" s="84" t="s">
        <v>19226</v>
      </c>
      <c r="AR1992" s="71" t="s">
        <v>19227</v>
      </c>
      <c r="AS1992" s="71" t="s">
        <v>19228</v>
      </c>
      <c r="AT1992" s="71">
        <v>46.98</v>
      </c>
      <c r="AU1992" s="89"/>
      <c r="AV1992" s="80" t="s">
        <v>3944</v>
      </c>
      <c r="AW1992" s="203"/>
    </row>
    <row r="1993" ht="15.75" customHeight="1">
      <c r="A1993" s="426" t="s">
        <v>63</v>
      </c>
      <c r="B1993" s="73"/>
      <c r="C1993" s="216" t="s">
        <v>14806</v>
      </c>
      <c r="D1993" s="241" t="s">
        <v>19229</v>
      </c>
      <c r="E1993" s="241" t="s">
        <v>19230</v>
      </c>
      <c r="F1993" s="79">
        <v>3.0</v>
      </c>
      <c r="G1993" s="83" t="s">
        <v>19231</v>
      </c>
      <c r="H1993" s="73"/>
      <c r="I1993" s="551"/>
      <c r="J1993" s="476" t="s">
        <v>19232</v>
      </c>
      <c r="K1993" s="88" t="s">
        <v>19233</v>
      </c>
      <c r="L1993" s="61" t="s">
        <v>3542</v>
      </c>
      <c r="M1993" s="66" t="s">
        <v>9200</v>
      </c>
      <c r="N1993" s="73"/>
      <c r="O1993" s="74" t="s">
        <v>15227</v>
      </c>
      <c r="P1993" s="67" t="str">
        <f>IF(ISBLANK(D1992), "", CONCATENATE(D1992,", ", E1992))</f>
        <v>47.095212, 37.714268</v>
      </c>
      <c r="Q1993" s="67"/>
      <c r="R1993" s="67"/>
      <c r="S1993" s="67"/>
      <c r="T1993" s="161"/>
      <c r="U1993" s="69"/>
      <c r="V1993" s="65" t="s">
        <v>19234</v>
      </c>
      <c r="W1993" s="492" t="s">
        <v>9711</v>
      </c>
      <c r="X1993" s="72" t="s">
        <v>5504</v>
      </c>
      <c r="Y1993" s="216" t="s">
        <v>5820</v>
      </c>
      <c r="Z1993" s="73"/>
      <c r="AA1993" s="73"/>
      <c r="AB1993" s="73"/>
      <c r="AC1993" s="73"/>
      <c r="AD1993" s="73"/>
      <c r="AE1993" s="73"/>
      <c r="AF1993" s="73"/>
      <c r="AG1993" s="73"/>
      <c r="AH1993" s="73"/>
      <c r="AI1993" s="73"/>
      <c r="AJ1993" s="161"/>
      <c r="AK1993" s="76" t="s">
        <v>798</v>
      </c>
      <c r="AL1993" s="83" t="s">
        <v>19235</v>
      </c>
      <c r="AM1993" s="71" t="s">
        <v>19236</v>
      </c>
      <c r="AN1993" s="84" t="s">
        <v>19237</v>
      </c>
      <c r="AO1993" s="71" t="s">
        <v>19238</v>
      </c>
      <c r="AP1993" s="161" t="str">
        <f>IMAGE("https://bellingcat-archive.nyc3.cdn.digitaloceanspaces.com/Ukraine_Witness_Datasheet/Worksheet/youtube_dl_1500330516913999876/out7.jpg")</f>
        <v/>
      </c>
      <c r="AQ1993" s="84" t="s">
        <v>19239</v>
      </c>
      <c r="AR1993" s="71" t="s">
        <v>19240</v>
      </c>
      <c r="AS1993" s="71" t="s">
        <v>19241</v>
      </c>
      <c r="AT1993" s="71">
        <v>17.833</v>
      </c>
      <c r="AU1993" s="89"/>
      <c r="AV1993" s="80" t="s">
        <v>3944</v>
      </c>
      <c r="AW1993" s="203"/>
    </row>
    <row r="1994" ht="15.75" customHeight="1">
      <c r="A1994" s="204" t="s">
        <v>63</v>
      </c>
      <c r="B1994" s="73"/>
      <c r="C1994" s="216" t="s">
        <v>13542</v>
      </c>
      <c r="D1994" s="241" t="s">
        <v>19242</v>
      </c>
      <c r="E1994" s="241" t="s">
        <v>19243</v>
      </c>
      <c r="F1994" s="79">
        <v>1.0</v>
      </c>
      <c r="G1994" s="83" t="s">
        <v>19244</v>
      </c>
      <c r="H1994" s="73"/>
      <c r="I1994" s="551"/>
      <c r="J1994" s="476" t="s">
        <v>19245</v>
      </c>
      <c r="K1994" s="64"/>
      <c r="L1994" s="61" t="s">
        <v>3542</v>
      </c>
      <c r="M1994" s="61" t="s">
        <v>7505</v>
      </c>
      <c r="N1994" s="73"/>
      <c r="O1994" s="74" t="s">
        <v>5626</v>
      </c>
      <c r="P1994" s="67" t="str">
        <f t="shared" ref="P1994:P1998" si="48">IF(ISBLANK(D1994), "", CONCATENATE(D1994,", ", E1994))</f>
        <v>50.023945, 36.218280</v>
      </c>
      <c r="Q1994" s="67"/>
      <c r="R1994" s="67"/>
      <c r="S1994" s="67"/>
      <c r="T1994" s="161"/>
      <c r="U1994" s="69"/>
      <c r="V1994" s="65" t="s">
        <v>19246</v>
      </c>
      <c r="W1994" s="71" t="s">
        <v>3601</v>
      </c>
      <c r="X1994" s="72" t="s">
        <v>5504</v>
      </c>
      <c r="Y1994" s="216" t="s">
        <v>5820</v>
      </c>
      <c r="Z1994" s="73"/>
      <c r="AA1994" s="73"/>
      <c r="AB1994" s="73"/>
      <c r="AC1994" s="73"/>
      <c r="AD1994" s="73"/>
      <c r="AE1994" s="73"/>
      <c r="AF1994" s="73"/>
      <c r="AG1994" s="73"/>
      <c r="AH1994" s="73"/>
      <c r="AI1994" s="73"/>
      <c r="AJ1994" s="161"/>
      <c r="AK1994" s="76" t="s">
        <v>6276</v>
      </c>
      <c r="AL1994" s="83" t="s">
        <v>19247</v>
      </c>
      <c r="AM1994" s="71" t="s">
        <v>19248</v>
      </c>
      <c r="AN1994" s="84" t="s">
        <v>19249</v>
      </c>
      <c r="AO1994" s="71" t="s">
        <v>19250</v>
      </c>
      <c r="AP1994" s="161" t="str">
        <f t="shared" ref="AP1994:AP1995" si="49">IMAGE("https://bellingcat-archive.nyc3.cdn.digitaloceanspaces.com/Ukraine_Witness_Datasheet/Worksheet/telegram_67acuU2toavs3-mXG-aKWJ1dqvTGmp0o_kVnkha8rKoRpbz1lRZBSeYb-wzYc_wM2f6LuCnXAfCshNEX_tGjC_BYyP8znunNYbGm0htmynpZNaapAr84SziJa6q5WWjA.jpg")</f>
        <v/>
      </c>
      <c r="AQ1994" s="161"/>
      <c r="AR1994" s="161"/>
      <c r="AS1994" s="71" t="s">
        <v>19251</v>
      </c>
      <c r="AT1994" s="161"/>
      <c r="AU1994" s="89"/>
      <c r="AV1994" s="80" t="s">
        <v>3944</v>
      </c>
      <c r="AW1994" s="203"/>
    </row>
    <row r="1995" ht="15.75" customHeight="1">
      <c r="A1995" s="204" t="s">
        <v>63</v>
      </c>
      <c r="B1995" s="73"/>
      <c r="C1995" s="216" t="s">
        <v>13542</v>
      </c>
      <c r="D1995" s="563" t="s">
        <v>19252</v>
      </c>
      <c r="E1995" s="563" t="s">
        <v>19253</v>
      </c>
      <c r="F1995" s="79">
        <v>1.0</v>
      </c>
      <c r="G1995" s="83" t="s">
        <v>19244</v>
      </c>
      <c r="H1995" s="73"/>
      <c r="I1995" s="551"/>
      <c r="J1995" s="476" t="s">
        <v>19254</v>
      </c>
      <c r="K1995" s="69"/>
      <c r="L1995" s="61" t="s">
        <v>3542</v>
      </c>
      <c r="M1995" s="61" t="s">
        <v>7505</v>
      </c>
      <c r="N1995" s="73"/>
      <c r="O1995" s="74" t="s">
        <v>5626</v>
      </c>
      <c r="P1995" s="67" t="str">
        <f t="shared" si="48"/>
        <v>50.024582, 36.218608</v>
      </c>
      <c r="Q1995" s="67"/>
      <c r="R1995" s="67"/>
      <c r="S1995" s="67"/>
      <c r="T1995" s="161"/>
      <c r="U1995" s="69"/>
      <c r="V1995" s="65" t="s">
        <v>19255</v>
      </c>
      <c r="W1995" s="71" t="s">
        <v>3601</v>
      </c>
      <c r="X1995" s="72" t="s">
        <v>5504</v>
      </c>
      <c r="Y1995" s="216" t="s">
        <v>5820</v>
      </c>
      <c r="Z1995" s="73"/>
      <c r="AA1995" s="73"/>
      <c r="AB1995" s="73"/>
      <c r="AC1995" s="73"/>
      <c r="AD1995" s="73"/>
      <c r="AE1995" s="73"/>
      <c r="AF1995" s="73"/>
      <c r="AG1995" s="73"/>
      <c r="AH1995" s="73"/>
      <c r="AI1995" s="73"/>
      <c r="AJ1995" s="161"/>
      <c r="AK1995" s="76" t="s">
        <v>6276</v>
      </c>
      <c r="AL1995" s="83" t="s">
        <v>19247</v>
      </c>
      <c r="AM1995" s="71" t="s">
        <v>19256</v>
      </c>
      <c r="AN1995" s="84" t="s">
        <v>19257</v>
      </c>
      <c r="AO1995" s="71" t="s">
        <v>19258</v>
      </c>
      <c r="AP1995" s="161" t="str">
        <f t="shared" si="49"/>
        <v/>
      </c>
      <c r="AQ1995" s="161"/>
      <c r="AR1995" s="161"/>
      <c r="AS1995" s="71" t="s">
        <v>19251</v>
      </c>
      <c r="AT1995" s="161"/>
      <c r="AU1995" s="89"/>
      <c r="AV1995" s="80" t="s">
        <v>3944</v>
      </c>
      <c r="AW1995" s="203"/>
    </row>
    <row r="1996" ht="15.75" customHeight="1">
      <c r="A1996" s="204" t="s">
        <v>63</v>
      </c>
      <c r="B1996" s="73"/>
      <c r="C1996" s="216" t="s">
        <v>18286</v>
      </c>
      <c r="D1996" s="241" t="s">
        <v>19259</v>
      </c>
      <c r="E1996" s="241" t="s">
        <v>19260</v>
      </c>
      <c r="F1996" s="79">
        <v>2.0</v>
      </c>
      <c r="G1996" s="83" t="s">
        <v>19261</v>
      </c>
      <c r="H1996" s="73"/>
      <c r="I1996" s="551"/>
      <c r="J1996" s="476" t="s">
        <v>19262</v>
      </c>
      <c r="K1996" s="88" t="s">
        <v>19263</v>
      </c>
      <c r="L1996" s="61" t="s">
        <v>3542</v>
      </c>
      <c r="M1996" s="61" t="s">
        <v>7505</v>
      </c>
      <c r="N1996" s="73"/>
      <c r="O1996" s="74" t="s">
        <v>5626</v>
      </c>
      <c r="P1996" s="67" t="str">
        <f t="shared" si="48"/>
        <v>49.99613, 36.34102</v>
      </c>
      <c r="Q1996" s="67"/>
      <c r="R1996" s="67"/>
      <c r="S1996" s="67"/>
      <c r="T1996" s="71"/>
      <c r="U1996" s="69"/>
      <c r="V1996" s="65" t="s">
        <v>19264</v>
      </c>
      <c r="W1996" s="492" t="s">
        <v>9711</v>
      </c>
      <c r="X1996" s="72" t="s">
        <v>5504</v>
      </c>
      <c r="Y1996" s="216"/>
      <c r="Z1996" s="73"/>
      <c r="AA1996" s="73"/>
      <c r="AB1996" s="73"/>
      <c r="AC1996" s="73"/>
      <c r="AD1996" s="73"/>
      <c r="AE1996" s="73"/>
      <c r="AF1996" s="73"/>
      <c r="AG1996" s="73"/>
      <c r="AH1996" s="73"/>
      <c r="AI1996" s="73"/>
      <c r="AJ1996" s="161"/>
      <c r="AK1996" s="76" t="s">
        <v>2108</v>
      </c>
      <c r="AL1996" s="83" t="s">
        <v>19265</v>
      </c>
      <c r="AM1996" s="71" t="s">
        <v>19266</v>
      </c>
      <c r="AN1996" s="84" t="s">
        <v>19267</v>
      </c>
      <c r="AO1996" s="71" t="s">
        <v>19268</v>
      </c>
      <c r="AP1996" s="161" t="str">
        <f>IMAGE("https://bellingcat-archive.nyc3.cdn.digitaloceanspaces.com/Ukraine_Witness_Datasheet/Worksheet/twitter__media_FNHFx9_XsAAlrWD.jpg")</f>
        <v/>
      </c>
      <c r="AQ1996" s="161"/>
      <c r="AR1996" s="161"/>
      <c r="AS1996" s="71" t="s">
        <v>19269</v>
      </c>
      <c r="AT1996" s="161"/>
      <c r="AU1996" s="89"/>
      <c r="AV1996" s="80" t="s">
        <v>3944</v>
      </c>
      <c r="AW1996" s="203"/>
    </row>
    <row r="1997" ht="15.75" customHeight="1">
      <c r="A1997" s="426" t="s">
        <v>63</v>
      </c>
      <c r="B1997" s="73"/>
      <c r="C1997" s="216" t="s">
        <v>13542</v>
      </c>
      <c r="D1997" s="241" t="s">
        <v>19270</v>
      </c>
      <c r="E1997" s="241" t="s">
        <v>19271</v>
      </c>
      <c r="F1997" s="79">
        <v>2.0</v>
      </c>
      <c r="G1997" s="83" t="s">
        <v>19272</v>
      </c>
      <c r="H1997" s="73"/>
      <c r="I1997" s="551"/>
      <c r="J1997" s="476" t="s">
        <v>19273</v>
      </c>
      <c r="K1997" s="88" t="s">
        <v>19274</v>
      </c>
      <c r="L1997" s="61" t="s">
        <v>3542</v>
      </c>
      <c r="M1997" s="61" t="s">
        <v>9200</v>
      </c>
      <c r="N1997" s="73"/>
      <c r="O1997" s="74" t="s">
        <v>19275</v>
      </c>
      <c r="P1997" s="67" t="str">
        <f t="shared" si="48"/>
        <v>50.2114, 28.6947</v>
      </c>
      <c r="Q1997" s="67"/>
      <c r="R1997" s="67"/>
      <c r="S1997" s="67"/>
      <c r="T1997" s="161"/>
      <c r="U1997" s="69"/>
      <c r="V1997" s="65" t="s">
        <v>19276</v>
      </c>
      <c r="W1997" s="91" t="s">
        <v>6014</v>
      </c>
      <c r="X1997" s="72" t="s">
        <v>5504</v>
      </c>
      <c r="Y1997" s="216" t="s">
        <v>5820</v>
      </c>
      <c r="Z1997" s="73"/>
      <c r="AA1997" s="73"/>
      <c r="AB1997" s="73"/>
      <c r="AC1997" s="73"/>
      <c r="AD1997" s="73"/>
      <c r="AE1997" s="73"/>
      <c r="AF1997" s="73"/>
      <c r="AG1997" s="73"/>
      <c r="AH1997" s="73"/>
      <c r="AI1997" s="73"/>
      <c r="AJ1997" s="161"/>
      <c r="AK1997" s="76" t="s">
        <v>798</v>
      </c>
      <c r="AL1997" s="83" t="s">
        <v>19277</v>
      </c>
      <c r="AM1997" s="71" t="s">
        <v>19278</v>
      </c>
      <c r="AN1997" s="84" t="s">
        <v>19279</v>
      </c>
      <c r="AO1997" s="71" t="s">
        <v>19280</v>
      </c>
      <c r="AP1997" s="161" t="str">
        <f>IMAGE("https://bellingcat-archive.nyc3.cdn.digitaloceanspaces.com/Ukraine_Witness_Datasheet/Worksheet/youtube_dl_1500163131422744577/out20.jpg")</f>
        <v/>
      </c>
      <c r="AQ1997" s="84" t="s">
        <v>19281</v>
      </c>
      <c r="AR1997" s="71" t="s">
        <v>19282</v>
      </c>
      <c r="AS1997" s="71" t="s">
        <v>19283</v>
      </c>
      <c r="AT1997" s="71">
        <v>139.999</v>
      </c>
      <c r="AU1997" s="89"/>
      <c r="AV1997" s="80" t="s">
        <v>3944</v>
      </c>
      <c r="AW1997" s="203"/>
    </row>
    <row r="1998" ht="15.75" customHeight="1">
      <c r="A1998" s="426" t="s">
        <v>63</v>
      </c>
      <c r="B1998" s="73"/>
      <c r="C1998" s="216" t="s">
        <v>18286</v>
      </c>
      <c r="D1998" s="241" t="s">
        <v>19284</v>
      </c>
      <c r="E1998" s="241" t="s">
        <v>19285</v>
      </c>
      <c r="F1998" s="79">
        <v>1.0</v>
      </c>
      <c r="G1998" s="83" t="s">
        <v>19286</v>
      </c>
      <c r="H1998" s="73"/>
      <c r="I1998" s="551"/>
      <c r="J1998" s="476" t="s">
        <v>19287</v>
      </c>
      <c r="K1998" s="88" t="s">
        <v>19288</v>
      </c>
      <c r="L1998" s="61" t="s">
        <v>3542</v>
      </c>
      <c r="M1998" s="61" t="s">
        <v>5590</v>
      </c>
      <c r="N1998" s="73"/>
      <c r="O1998" s="74" t="s">
        <v>5626</v>
      </c>
      <c r="P1998" s="67" t="str">
        <f t="shared" si="48"/>
        <v>47.56229430556943, 31.34108988108274</v>
      </c>
      <c r="Q1998" s="67"/>
      <c r="R1998" s="67"/>
      <c r="S1998" s="67"/>
      <c r="T1998" s="161"/>
      <c r="U1998" s="69"/>
      <c r="V1998" s="65" t="s">
        <v>19289</v>
      </c>
      <c r="W1998" s="492" t="s">
        <v>19290</v>
      </c>
      <c r="X1998" s="72" t="s">
        <v>5504</v>
      </c>
      <c r="Y1998" s="216"/>
      <c r="Z1998" s="73"/>
      <c r="AA1998" s="73"/>
      <c r="AB1998" s="73"/>
      <c r="AC1998" s="73"/>
      <c r="AD1998" s="73"/>
      <c r="AE1998" s="73"/>
      <c r="AF1998" s="73"/>
      <c r="AG1998" s="73"/>
      <c r="AH1998" s="73"/>
      <c r="AI1998" s="73"/>
      <c r="AJ1998" s="161"/>
      <c r="AK1998" s="76" t="s">
        <v>6276</v>
      </c>
      <c r="AL1998" s="83" t="s">
        <v>19291</v>
      </c>
      <c r="AM1998" s="71" t="s">
        <v>19292</v>
      </c>
      <c r="AN1998" s="84" t="s">
        <v>19293</v>
      </c>
      <c r="AO1998" s="71" t="s">
        <v>19294</v>
      </c>
      <c r="AP1998" s="161" t="str">
        <f>IMAGE("https://bellingcat-archive.nyc3.cdn.digitaloceanspaces.com/Ukraine_Witness_Datasheet/Worksheet/telegram_8fdf050771/out7.jpg")</f>
        <v/>
      </c>
      <c r="AQ1998" s="84" t="s">
        <v>19295</v>
      </c>
      <c r="AR1998" s="84" t="s">
        <v>19286</v>
      </c>
      <c r="AS1998" s="71" t="s">
        <v>19296</v>
      </c>
      <c r="AT1998" s="71">
        <v>8.0</v>
      </c>
      <c r="AU1998" s="89"/>
      <c r="AV1998" s="80" t="s">
        <v>3944</v>
      </c>
      <c r="AW1998" s="203"/>
    </row>
    <row r="1999" ht="15.75" customHeight="1">
      <c r="A1999" s="426" t="s">
        <v>63</v>
      </c>
      <c r="B1999" s="73"/>
      <c r="C1999" s="216" t="s">
        <v>12959</v>
      </c>
      <c r="D1999" s="241" t="s">
        <v>19297</v>
      </c>
      <c r="E1999" s="241" t="s">
        <v>19298</v>
      </c>
      <c r="F1999" s="79">
        <v>5.0</v>
      </c>
      <c r="G1999" s="83" t="s">
        <v>19299</v>
      </c>
      <c r="H1999" s="73"/>
      <c r="I1999" s="551"/>
      <c r="J1999" s="476" t="s">
        <v>19300</v>
      </c>
      <c r="K1999" s="88" t="s">
        <v>19301</v>
      </c>
      <c r="L1999" s="61" t="s">
        <v>3542</v>
      </c>
      <c r="M1999" s="61" t="s">
        <v>5827</v>
      </c>
      <c r="N1999" s="73"/>
      <c r="O1999" s="74" t="s">
        <v>5828</v>
      </c>
      <c r="P1999" s="67" t="str">
        <f>IF(ISBLANK(D1998), "", CONCATENATE(D1998,", ", E1998))</f>
        <v>47.56229430556943, 31.34108988108274</v>
      </c>
      <c r="Q1999" s="67"/>
      <c r="R1999" s="67"/>
      <c r="S1999" s="67"/>
      <c r="T1999" s="161"/>
      <c r="U1999" s="69"/>
      <c r="V1999" s="65" t="s">
        <v>19302</v>
      </c>
      <c r="W1999" s="468" t="s">
        <v>7571</v>
      </c>
      <c r="X1999" s="72" t="s">
        <v>5504</v>
      </c>
      <c r="Y1999" s="216" t="s">
        <v>5820</v>
      </c>
      <c r="Z1999" s="73"/>
      <c r="AA1999" s="73"/>
      <c r="AB1999" s="73"/>
      <c r="AC1999" s="73"/>
      <c r="AD1999" s="73"/>
      <c r="AE1999" s="73"/>
      <c r="AF1999" s="73"/>
      <c r="AG1999" s="73"/>
      <c r="AH1999" s="73"/>
      <c r="AI1999" s="73"/>
      <c r="AJ1999" s="161"/>
      <c r="AK1999" s="76" t="s">
        <v>798</v>
      </c>
      <c r="AL1999" s="83" t="s">
        <v>19303</v>
      </c>
      <c r="AM1999" s="71" t="s">
        <v>19304</v>
      </c>
      <c r="AN1999" s="84" t="s">
        <v>19305</v>
      </c>
      <c r="AO1999" s="71" t="s">
        <v>19306</v>
      </c>
      <c r="AP1999" s="161" t="str">
        <f>IMAGE("https://bellingcat-archive.nyc3.cdn.digitaloceanspaces.com/Ukraine_Witness_Datasheet/Worksheet/youtube_dl_1499814376873902081/out20.jpg")</f>
        <v/>
      </c>
      <c r="AQ1999" s="84" t="s">
        <v>19307</v>
      </c>
      <c r="AR1999" s="71" t="s">
        <v>19308</v>
      </c>
      <c r="AS1999" s="71" t="s">
        <v>19309</v>
      </c>
      <c r="AT1999" s="71">
        <v>122.938</v>
      </c>
      <c r="AU1999" s="89"/>
      <c r="AV1999" s="80" t="s">
        <v>3944</v>
      </c>
      <c r="AW1999" s="203"/>
    </row>
    <row r="2000" ht="15.75" customHeight="1">
      <c r="A2000" s="561" t="s">
        <v>12532</v>
      </c>
      <c r="B2000" s="73"/>
      <c r="C2000" s="216"/>
      <c r="D2000" s="241"/>
      <c r="E2000" s="241"/>
      <c r="F2000" s="89"/>
      <c r="G2000" s="83" t="s">
        <v>19310</v>
      </c>
      <c r="H2000" s="73"/>
      <c r="I2000" s="551"/>
      <c r="J2000" s="476"/>
      <c r="K2000" s="88" t="s">
        <v>19311</v>
      </c>
      <c r="L2000" s="61"/>
      <c r="M2000" s="61"/>
      <c r="N2000" s="73"/>
      <c r="O2000" s="66"/>
      <c r="P2000" s="67" t="str">
        <f t="shared" ref="P2000:P2004" si="50">IF(ISBLANK(D2000), "", CONCATENATE(D2000,", ", E2000))</f>
        <v/>
      </c>
      <c r="Q2000" s="67"/>
      <c r="R2000" s="67"/>
      <c r="S2000" s="67"/>
      <c r="T2000" s="161"/>
      <c r="U2000" s="69"/>
      <c r="V2000" s="65" t="s">
        <v>19312</v>
      </c>
      <c r="W2000" s="71"/>
      <c r="X2000" s="194"/>
      <c r="Y2000" s="216"/>
      <c r="Z2000" s="73"/>
      <c r="AA2000" s="73"/>
      <c r="AB2000" s="73"/>
      <c r="AC2000" s="73"/>
      <c r="AD2000" s="73"/>
      <c r="AE2000" s="73"/>
      <c r="AF2000" s="73"/>
      <c r="AG2000" s="73"/>
      <c r="AH2000" s="73"/>
      <c r="AI2000" s="73"/>
      <c r="AJ2000" s="161"/>
      <c r="AK2000" s="76" t="s">
        <v>798</v>
      </c>
      <c r="AL2000" s="83" t="s">
        <v>19313</v>
      </c>
      <c r="AM2000" s="71" t="s">
        <v>19314</v>
      </c>
      <c r="AN2000" s="84" t="s">
        <v>19315</v>
      </c>
      <c r="AO2000" s="71" t="s">
        <v>19316</v>
      </c>
      <c r="AP2000" s="161" t="str">
        <f>IMAGE("https://bellingcat-archive.nyc3.cdn.digitaloceanspaces.com/Ukraine_Witness_Datasheet/Worksheet/youtube_dl_1499754662047752193/out7.jpg")</f>
        <v/>
      </c>
      <c r="AQ2000" s="84" t="s">
        <v>19317</v>
      </c>
      <c r="AR2000" s="71" t="s">
        <v>19318</v>
      </c>
      <c r="AS2000" s="71" t="s">
        <v>19319</v>
      </c>
      <c r="AT2000" s="71">
        <v>31.966</v>
      </c>
      <c r="AU2000" s="89"/>
      <c r="AV2000" s="162"/>
      <c r="AW2000" s="73"/>
    </row>
    <row r="2001" ht="15.75" customHeight="1">
      <c r="A2001" s="426" t="s">
        <v>63</v>
      </c>
      <c r="B2001" s="73"/>
      <c r="C2001" s="216" t="s">
        <v>12959</v>
      </c>
      <c r="D2001" s="241" t="s">
        <v>19320</v>
      </c>
      <c r="E2001" s="241" t="s">
        <v>19321</v>
      </c>
      <c r="F2001" s="79">
        <v>1.0</v>
      </c>
      <c r="G2001" s="83" t="s">
        <v>19322</v>
      </c>
      <c r="H2001" s="73"/>
      <c r="I2001" s="551"/>
      <c r="J2001" s="476" t="s">
        <v>19323</v>
      </c>
      <c r="K2001" s="69"/>
      <c r="L2001" s="61" t="s">
        <v>3542</v>
      </c>
      <c r="M2001" s="61" t="s">
        <v>5827</v>
      </c>
      <c r="N2001" s="73"/>
      <c r="O2001" s="74" t="s">
        <v>5828</v>
      </c>
      <c r="P2001" s="67" t="str">
        <f t="shared" si="50"/>
        <v>50.564757, 30.266260</v>
      </c>
      <c r="Q2001" s="67"/>
      <c r="R2001" s="67"/>
      <c r="S2001" s="67"/>
      <c r="T2001" s="161"/>
      <c r="U2001" s="69"/>
      <c r="V2001" s="65" t="s">
        <v>19324</v>
      </c>
      <c r="W2001" s="468" t="s">
        <v>7571</v>
      </c>
      <c r="X2001" s="72" t="s">
        <v>5504</v>
      </c>
      <c r="Y2001" s="216" t="s">
        <v>5820</v>
      </c>
      <c r="Z2001" s="73"/>
      <c r="AA2001" s="73"/>
      <c r="AB2001" s="73"/>
      <c r="AC2001" s="73"/>
      <c r="AD2001" s="73"/>
      <c r="AE2001" s="73"/>
      <c r="AF2001" s="73"/>
      <c r="AG2001" s="73"/>
      <c r="AH2001" s="73"/>
      <c r="AI2001" s="73"/>
      <c r="AJ2001" s="161"/>
      <c r="AK2001" s="76" t="s">
        <v>2108</v>
      </c>
      <c r="AL2001" s="83" t="s">
        <v>19325</v>
      </c>
      <c r="AM2001" s="71" t="s">
        <v>19326</v>
      </c>
      <c r="AN2001" s="84" t="s">
        <v>19327</v>
      </c>
      <c r="AO2001" s="71" t="s">
        <v>19328</v>
      </c>
      <c r="AP2001" s="161" t="str">
        <f>IMAGE("https://bellingcat-archive.nyc3.cdn.digitaloceanspaces.com/Ukraine_Witness_Datasheet/Worksheet/twitter__media_FNB1bv9WQAgtATD.jpg")</f>
        <v/>
      </c>
      <c r="AQ2001" s="161"/>
      <c r="AR2001" s="161"/>
      <c r="AS2001" s="71" t="s">
        <v>19329</v>
      </c>
      <c r="AT2001" s="161"/>
      <c r="AU2001" s="89"/>
      <c r="AV2001" s="80" t="s">
        <v>3944</v>
      </c>
      <c r="AW2001" s="203"/>
    </row>
    <row r="2002" ht="15.75" customHeight="1">
      <c r="A2002" s="426" t="s">
        <v>63</v>
      </c>
      <c r="B2002" s="73"/>
      <c r="C2002" s="216" t="s">
        <v>12959</v>
      </c>
      <c r="D2002" s="241" t="s">
        <v>19330</v>
      </c>
      <c r="E2002" s="241" t="s">
        <v>19331</v>
      </c>
      <c r="F2002" s="79">
        <v>2.0</v>
      </c>
      <c r="G2002" s="83" t="s">
        <v>19332</v>
      </c>
      <c r="H2002" s="73"/>
      <c r="I2002" s="551"/>
      <c r="J2002" s="476" t="s">
        <v>19333</v>
      </c>
      <c r="K2002" s="88" t="s">
        <v>19334</v>
      </c>
      <c r="L2002" s="61" t="s">
        <v>3542</v>
      </c>
      <c r="M2002" s="61" t="s">
        <v>6167</v>
      </c>
      <c r="N2002" s="73"/>
      <c r="O2002" s="74" t="s">
        <v>6168</v>
      </c>
      <c r="P2002" s="67" t="str">
        <f t="shared" si="50"/>
        <v>46.8509301, 35.3722446</v>
      </c>
      <c r="Q2002" s="67"/>
      <c r="R2002" s="67"/>
      <c r="S2002" s="67"/>
      <c r="T2002" s="161"/>
      <c r="U2002" s="69"/>
      <c r="V2002" s="65" t="s">
        <v>19335</v>
      </c>
      <c r="W2002" s="468" t="s">
        <v>7695</v>
      </c>
      <c r="X2002" s="72" t="s">
        <v>5504</v>
      </c>
      <c r="Y2002" s="216"/>
      <c r="Z2002" s="73"/>
      <c r="AA2002" s="73"/>
      <c r="AB2002" s="73"/>
      <c r="AC2002" s="73"/>
      <c r="AD2002" s="73"/>
      <c r="AE2002" s="73"/>
      <c r="AF2002" s="73"/>
      <c r="AG2002" s="73"/>
      <c r="AH2002" s="73"/>
      <c r="AI2002" s="73"/>
      <c r="AJ2002" s="161"/>
      <c r="AK2002" s="76" t="s">
        <v>798</v>
      </c>
      <c r="AL2002" s="83" t="s">
        <v>19336</v>
      </c>
      <c r="AM2002" s="71" t="s">
        <v>19337</v>
      </c>
      <c r="AN2002" s="84" t="s">
        <v>19338</v>
      </c>
      <c r="AO2002" s="71" t="s">
        <v>19339</v>
      </c>
      <c r="AP2002" s="161" t="str">
        <f>IMAGE("https://bellingcat-archive.nyc3.cdn.digitaloceanspaces.com/Ukraine_Witness_Datasheet/Worksheet/youtube_dl_1499799964347772930/out7.jpg")</f>
        <v/>
      </c>
      <c r="AQ2002" s="84" t="s">
        <v>19340</v>
      </c>
      <c r="AR2002" s="71" t="s">
        <v>19341</v>
      </c>
      <c r="AS2002" s="71" t="s">
        <v>19342</v>
      </c>
      <c r="AT2002" s="71">
        <v>34.7</v>
      </c>
      <c r="AU2002" s="89"/>
      <c r="AV2002" s="80" t="s">
        <v>3944</v>
      </c>
      <c r="AW2002" s="203"/>
    </row>
    <row r="2003" ht="15.75" customHeight="1">
      <c r="A2003" s="426" t="s">
        <v>63</v>
      </c>
      <c r="B2003" s="73"/>
      <c r="C2003" s="216" t="s">
        <v>12959</v>
      </c>
      <c r="D2003" s="241" t="s">
        <v>19343</v>
      </c>
      <c r="E2003" s="241" t="s">
        <v>19344</v>
      </c>
      <c r="F2003" s="79">
        <v>2.0</v>
      </c>
      <c r="G2003" s="83" t="s">
        <v>19345</v>
      </c>
      <c r="H2003" s="73"/>
      <c r="I2003" s="551"/>
      <c r="J2003" s="476" t="s">
        <v>19346</v>
      </c>
      <c r="K2003" s="88" t="s">
        <v>19347</v>
      </c>
      <c r="L2003" s="61" t="s">
        <v>3542</v>
      </c>
      <c r="M2003" s="300" t="s">
        <v>5827</v>
      </c>
      <c r="N2003" s="73"/>
      <c r="O2003" s="562" t="s">
        <v>12713</v>
      </c>
      <c r="P2003" s="67" t="str">
        <f t="shared" si="50"/>
        <v>50.440088, 30.295366</v>
      </c>
      <c r="Q2003" s="67"/>
      <c r="R2003" s="67"/>
      <c r="S2003" s="67"/>
      <c r="T2003" s="161"/>
      <c r="U2003" s="69"/>
      <c r="V2003" s="65" t="s">
        <v>19348</v>
      </c>
      <c r="W2003" s="71" t="s">
        <v>3601</v>
      </c>
      <c r="X2003" s="72" t="s">
        <v>5504</v>
      </c>
      <c r="Y2003" s="216" t="s">
        <v>5820</v>
      </c>
      <c r="Z2003" s="73"/>
      <c r="AA2003" s="73"/>
      <c r="AB2003" s="73"/>
      <c r="AC2003" s="73"/>
      <c r="AD2003" s="73"/>
      <c r="AE2003" s="73"/>
      <c r="AF2003" s="73"/>
      <c r="AG2003" s="73"/>
      <c r="AH2003" s="73"/>
      <c r="AI2003" s="73"/>
      <c r="AJ2003" s="161"/>
      <c r="AK2003" s="76" t="s">
        <v>798</v>
      </c>
      <c r="AL2003" s="83" t="s">
        <v>19349</v>
      </c>
      <c r="AM2003" s="71" t="s">
        <v>19350</v>
      </c>
      <c r="AN2003" s="84" t="s">
        <v>19351</v>
      </c>
      <c r="AO2003" s="71" t="s">
        <v>19352</v>
      </c>
      <c r="AP2003" s="161" t="str">
        <f>IMAGE("https://bellingcat-archive.nyc3.cdn.digitaloceanspaces.com/Ukraine_Witness_Datasheet/Worksheet/youtube_dl_1499738789685694468/out7.jpg")</f>
        <v/>
      </c>
      <c r="AQ2003" s="84" t="s">
        <v>19353</v>
      </c>
      <c r="AR2003" s="71" t="s">
        <v>19354</v>
      </c>
      <c r="AS2003" s="71" t="s">
        <v>19355</v>
      </c>
      <c r="AT2003" s="71">
        <v>42.569</v>
      </c>
      <c r="AU2003" s="89"/>
      <c r="AV2003" s="80" t="s">
        <v>3944</v>
      </c>
      <c r="AW2003" s="203"/>
    </row>
    <row r="2004" ht="15.75" customHeight="1">
      <c r="A2004" s="426" t="s">
        <v>63</v>
      </c>
      <c r="B2004" s="73"/>
      <c r="C2004" s="216" t="s">
        <v>12959</v>
      </c>
      <c r="D2004" s="241" t="s">
        <v>19356</v>
      </c>
      <c r="E2004" s="241" t="s">
        <v>19357</v>
      </c>
      <c r="F2004" s="79">
        <v>2.0</v>
      </c>
      <c r="G2004" s="83" t="s">
        <v>19358</v>
      </c>
      <c r="H2004" s="73"/>
      <c r="I2004" s="551"/>
      <c r="J2004" s="476" t="s">
        <v>19346</v>
      </c>
      <c r="K2004" s="88" t="s">
        <v>19359</v>
      </c>
      <c r="L2004" s="61" t="s">
        <v>3542</v>
      </c>
      <c r="M2004" s="300" t="s">
        <v>5827</v>
      </c>
      <c r="N2004" s="73"/>
      <c r="O2004" s="562" t="s">
        <v>12713</v>
      </c>
      <c r="P2004" s="67" t="str">
        <f t="shared" si="50"/>
        <v>50.4404, 30.2948</v>
      </c>
      <c r="Q2004" s="67"/>
      <c r="R2004" s="67"/>
      <c r="S2004" s="67"/>
      <c r="T2004" s="161"/>
      <c r="U2004" s="69"/>
      <c r="V2004" s="65" t="s">
        <v>19360</v>
      </c>
      <c r="W2004" s="71" t="s">
        <v>3601</v>
      </c>
      <c r="X2004" s="72" t="s">
        <v>5504</v>
      </c>
      <c r="Y2004" s="216" t="s">
        <v>5820</v>
      </c>
      <c r="Z2004" s="73"/>
      <c r="AA2004" s="73"/>
      <c r="AB2004" s="73"/>
      <c r="AC2004" s="73"/>
      <c r="AD2004" s="73"/>
      <c r="AE2004" s="73"/>
      <c r="AF2004" s="73"/>
      <c r="AG2004" s="73"/>
      <c r="AH2004" s="73"/>
      <c r="AI2004" s="73"/>
      <c r="AJ2004" s="161"/>
      <c r="AK2004" s="76" t="s">
        <v>798</v>
      </c>
      <c r="AL2004" s="83" t="s">
        <v>19361</v>
      </c>
      <c r="AM2004" s="71" t="s">
        <v>19362</v>
      </c>
      <c r="AN2004" s="84" t="s">
        <v>19363</v>
      </c>
      <c r="AO2004" s="71" t="s">
        <v>19364</v>
      </c>
      <c r="AP2004" s="161" t="str">
        <f>IMAGE("https://bellingcat-archive.nyc3.cdn.digitaloceanspaces.com/Ukraine_Witness_Datasheet/Worksheet/youtube_dl_1499725490684416002/out7.jpg")</f>
        <v/>
      </c>
      <c r="AQ2004" s="84" t="s">
        <v>19365</v>
      </c>
      <c r="AR2004" s="71" t="s">
        <v>19366</v>
      </c>
      <c r="AS2004" s="71" t="s">
        <v>19367</v>
      </c>
      <c r="AT2004" s="71">
        <v>45.01</v>
      </c>
      <c r="AU2004" s="89"/>
      <c r="AV2004" s="80" t="s">
        <v>3944</v>
      </c>
      <c r="AW2004" s="203"/>
    </row>
    <row r="2005" ht="15.75" customHeight="1">
      <c r="A2005" s="559" t="s">
        <v>5457</v>
      </c>
      <c r="B2005" s="73"/>
      <c r="C2005" s="216" t="s">
        <v>18286</v>
      </c>
      <c r="D2005" s="241" t="s">
        <v>19368</v>
      </c>
      <c r="E2005" s="241" t="s">
        <v>19369</v>
      </c>
      <c r="F2005" s="79">
        <v>2.0</v>
      </c>
      <c r="G2005" s="83" t="s">
        <v>19370</v>
      </c>
      <c r="H2005" s="73"/>
      <c r="I2005" s="551"/>
      <c r="J2005" s="476" t="s">
        <v>19371</v>
      </c>
      <c r="K2005" s="69"/>
      <c r="L2005" s="61" t="s">
        <v>3542</v>
      </c>
      <c r="M2005" s="61" t="s">
        <v>5750</v>
      </c>
      <c r="N2005" s="73"/>
      <c r="O2005" s="74" t="s">
        <v>6109</v>
      </c>
      <c r="P2005" s="67" t="str">
        <f>IF(ISBLANK(D2004), "", CONCATENATE(D2004,", ", E2004))</f>
        <v>50.4404, 30.2948</v>
      </c>
      <c r="Q2005" s="67"/>
      <c r="R2005" s="67"/>
      <c r="S2005" s="67"/>
      <c r="T2005" s="161"/>
      <c r="U2005" s="69"/>
      <c r="V2005" s="65" t="s">
        <v>19372</v>
      </c>
      <c r="W2005" s="71" t="s">
        <v>3601</v>
      </c>
      <c r="X2005" s="72" t="s">
        <v>5504</v>
      </c>
      <c r="Y2005" s="216" t="s">
        <v>5820</v>
      </c>
      <c r="Z2005" s="73"/>
      <c r="AA2005" s="73"/>
      <c r="AB2005" s="73"/>
      <c r="AC2005" s="73"/>
      <c r="AD2005" s="73"/>
      <c r="AE2005" s="73"/>
      <c r="AF2005" s="73"/>
      <c r="AG2005" s="73"/>
      <c r="AH2005" s="73"/>
      <c r="AI2005" s="73"/>
      <c r="AJ2005" s="161"/>
      <c r="AK2005" s="76" t="s">
        <v>2108</v>
      </c>
      <c r="AL2005" s="83" t="s">
        <v>19373</v>
      </c>
      <c r="AM2005" s="71" t="s">
        <v>19374</v>
      </c>
      <c r="AN2005" s="84" t="s">
        <v>19375</v>
      </c>
      <c r="AO2005" s="71" t="s">
        <v>19376</v>
      </c>
      <c r="AP2005" s="161" t="str">
        <f t="shared" ref="AP2005:AP2006" si="51">IMAGE("https://bellingcat-archive.nyc3.cdn.digitaloceanspaces.com/Ukraine_Witness_Datasheet/Worksheet/twitter__media_FNbRr1IVcAA-0vD.jpg")</f>
        <v/>
      </c>
      <c r="AQ2005" s="161"/>
      <c r="AR2005" s="161"/>
      <c r="AS2005" s="71" t="s">
        <v>19377</v>
      </c>
      <c r="AT2005" s="161"/>
      <c r="AU2005" s="89"/>
      <c r="AV2005" s="80" t="s">
        <v>88</v>
      </c>
      <c r="AW2005" s="203"/>
    </row>
    <row r="2006" ht="15.75" customHeight="1">
      <c r="A2006" s="559" t="s">
        <v>5457</v>
      </c>
      <c r="B2006" s="73"/>
      <c r="C2006" s="216" t="s">
        <v>18286</v>
      </c>
      <c r="D2006" s="241" t="s">
        <v>19378</v>
      </c>
      <c r="E2006" s="241" t="s">
        <v>19379</v>
      </c>
      <c r="F2006" s="79">
        <v>2.0</v>
      </c>
      <c r="G2006" s="77" t="s">
        <v>19380</v>
      </c>
      <c r="H2006" s="73"/>
      <c r="I2006" s="551"/>
      <c r="J2006" s="476" t="s">
        <v>19381</v>
      </c>
      <c r="K2006" s="69"/>
      <c r="L2006" s="61" t="s">
        <v>3542</v>
      </c>
      <c r="M2006" s="61" t="s">
        <v>5750</v>
      </c>
      <c r="N2006" s="73"/>
      <c r="O2006" s="74" t="s">
        <v>6109</v>
      </c>
      <c r="P2006" s="67" t="str">
        <f t="shared" ref="P2006:P2010" si="52">IF(ISBLANK(D2006), "", CONCATENATE(D2006,", ", E2006))</f>
        <v>47.099723, 37.504250</v>
      </c>
      <c r="Q2006" s="67"/>
      <c r="R2006" s="67"/>
      <c r="S2006" s="67"/>
      <c r="T2006" s="161"/>
      <c r="U2006" s="69"/>
      <c r="V2006" s="65" t="s">
        <v>19382</v>
      </c>
      <c r="W2006" s="71" t="s">
        <v>3601</v>
      </c>
      <c r="X2006" s="72" t="s">
        <v>5504</v>
      </c>
      <c r="Y2006" s="216" t="s">
        <v>5820</v>
      </c>
      <c r="Z2006" s="73"/>
      <c r="AA2006" s="73"/>
      <c r="AB2006" s="73"/>
      <c r="AC2006" s="73"/>
      <c r="AD2006" s="73"/>
      <c r="AE2006" s="73"/>
      <c r="AF2006" s="73"/>
      <c r="AG2006" s="73"/>
      <c r="AH2006" s="73"/>
      <c r="AI2006" s="73"/>
      <c r="AJ2006" s="161"/>
      <c r="AK2006" s="76" t="s">
        <v>2108</v>
      </c>
      <c r="AL2006" s="83" t="s">
        <v>19373</v>
      </c>
      <c r="AM2006" s="71" t="s">
        <v>19383</v>
      </c>
      <c r="AN2006" s="84" t="s">
        <v>19384</v>
      </c>
      <c r="AO2006" s="71" t="s">
        <v>19385</v>
      </c>
      <c r="AP2006" s="161" t="str">
        <f t="shared" si="51"/>
        <v/>
      </c>
      <c r="AQ2006" s="161"/>
      <c r="AR2006" s="161"/>
      <c r="AS2006" s="71" t="s">
        <v>19377</v>
      </c>
      <c r="AT2006" s="161"/>
      <c r="AU2006" s="89"/>
      <c r="AV2006" s="80" t="s">
        <v>88</v>
      </c>
      <c r="AW2006" s="203"/>
    </row>
    <row r="2007" ht="15.75" customHeight="1">
      <c r="A2007" s="561" t="s">
        <v>12532</v>
      </c>
      <c r="B2007" s="73"/>
      <c r="C2007" s="216" t="s">
        <v>18286</v>
      </c>
      <c r="D2007" s="241" t="s">
        <v>19386</v>
      </c>
      <c r="E2007" s="241" t="s">
        <v>19387</v>
      </c>
      <c r="F2007" s="79">
        <v>2.0</v>
      </c>
      <c r="G2007" s="558" t="s">
        <v>19388</v>
      </c>
      <c r="H2007" s="73"/>
      <c r="I2007" s="551"/>
      <c r="J2007" s="476" t="s">
        <v>19389</v>
      </c>
      <c r="K2007" s="69"/>
      <c r="L2007" s="61" t="s">
        <v>3542</v>
      </c>
      <c r="M2007" s="61" t="s">
        <v>5750</v>
      </c>
      <c r="N2007" s="73"/>
      <c r="O2007" s="74" t="s">
        <v>6109</v>
      </c>
      <c r="P2007" s="67" t="str">
        <f t="shared" si="52"/>
        <v>47.115793, 37.507683</v>
      </c>
      <c r="Q2007" s="67"/>
      <c r="R2007" s="67"/>
      <c r="S2007" s="67"/>
      <c r="T2007" s="161"/>
      <c r="U2007" s="69"/>
      <c r="V2007" s="65" t="s">
        <v>19390</v>
      </c>
      <c r="W2007" s="71"/>
      <c r="X2007" s="194"/>
      <c r="Y2007" s="216" t="s">
        <v>5820</v>
      </c>
      <c r="Z2007" s="73"/>
      <c r="AA2007" s="73"/>
      <c r="AB2007" s="73"/>
      <c r="AC2007" s="73"/>
      <c r="AD2007" s="73"/>
      <c r="AE2007" s="73"/>
      <c r="AF2007" s="73"/>
      <c r="AG2007" s="73"/>
      <c r="AH2007" s="73"/>
      <c r="AI2007" s="73"/>
      <c r="AJ2007" s="161"/>
      <c r="AK2007" s="76" t="s">
        <v>2108</v>
      </c>
      <c r="AL2007" s="83" t="s">
        <v>19391</v>
      </c>
      <c r="AM2007" s="71" t="s">
        <v>19392</v>
      </c>
      <c r="AN2007" s="84" t="s">
        <v>19393</v>
      </c>
      <c r="AO2007" s="71" t="s">
        <v>19394</v>
      </c>
      <c r="AP2007" s="161" t="str">
        <f>IMAGE("https://bellingcat-archive.nyc3.cdn.digitaloceanspaces.com/Ukraine_Witness_Datasheet/Worksheet/twitter__media_FNbR_IuXwAAh2gT.jpg")</f>
        <v/>
      </c>
      <c r="AQ2007" s="161"/>
      <c r="AR2007" s="161"/>
      <c r="AS2007" s="71" t="s">
        <v>19395</v>
      </c>
      <c r="AT2007" s="161"/>
      <c r="AU2007" s="89"/>
      <c r="AV2007" s="162"/>
      <c r="AW2007" s="73"/>
    </row>
    <row r="2008" ht="15.75" customHeight="1">
      <c r="A2008" s="357" t="s">
        <v>63</v>
      </c>
      <c r="B2008" s="73"/>
      <c r="C2008" s="216" t="s">
        <v>12959</v>
      </c>
      <c r="D2008" s="241" t="s">
        <v>19396</v>
      </c>
      <c r="E2008" s="564" t="s">
        <v>19397</v>
      </c>
      <c r="F2008" s="79">
        <v>1.0</v>
      </c>
      <c r="G2008" s="83" t="s">
        <v>19398</v>
      </c>
      <c r="H2008" s="61" t="s">
        <v>91</v>
      </c>
      <c r="I2008" s="551"/>
      <c r="J2008" s="476" t="s">
        <v>19399</v>
      </c>
      <c r="K2008" s="88" t="s">
        <v>19400</v>
      </c>
      <c r="L2008" s="61" t="s">
        <v>3542</v>
      </c>
      <c r="M2008" s="61" t="s">
        <v>5978</v>
      </c>
      <c r="N2008" s="73"/>
      <c r="O2008" s="74" t="s">
        <v>19401</v>
      </c>
      <c r="P2008" s="67" t="str">
        <f t="shared" si="52"/>
        <v>50.471595, 34.960363</v>
      </c>
      <c r="Q2008" s="67"/>
      <c r="R2008" s="67"/>
      <c r="S2008" s="67"/>
      <c r="T2008" s="161"/>
      <c r="U2008" s="69"/>
      <c r="V2008" s="65" t="s">
        <v>19402</v>
      </c>
      <c r="W2008" s="71"/>
      <c r="X2008" s="17" t="s">
        <v>9</v>
      </c>
      <c r="Y2008" s="216" t="s">
        <v>75</v>
      </c>
      <c r="Z2008" s="61" t="s">
        <v>19403</v>
      </c>
      <c r="AA2008" s="73"/>
      <c r="AB2008" s="73"/>
      <c r="AC2008" s="73"/>
      <c r="AD2008" s="73"/>
      <c r="AE2008" s="73"/>
      <c r="AF2008" s="73"/>
      <c r="AG2008" s="73"/>
      <c r="AH2008" s="73"/>
      <c r="AI2008" s="73"/>
      <c r="AJ2008" s="161"/>
      <c r="AK2008" s="76" t="s">
        <v>2108</v>
      </c>
      <c r="AL2008" s="83" t="s">
        <v>19404</v>
      </c>
      <c r="AM2008" s="71" t="s">
        <v>19405</v>
      </c>
      <c r="AN2008" s="84" t="s">
        <v>19406</v>
      </c>
      <c r="AO2008" s="71" t="s">
        <v>19407</v>
      </c>
      <c r="AP2008" s="161" t="str">
        <f>IMAGE("https://bellingcat-archive.nyc3.cdn.digitaloceanspaces.com/Ukraine_Witness_Datasheet/Worksheet/twitter__media_FM__BLqXMAY3LsI.jpg")</f>
        <v/>
      </c>
      <c r="AQ2008" s="161"/>
      <c r="AR2008" s="161"/>
      <c r="AS2008" s="71" t="s">
        <v>19408</v>
      </c>
      <c r="AT2008" s="161"/>
      <c r="AU2008" s="89"/>
      <c r="AV2008" s="80" t="s">
        <v>88</v>
      </c>
      <c r="AW2008" s="73"/>
    </row>
    <row r="2009" ht="15.75" customHeight="1">
      <c r="A2009" s="561" t="s">
        <v>12532</v>
      </c>
      <c r="B2009" s="73"/>
      <c r="C2009" s="216" t="s">
        <v>18286</v>
      </c>
      <c r="D2009" s="241" t="s">
        <v>19409</v>
      </c>
      <c r="E2009" s="241" t="s">
        <v>19410</v>
      </c>
      <c r="F2009" s="79">
        <v>2.0</v>
      </c>
      <c r="G2009" s="83" t="s">
        <v>19388</v>
      </c>
      <c r="H2009" s="73"/>
      <c r="I2009" s="551"/>
      <c r="J2009" s="476" t="s">
        <v>19411</v>
      </c>
      <c r="K2009" s="69"/>
      <c r="L2009" s="61" t="s">
        <v>3542</v>
      </c>
      <c r="M2009" s="61" t="s">
        <v>5750</v>
      </c>
      <c r="N2009" s="73"/>
      <c r="O2009" s="74" t="s">
        <v>6109</v>
      </c>
      <c r="P2009" s="67" t="str">
        <f t="shared" si="52"/>
        <v>47.097343, 37.659285</v>
      </c>
      <c r="Q2009" s="67"/>
      <c r="R2009" s="67"/>
      <c r="S2009" s="67"/>
      <c r="T2009" s="161"/>
      <c r="U2009" s="69"/>
      <c r="V2009" s="65" t="s">
        <v>19412</v>
      </c>
      <c r="W2009" s="71"/>
      <c r="X2009" s="194"/>
      <c r="Y2009" s="216" t="s">
        <v>5820</v>
      </c>
      <c r="Z2009" s="73"/>
      <c r="AA2009" s="73"/>
      <c r="AB2009" s="73"/>
      <c r="AC2009" s="73"/>
      <c r="AD2009" s="73"/>
      <c r="AE2009" s="73"/>
      <c r="AF2009" s="73"/>
      <c r="AG2009" s="73"/>
      <c r="AH2009" s="73"/>
      <c r="AI2009" s="73"/>
      <c r="AJ2009" s="161"/>
      <c r="AK2009" s="76" t="s">
        <v>2108</v>
      </c>
      <c r="AL2009" s="83" t="s">
        <v>19391</v>
      </c>
      <c r="AM2009" s="71" t="s">
        <v>19413</v>
      </c>
      <c r="AN2009" s="84" t="s">
        <v>19414</v>
      </c>
      <c r="AO2009" s="71" t="s">
        <v>19394</v>
      </c>
      <c r="AP2009" s="161" t="str">
        <f>IMAGE("https://bellingcat-archive.nyc3.cdn.digitaloceanspaces.com/Ukraine_Witness_Datasheet/Worksheet/twitter__media_FNbR_IuXwAAh2gT.jpg")</f>
        <v/>
      </c>
      <c r="AQ2009" s="161"/>
      <c r="AR2009" s="161"/>
      <c r="AS2009" s="71" t="s">
        <v>19395</v>
      </c>
      <c r="AT2009" s="161"/>
      <c r="AU2009" s="89"/>
      <c r="AV2009" s="162"/>
      <c r="AW2009" s="73"/>
    </row>
    <row r="2010" ht="15.75" customHeight="1">
      <c r="A2010" s="561" t="s">
        <v>12532</v>
      </c>
      <c r="B2010" s="73"/>
      <c r="C2010" s="216" t="s">
        <v>18286</v>
      </c>
      <c r="D2010" s="241" t="s">
        <v>19415</v>
      </c>
      <c r="E2010" s="241" t="s">
        <v>19416</v>
      </c>
      <c r="F2010" s="79">
        <v>2.0</v>
      </c>
      <c r="G2010" s="83" t="s">
        <v>19417</v>
      </c>
      <c r="H2010" s="73"/>
      <c r="I2010" s="551"/>
      <c r="J2010" s="476" t="s">
        <v>19418</v>
      </c>
      <c r="K2010" s="69"/>
      <c r="L2010" s="61" t="s">
        <v>3542</v>
      </c>
      <c r="M2010" s="61" t="s">
        <v>5750</v>
      </c>
      <c r="N2010" s="73"/>
      <c r="O2010" s="74" t="s">
        <v>6109</v>
      </c>
      <c r="P2010" s="67" t="str">
        <f t="shared" si="52"/>
        <v>47.096880, 37.533509</v>
      </c>
      <c r="Q2010" s="67"/>
      <c r="R2010" s="67"/>
      <c r="S2010" s="67"/>
      <c r="T2010" s="161"/>
      <c r="U2010" s="69"/>
      <c r="V2010" s="65" t="s">
        <v>19419</v>
      </c>
      <c r="W2010" s="71"/>
      <c r="X2010" s="194"/>
      <c r="Y2010" s="216" t="s">
        <v>5820</v>
      </c>
      <c r="Z2010" s="73"/>
      <c r="AA2010" s="73"/>
      <c r="AB2010" s="73"/>
      <c r="AC2010" s="73"/>
      <c r="AD2010" s="73"/>
      <c r="AE2010" s="73"/>
      <c r="AF2010" s="73"/>
      <c r="AG2010" s="73"/>
      <c r="AH2010" s="73"/>
      <c r="AI2010" s="73"/>
      <c r="AJ2010" s="161"/>
      <c r="AK2010" s="76" t="s">
        <v>2108</v>
      </c>
      <c r="AL2010" s="83" t="s">
        <v>19420</v>
      </c>
      <c r="AM2010" s="71" t="s">
        <v>19421</v>
      </c>
      <c r="AN2010" s="84" t="s">
        <v>19422</v>
      </c>
      <c r="AO2010" s="71" t="s">
        <v>19423</v>
      </c>
      <c r="AP2010" s="161" t="str">
        <f>IMAGE("https://bellingcat-archive.nyc3.cdn.digitaloceanspaces.com/Ukraine_Witness_Datasheet/Worksheet/twitter__media_FNbSVoiWUAUG-H7.jpg")</f>
        <v/>
      </c>
      <c r="AQ2010" s="161"/>
      <c r="AR2010" s="161"/>
      <c r="AS2010" s="71" t="s">
        <v>19424</v>
      </c>
      <c r="AT2010" s="161"/>
      <c r="AU2010" s="89"/>
      <c r="AV2010" s="162"/>
      <c r="AW2010" s="73"/>
    </row>
    <row r="2011" ht="15.75" customHeight="1">
      <c r="A2011" s="426" t="s">
        <v>63</v>
      </c>
      <c r="B2011" s="73"/>
      <c r="C2011" s="216" t="s">
        <v>12050</v>
      </c>
      <c r="D2011" s="241" t="s">
        <v>19425</v>
      </c>
      <c r="E2011" s="564" t="s">
        <v>19426</v>
      </c>
      <c r="F2011" s="79">
        <v>1.0</v>
      </c>
      <c r="G2011" s="83" t="s">
        <v>19427</v>
      </c>
      <c r="H2011" s="61" t="s">
        <v>5522</v>
      </c>
      <c r="I2011" s="551"/>
      <c r="J2011" s="476" t="s">
        <v>19428</v>
      </c>
      <c r="K2011" s="88" t="s">
        <v>19429</v>
      </c>
      <c r="L2011" s="61" t="s">
        <v>3542</v>
      </c>
      <c r="M2011" s="61" t="s">
        <v>5559</v>
      </c>
      <c r="N2011" s="61" t="s">
        <v>19430</v>
      </c>
      <c r="O2011" s="66"/>
      <c r="P2011" s="67" t="str">
        <f>IF(ISBLANK(D2010), "", CONCATENATE(D2010,", ", E2010))</f>
        <v>47.096880, 37.533509</v>
      </c>
      <c r="Q2011" s="67"/>
      <c r="R2011" s="67"/>
      <c r="S2011" s="67"/>
      <c r="T2011" s="161"/>
      <c r="U2011" s="69"/>
      <c r="V2011" s="65" t="s">
        <v>19431</v>
      </c>
      <c r="W2011" s="91" t="s">
        <v>6014</v>
      </c>
      <c r="X2011" s="72" t="s">
        <v>5504</v>
      </c>
      <c r="Y2011" s="216"/>
      <c r="Z2011" s="73"/>
      <c r="AA2011" s="73"/>
      <c r="AB2011" s="73"/>
      <c r="AC2011" s="73"/>
      <c r="AD2011" s="73"/>
      <c r="AE2011" s="73"/>
      <c r="AF2011" s="73"/>
      <c r="AG2011" s="73"/>
      <c r="AH2011" s="73"/>
      <c r="AI2011" s="73"/>
      <c r="AJ2011" s="161"/>
      <c r="AK2011" s="76" t="s">
        <v>6276</v>
      </c>
      <c r="AL2011" s="83" t="s">
        <v>19432</v>
      </c>
      <c r="AM2011" s="71" t="s">
        <v>19433</v>
      </c>
      <c r="AN2011" s="84" t="s">
        <v>19434</v>
      </c>
      <c r="AO2011" s="71" t="s">
        <v>19435</v>
      </c>
      <c r="AP2011" s="161" t="str">
        <f>IMAGE("https://bellingcat-archive.nyc3.cdn.digitaloceanspaces.com/Ukraine_Witness_Datasheet/Worksheet/telegram_8059088726/out7.jpg")</f>
        <v/>
      </c>
      <c r="AQ2011" s="84" t="s">
        <v>19436</v>
      </c>
      <c r="AR2011" s="84" t="s">
        <v>19427</v>
      </c>
      <c r="AS2011" s="161"/>
      <c r="AT2011" s="71">
        <v>17.0</v>
      </c>
      <c r="AU2011" s="89"/>
      <c r="AV2011" s="80" t="s">
        <v>3944</v>
      </c>
      <c r="AW2011" s="203"/>
    </row>
    <row r="2012" ht="15.75" customHeight="1">
      <c r="A2012" s="426" t="s">
        <v>63</v>
      </c>
      <c r="B2012" s="73"/>
      <c r="C2012" s="216" t="s">
        <v>15852</v>
      </c>
      <c r="D2012" s="241" t="s">
        <v>19437</v>
      </c>
      <c r="E2012" s="241" t="s">
        <v>19438</v>
      </c>
      <c r="F2012" s="79">
        <v>5.0</v>
      </c>
      <c r="G2012" s="83" t="s">
        <v>19439</v>
      </c>
      <c r="H2012" s="61" t="s">
        <v>5522</v>
      </c>
      <c r="I2012" s="551"/>
      <c r="J2012" s="476" t="s">
        <v>19440</v>
      </c>
      <c r="K2012" s="88" t="s">
        <v>19441</v>
      </c>
      <c r="L2012" s="65" t="s">
        <v>3542</v>
      </c>
      <c r="M2012" s="61" t="s">
        <v>7505</v>
      </c>
      <c r="N2012" s="73"/>
      <c r="O2012" s="74" t="s">
        <v>5626</v>
      </c>
      <c r="P2012" s="67" t="str">
        <f t="shared" ref="P2012:P2016" si="53">IF(ISBLANK(D2012), "", CONCATENATE(D2012,", ", E2012))</f>
        <v>50.010556, 36.409306 </v>
      </c>
      <c r="Q2012" s="67"/>
      <c r="R2012" s="67"/>
      <c r="S2012" s="67"/>
      <c r="T2012" s="161"/>
      <c r="U2012" s="69"/>
      <c r="V2012" s="65" t="s">
        <v>19442</v>
      </c>
      <c r="W2012" s="71" t="s">
        <v>5739</v>
      </c>
      <c r="X2012" s="72" t="s">
        <v>5504</v>
      </c>
      <c r="Y2012" s="216" t="s">
        <v>5820</v>
      </c>
      <c r="Z2012" s="73"/>
      <c r="AA2012" s="73"/>
      <c r="AB2012" s="73"/>
      <c r="AC2012" s="73"/>
      <c r="AD2012" s="73"/>
      <c r="AE2012" s="73"/>
      <c r="AF2012" s="73"/>
      <c r="AG2012" s="73"/>
      <c r="AH2012" s="73"/>
      <c r="AI2012" s="73"/>
      <c r="AJ2012" s="161"/>
      <c r="AK2012" s="76" t="s">
        <v>6276</v>
      </c>
      <c r="AL2012" s="83" t="s">
        <v>19443</v>
      </c>
      <c r="AM2012" s="71" t="s">
        <v>19444</v>
      </c>
      <c r="AN2012" s="84" t="s">
        <v>19445</v>
      </c>
      <c r="AO2012" s="71" t="s">
        <v>19446</v>
      </c>
      <c r="AP2012" s="161" t="str">
        <f>IMAGE("https://bellingcat-archive.nyc3.cdn.digitaloceanspaces.com/Ukraine_Witness_Datasheet/Worksheet/telegram_1558392ce9/out7.jpg")</f>
        <v/>
      </c>
      <c r="AQ2012" s="84" t="s">
        <v>19447</v>
      </c>
      <c r="AR2012" s="84" t="s">
        <v>19439</v>
      </c>
      <c r="AS2012" s="71" t="s">
        <v>19448</v>
      </c>
      <c r="AT2012" s="71">
        <v>11.0</v>
      </c>
      <c r="AU2012" s="89"/>
      <c r="AV2012" s="80" t="s">
        <v>3944</v>
      </c>
      <c r="AW2012" s="203"/>
    </row>
    <row r="2013" ht="15.75" customHeight="1">
      <c r="A2013" s="204" t="s">
        <v>63</v>
      </c>
      <c r="B2013" s="73"/>
      <c r="C2013" s="216" t="s">
        <v>18286</v>
      </c>
      <c r="D2013" s="563" t="s">
        <v>19449</v>
      </c>
      <c r="E2013" s="563" t="s">
        <v>19450</v>
      </c>
      <c r="F2013" s="79">
        <v>4.0</v>
      </c>
      <c r="G2013" s="83" t="s">
        <v>19451</v>
      </c>
      <c r="H2013" s="61" t="s">
        <v>91</v>
      </c>
      <c r="I2013" s="551"/>
      <c r="J2013" s="476" t="s">
        <v>19452</v>
      </c>
      <c r="K2013" s="69"/>
      <c r="L2013" s="565" t="s">
        <v>3542</v>
      </c>
      <c r="M2013" s="167" t="s">
        <v>5750</v>
      </c>
      <c r="N2013" s="451"/>
      <c r="O2013" s="566" t="s">
        <v>6109</v>
      </c>
      <c r="P2013" s="67" t="str">
        <f t="shared" si="53"/>
        <v>47.096490, 37.533467</v>
      </c>
      <c r="Q2013" s="67"/>
      <c r="R2013" s="67"/>
      <c r="S2013" s="67"/>
      <c r="T2013" s="161"/>
      <c r="U2013" s="69"/>
      <c r="V2013" s="65" t="s">
        <v>19453</v>
      </c>
      <c r="W2013" s="71" t="s">
        <v>6108</v>
      </c>
      <c r="X2013" s="72" t="s">
        <v>5504</v>
      </c>
      <c r="Y2013" s="216" t="s">
        <v>5820</v>
      </c>
      <c r="Z2013" s="73"/>
      <c r="AA2013" s="73"/>
      <c r="AB2013" s="73"/>
      <c r="AC2013" s="73"/>
      <c r="AD2013" s="73"/>
      <c r="AE2013" s="73"/>
      <c r="AF2013" s="73"/>
      <c r="AG2013" s="73"/>
      <c r="AH2013" s="73"/>
      <c r="AI2013" s="73"/>
      <c r="AJ2013" s="161"/>
      <c r="AK2013" s="76" t="s">
        <v>1261</v>
      </c>
      <c r="AL2013" s="83" t="s">
        <v>19454</v>
      </c>
      <c r="AM2013" s="71" t="s">
        <v>19455</v>
      </c>
      <c r="AN2013" s="84" t="s">
        <v>19456</v>
      </c>
      <c r="AO2013" s="161"/>
      <c r="AP2013" s="161"/>
      <c r="AQ2013" s="161"/>
      <c r="AR2013" s="71" t="s">
        <v>362</v>
      </c>
      <c r="AS2013" s="161"/>
      <c r="AT2013" s="161"/>
      <c r="AU2013" s="89"/>
      <c r="AV2013" s="80" t="s">
        <v>3944</v>
      </c>
      <c r="AW2013" s="203"/>
    </row>
    <row r="2014" ht="15.75" customHeight="1">
      <c r="A2014" s="204" t="s">
        <v>63</v>
      </c>
      <c r="B2014" s="73"/>
      <c r="C2014" s="216" t="s">
        <v>18286</v>
      </c>
      <c r="D2014" s="563" t="s">
        <v>19457</v>
      </c>
      <c r="E2014" s="563" t="s">
        <v>19458</v>
      </c>
      <c r="F2014" s="79">
        <v>2.0</v>
      </c>
      <c r="G2014" s="83" t="s">
        <v>19459</v>
      </c>
      <c r="H2014" s="61" t="s">
        <v>5522</v>
      </c>
      <c r="I2014" s="551"/>
      <c r="J2014" s="476" t="s">
        <v>19460</v>
      </c>
      <c r="K2014" s="69"/>
      <c r="L2014" s="565" t="s">
        <v>3542</v>
      </c>
      <c r="M2014" s="167" t="s">
        <v>5750</v>
      </c>
      <c r="N2014" s="73"/>
      <c r="O2014" s="566" t="s">
        <v>6109</v>
      </c>
      <c r="P2014" s="67" t="str">
        <f t="shared" si="53"/>
        <v>47.095799, 37.540469</v>
      </c>
      <c r="Q2014" s="67"/>
      <c r="R2014" s="67"/>
      <c r="S2014" s="67"/>
      <c r="T2014" s="161"/>
      <c r="U2014" s="69"/>
      <c r="V2014" s="65" t="s">
        <v>19461</v>
      </c>
      <c r="W2014" s="71" t="s">
        <v>3601</v>
      </c>
      <c r="X2014" s="72" t="s">
        <v>5504</v>
      </c>
      <c r="Y2014" s="216" t="s">
        <v>5820</v>
      </c>
      <c r="Z2014" s="73"/>
      <c r="AA2014" s="73"/>
      <c r="AB2014" s="73"/>
      <c r="AC2014" s="73"/>
      <c r="AD2014" s="73"/>
      <c r="AE2014" s="73"/>
      <c r="AF2014" s="73"/>
      <c r="AG2014" s="73"/>
      <c r="AH2014" s="73"/>
      <c r="AI2014" s="73"/>
      <c r="AJ2014" s="161"/>
      <c r="AK2014" s="76" t="s">
        <v>798</v>
      </c>
      <c r="AL2014" s="83" t="s">
        <v>19462</v>
      </c>
      <c r="AM2014" s="71" t="s">
        <v>19463</v>
      </c>
      <c r="AN2014" s="84" t="s">
        <v>19464</v>
      </c>
      <c r="AO2014" s="71" t="s">
        <v>19465</v>
      </c>
      <c r="AP2014" s="161" t="str">
        <f>IMAGE("https://bellingcat-archive.nyc3.cdn.digitaloceanspaces.com/Ukraine_Witness_Datasheet/Worksheet/youtube_dl_1501590915521122306/out7.jpg")</f>
        <v/>
      </c>
      <c r="AQ2014" s="84" t="s">
        <v>19466</v>
      </c>
      <c r="AR2014" s="71" t="s">
        <v>19467</v>
      </c>
      <c r="AS2014" s="71" t="s">
        <v>19468</v>
      </c>
      <c r="AT2014" s="71">
        <v>24.402</v>
      </c>
      <c r="AU2014" s="89"/>
      <c r="AV2014" s="80" t="s">
        <v>3944</v>
      </c>
      <c r="AW2014" s="203"/>
    </row>
    <row r="2015" ht="15.75" customHeight="1">
      <c r="A2015" s="204" t="s">
        <v>63</v>
      </c>
      <c r="B2015" s="73"/>
      <c r="C2015" s="216" t="s">
        <v>18286</v>
      </c>
      <c r="D2015" s="563" t="s">
        <v>19469</v>
      </c>
      <c r="E2015" s="563" t="s">
        <v>19470</v>
      </c>
      <c r="F2015" s="79">
        <v>3.0</v>
      </c>
      <c r="G2015" s="83" t="s">
        <v>19471</v>
      </c>
      <c r="H2015" s="73"/>
      <c r="I2015" s="551"/>
      <c r="J2015" s="476" t="s">
        <v>19472</v>
      </c>
      <c r="K2015" s="69"/>
      <c r="L2015" s="565" t="s">
        <v>3542</v>
      </c>
      <c r="M2015" s="167" t="s">
        <v>5750</v>
      </c>
      <c r="N2015" s="73"/>
      <c r="O2015" s="566" t="s">
        <v>6109</v>
      </c>
      <c r="P2015" s="67" t="str">
        <f t="shared" si="53"/>
        <v>47.093437, 37.560002</v>
      </c>
      <c r="Q2015" s="67"/>
      <c r="R2015" s="67"/>
      <c r="S2015" s="67"/>
      <c r="T2015" s="161"/>
      <c r="U2015" s="69"/>
      <c r="V2015" s="65" t="s">
        <v>19473</v>
      </c>
      <c r="W2015" s="71" t="s">
        <v>3601</v>
      </c>
      <c r="X2015" s="72" t="s">
        <v>5504</v>
      </c>
      <c r="Y2015" s="216" t="s">
        <v>5820</v>
      </c>
      <c r="Z2015" s="73"/>
      <c r="AA2015" s="73"/>
      <c r="AB2015" s="73"/>
      <c r="AC2015" s="73"/>
      <c r="AD2015" s="73"/>
      <c r="AE2015" s="73"/>
      <c r="AF2015" s="73"/>
      <c r="AG2015" s="73"/>
      <c r="AH2015" s="73"/>
      <c r="AI2015" s="73"/>
      <c r="AJ2015" s="161"/>
      <c r="AK2015" s="76" t="s">
        <v>2108</v>
      </c>
      <c r="AL2015" s="83" t="s">
        <v>19474</v>
      </c>
      <c r="AM2015" s="71" t="s">
        <v>19475</v>
      </c>
      <c r="AN2015" s="84" t="s">
        <v>19476</v>
      </c>
      <c r="AO2015" s="71" t="s">
        <v>19477</v>
      </c>
      <c r="AP2015" s="161" t="str">
        <f>IMAGE("https://bellingcat-archive.nyc3.cdn.digitaloceanspaces.com/Ukraine_Witness_Datasheet/Worksheet/twitter__media_FNZvomlXwAAL0-z.jpg")</f>
        <v/>
      </c>
      <c r="AQ2015" s="161"/>
      <c r="AR2015" s="161"/>
      <c r="AS2015" s="71" t="s">
        <v>19478</v>
      </c>
      <c r="AT2015" s="161"/>
      <c r="AU2015" s="89"/>
      <c r="AV2015" s="80" t="s">
        <v>3944</v>
      </c>
      <c r="AW2015" s="203"/>
    </row>
    <row r="2016" ht="15.75" customHeight="1">
      <c r="A2016" s="357" t="s">
        <v>63</v>
      </c>
      <c r="B2016" s="73"/>
      <c r="C2016" s="216" t="s">
        <v>18286</v>
      </c>
      <c r="D2016" s="563" t="s">
        <v>19479</v>
      </c>
      <c r="E2016" s="563" t="s">
        <v>19480</v>
      </c>
      <c r="F2016" s="79">
        <v>1.0</v>
      </c>
      <c r="G2016" s="83" t="s">
        <v>19481</v>
      </c>
      <c r="H2016" s="61" t="s">
        <v>19482</v>
      </c>
      <c r="I2016" s="551"/>
      <c r="J2016" s="476" t="s">
        <v>19483</v>
      </c>
      <c r="K2016" s="69"/>
      <c r="L2016" s="565" t="s">
        <v>3542</v>
      </c>
      <c r="M2016" s="167" t="s">
        <v>5750</v>
      </c>
      <c r="N2016" s="73"/>
      <c r="O2016" s="566" t="s">
        <v>6109</v>
      </c>
      <c r="P2016" s="67" t="str">
        <f t="shared" si="53"/>
        <v>47.104000, 37.560000</v>
      </c>
      <c r="Q2016" s="67"/>
      <c r="R2016" s="67"/>
      <c r="S2016" s="67"/>
      <c r="T2016" s="161"/>
      <c r="U2016" s="69"/>
      <c r="V2016" s="65" t="s">
        <v>19484</v>
      </c>
      <c r="W2016" s="71" t="s">
        <v>3601</v>
      </c>
      <c r="X2016" s="17" t="s">
        <v>9</v>
      </c>
      <c r="Y2016" s="216" t="s">
        <v>5820</v>
      </c>
      <c r="Z2016" s="73"/>
      <c r="AA2016" s="73"/>
      <c r="AB2016" s="61" t="s">
        <v>19485</v>
      </c>
      <c r="AC2016" s="73"/>
      <c r="AD2016" s="73"/>
      <c r="AE2016" s="73"/>
      <c r="AF2016" s="73"/>
      <c r="AG2016" s="73"/>
      <c r="AH2016" s="73"/>
      <c r="AI2016" s="73"/>
      <c r="AJ2016" s="161"/>
      <c r="AK2016" s="76" t="s">
        <v>798</v>
      </c>
      <c r="AL2016" s="83" t="s">
        <v>19486</v>
      </c>
      <c r="AM2016" s="71" t="s">
        <v>19487</v>
      </c>
      <c r="AN2016" s="84" t="s">
        <v>19488</v>
      </c>
      <c r="AO2016" s="71" t="s">
        <v>19489</v>
      </c>
      <c r="AP2016" s="161" t="str">
        <f>IMAGE("https://bellingcat-archive.nyc3.cdn.digitaloceanspaces.com/Ukraine_Witness_Datasheet/Worksheet/youtube_dl_1501630236357799945/out1.jpg")</f>
        <v/>
      </c>
      <c r="AQ2016" s="84" t="s">
        <v>19490</v>
      </c>
      <c r="AR2016" s="71" t="s">
        <v>19491</v>
      </c>
      <c r="AS2016" s="71" t="s">
        <v>19492</v>
      </c>
      <c r="AT2016" s="161"/>
      <c r="AU2016" s="89"/>
      <c r="AV2016" s="80" t="s">
        <v>19493</v>
      </c>
      <c r="AW2016" s="73"/>
    </row>
    <row r="2017" ht="15.75" customHeight="1">
      <c r="A2017" s="559" t="s">
        <v>15467</v>
      </c>
      <c r="B2017" s="73"/>
      <c r="C2017" s="216" t="s">
        <v>18286</v>
      </c>
      <c r="D2017" s="567" t="s">
        <v>19494</v>
      </c>
      <c r="E2017" s="568" t="s">
        <v>19495</v>
      </c>
      <c r="F2017" s="79">
        <v>2.0</v>
      </c>
      <c r="G2017" s="83" t="s">
        <v>19496</v>
      </c>
      <c r="H2017" s="61" t="s">
        <v>91</v>
      </c>
      <c r="I2017" s="551"/>
      <c r="J2017" s="476" t="s">
        <v>19497</v>
      </c>
      <c r="K2017" s="69"/>
      <c r="L2017" s="61" t="s">
        <v>3542</v>
      </c>
      <c r="M2017" s="61" t="s">
        <v>5750</v>
      </c>
      <c r="N2017" s="73"/>
      <c r="O2017" s="74" t="s">
        <v>19498</v>
      </c>
      <c r="P2017" s="67" t="str">
        <f>IF(ISBLANK(D2016), "", CONCATENATE(D2016,", ", E2016))</f>
        <v>47.104000, 37.560000</v>
      </c>
      <c r="Q2017" s="67"/>
      <c r="R2017" s="67"/>
      <c r="S2017" s="67"/>
      <c r="T2017" s="84" t="s">
        <v>19499</v>
      </c>
      <c r="U2017" s="69"/>
      <c r="V2017" s="65" t="s">
        <v>19500</v>
      </c>
      <c r="W2017" s="71" t="s">
        <v>3601</v>
      </c>
      <c r="X2017" s="72" t="s">
        <v>5504</v>
      </c>
      <c r="Y2017" s="216" t="s">
        <v>5820</v>
      </c>
      <c r="Z2017" s="73"/>
      <c r="AA2017" s="73"/>
      <c r="AB2017" s="73"/>
      <c r="AC2017" s="73"/>
      <c r="AD2017" s="73"/>
      <c r="AE2017" s="73"/>
      <c r="AF2017" s="73"/>
      <c r="AG2017" s="73"/>
      <c r="AH2017" s="73"/>
      <c r="AI2017" s="73"/>
      <c r="AJ2017" s="161"/>
      <c r="AK2017" s="76" t="s">
        <v>1261</v>
      </c>
      <c r="AL2017" s="83" t="s">
        <v>19501</v>
      </c>
      <c r="AM2017" s="71" t="s">
        <v>19502</v>
      </c>
      <c r="AN2017" s="84" t="s">
        <v>19503</v>
      </c>
      <c r="AO2017" s="161"/>
      <c r="AP2017" s="161"/>
      <c r="AQ2017" s="161"/>
      <c r="AR2017" s="71" t="s">
        <v>7184</v>
      </c>
      <c r="AS2017" s="161"/>
      <c r="AT2017" s="161"/>
      <c r="AU2017" s="89"/>
      <c r="AV2017" s="80" t="s">
        <v>88</v>
      </c>
      <c r="AW2017" s="203"/>
    </row>
    <row r="2018" ht="15.75" customHeight="1">
      <c r="A2018" s="559" t="s">
        <v>15467</v>
      </c>
      <c r="B2018" s="73"/>
      <c r="C2018" s="216" t="s">
        <v>18286</v>
      </c>
      <c r="D2018" s="241" t="s">
        <v>19504</v>
      </c>
      <c r="E2018" s="564" t="s">
        <v>19505</v>
      </c>
      <c r="F2018" s="79">
        <v>2.0</v>
      </c>
      <c r="G2018" s="83" t="s">
        <v>19506</v>
      </c>
      <c r="H2018" s="61" t="s">
        <v>91</v>
      </c>
      <c r="I2018" s="551"/>
      <c r="J2018" s="476" t="s">
        <v>19507</v>
      </c>
      <c r="K2018" s="69"/>
      <c r="L2018" s="61" t="s">
        <v>3542</v>
      </c>
      <c r="M2018" s="61" t="s">
        <v>5750</v>
      </c>
      <c r="N2018" s="73"/>
      <c r="O2018" s="74" t="s">
        <v>19498</v>
      </c>
      <c r="P2018" s="67" t="str">
        <f t="shared" ref="P2018:P2021" si="54">IF(ISBLANK(D2018), "", CONCATENATE(D2018,", ", E2018))</f>
        <v>48.628297, 37.546799</v>
      </c>
      <c r="Q2018" s="67"/>
      <c r="R2018" s="67"/>
      <c r="S2018" s="67"/>
      <c r="T2018" s="84" t="s">
        <v>19499</v>
      </c>
      <c r="U2018" s="69"/>
      <c r="V2018" s="65" t="s">
        <v>19508</v>
      </c>
      <c r="W2018" s="71" t="s">
        <v>3601</v>
      </c>
      <c r="X2018" s="72" t="s">
        <v>5504</v>
      </c>
      <c r="Y2018" s="216" t="s">
        <v>5820</v>
      </c>
      <c r="Z2018" s="73"/>
      <c r="AA2018" s="73"/>
      <c r="AB2018" s="73"/>
      <c r="AC2018" s="73"/>
      <c r="AD2018" s="73"/>
      <c r="AE2018" s="73"/>
      <c r="AF2018" s="73"/>
      <c r="AG2018" s="73"/>
      <c r="AH2018" s="73"/>
      <c r="AI2018" s="73"/>
      <c r="AJ2018" s="161"/>
      <c r="AK2018" s="76" t="s">
        <v>1261</v>
      </c>
      <c r="AL2018" s="83" t="s">
        <v>19501</v>
      </c>
      <c r="AM2018" s="71" t="s">
        <v>19509</v>
      </c>
      <c r="AN2018" s="84" t="s">
        <v>19510</v>
      </c>
      <c r="AO2018" s="161"/>
      <c r="AP2018" s="161"/>
      <c r="AQ2018" s="161"/>
      <c r="AR2018" s="71" t="s">
        <v>7184</v>
      </c>
      <c r="AS2018" s="161"/>
      <c r="AT2018" s="161"/>
      <c r="AU2018" s="89"/>
      <c r="AV2018" s="80" t="s">
        <v>88</v>
      </c>
      <c r="AW2018" s="203"/>
    </row>
    <row r="2019" ht="15.75" customHeight="1">
      <c r="A2019" s="216"/>
      <c r="B2019" s="73"/>
      <c r="C2019" s="216"/>
      <c r="D2019" s="241"/>
      <c r="E2019" s="241"/>
      <c r="F2019" s="89"/>
      <c r="G2019" s="476"/>
      <c r="H2019" s="73"/>
      <c r="I2019" s="551"/>
      <c r="J2019" s="476"/>
      <c r="K2019" s="69"/>
      <c r="L2019" s="61"/>
      <c r="M2019" s="61"/>
      <c r="N2019" s="73"/>
      <c r="O2019" s="66"/>
      <c r="P2019" s="67" t="str">
        <f t="shared" si="54"/>
        <v/>
      </c>
      <c r="Q2019" s="67"/>
      <c r="R2019" s="67"/>
      <c r="S2019" s="67"/>
      <c r="T2019" s="161"/>
      <c r="U2019" s="69"/>
      <c r="V2019" s="65" t="s">
        <v>19511</v>
      </c>
      <c r="W2019" s="71"/>
      <c r="X2019" s="194"/>
      <c r="Y2019" s="216"/>
      <c r="Z2019" s="73"/>
      <c r="AA2019" s="73"/>
      <c r="AB2019" s="73"/>
      <c r="AC2019" s="73"/>
      <c r="AD2019" s="73"/>
      <c r="AE2019" s="73"/>
      <c r="AF2019" s="73"/>
      <c r="AG2019" s="73"/>
      <c r="AH2019" s="73"/>
      <c r="AI2019" s="73"/>
      <c r="AJ2019" s="161"/>
      <c r="AK2019" s="236"/>
      <c r="AL2019" s="269"/>
      <c r="AM2019" s="161"/>
      <c r="AN2019" s="161"/>
      <c r="AO2019" s="161"/>
      <c r="AP2019" s="161"/>
      <c r="AQ2019" s="161"/>
      <c r="AR2019" s="161"/>
      <c r="AS2019" s="161"/>
      <c r="AT2019" s="161"/>
      <c r="AU2019" s="89"/>
      <c r="AV2019" s="162"/>
      <c r="AW2019" s="73"/>
    </row>
    <row r="2020" ht="15.75" customHeight="1">
      <c r="A2020" s="561" t="s">
        <v>12532</v>
      </c>
      <c r="B2020" s="73"/>
      <c r="C2020" s="216" t="s">
        <v>15852</v>
      </c>
      <c r="D2020" s="241" t="s">
        <v>19512</v>
      </c>
      <c r="E2020" s="241" t="s">
        <v>19513</v>
      </c>
      <c r="F2020" s="79">
        <v>1.0</v>
      </c>
      <c r="G2020" s="83" t="s">
        <v>19514</v>
      </c>
      <c r="H2020" s="61" t="s">
        <v>5522</v>
      </c>
      <c r="I2020" s="551"/>
      <c r="J2020" s="476" t="s">
        <v>19515</v>
      </c>
      <c r="K2020" s="69"/>
      <c r="L2020" s="61" t="s">
        <v>3542</v>
      </c>
      <c r="M2020" s="61" t="s">
        <v>5827</v>
      </c>
      <c r="N2020" s="73"/>
      <c r="O2020" s="74" t="s">
        <v>15395</v>
      </c>
      <c r="P2020" s="67" t="str">
        <f t="shared" si="54"/>
        <v>50.632798, 30.023603</v>
      </c>
      <c r="Q2020" s="67"/>
      <c r="R2020" s="67"/>
      <c r="S2020" s="67"/>
      <c r="T2020" s="71" t="s">
        <v>19516</v>
      </c>
      <c r="U2020" s="69"/>
      <c r="V2020" s="65" t="s">
        <v>19517</v>
      </c>
      <c r="W2020" s="71" t="s">
        <v>74</v>
      </c>
      <c r="X2020" s="208"/>
      <c r="Y2020" s="216" t="s">
        <v>5820</v>
      </c>
      <c r="Z2020" s="73"/>
      <c r="AA2020" s="73"/>
      <c r="AB2020" s="73"/>
      <c r="AC2020" s="73"/>
      <c r="AD2020" s="73"/>
      <c r="AE2020" s="73"/>
      <c r="AF2020" s="73"/>
      <c r="AG2020" s="73"/>
      <c r="AH2020" s="73"/>
      <c r="AI2020" s="73"/>
      <c r="AJ2020" s="161"/>
      <c r="AK2020" s="76" t="s">
        <v>798</v>
      </c>
      <c r="AL2020" s="83" t="s">
        <v>19518</v>
      </c>
      <c r="AM2020" s="71" t="s">
        <v>19519</v>
      </c>
      <c r="AN2020" s="84" t="s">
        <v>19520</v>
      </c>
      <c r="AO2020" s="71" t="s">
        <v>19521</v>
      </c>
      <c r="AP2020" s="161" t="str">
        <f>IMAGE("https://bellingcat-archive.nyc3.cdn.digitaloceanspaces.com/Ukraine_Witness_Datasheet/Worksheet/youtube_dl_1501161299937529860/out20.jpg")</f>
        <v/>
      </c>
      <c r="AQ2020" s="84" t="s">
        <v>19522</v>
      </c>
      <c r="AR2020" s="71" t="s">
        <v>19523</v>
      </c>
      <c r="AS2020" s="71" t="s">
        <v>19524</v>
      </c>
      <c r="AT2020" s="71">
        <v>105.169</v>
      </c>
      <c r="AU2020" s="89"/>
      <c r="AV2020" s="80" t="s">
        <v>88</v>
      </c>
      <c r="AW2020" s="61"/>
    </row>
    <row r="2021" ht="15.75" customHeight="1">
      <c r="A2021" s="556" t="s">
        <v>18081</v>
      </c>
      <c r="B2021" s="73"/>
      <c r="C2021" s="216" t="s">
        <v>19525</v>
      </c>
      <c r="D2021" s="241" t="s">
        <v>19526</v>
      </c>
      <c r="E2021" s="241" t="s">
        <v>19527</v>
      </c>
      <c r="F2021" s="79">
        <v>4.0</v>
      </c>
      <c r="G2021" s="558" t="s">
        <v>19528</v>
      </c>
      <c r="H2021" s="61" t="s">
        <v>91</v>
      </c>
      <c r="I2021" s="551"/>
      <c r="J2021" s="476" t="s">
        <v>19529</v>
      </c>
      <c r="K2021" s="69"/>
      <c r="L2021" s="61" t="s">
        <v>3542</v>
      </c>
      <c r="M2021" s="61" t="s">
        <v>5750</v>
      </c>
      <c r="N2021" s="73"/>
      <c r="O2021" s="74" t="s">
        <v>6109</v>
      </c>
      <c r="P2021" s="67" t="str">
        <f t="shared" si="54"/>
        <v>47.109967, 37.515613</v>
      </c>
      <c r="Q2021" s="67"/>
      <c r="R2021" s="67"/>
      <c r="S2021" s="67"/>
      <c r="T2021" s="161"/>
      <c r="U2021" s="69"/>
      <c r="V2021" s="65" t="s">
        <v>19530</v>
      </c>
      <c r="W2021" s="71" t="s">
        <v>6641</v>
      </c>
      <c r="X2021" s="17" t="s">
        <v>9</v>
      </c>
      <c r="Y2021" s="216" t="s">
        <v>5820</v>
      </c>
      <c r="Z2021" s="73"/>
      <c r="AA2021" s="73"/>
      <c r="AB2021" s="73"/>
      <c r="AC2021" s="73"/>
      <c r="AD2021" s="73"/>
      <c r="AE2021" s="73"/>
      <c r="AF2021" s="73"/>
      <c r="AG2021" s="73"/>
      <c r="AH2021" s="73"/>
      <c r="AI2021" s="73"/>
      <c r="AJ2021" s="161"/>
      <c r="AK2021" s="76" t="s">
        <v>2108</v>
      </c>
      <c r="AL2021" s="83" t="s">
        <v>19531</v>
      </c>
      <c r="AM2021" s="71" t="s">
        <v>19532</v>
      </c>
      <c r="AN2021" s="84" t="s">
        <v>19533</v>
      </c>
      <c r="AO2021" s="71" t="s">
        <v>19534</v>
      </c>
      <c r="AP2021" s="161" t="str">
        <f>IMAGE("https://bellingcat-archive.nyc3.cdn.digitaloceanspaces.com/Ukraine_Witness_Datasheet/Worksheet/twitter__media_FNePGkMXIAUj2qA.jpg")</f>
        <v/>
      </c>
      <c r="AQ2021" s="161"/>
      <c r="AR2021" s="161"/>
      <c r="AS2021" s="71" t="s">
        <v>19535</v>
      </c>
      <c r="AT2021" s="161"/>
      <c r="AU2021" s="89"/>
      <c r="AV2021" s="80" t="s">
        <v>63</v>
      </c>
      <c r="AW2021" s="73"/>
    </row>
    <row r="2022" ht="15.75" customHeight="1">
      <c r="A2022" s="555" t="s">
        <v>170</v>
      </c>
      <c r="B2022" s="73"/>
      <c r="C2022" s="216" t="s">
        <v>19525</v>
      </c>
      <c r="D2022" s="563" t="s">
        <v>19536</v>
      </c>
      <c r="E2022" s="563" t="s">
        <v>19537</v>
      </c>
      <c r="F2022" s="79">
        <v>2.0</v>
      </c>
      <c r="G2022" s="83" t="s">
        <v>19538</v>
      </c>
      <c r="H2022" s="61" t="s">
        <v>91</v>
      </c>
      <c r="I2022" s="551"/>
      <c r="J2022" s="476" t="s">
        <v>19539</v>
      </c>
      <c r="K2022" s="69"/>
      <c r="L2022" s="61" t="s">
        <v>3542</v>
      </c>
      <c r="M2022" s="61" t="s">
        <v>5590</v>
      </c>
      <c r="N2022" s="73"/>
      <c r="O2022" s="74" t="s">
        <v>5626</v>
      </c>
      <c r="P2022" s="74" t="s">
        <v>19540</v>
      </c>
      <c r="Q2022" s="67"/>
      <c r="R2022" s="67"/>
      <c r="S2022" s="67"/>
      <c r="T2022" s="71" t="s">
        <v>19541</v>
      </c>
      <c r="U2022" s="69"/>
      <c r="V2022" s="65" t="s">
        <v>19542</v>
      </c>
      <c r="W2022" s="71" t="s">
        <v>19543</v>
      </c>
      <c r="X2022" s="208"/>
      <c r="Y2022" s="216" t="s">
        <v>11347</v>
      </c>
      <c r="Z2022" s="73"/>
      <c r="AA2022" s="73"/>
      <c r="AB2022" s="73"/>
      <c r="AC2022" s="73"/>
      <c r="AD2022" s="73"/>
      <c r="AE2022" s="73"/>
      <c r="AF2022" s="73"/>
      <c r="AG2022" s="73"/>
      <c r="AH2022" s="73"/>
      <c r="AI2022" s="73"/>
      <c r="AJ2022" s="161"/>
      <c r="AK2022" s="76" t="s">
        <v>2108</v>
      </c>
      <c r="AL2022" s="83" t="s">
        <v>19544</v>
      </c>
      <c r="AM2022" s="71" t="s">
        <v>19545</v>
      </c>
      <c r="AN2022" s="84" t="s">
        <v>19546</v>
      </c>
      <c r="AO2022" s="71" t="s">
        <v>19547</v>
      </c>
      <c r="AP2022" s="161" t="str">
        <f>IMAGE("https://bellingcat-archive.nyc3.cdn.digitaloceanspaces.com/Ukraine_Witness_Datasheet/Worksheet/twitter__media_FNeRtn6XwAAS4uX.jpg")</f>
        <v/>
      </c>
      <c r="AQ2022" s="161"/>
      <c r="AR2022" s="161"/>
      <c r="AS2022" s="71" t="s">
        <v>19548</v>
      </c>
      <c r="AT2022" s="161"/>
      <c r="AU2022" s="89"/>
      <c r="AV2022" s="80" t="s">
        <v>63</v>
      </c>
      <c r="AW2022" s="73"/>
    </row>
    <row r="2023" ht="15.75" customHeight="1">
      <c r="A2023" s="555" t="s">
        <v>170</v>
      </c>
      <c r="B2023" s="73"/>
      <c r="C2023" s="216" t="s">
        <v>19525</v>
      </c>
      <c r="D2023" s="563" t="s">
        <v>19549</v>
      </c>
      <c r="E2023" s="563" t="s">
        <v>19550</v>
      </c>
      <c r="F2023" s="79">
        <v>2.0</v>
      </c>
      <c r="G2023" s="83" t="s">
        <v>19551</v>
      </c>
      <c r="H2023" s="61" t="s">
        <v>91</v>
      </c>
      <c r="I2023" s="551"/>
      <c r="J2023" s="476" t="s">
        <v>19552</v>
      </c>
      <c r="K2023" s="69"/>
      <c r="L2023" s="61" t="s">
        <v>3542</v>
      </c>
      <c r="M2023" s="93" t="s">
        <v>5590</v>
      </c>
      <c r="N2023" s="314"/>
      <c r="O2023" s="92" t="s">
        <v>5626</v>
      </c>
      <c r="P2023" s="92" t="s">
        <v>19553</v>
      </c>
      <c r="Q2023" s="67"/>
      <c r="R2023" s="67"/>
      <c r="S2023" s="67"/>
      <c r="T2023" s="71" t="s">
        <v>19554</v>
      </c>
      <c r="U2023" s="69"/>
      <c r="V2023" s="65" t="s">
        <v>19555</v>
      </c>
      <c r="W2023" s="71" t="s">
        <v>19543</v>
      </c>
      <c r="X2023" s="208"/>
      <c r="Y2023" s="216" t="s">
        <v>11347</v>
      </c>
      <c r="Z2023" s="73"/>
      <c r="AA2023" s="73"/>
      <c r="AB2023" s="73"/>
      <c r="AC2023" s="73"/>
      <c r="AD2023" s="73"/>
      <c r="AE2023" s="73"/>
      <c r="AF2023" s="73"/>
      <c r="AG2023" s="73"/>
      <c r="AH2023" s="73"/>
      <c r="AI2023" s="73"/>
      <c r="AJ2023" s="161"/>
      <c r="AK2023" s="76" t="s">
        <v>2108</v>
      </c>
      <c r="AL2023" s="83" t="s">
        <v>19556</v>
      </c>
      <c r="AM2023" s="71" t="s">
        <v>19557</v>
      </c>
      <c r="AN2023" s="84" t="s">
        <v>19558</v>
      </c>
      <c r="AO2023" s="71" t="s">
        <v>19559</v>
      </c>
      <c r="AP2023" s="161" t="str">
        <f>IMAGE("https://bellingcat-archive.nyc3.cdn.digitaloceanspaces.com/Ukraine_Witness_Datasheet/Worksheet/twitter__media_FNeQ8kiXIAElFy9.jpg")</f>
        <v/>
      </c>
      <c r="AQ2023" s="161"/>
      <c r="AR2023" s="161"/>
      <c r="AS2023" s="71" t="s">
        <v>19560</v>
      </c>
      <c r="AT2023" s="161"/>
      <c r="AU2023" s="89"/>
      <c r="AV2023" s="80" t="s">
        <v>63</v>
      </c>
      <c r="AW2023" s="73"/>
    </row>
    <row r="2024" ht="15.75" customHeight="1">
      <c r="A2024" s="556" t="s">
        <v>18081</v>
      </c>
      <c r="B2024" s="73"/>
      <c r="C2024" s="216" t="s">
        <v>19525</v>
      </c>
      <c r="D2024" s="241" t="s">
        <v>19561</v>
      </c>
      <c r="E2024" s="563" t="s">
        <v>19562</v>
      </c>
      <c r="F2024" s="79">
        <v>2.0</v>
      </c>
      <c r="G2024" s="83" t="s">
        <v>19563</v>
      </c>
      <c r="H2024" s="61" t="s">
        <v>5522</v>
      </c>
      <c r="I2024" s="551"/>
      <c r="J2024" s="476" t="s">
        <v>19564</v>
      </c>
      <c r="K2024" s="69"/>
      <c r="L2024" s="61" t="s">
        <v>3542</v>
      </c>
      <c r="M2024" s="93" t="s">
        <v>5590</v>
      </c>
      <c r="N2024" s="314"/>
      <c r="O2024" s="92" t="s">
        <v>5647</v>
      </c>
      <c r="P2024" s="140" t="str">
        <f t="shared" ref="P2024:P2025" si="55">IF(ISBLANK(D2024), "", CONCATENATE(D2024,", ", E2024))</f>
        <v>49.840301, 36.687102</v>
      </c>
      <c r="Q2024" s="67"/>
      <c r="R2024" s="67"/>
      <c r="S2024" s="67"/>
      <c r="T2024" s="84" t="s">
        <v>19565</v>
      </c>
      <c r="U2024" s="69"/>
      <c r="V2024" s="65" t="s">
        <v>19566</v>
      </c>
      <c r="W2024" s="71" t="s">
        <v>19543</v>
      </c>
      <c r="X2024" s="194"/>
      <c r="Y2024" s="216" t="s">
        <v>11347</v>
      </c>
      <c r="Z2024" s="73"/>
      <c r="AA2024" s="73"/>
      <c r="AB2024" s="73"/>
      <c r="AC2024" s="73"/>
      <c r="AD2024" s="73"/>
      <c r="AE2024" s="73"/>
      <c r="AF2024" s="73"/>
      <c r="AG2024" s="73"/>
      <c r="AH2024" s="73"/>
      <c r="AI2024" s="73"/>
      <c r="AJ2024" s="161"/>
      <c r="AK2024" s="76" t="s">
        <v>798</v>
      </c>
      <c r="AL2024" s="83" t="s">
        <v>19567</v>
      </c>
      <c r="AM2024" s="71" t="s">
        <v>19568</v>
      </c>
      <c r="AN2024" s="84" t="s">
        <v>19569</v>
      </c>
      <c r="AO2024" s="71" t="s">
        <v>19570</v>
      </c>
      <c r="AP2024" s="161" t="str">
        <f>IMAGE("https://bellingcat-archive.nyc3.cdn.digitaloceanspaces.com/Ukraine_Witness_Datasheet/Worksheet/youtube_dl_1501832094225518593/out7.jpg")</f>
        <v/>
      </c>
      <c r="AQ2024" s="84" t="s">
        <v>19571</v>
      </c>
      <c r="AR2024" s="71" t="s">
        <v>19572</v>
      </c>
      <c r="AS2024" s="71" t="s">
        <v>19573</v>
      </c>
      <c r="AT2024" s="71">
        <v>7.086</v>
      </c>
      <c r="AU2024" s="89"/>
      <c r="AV2024" s="80" t="s">
        <v>63</v>
      </c>
      <c r="AW2024" s="73"/>
    </row>
    <row r="2025" ht="15.75" customHeight="1">
      <c r="A2025" s="556" t="s">
        <v>3259</v>
      </c>
      <c r="B2025" s="73"/>
      <c r="C2025" s="216" t="s">
        <v>18286</v>
      </c>
      <c r="D2025" s="241" t="s">
        <v>19574</v>
      </c>
      <c r="E2025" s="241" t="s">
        <v>19575</v>
      </c>
      <c r="F2025" s="79">
        <v>1.0</v>
      </c>
      <c r="G2025" s="83" t="s">
        <v>19576</v>
      </c>
      <c r="H2025" s="61" t="s">
        <v>5522</v>
      </c>
      <c r="I2025" s="551"/>
      <c r="J2025" s="476" t="s">
        <v>19577</v>
      </c>
      <c r="K2025" s="69"/>
      <c r="L2025" s="61" t="s">
        <v>3542</v>
      </c>
      <c r="M2025" s="93" t="s">
        <v>5827</v>
      </c>
      <c r="N2025" s="93" t="s">
        <v>19578</v>
      </c>
      <c r="O2025" s="92" t="s">
        <v>19579</v>
      </c>
      <c r="P2025" s="140" t="str">
        <f t="shared" si="55"/>
        <v>50.585145, 30.838238</v>
      </c>
      <c r="Q2025" s="67"/>
      <c r="R2025" s="67"/>
      <c r="S2025" s="67"/>
      <c r="T2025" s="161"/>
      <c r="U2025" s="69"/>
      <c r="V2025" s="65" t="s">
        <v>19580</v>
      </c>
      <c r="W2025" s="71" t="s">
        <v>5739</v>
      </c>
      <c r="X2025" s="194"/>
      <c r="Y2025" s="216" t="s">
        <v>11347</v>
      </c>
      <c r="Z2025" s="73"/>
      <c r="AA2025" s="73"/>
      <c r="AB2025" s="73"/>
      <c r="AC2025" s="73"/>
      <c r="AD2025" s="73"/>
      <c r="AE2025" s="73"/>
      <c r="AF2025" s="73"/>
      <c r="AG2025" s="73"/>
      <c r="AH2025" s="73"/>
      <c r="AI2025" s="73"/>
      <c r="AJ2025" s="161"/>
      <c r="AK2025" s="76" t="s">
        <v>798</v>
      </c>
      <c r="AL2025" s="83" t="s">
        <v>19581</v>
      </c>
      <c r="AM2025" s="71" t="s">
        <v>19582</v>
      </c>
      <c r="AN2025" s="84" t="s">
        <v>19583</v>
      </c>
      <c r="AO2025" s="71" t="s">
        <v>19584</v>
      </c>
      <c r="AP2025" s="161" t="str">
        <f>IMAGE("https://bellingcat-archive.nyc3.cdn.digitaloceanspaces.com/Ukraine_Witness_Datasheet/Worksheet/youtube_dl_250734993932774/out7.jpg")</f>
        <v/>
      </c>
      <c r="AQ2025" s="84" t="s">
        <v>19585</v>
      </c>
      <c r="AR2025" s="71" t="s">
        <v>19586</v>
      </c>
      <c r="AS2025" s="71" t="s">
        <v>19587</v>
      </c>
      <c r="AT2025" s="71">
        <v>44.675</v>
      </c>
      <c r="AU2025" s="89"/>
      <c r="AV2025" s="80" t="s">
        <v>63</v>
      </c>
      <c r="AW2025" s="73"/>
    </row>
    <row r="2026" ht="15.75" customHeight="1">
      <c r="A2026" s="559" t="s">
        <v>63</v>
      </c>
      <c r="B2026" s="73"/>
      <c r="C2026" s="216" t="s">
        <v>15852</v>
      </c>
      <c r="D2026" s="563" t="s">
        <v>19588</v>
      </c>
      <c r="E2026" s="563" t="s">
        <v>19589</v>
      </c>
      <c r="F2026" s="79">
        <v>1.0</v>
      </c>
      <c r="G2026" s="83" t="s">
        <v>19590</v>
      </c>
      <c r="H2026" s="61" t="s">
        <v>91</v>
      </c>
      <c r="I2026" s="551"/>
      <c r="J2026" s="476" t="s">
        <v>19591</v>
      </c>
      <c r="K2026" s="69"/>
      <c r="L2026" s="61" t="s">
        <v>3542</v>
      </c>
      <c r="M2026" s="93" t="s">
        <v>5978</v>
      </c>
      <c r="N2026" s="314"/>
      <c r="O2026" s="92" t="s">
        <v>6001</v>
      </c>
      <c r="P2026" s="92" t="s">
        <v>19592</v>
      </c>
      <c r="Q2026" s="67"/>
      <c r="R2026" s="67"/>
      <c r="S2026" s="67"/>
      <c r="T2026" s="161"/>
      <c r="U2026" s="69"/>
      <c r="V2026" s="65" t="s">
        <v>19593</v>
      </c>
      <c r="W2026" s="71" t="s">
        <v>19543</v>
      </c>
      <c r="X2026" s="194"/>
      <c r="Y2026" s="216" t="s">
        <v>11347</v>
      </c>
      <c r="Z2026" s="73"/>
      <c r="AA2026" s="73"/>
      <c r="AB2026" s="73"/>
      <c r="AC2026" s="73"/>
      <c r="AD2026" s="73"/>
      <c r="AE2026" s="73"/>
      <c r="AF2026" s="73"/>
      <c r="AG2026" s="73"/>
      <c r="AH2026" s="73"/>
      <c r="AI2026" s="73"/>
      <c r="AJ2026" s="161"/>
      <c r="AK2026" s="76" t="s">
        <v>2108</v>
      </c>
      <c r="AL2026" s="83" t="s">
        <v>19594</v>
      </c>
      <c r="AM2026" s="71" t="s">
        <v>19595</v>
      </c>
      <c r="AN2026" s="84" t="s">
        <v>19596</v>
      </c>
      <c r="AO2026" s="71" t="s">
        <v>19597</v>
      </c>
      <c r="AP2026" s="161" t="str">
        <f>IMAGE("https://bellingcat-archive.nyc3.cdn.digitaloceanspaces.com/Ukraine_Witness_Datasheet/Worksheet/twitter__media_FNcgSbwXwAccFgk.jpg")</f>
        <v/>
      </c>
      <c r="AQ2026" s="161"/>
      <c r="AR2026" s="161"/>
      <c r="AS2026" s="71" t="s">
        <v>19598</v>
      </c>
      <c r="AT2026" s="161"/>
      <c r="AU2026" s="89"/>
      <c r="AV2026" s="80" t="s">
        <v>5457</v>
      </c>
      <c r="AW2026" s="73"/>
    </row>
    <row r="2027" ht="15.75" customHeight="1">
      <c r="A2027" s="559" t="s">
        <v>63</v>
      </c>
      <c r="B2027" s="73"/>
      <c r="C2027" s="216" t="s">
        <v>15852</v>
      </c>
      <c r="D2027" s="563" t="s">
        <v>19588</v>
      </c>
      <c r="E2027" s="563" t="s">
        <v>19589</v>
      </c>
      <c r="F2027" s="79">
        <v>1.0</v>
      </c>
      <c r="G2027" s="83" t="s">
        <v>19599</v>
      </c>
      <c r="H2027" s="61" t="s">
        <v>91</v>
      </c>
      <c r="I2027" s="551"/>
      <c r="J2027" s="476" t="s">
        <v>19600</v>
      </c>
      <c r="K2027" s="69"/>
      <c r="L2027" s="61" t="s">
        <v>3542</v>
      </c>
      <c r="M2027" s="93" t="s">
        <v>5978</v>
      </c>
      <c r="N2027" s="314"/>
      <c r="O2027" s="92" t="s">
        <v>6001</v>
      </c>
      <c r="P2027" s="140" t="str">
        <f t="shared" ref="P2027:P2028" si="56">IF(ISBLANK(D2027), "", CONCATENATE(D2027,", ", E2027))</f>
        <v>50.304799,  34.893091</v>
      </c>
      <c r="Q2027" s="67"/>
      <c r="R2027" s="67"/>
      <c r="S2027" s="67"/>
      <c r="T2027" s="161"/>
      <c r="U2027" s="69"/>
      <c r="V2027" s="65" t="s">
        <v>19601</v>
      </c>
      <c r="W2027" s="71" t="s">
        <v>19543</v>
      </c>
      <c r="X2027" s="194"/>
      <c r="Y2027" s="216" t="s">
        <v>11347</v>
      </c>
      <c r="Z2027" s="73"/>
      <c r="AA2027" s="73"/>
      <c r="AB2027" s="73"/>
      <c r="AC2027" s="73"/>
      <c r="AD2027" s="73"/>
      <c r="AE2027" s="73"/>
      <c r="AF2027" s="73"/>
      <c r="AG2027" s="73"/>
      <c r="AH2027" s="73"/>
      <c r="AI2027" s="73"/>
      <c r="AJ2027" s="161"/>
      <c r="AK2027" s="76" t="s">
        <v>2108</v>
      </c>
      <c r="AL2027" s="83" t="s">
        <v>19602</v>
      </c>
      <c r="AM2027" s="71" t="s">
        <v>19603</v>
      </c>
      <c r="AN2027" s="84" t="s">
        <v>19604</v>
      </c>
      <c r="AO2027" s="71" t="s">
        <v>19605</v>
      </c>
      <c r="AP2027" s="161" t="str">
        <f>IMAGE("https://bellingcat-archive.nyc3.cdn.digitaloceanspaces.com/Ukraine_Witness_Datasheet/Worksheet/twitter__media_FNY_d8FXsAI0uFj.jpg")</f>
        <v/>
      </c>
      <c r="AQ2027" s="161"/>
      <c r="AR2027" s="161"/>
      <c r="AS2027" s="71" t="s">
        <v>19606</v>
      </c>
      <c r="AT2027" s="161"/>
      <c r="AU2027" s="89"/>
      <c r="AV2027" s="80" t="s">
        <v>5457</v>
      </c>
      <c r="AW2027" s="73"/>
    </row>
    <row r="2028" ht="15.75" customHeight="1">
      <c r="A2028" s="559" t="s">
        <v>63</v>
      </c>
      <c r="B2028" s="73"/>
      <c r="C2028" s="216" t="s">
        <v>15852</v>
      </c>
      <c r="D2028" s="563" t="s">
        <v>19588</v>
      </c>
      <c r="E2028" s="563" t="s">
        <v>19589</v>
      </c>
      <c r="F2028" s="79">
        <v>2.0</v>
      </c>
      <c r="G2028" s="83" t="s">
        <v>19607</v>
      </c>
      <c r="H2028" s="61" t="s">
        <v>5522</v>
      </c>
      <c r="I2028" s="551"/>
      <c r="J2028" s="476" t="s">
        <v>19600</v>
      </c>
      <c r="K2028" s="69"/>
      <c r="L2028" s="61" t="s">
        <v>3542</v>
      </c>
      <c r="M2028" s="93" t="s">
        <v>5978</v>
      </c>
      <c r="N2028" s="314"/>
      <c r="O2028" s="92" t="s">
        <v>6001</v>
      </c>
      <c r="P2028" s="140" t="str">
        <f t="shared" si="56"/>
        <v>50.304799,  34.893091</v>
      </c>
      <c r="Q2028" s="67"/>
      <c r="R2028" s="67"/>
      <c r="S2028" s="67"/>
      <c r="T2028" s="161"/>
      <c r="U2028" s="69"/>
      <c r="V2028" s="65" t="s">
        <v>19608</v>
      </c>
      <c r="W2028" s="71" t="s">
        <v>19543</v>
      </c>
      <c r="X2028" s="194"/>
      <c r="Y2028" s="216" t="s">
        <v>11347</v>
      </c>
      <c r="Z2028" s="73"/>
      <c r="AA2028" s="73"/>
      <c r="AB2028" s="73"/>
      <c r="AC2028" s="73"/>
      <c r="AD2028" s="73"/>
      <c r="AE2028" s="73"/>
      <c r="AF2028" s="73"/>
      <c r="AG2028" s="73"/>
      <c r="AH2028" s="73"/>
      <c r="AI2028" s="73"/>
      <c r="AJ2028" s="161"/>
      <c r="AK2028" s="76" t="s">
        <v>798</v>
      </c>
      <c r="AL2028" s="83" t="s">
        <v>19609</v>
      </c>
      <c r="AM2028" s="71" t="s">
        <v>19610</v>
      </c>
      <c r="AN2028" s="84" t="s">
        <v>19611</v>
      </c>
      <c r="AO2028" s="71" t="s">
        <v>19612</v>
      </c>
      <c r="AP2028" s="161" t="str">
        <f>IMAGE("https://bellingcat-archive.nyc3.cdn.digitaloceanspaces.com/Ukraine_Witness_Datasheet/Worksheet/youtube_dl_1501086765020553219/out7.jpg")</f>
        <v/>
      </c>
      <c r="AQ2028" s="84" t="s">
        <v>19613</v>
      </c>
      <c r="AR2028" s="71" t="s">
        <v>19614</v>
      </c>
      <c r="AS2028" s="71" t="s">
        <v>19615</v>
      </c>
      <c r="AT2028" s="71">
        <v>7.133</v>
      </c>
      <c r="AU2028" s="89"/>
      <c r="AV2028" s="80" t="s">
        <v>5457</v>
      </c>
      <c r="AW2028" s="73"/>
    </row>
    <row r="2029" ht="15.75" customHeight="1">
      <c r="A2029" s="559" t="s">
        <v>63</v>
      </c>
      <c r="B2029" s="73"/>
      <c r="C2029" s="216" t="s">
        <v>19525</v>
      </c>
      <c r="D2029" s="563" t="s">
        <v>19616</v>
      </c>
      <c r="E2029" s="563" t="s">
        <v>19617</v>
      </c>
      <c r="F2029" s="79">
        <v>1.0</v>
      </c>
      <c r="G2029" s="83" t="s">
        <v>19618</v>
      </c>
      <c r="H2029" s="61" t="s">
        <v>91</v>
      </c>
      <c r="I2029" s="551"/>
      <c r="J2029" s="476" t="s">
        <v>19619</v>
      </c>
      <c r="K2029" s="69"/>
      <c r="L2029" s="61" t="s">
        <v>3542</v>
      </c>
      <c r="M2029" s="93" t="s">
        <v>5590</v>
      </c>
      <c r="N2029" s="314"/>
      <c r="O2029" s="92" t="s">
        <v>5626</v>
      </c>
      <c r="P2029" s="92" t="s">
        <v>19620</v>
      </c>
      <c r="Q2029" s="67"/>
      <c r="R2029" s="67"/>
      <c r="S2029" s="67"/>
      <c r="T2029" s="161"/>
      <c r="U2029" s="69"/>
      <c r="V2029" s="65" t="s">
        <v>19621</v>
      </c>
      <c r="W2029" s="71" t="s">
        <v>19543</v>
      </c>
      <c r="X2029" s="194"/>
      <c r="Y2029" s="216" t="s">
        <v>11347</v>
      </c>
      <c r="Z2029" s="73"/>
      <c r="AA2029" s="73"/>
      <c r="AB2029" s="73"/>
      <c r="AC2029" s="73"/>
      <c r="AD2029" s="73"/>
      <c r="AE2029" s="73"/>
      <c r="AF2029" s="73"/>
      <c r="AG2029" s="73"/>
      <c r="AH2029" s="73"/>
      <c r="AI2029" s="73"/>
      <c r="AJ2029" s="161"/>
      <c r="AK2029" s="76" t="s">
        <v>2108</v>
      </c>
      <c r="AL2029" s="83" t="s">
        <v>19622</v>
      </c>
      <c r="AM2029" s="71" t="s">
        <v>19623</v>
      </c>
      <c r="AN2029" s="84" t="s">
        <v>19624</v>
      </c>
      <c r="AO2029" s="71" t="s">
        <v>19625</v>
      </c>
      <c r="AP2029" s="161" t="str">
        <f>IMAGE("https://bellingcat-archive.nyc3.cdn.digitaloceanspaces.com/Ukraine_Witness_Datasheet/Worksheet/twitter__media_FNeSp98XoAAZo5u.jpg")</f>
        <v/>
      </c>
      <c r="AQ2029" s="161"/>
      <c r="AR2029" s="161"/>
      <c r="AS2029" s="71" t="s">
        <v>19626</v>
      </c>
      <c r="AT2029" s="161"/>
      <c r="AU2029" s="89"/>
      <c r="AV2029" s="80" t="s">
        <v>5457</v>
      </c>
      <c r="AW2029" s="73"/>
    </row>
    <row r="2030" ht="15.75" customHeight="1">
      <c r="A2030" s="559" t="s">
        <v>63</v>
      </c>
      <c r="B2030" s="73"/>
      <c r="C2030" s="216" t="s">
        <v>19525</v>
      </c>
      <c r="D2030" s="563" t="s">
        <v>19627</v>
      </c>
      <c r="E2030" s="563" t="s">
        <v>19628</v>
      </c>
      <c r="F2030" s="79">
        <v>1.0</v>
      </c>
      <c r="G2030" s="83" t="s">
        <v>19629</v>
      </c>
      <c r="H2030" s="61" t="s">
        <v>91</v>
      </c>
      <c r="I2030" s="551"/>
      <c r="J2030" s="476" t="s">
        <v>19630</v>
      </c>
      <c r="K2030" s="69"/>
      <c r="L2030" s="61" t="s">
        <v>3542</v>
      </c>
      <c r="M2030" s="93" t="s">
        <v>5590</v>
      </c>
      <c r="N2030" s="314"/>
      <c r="O2030" s="92" t="s">
        <v>5647</v>
      </c>
      <c r="P2030" s="140" t="str">
        <f t="shared" ref="P2030:P2034" si="57">IF(ISBLANK(D2030), "", CONCATENATE(D2030,", ", E2030))</f>
        <v>49.841091, 36.683988</v>
      </c>
      <c r="Q2030" s="67"/>
      <c r="R2030" s="67"/>
      <c r="S2030" s="67"/>
      <c r="T2030" s="161"/>
      <c r="U2030" s="69"/>
      <c r="V2030" s="65" t="s">
        <v>19631</v>
      </c>
      <c r="W2030" s="91" t="s">
        <v>6014</v>
      </c>
      <c r="X2030" s="194"/>
      <c r="Y2030" s="216" t="s">
        <v>11347</v>
      </c>
      <c r="Z2030" s="73"/>
      <c r="AA2030" s="73"/>
      <c r="AB2030" s="73"/>
      <c r="AC2030" s="73"/>
      <c r="AD2030" s="73"/>
      <c r="AE2030" s="73"/>
      <c r="AF2030" s="73"/>
      <c r="AG2030" s="73"/>
      <c r="AH2030" s="73"/>
      <c r="AI2030" s="73"/>
      <c r="AJ2030" s="161"/>
      <c r="AK2030" s="76" t="s">
        <v>2108</v>
      </c>
      <c r="AL2030" s="83" t="s">
        <v>19632</v>
      </c>
      <c r="AM2030" s="71" t="s">
        <v>19633</v>
      </c>
      <c r="AN2030" s="84" t="s">
        <v>19634</v>
      </c>
      <c r="AO2030" s="71" t="s">
        <v>19635</v>
      </c>
      <c r="AP2030" s="161" t="str">
        <f>IMAGE("https://bellingcat-archive.nyc3.cdn.digitaloceanspaces.com/Ukraine_Witness_Datasheet/Worksheet/twitter__media_FNeSE15WYAID9KG.jpg")</f>
        <v/>
      </c>
      <c r="AQ2030" s="161"/>
      <c r="AR2030" s="161"/>
      <c r="AS2030" s="71" t="s">
        <v>19636</v>
      </c>
      <c r="AT2030" s="161"/>
      <c r="AU2030" s="89"/>
      <c r="AV2030" s="80" t="s">
        <v>5457</v>
      </c>
      <c r="AW2030" s="73"/>
    </row>
    <row r="2031" ht="15.75" customHeight="1">
      <c r="A2031" s="559" t="s">
        <v>63</v>
      </c>
      <c r="B2031" s="73"/>
      <c r="C2031" s="216" t="s">
        <v>19525</v>
      </c>
      <c r="D2031" s="569" t="s">
        <v>19637</v>
      </c>
      <c r="E2031" s="569" t="s">
        <v>19638</v>
      </c>
      <c r="F2031" s="79">
        <v>2.0</v>
      </c>
      <c r="G2031" s="83" t="s">
        <v>19639</v>
      </c>
      <c r="H2031" s="61" t="s">
        <v>91</v>
      </c>
      <c r="I2031" s="551"/>
      <c r="J2031" s="476" t="s">
        <v>19640</v>
      </c>
      <c r="K2031" s="69"/>
      <c r="L2031" s="61" t="s">
        <v>3542</v>
      </c>
      <c r="M2031" s="93" t="s">
        <v>5590</v>
      </c>
      <c r="N2031" s="314"/>
      <c r="O2031" s="92" t="s">
        <v>19641</v>
      </c>
      <c r="P2031" s="140" t="str">
        <f t="shared" si="57"/>
        <v>49.113915, 36.805156</v>
      </c>
      <c r="Q2031" s="67"/>
      <c r="R2031" s="67"/>
      <c r="S2031" s="67"/>
      <c r="T2031" s="161"/>
      <c r="U2031" s="69"/>
      <c r="V2031" s="65" t="s">
        <v>19642</v>
      </c>
      <c r="W2031" s="71" t="s">
        <v>19543</v>
      </c>
      <c r="X2031" s="194"/>
      <c r="Y2031" s="216" t="s">
        <v>11347</v>
      </c>
      <c r="Z2031" s="73"/>
      <c r="AA2031" s="73"/>
      <c r="AB2031" s="73"/>
      <c r="AC2031" s="73"/>
      <c r="AD2031" s="73"/>
      <c r="AE2031" s="73"/>
      <c r="AF2031" s="73"/>
      <c r="AG2031" s="73"/>
      <c r="AH2031" s="73"/>
      <c r="AI2031" s="73"/>
      <c r="AJ2031" s="161"/>
      <c r="AK2031" s="76" t="s">
        <v>2108</v>
      </c>
      <c r="AL2031" s="83" t="s">
        <v>19643</v>
      </c>
      <c r="AM2031" s="71" t="s">
        <v>19644</v>
      </c>
      <c r="AN2031" s="84" t="s">
        <v>19645</v>
      </c>
      <c r="AO2031" s="71" t="s">
        <v>19646</v>
      </c>
      <c r="AP2031" s="161" t="str">
        <f>IMAGE("https://bellingcat-archive.nyc3.cdn.digitaloceanspaces.com/Ukraine_Witness_Datasheet/Worksheet/twitter__media_FNeOzejXEAQPxVl.jpg")</f>
        <v/>
      </c>
      <c r="AQ2031" s="161"/>
      <c r="AR2031" s="161"/>
      <c r="AS2031" s="71" t="s">
        <v>19647</v>
      </c>
      <c r="AT2031" s="161"/>
      <c r="AU2031" s="89"/>
      <c r="AV2031" s="80" t="s">
        <v>5457</v>
      </c>
      <c r="AW2031" s="73"/>
    </row>
    <row r="2032" ht="15.75" customHeight="1">
      <c r="A2032" s="559" t="s">
        <v>63</v>
      </c>
      <c r="B2032" s="73"/>
      <c r="C2032" s="216" t="s">
        <v>19525</v>
      </c>
      <c r="D2032" s="563" t="s">
        <v>19648</v>
      </c>
      <c r="E2032" s="563" t="s">
        <v>19649</v>
      </c>
      <c r="F2032" s="79">
        <v>1.0</v>
      </c>
      <c r="G2032" s="83" t="s">
        <v>19650</v>
      </c>
      <c r="H2032" s="61" t="s">
        <v>91</v>
      </c>
      <c r="I2032" s="551"/>
      <c r="J2032" s="476" t="s">
        <v>19651</v>
      </c>
      <c r="K2032" s="69"/>
      <c r="L2032" s="61" t="s">
        <v>3542</v>
      </c>
      <c r="M2032" s="93" t="s">
        <v>5590</v>
      </c>
      <c r="N2032" s="314"/>
      <c r="O2032" s="93" t="s">
        <v>19652</v>
      </c>
      <c r="P2032" s="140" t="str">
        <f t="shared" si="57"/>
        <v>49.893342, 36.450322</v>
      </c>
      <c r="Q2032" s="67"/>
      <c r="R2032" s="67"/>
      <c r="S2032" s="67"/>
      <c r="T2032" s="161"/>
      <c r="U2032" s="69"/>
      <c r="V2032" s="65" t="s">
        <v>19653</v>
      </c>
      <c r="W2032" s="71" t="s">
        <v>19543</v>
      </c>
      <c r="X2032" s="194"/>
      <c r="Y2032" s="216" t="s">
        <v>11347</v>
      </c>
      <c r="Z2032" s="73"/>
      <c r="AA2032" s="73"/>
      <c r="AB2032" s="73"/>
      <c r="AC2032" s="73"/>
      <c r="AD2032" s="73"/>
      <c r="AE2032" s="73"/>
      <c r="AF2032" s="73"/>
      <c r="AG2032" s="73"/>
      <c r="AH2032" s="73"/>
      <c r="AI2032" s="73"/>
      <c r="AJ2032" s="161"/>
      <c r="AK2032" s="76" t="s">
        <v>2108</v>
      </c>
      <c r="AL2032" s="83" t="s">
        <v>19654</v>
      </c>
      <c r="AM2032" s="71" t="s">
        <v>19655</v>
      </c>
      <c r="AN2032" s="84" t="s">
        <v>19656</v>
      </c>
      <c r="AO2032" s="71" t="s">
        <v>19657</v>
      </c>
      <c r="AP2032" s="161" t="str">
        <f>IMAGE("https://bellingcat-archive.nyc3.cdn.digitaloceanspaces.com/Ukraine_Witness_Datasheet/Worksheet/twitter__media_FNd0JH4XEAAM3L-.jpg")</f>
        <v/>
      </c>
      <c r="AQ2032" s="161"/>
      <c r="AR2032" s="161"/>
      <c r="AS2032" s="71" t="s">
        <v>19658</v>
      </c>
      <c r="AT2032" s="161"/>
      <c r="AU2032" s="89"/>
      <c r="AV2032" s="80" t="s">
        <v>5457</v>
      </c>
      <c r="AW2032" s="73"/>
    </row>
    <row r="2033" ht="15.75" customHeight="1">
      <c r="A2033" s="559" t="s">
        <v>63</v>
      </c>
      <c r="B2033" s="73"/>
      <c r="C2033" s="216" t="s">
        <v>19525</v>
      </c>
      <c r="D2033" s="563" t="s">
        <v>19659</v>
      </c>
      <c r="E2033" s="563" t="s">
        <v>19660</v>
      </c>
      <c r="F2033" s="79">
        <v>1.0</v>
      </c>
      <c r="G2033" s="83" t="s">
        <v>19661</v>
      </c>
      <c r="H2033" s="61" t="s">
        <v>5522</v>
      </c>
      <c r="I2033" s="551"/>
      <c r="J2033" s="476" t="s">
        <v>19662</v>
      </c>
      <c r="K2033" s="69"/>
      <c r="L2033" s="61" t="s">
        <v>3542</v>
      </c>
      <c r="M2033" s="93" t="s">
        <v>5590</v>
      </c>
      <c r="N2033" s="314"/>
      <c r="O2033" s="92" t="s">
        <v>5626</v>
      </c>
      <c r="P2033" s="140" t="str">
        <f t="shared" si="57"/>
        <v>50.008438, 36.245358</v>
      </c>
      <c r="Q2033" s="67"/>
      <c r="R2033" s="67"/>
      <c r="S2033" s="67"/>
      <c r="T2033" s="161"/>
      <c r="U2033" s="69"/>
      <c r="V2033" s="65" t="s">
        <v>19663</v>
      </c>
      <c r="W2033" s="71" t="s">
        <v>19543</v>
      </c>
      <c r="X2033" s="194"/>
      <c r="Y2033" s="216" t="s">
        <v>11347</v>
      </c>
      <c r="Z2033" s="73"/>
      <c r="AA2033" s="73"/>
      <c r="AB2033" s="73"/>
      <c r="AC2033" s="73"/>
      <c r="AD2033" s="73"/>
      <c r="AE2033" s="73"/>
      <c r="AF2033" s="73"/>
      <c r="AG2033" s="73"/>
      <c r="AH2033" s="73"/>
      <c r="AI2033" s="73"/>
      <c r="AJ2033" s="161"/>
      <c r="AK2033" s="76" t="s">
        <v>798</v>
      </c>
      <c r="AL2033" s="83" t="s">
        <v>19664</v>
      </c>
      <c r="AM2033" s="71" t="s">
        <v>19665</v>
      </c>
      <c r="AN2033" s="84" t="s">
        <v>19666</v>
      </c>
      <c r="AO2033" s="71" t="s">
        <v>19667</v>
      </c>
      <c r="AP2033" s="161" t="str">
        <f>IMAGE("https://bellingcat-archive.nyc3.cdn.digitaloceanspaces.com/Ukraine_Witness_Datasheet/Worksheet/youtube_dl_1501793841925472257/out7.jpg")</f>
        <v/>
      </c>
      <c r="AQ2033" s="84" t="s">
        <v>19668</v>
      </c>
      <c r="AR2033" s="71" t="s">
        <v>19669</v>
      </c>
      <c r="AS2033" s="71" t="s">
        <v>19670</v>
      </c>
      <c r="AT2033" s="71">
        <v>14.7</v>
      </c>
      <c r="AU2033" s="89"/>
      <c r="AV2033" s="80" t="s">
        <v>5457</v>
      </c>
      <c r="AW2033" s="73"/>
    </row>
    <row r="2034" ht="15.75" customHeight="1">
      <c r="A2034" s="559" t="s">
        <v>63</v>
      </c>
      <c r="B2034" s="73"/>
      <c r="C2034" s="216" t="s">
        <v>19525</v>
      </c>
      <c r="D2034" s="563" t="s">
        <v>19671</v>
      </c>
      <c r="E2034" s="563" t="s">
        <v>19672</v>
      </c>
      <c r="F2034" s="79">
        <v>2.0</v>
      </c>
      <c r="G2034" s="83" t="s">
        <v>19673</v>
      </c>
      <c r="H2034" s="61" t="s">
        <v>5522</v>
      </c>
      <c r="I2034" s="551"/>
      <c r="J2034" s="476" t="s">
        <v>19674</v>
      </c>
      <c r="K2034" s="69"/>
      <c r="L2034" s="61" t="s">
        <v>3542</v>
      </c>
      <c r="M2034" s="93" t="s">
        <v>5750</v>
      </c>
      <c r="N2034" s="314"/>
      <c r="O2034" s="92" t="s">
        <v>6109</v>
      </c>
      <c r="P2034" s="140" t="str">
        <f t="shared" si="57"/>
        <v>47.107591,  37.517912</v>
      </c>
      <c r="Q2034" s="67"/>
      <c r="R2034" s="67"/>
      <c r="S2034" s="67"/>
      <c r="T2034" s="161"/>
      <c r="U2034" s="69"/>
      <c r="V2034" s="65" t="s">
        <v>19675</v>
      </c>
      <c r="W2034" s="71" t="s">
        <v>19543</v>
      </c>
      <c r="X2034" s="194"/>
      <c r="Y2034" s="216" t="s">
        <v>11347</v>
      </c>
      <c r="Z2034" s="73"/>
      <c r="AA2034" s="73"/>
      <c r="AB2034" s="73"/>
      <c r="AC2034" s="73"/>
      <c r="AD2034" s="73"/>
      <c r="AE2034" s="73"/>
      <c r="AF2034" s="73"/>
      <c r="AG2034" s="73"/>
      <c r="AH2034" s="73"/>
      <c r="AI2034" s="73"/>
      <c r="AJ2034" s="161"/>
      <c r="AK2034" s="76" t="s">
        <v>798</v>
      </c>
      <c r="AL2034" s="83" t="s">
        <v>19676</v>
      </c>
      <c r="AM2034" s="71" t="s">
        <v>19677</v>
      </c>
      <c r="AN2034" s="84" t="s">
        <v>19678</v>
      </c>
      <c r="AO2034" s="71" t="s">
        <v>19679</v>
      </c>
      <c r="AP2034" s="161" t="str">
        <f>IMAGE("https://bellingcat-archive.nyc3.cdn.digitaloceanspaces.com/Ukraine_Witness_Datasheet/Worksheet/youtube_dl_1501875154292465672/out7.jpg")</f>
        <v/>
      </c>
      <c r="AQ2034" s="84" t="s">
        <v>19680</v>
      </c>
      <c r="AR2034" s="71" t="s">
        <v>19681</v>
      </c>
      <c r="AS2034" s="71" t="s">
        <v>19682</v>
      </c>
      <c r="AT2034" s="71">
        <v>42.233</v>
      </c>
      <c r="AU2034" s="89"/>
      <c r="AV2034" s="80" t="s">
        <v>5457</v>
      </c>
      <c r="AW2034" s="73"/>
    </row>
    <row r="2035" ht="15.75" customHeight="1">
      <c r="A2035" s="561" t="s">
        <v>12532</v>
      </c>
      <c r="B2035" s="73"/>
      <c r="C2035" s="216" t="s">
        <v>19525</v>
      </c>
      <c r="D2035" s="241"/>
      <c r="E2035" s="241"/>
      <c r="F2035" s="79">
        <v>2.0</v>
      </c>
      <c r="G2035" s="83" t="s">
        <v>19683</v>
      </c>
      <c r="H2035" s="61" t="s">
        <v>66</v>
      </c>
      <c r="I2035" s="551"/>
      <c r="J2035" s="476" t="s">
        <v>19684</v>
      </c>
      <c r="K2035" s="69"/>
      <c r="L2035" s="61" t="s">
        <v>5670</v>
      </c>
      <c r="M2035" s="93" t="s">
        <v>5590</v>
      </c>
      <c r="N2035" s="314"/>
      <c r="O2035" s="92" t="s">
        <v>5626</v>
      </c>
      <c r="P2035" s="140" t="str">
        <f>IF(ISBLANK(D2034), "", CONCATENATE(D2034,", ", E2034))</f>
        <v>47.107591,  37.517912</v>
      </c>
      <c r="Q2035" s="67"/>
      <c r="R2035" s="67"/>
      <c r="S2035" s="67"/>
      <c r="T2035" s="161"/>
      <c r="U2035" s="69"/>
      <c r="V2035" s="65" t="s">
        <v>19685</v>
      </c>
      <c r="W2035" s="71"/>
      <c r="X2035" s="194"/>
      <c r="Y2035" s="216"/>
      <c r="Z2035" s="73"/>
      <c r="AA2035" s="73"/>
      <c r="AB2035" s="73"/>
      <c r="AC2035" s="73"/>
      <c r="AD2035" s="73"/>
      <c r="AE2035" s="73"/>
      <c r="AF2035" s="73"/>
      <c r="AG2035" s="73"/>
      <c r="AH2035" s="73"/>
      <c r="AI2035" s="73"/>
      <c r="AJ2035" s="161"/>
      <c r="AK2035" s="76" t="s">
        <v>798</v>
      </c>
      <c r="AL2035" s="83" t="s">
        <v>19686</v>
      </c>
      <c r="AM2035" s="71" t="s">
        <v>19687</v>
      </c>
      <c r="AN2035" s="84" t="s">
        <v>19688</v>
      </c>
      <c r="AO2035" s="71" t="s">
        <v>19689</v>
      </c>
      <c r="AP2035" s="161" t="str">
        <f>IMAGE("https://bellingcat-archive.nyc3.cdn.digitaloceanspaces.com/Ukraine_Witness_Datasheet/Worksheet/youtube_dl_1501878985449484288/out7.jpg")</f>
        <v/>
      </c>
      <c r="AQ2035" s="84" t="s">
        <v>19690</v>
      </c>
      <c r="AR2035" s="71" t="s">
        <v>19691</v>
      </c>
      <c r="AS2035" s="71" t="s">
        <v>19692</v>
      </c>
      <c r="AT2035" s="71">
        <v>7.3</v>
      </c>
      <c r="AU2035" s="89"/>
      <c r="AV2035" s="162"/>
      <c r="AW2035" s="73"/>
    </row>
    <row r="2036" ht="15.75" customHeight="1">
      <c r="A2036" s="559" t="s">
        <v>63</v>
      </c>
      <c r="B2036" s="73"/>
      <c r="C2036" s="216" t="s">
        <v>18286</v>
      </c>
      <c r="D2036" s="563" t="s">
        <v>19693</v>
      </c>
      <c r="E2036" s="563" t="s">
        <v>19694</v>
      </c>
      <c r="F2036" s="79">
        <v>2.0</v>
      </c>
      <c r="G2036" s="83" t="s">
        <v>19695</v>
      </c>
      <c r="H2036" s="61" t="s">
        <v>66</v>
      </c>
      <c r="I2036" s="551"/>
      <c r="J2036" s="476" t="s">
        <v>19696</v>
      </c>
      <c r="K2036" s="69"/>
      <c r="L2036" s="61" t="s">
        <v>5670</v>
      </c>
      <c r="M2036" s="93" t="s">
        <v>5827</v>
      </c>
      <c r="N2036" s="314"/>
      <c r="O2036" s="92" t="s">
        <v>19579</v>
      </c>
      <c r="P2036" s="140" t="str">
        <f t="shared" ref="P2036:P2037" si="58">IF(ISBLANK(D2036), "", CONCATENATE(D2036,", ", E2036))</f>
        <v>50.585473, 30.838590</v>
      </c>
      <c r="Q2036" s="67"/>
      <c r="R2036" s="67"/>
      <c r="S2036" s="67"/>
      <c r="T2036" s="161"/>
      <c r="U2036" s="69"/>
      <c r="V2036" s="65" t="s">
        <v>19697</v>
      </c>
      <c r="W2036" s="71" t="s">
        <v>5739</v>
      </c>
      <c r="X2036" s="194"/>
      <c r="Y2036" s="216" t="s">
        <v>11347</v>
      </c>
      <c r="Z2036" s="73"/>
      <c r="AA2036" s="73"/>
      <c r="AB2036" s="73"/>
      <c r="AC2036" s="73"/>
      <c r="AD2036" s="73"/>
      <c r="AE2036" s="73"/>
      <c r="AF2036" s="73"/>
      <c r="AG2036" s="73"/>
      <c r="AH2036" s="73"/>
      <c r="AI2036" s="73"/>
      <c r="AJ2036" s="161"/>
      <c r="AK2036" s="76" t="s">
        <v>6276</v>
      </c>
      <c r="AL2036" s="83" t="s">
        <v>19698</v>
      </c>
      <c r="AM2036" s="71" t="s">
        <v>19699</v>
      </c>
      <c r="AN2036" s="84" t="s">
        <v>19700</v>
      </c>
      <c r="AO2036" s="71" t="s">
        <v>19701</v>
      </c>
      <c r="AP2036" s="161" t="str">
        <f>IMAGE("https://bellingcat-archive.nyc3.cdn.digitaloceanspaces.com/Ukraine_Witness_Datasheet/Worksheet/telegram_351ba4a76e/out7.jpg")</f>
        <v/>
      </c>
      <c r="AQ2036" s="84" t="s">
        <v>19702</v>
      </c>
      <c r="AR2036" s="84" t="s">
        <v>19695</v>
      </c>
      <c r="AS2036" s="71" t="s">
        <v>19703</v>
      </c>
      <c r="AT2036" s="71">
        <v>14.0</v>
      </c>
      <c r="AU2036" s="89"/>
      <c r="AV2036" s="80" t="s">
        <v>5457</v>
      </c>
      <c r="AW2036" s="73"/>
    </row>
    <row r="2037" ht="15.75" customHeight="1">
      <c r="A2037" s="559" t="s">
        <v>63</v>
      </c>
      <c r="B2037" s="73"/>
      <c r="C2037" s="216" t="s">
        <v>18286</v>
      </c>
      <c r="D2037" s="563" t="s">
        <v>19704</v>
      </c>
      <c r="E2037" s="563" t="s">
        <v>19705</v>
      </c>
      <c r="F2037" s="79">
        <v>2.0</v>
      </c>
      <c r="G2037" s="83" t="s">
        <v>19706</v>
      </c>
      <c r="H2037" s="61" t="s">
        <v>66</v>
      </c>
      <c r="I2037" s="551"/>
      <c r="J2037" s="476" t="s">
        <v>18895</v>
      </c>
      <c r="K2037" s="69"/>
      <c r="L2037" s="61" t="s">
        <v>5670</v>
      </c>
      <c r="M2037" s="93" t="s">
        <v>5827</v>
      </c>
      <c r="N2037" s="314"/>
      <c r="O2037" s="92" t="s">
        <v>19579</v>
      </c>
      <c r="P2037" s="140" t="str">
        <f t="shared" si="58"/>
        <v>50.585636, 30.838670</v>
      </c>
      <c r="Q2037" s="67"/>
      <c r="R2037" s="67"/>
      <c r="S2037" s="67"/>
      <c r="T2037" s="161"/>
      <c r="U2037" s="69"/>
      <c r="V2037" s="65" t="s">
        <v>19707</v>
      </c>
      <c r="W2037" s="71" t="s">
        <v>5739</v>
      </c>
      <c r="X2037" s="194"/>
      <c r="Y2037" s="216" t="s">
        <v>11347</v>
      </c>
      <c r="Z2037" s="73"/>
      <c r="AA2037" s="73"/>
      <c r="AB2037" s="73"/>
      <c r="AC2037" s="73"/>
      <c r="AD2037" s="73"/>
      <c r="AE2037" s="73"/>
      <c r="AF2037" s="73"/>
      <c r="AG2037" s="73"/>
      <c r="AH2037" s="73"/>
      <c r="AI2037" s="73"/>
      <c r="AJ2037" s="161"/>
      <c r="AK2037" s="76" t="s">
        <v>798</v>
      </c>
      <c r="AL2037" s="83" t="s">
        <v>19708</v>
      </c>
      <c r="AM2037" s="71" t="s">
        <v>19709</v>
      </c>
      <c r="AN2037" s="84" t="s">
        <v>19710</v>
      </c>
      <c r="AO2037" s="71" t="s">
        <v>19711</v>
      </c>
      <c r="AP2037" s="161" t="str">
        <f>IMAGE("https://bellingcat-archive.nyc3.cdn.digitaloceanspaces.com/Ukraine_Witness_Datasheet/Worksheet/youtube_dl_1501820753905344514/out7.jpg")</f>
        <v/>
      </c>
      <c r="AQ2037" s="84" t="s">
        <v>19712</v>
      </c>
      <c r="AR2037" s="71" t="s">
        <v>19713</v>
      </c>
      <c r="AS2037" s="71" t="s">
        <v>19714</v>
      </c>
      <c r="AT2037" s="71">
        <v>12.866</v>
      </c>
      <c r="AU2037" s="89"/>
      <c r="AV2037" s="80" t="s">
        <v>5457</v>
      </c>
      <c r="AW2037" s="73"/>
    </row>
    <row r="2038" ht="15.75" customHeight="1">
      <c r="A2038" s="559" t="s">
        <v>63</v>
      </c>
      <c r="B2038" s="73"/>
      <c r="C2038" s="216" t="s">
        <v>18286</v>
      </c>
      <c r="D2038" s="563" t="s">
        <v>19715</v>
      </c>
      <c r="E2038" s="563" t="s">
        <v>19716</v>
      </c>
      <c r="F2038" s="79">
        <v>1.0</v>
      </c>
      <c r="G2038" s="83" t="s">
        <v>19576</v>
      </c>
      <c r="H2038" s="61" t="s">
        <v>66</v>
      </c>
      <c r="I2038" s="551"/>
      <c r="J2038" s="476" t="s">
        <v>19717</v>
      </c>
      <c r="K2038" s="69"/>
      <c r="L2038" s="61" t="s">
        <v>5670</v>
      </c>
      <c r="M2038" s="93" t="s">
        <v>5827</v>
      </c>
      <c r="N2038" s="314"/>
      <c r="O2038" s="92" t="s">
        <v>19579</v>
      </c>
      <c r="P2038" s="92" t="s">
        <v>19718</v>
      </c>
      <c r="Q2038" s="67"/>
      <c r="R2038" s="67"/>
      <c r="S2038" s="67"/>
      <c r="T2038" s="161"/>
      <c r="U2038" s="69"/>
      <c r="V2038" s="65" t="s">
        <v>19719</v>
      </c>
      <c r="W2038" s="71" t="s">
        <v>5858</v>
      </c>
      <c r="X2038" s="194"/>
      <c r="Y2038" s="216" t="s">
        <v>11347</v>
      </c>
      <c r="Z2038" s="73"/>
      <c r="AA2038" s="73"/>
      <c r="AB2038" s="73"/>
      <c r="AC2038" s="73"/>
      <c r="AD2038" s="73"/>
      <c r="AE2038" s="73"/>
      <c r="AF2038" s="73"/>
      <c r="AG2038" s="73"/>
      <c r="AH2038" s="73"/>
      <c r="AI2038" s="73"/>
      <c r="AJ2038" s="161"/>
      <c r="AK2038" s="76" t="s">
        <v>798</v>
      </c>
      <c r="AL2038" s="83" t="s">
        <v>19581</v>
      </c>
      <c r="AM2038" s="71" t="s">
        <v>19720</v>
      </c>
      <c r="AN2038" s="84" t="s">
        <v>19721</v>
      </c>
      <c r="AO2038" s="71" t="s">
        <v>19722</v>
      </c>
      <c r="AP2038" s="161" t="str">
        <f>IMAGE("https://bellingcat-archive.nyc3.cdn.digitaloceanspaces.com/Ukraine_Witness_Datasheet/Worksheet/youtube_dl_250734993932774/out7.jpg")</f>
        <v/>
      </c>
      <c r="AQ2038" s="84" t="s">
        <v>19585</v>
      </c>
      <c r="AR2038" s="71" t="s">
        <v>19586</v>
      </c>
      <c r="AS2038" s="71" t="s">
        <v>19587</v>
      </c>
      <c r="AT2038" s="71">
        <v>44.675</v>
      </c>
      <c r="AU2038" s="89"/>
      <c r="AV2038" s="80" t="s">
        <v>5457</v>
      </c>
      <c r="AW2038" s="73"/>
    </row>
    <row r="2039" ht="15.75" customHeight="1">
      <c r="A2039" s="559" t="s">
        <v>63</v>
      </c>
      <c r="B2039" s="73"/>
      <c r="C2039" s="216" t="s">
        <v>19525</v>
      </c>
      <c r="D2039" s="563" t="s">
        <v>19723</v>
      </c>
      <c r="E2039" s="563" t="s">
        <v>19724</v>
      </c>
      <c r="F2039" s="79">
        <v>1.0</v>
      </c>
      <c r="G2039" s="83" t="s">
        <v>19590</v>
      </c>
      <c r="H2039" s="61" t="s">
        <v>91</v>
      </c>
      <c r="I2039" s="551"/>
      <c r="J2039" s="476" t="s">
        <v>19725</v>
      </c>
      <c r="K2039" s="69"/>
      <c r="L2039" s="61" t="s">
        <v>5670</v>
      </c>
      <c r="M2039" s="93" t="s">
        <v>5978</v>
      </c>
      <c r="N2039" s="314"/>
      <c r="O2039" s="92" t="s">
        <v>6001</v>
      </c>
      <c r="P2039" s="92" t="s">
        <v>19726</v>
      </c>
      <c r="Q2039" s="67"/>
      <c r="R2039" s="67"/>
      <c r="S2039" s="67"/>
      <c r="T2039" s="161"/>
      <c r="U2039" s="69"/>
      <c r="V2039" s="65" t="s">
        <v>19727</v>
      </c>
      <c r="W2039" s="71" t="s">
        <v>19543</v>
      </c>
      <c r="X2039" s="194"/>
      <c r="Y2039" s="216" t="s">
        <v>11347</v>
      </c>
      <c r="Z2039" s="73"/>
      <c r="AA2039" s="73"/>
      <c r="AB2039" s="73"/>
      <c r="AC2039" s="73"/>
      <c r="AD2039" s="73"/>
      <c r="AE2039" s="73"/>
      <c r="AF2039" s="73"/>
      <c r="AG2039" s="73"/>
      <c r="AH2039" s="73"/>
      <c r="AI2039" s="73"/>
      <c r="AJ2039" s="161"/>
      <c r="AK2039" s="76" t="s">
        <v>2108</v>
      </c>
      <c r="AL2039" s="83" t="s">
        <v>19594</v>
      </c>
      <c r="AM2039" s="71" t="s">
        <v>19728</v>
      </c>
      <c r="AN2039" s="84" t="s">
        <v>19729</v>
      </c>
      <c r="AO2039" s="71" t="s">
        <v>19730</v>
      </c>
      <c r="AP2039" s="161" t="str">
        <f>IMAGE("https://bellingcat-archive.nyc3.cdn.digitaloceanspaces.com/Ukraine_Witness_Datasheet/Worksheet/twitter__media_FNcgSbwXwAccFgk.jpg")</f>
        <v/>
      </c>
      <c r="AQ2039" s="161"/>
      <c r="AR2039" s="161"/>
      <c r="AS2039" s="71" t="s">
        <v>19598</v>
      </c>
      <c r="AT2039" s="161"/>
      <c r="AU2039" s="89"/>
      <c r="AV2039" s="80" t="s">
        <v>5457</v>
      </c>
      <c r="AW2039" s="73"/>
    </row>
    <row r="2040" ht="15.75" customHeight="1">
      <c r="A2040" s="570" t="s">
        <v>63</v>
      </c>
      <c r="B2040" s="73"/>
      <c r="C2040" s="216" t="s">
        <v>18286</v>
      </c>
      <c r="D2040" s="563" t="s">
        <v>19731</v>
      </c>
      <c r="E2040" s="563" t="s">
        <v>19732</v>
      </c>
      <c r="F2040" s="79">
        <v>3.0</v>
      </c>
      <c r="G2040" s="83" t="s">
        <v>19733</v>
      </c>
      <c r="H2040" s="61" t="s">
        <v>66</v>
      </c>
      <c r="I2040" s="551"/>
      <c r="J2040" s="476" t="s">
        <v>19734</v>
      </c>
      <c r="K2040" s="88" t="s">
        <v>19735</v>
      </c>
      <c r="L2040" s="61" t="s">
        <v>5670</v>
      </c>
      <c r="M2040" s="92" t="s">
        <v>6563</v>
      </c>
      <c r="N2040" s="314"/>
      <c r="O2040" s="92" t="s">
        <v>6658</v>
      </c>
      <c r="P2040" s="92" t="s">
        <v>19736</v>
      </c>
      <c r="Q2040" s="67"/>
      <c r="R2040" s="67"/>
      <c r="S2040" s="67"/>
      <c r="T2040" s="161"/>
      <c r="U2040" s="69"/>
      <c r="V2040" s="65" t="s">
        <v>19737</v>
      </c>
      <c r="W2040" s="71" t="s">
        <v>10396</v>
      </c>
      <c r="X2040" s="194"/>
      <c r="Y2040" s="216" t="s">
        <v>2982</v>
      </c>
      <c r="Z2040" s="61" t="s">
        <v>552</v>
      </c>
      <c r="AA2040" s="73"/>
      <c r="AB2040" s="73"/>
      <c r="AC2040" s="73"/>
      <c r="AD2040" s="73"/>
      <c r="AE2040" s="73"/>
      <c r="AF2040" s="73"/>
      <c r="AG2040" s="73"/>
      <c r="AH2040" s="73"/>
      <c r="AI2040" s="73"/>
      <c r="AJ2040" s="161"/>
      <c r="AK2040" s="76" t="s">
        <v>6276</v>
      </c>
      <c r="AL2040" s="83" t="s">
        <v>19738</v>
      </c>
      <c r="AM2040" s="71" t="s">
        <v>19739</v>
      </c>
      <c r="AN2040" s="84" t="s">
        <v>19740</v>
      </c>
      <c r="AO2040" s="71" t="s">
        <v>19741</v>
      </c>
      <c r="AP2040" s="161" t="str">
        <f>IMAGE("https://bellingcat-archive.nyc3.cdn.digitaloceanspaces.com/Ukraine_Witness_Datasheet/Worksheet/telegram_b18aa9ed17/out7.jpg")</f>
        <v/>
      </c>
      <c r="AQ2040" s="84" t="s">
        <v>19742</v>
      </c>
      <c r="AR2040" s="84" t="s">
        <v>19733</v>
      </c>
      <c r="AS2040" s="71" t="s">
        <v>19743</v>
      </c>
      <c r="AT2040" s="71">
        <v>10.0</v>
      </c>
      <c r="AU2040" s="89"/>
      <c r="AV2040" s="162"/>
      <c r="AW2040" s="73"/>
    </row>
    <row r="2041" ht="15.75" customHeight="1">
      <c r="A2041" s="559" t="s">
        <v>63</v>
      </c>
      <c r="B2041" s="73"/>
      <c r="C2041" s="216" t="s">
        <v>19525</v>
      </c>
      <c r="D2041" s="563" t="s">
        <v>19744</v>
      </c>
      <c r="E2041" s="563" t="s">
        <v>19745</v>
      </c>
      <c r="F2041" s="79">
        <v>2.0</v>
      </c>
      <c r="G2041" s="83" t="s">
        <v>19746</v>
      </c>
      <c r="H2041" s="61" t="s">
        <v>66</v>
      </c>
      <c r="I2041" s="551"/>
      <c r="J2041" s="476" t="s">
        <v>19747</v>
      </c>
      <c r="K2041" s="69"/>
      <c r="L2041" s="61" t="s">
        <v>5670</v>
      </c>
      <c r="M2041" s="93" t="s">
        <v>5750</v>
      </c>
      <c r="N2041" s="314"/>
      <c r="O2041" s="92" t="s">
        <v>6109</v>
      </c>
      <c r="P2041" s="92" t="s">
        <v>19748</v>
      </c>
      <c r="Q2041" s="67"/>
      <c r="R2041" s="67"/>
      <c r="S2041" s="67"/>
      <c r="T2041" s="161"/>
      <c r="U2041" s="69"/>
      <c r="V2041" s="65" t="s">
        <v>19749</v>
      </c>
      <c r="W2041" s="71" t="s">
        <v>19543</v>
      </c>
      <c r="X2041" s="194"/>
      <c r="Y2041" s="216" t="s">
        <v>11347</v>
      </c>
      <c r="Z2041" s="73"/>
      <c r="AA2041" s="73"/>
      <c r="AB2041" s="73"/>
      <c r="AC2041" s="73"/>
      <c r="AD2041" s="73"/>
      <c r="AE2041" s="73"/>
      <c r="AF2041" s="73"/>
      <c r="AG2041" s="73"/>
      <c r="AH2041" s="73"/>
      <c r="AI2041" s="73"/>
      <c r="AJ2041" s="161"/>
      <c r="AK2041" s="76" t="s">
        <v>798</v>
      </c>
      <c r="AL2041" s="83" t="s">
        <v>19750</v>
      </c>
      <c r="AM2041" s="71" t="s">
        <v>19751</v>
      </c>
      <c r="AN2041" s="84" t="s">
        <v>19752</v>
      </c>
      <c r="AO2041" s="71" t="s">
        <v>19753</v>
      </c>
      <c r="AP2041" s="161" t="str">
        <f>IMAGE("https://bellingcat-archive.nyc3.cdn.digitaloceanspaces.com/Ukraine_Witness_Datasheet/Worksheet/youtube_dl_1501908509973258245/out7.jpg")</f>
        <v/>
      </c>
      <c r="AQ2041" s="84" t="s">
        <v>19754</v>
      </c>
      <c r="AR2041" s="71" t="s">
        <v>19755</v>
      </c>
      <c r="AS2041" s="71" t="s">
        <v>19756</v>
      </c>
      <c r="AT2041" s="71">
        <v>56.474</v>
      </c>
      <c r="AU2041" s="89"/>
      <c r="AV2041" s="80" t="s">
        <v>5457</v>
      </c>
      <c r="AW2041" s="73"/>
    </row>
    <row r="2042" ht="15.75" customHeight="1">
      <c r="A2042" s="570" t="s">
        <v>63</v>
      </c>
      <c r="B2042" s="73"/>
      <c r="C2042" s="216" t="s">
        <v>18286</v>
      </c>
      <c r="D2042" s="563" t="s">
        <v>19757</v>
      </c>
      <c r="E2042" s="563" t="s">
        <v>19758</v>
      </c>
      <c r="F2042" s="79">
        <v>1.0</v>
      </c>
      <c r="G2042" s="83" t="s">
        <v>19759</v>
      </c>
      <c r="H2042" s="61" t="s">
        <v>66</v>
      </c>
      <c r="I2042" s="551"/>
      <c r="J2042" s="476" t="s">
        <v>19760</v>
      </c>
      <c r="K2042" s="88" t="s">
        <v>19761</v>
      </c>
      <c r="L2042" s="61" t="s">
        <v>5670</v>
      </c>
      <c r="M2042" s="93" t="s">
        <v>5750</v>
      </c>
      <c r="N2042" s="314"/>
      <c r="O2042" s="92" t="s">
        <v>6109</v>
      </c>
      <c r="P2042" s="92" t="s">
        <v>19762</v>
      </c>
      <c r="Q2042" s="67"/>
      <c r="R2042" s="67"/>
      <c r="S2042" s="67"/>
      <c r="T2042" s="161"/>
      <c r="U2042" s="69"/>
      <c r="V2042" s="65" t="s">
        <v>19763</v>
      </c>
      <c r="W2042" s="71" t="s">
        <v>10396</v>
      </c>
      <c r="X2042" s="194"/>
      <c r="Y2042" s="216" t="s">
        <v>11347</v>
      </c>
      <c r="Z2042" s="73"/>
      <c r="AA2042" s="73"/>
      <c r="AB2042" s="73"/>
      <c r="AC2042" s="73"/>
      <c r="AD2042" s="73"/>
      <c r="AE2042" s="73"/>
      <c r="AF2042" s="73"/>
      <c r="AG2042" s="73"/>
      <c r="AH2042" s="73"/>
      <c r="AI2042" s="73"/>
      <c r="AJ2042" s="161"/>
      <c r="AK2042" s="76" t="s">
        <v>798</v>
      </c>
      <c r="AL2042" s="83" t="s">
        <v>19764</v>
      </c>
      <c r="AM2042" s="71" t="s">
        <v>19765</v>
      </c>
      <c r="AN2042" s="84" t="s">
        <v>19766</v>
      </c>
      <c r="AO2042" s="71" t="s">
        <v>19767</v>
      </c>
      <c r="AP2042" s="161" t="str">
        <f t="shared" ref="AP2042:AP2043" si="59">IMAGE("https://bellingcat-archive.nyc3.cdn.digitaloceanspaces.com/Ukraine_Witness_Datasheet/Worksheet/youtube_dl_1501646900168212492/out20.jpg")</f>
        <v/>
      </c>
      <c r="AQ2042" s="84" t="s">
        <v>19768</v>
      </c>
      <c r="AR2042" s="71" t="s">
        <v>19769</v>
      </c>
      <c r="AS2042" s="71" t="s">
        <v>19770</v>
      </c>
      <c r="AT2042" s="71">
        <v>80.1</v>
      </c>
      <c r="AU2042" s="89"/>
      <c r="AV2042" s="162"/>
      <c r="AW2042" s="73"/>
    </row>
    <row r="2043" ht="15.75" customHeight="1">
      <c r="A2043" s="559" t="s">
        <v>63</v>
      </c>
      <c r="B2043" s="73"/>
      <c r="C2043" s="216" t="s">
        <v>18286</v>
      </c>
      <c r="D2043" s="563" t="s">
        <v>19771</v>
      </c>
      <c r="E2043" s="563" t="s">
        <v>19772</v>
      </c>
      <c r="F2043" s="79">
        <v>1.0</v>
      </c>
      <c r="G2043" s="83" t="s">
        <v>19759</v>
      </c>
      <c r="H2043" s="61" t="s">
        <v>66</v>
      </c>
      <c r="I2043" s="551"/>
      <c r="J2043" s="476" t="s">
        <v>19773</v>
      </c>
      <c r="K2043" s="69"/>
      <c r="L2043" s="61" t="s">
        <v>5670</v>
      </c>
      <c r="M2043" s="93" t="s">
        <v>5750</v>
      </c>
      <c r="N2043" s="314"/>
      <c r="O2043" s="92" t="s">
        <v>6109</v>
      </c>
      <c r="P2043" s="92" t="s">
        <v>19774</v>
      </c>
      <c r="Q2043" s="67"/>
      <c r="R2043" s="67"/>
      <c r="S2043" s="67"/>
      <c r="T2043" s="161"/>
      <c r="U2043" s="69"/>
      <c r="V2043" s="65" t="s">
        <v>19775</v>
      </c>
      <c r="W2043" s="71" t="s">
        <v>13263</v>
      </c>
      <c r="X2043" s="194"/>
      <c r="Y2043" s="216" t="s">
        <v>11347</v>
      </c>
      <c r="Z2043" s="73"/>
      <c r="AA2043" s="73"/>
      <c r="AB2043" s="73"/>
      <c r="AC2043" s="73"/>
      <c r="AD2043" s="73"/>
      <c r="AE2043" s="73"/>
      <c r="AF2043" s="73"/>
      <c r="AG2043" s="73"/>
      <c r="AH2043" s="73"/>
      <c r="AI2043" s="73"/>
      <c r="AJ2043" s="161"/>
      <c r="AK2043" s="76" t="s">
        <v>930</v>
      </c>
      <c r="AL2043" s="83" t="s">
        <v>19764</v>
      </c>
      <c r="AM2043" s="71" t="s">
        <v>19776</v>
      </c>
      <c r="AN2043" s="84" t="s">
        <v>19777</v>
      </c>
      <c r="AO2043" s="71" t="s">
        <v>19767</v>
      </c>
      <c r="AP2043" s="161" t="str">
        <f t="shared" si="59"/>
        <v/>
      </c>
      <c r="AQ2043" s="84" t="s">
        <v>19768</v>
      </c>
      <c r="AR2043" s="71" t="s">
        <v>19769</v>
      </c>
      <c r="AS2043" s="71" t="s">
        <v>19770</v>
      </c>
      <c r="AT2043" s="71">
        <v>80.1</v>
      </c>
      <c r="AU2043" s="89"/>
      <c r="AV2043" s="80" t="s">
        <v>5457</v>
      </c>
      <c r="AW2043" s="73"/>
    </row>
    <row r="2044" ht="15.75" customHeight="1">
      <c r="A2044" s="559" t="s">
        <v>63</v>
      </c>
      <c r="B2044" s="73"/>
      <c r="C2044" s="216" t="s">
        <v>19525</v>
      </c>
      <c r="D2044" s="563" t="s">
        <v>19778</v>
      </c>
      <c r="E2044" s="563" t="s">
        <v>19779</v>
      </c>
      <c r="F2044" s="79">
        <v>1.0</v>
      </c>
      <c r="G2044" s="83" t="s">
        <v>19780</v>
      </c>
      <c r="H2044" s="61" t="s">
        <v>66</v>
      </c>
      <c r="I2044" s="551"/>
      <c r="J2044" s="476" t="s">
        <v>19781</v>
      </c>
      <c r="K2044" s="69"/>
      <c r="L2044" s="61" t="s">
        <v>5670</v>
      </c>
      <c r="M2044" s="92" t="s">
        <v>5524</v>
      </c>
      <c r="N2044" s="314"/>
      <c r="O2044" s="92" t="s">
        <v>19782</v>
      </c>
      <c r="P2044" s="92" t="s">
        <v>19783</v>
      </c>
      <c r="Q2044" s="67"/>
      <c r="R2044" s="67"/>
      <c r="S2044" s="67"/>
      <c r="T2044" s="161"/>
      <c r="U2044" s="69"/>
      <c r="V2044" s="65" t="s">
        <v>19784</v>
      </c>
      <c r="W2044" s="71" t="s">
        <v>19543</v>
      </c>
      <c r="X2044" s="194"/>
      <c r="Y2044" s="216" t="s">
        <v>11347</v>
      </c>
      <c r="Z2044" s="73"/>
      <c r="AA2044" s="73"/>
      <c r="AB2044" s="73"/>
      <c r="AC2044" s="73"/>
      <c r="AD2044" s="73"/>
      <c r="AE2044" s="73"/>
      <c r="AF2044" s="73"/>
      <c r="AG2044" s="73"/>
      <c r="AH2044" s="73"/>
      <c r="AI2044" s="73"/>
      <c r="AJ2044" s="161"/>
      <c r="AK2044" s="76" t="s">
        <v>798</v>
      </c>
      <c r="AL2044" s="83" t="s">
        <v>19785</v>
      </c>
      <c r="AM2044" s="71" t="s">
        <v>19786</v>
      </c>
      <c r="AN2044" s="84" t="s">
        <v>19787</v>
      </c>
      <c r="AO2044" s="71" t="s">
        <v>19788</v>
      </c>
      <c r="AP2044" s="161" t="str">
        <f>IMAGE("https://bellingcat-archive.nyc3.cdn.digitaloceanspaces.com/Ukraine_Witness_Datasheet/Worksheet/youtube_dl_1501915834310086661/out7.jpg")</f>
        <v/>
      </c>
      <c r="AQ2044" s="84" t="s">
        <v>19789</v>
      </c>
      <c r="AR2044" s="71" t="s">
        <v>19790</v>
      </c>
      <c r="AS2044" s="71" t="s">
        <v>19791</v>
      </c>
      <c r="AT2044" s="71">
        <v>21.375</v>
      </c>
      <c r="AU2044" s="89"/>
      <c r="AV2044" s="80" t="s">
        <v>5457</v>
      </c>
      <c r="AW2044" s="73"/>
    </row>
    <row r="2045" ht="15.75" customHeight="1">
      <c r="A2045" s="559" t="s">
        <v>63</v>
      </c>
      <c r="B2045" s="73"/>
      <c r="C2045" s="216" t="s">
        <v>18286</v>
      </c>
      <c r="D2045" s="563" t="s">
        <v>19792</v>
      </c>
      <c r="E2045" s="563" t="s">
        <v>19793</v>
      </c>
      <c r="F2045" s="79">
        <v>2.0</v>
      </c>
      <c r="G2045" s="83" t="s">
        <v>19794</v>
      </c>
      <c r="H2045" s="61" t="s">
        <v>66</v>
      </c>
      <c r="I2045" s="571"/>
      <c r="J2045" s="476" t="s">
        <v>19795</v>
      </c>
      <c r="K2045" s="69"/>
      <c r="L2045" s="61" t="s">
        <v>5670</v>
      </c>
      <c r="M2045" s="93" t="s">
        <v>5750</v>
      </c>
      <c r="N2045" s="314"/>
      <c r="O2045" s="92" t="s">
        <v>19220</v>
      </c>
      <c r="P2045" s="74" t="s">
        <v>19796</v>
      </c>
      <c r="Q2045" s="67"/>
      <c r="R2045" s="67"/>
      <c r="S2045" s="67"/>
      <c r="T2045" s="161"/>
      <c r="U2045" s="69"/>
      <c r="V2045" s="65" t="s">
        <v>19797</v>
      </c>
      <c r="W2045" s="71" t="s">
        <v>10396</v>
      </c>
      <c r="X2045" s="194"/>
      <c r="Y2045" s="216" t="s">
        <v>11347</v>
      </c>
      <c r="Z2045" s="73"/>
      <c r="AA2045" s="73"/>
      <c r="AB2045" s="73"/>
      <c r="AC2045" s="73"/>
      <c r="AD2045" s="73"/>
      <c r="AE2045" s="73"/>
      <c r="AF2045" s="73"/>
      <c r="AG2045" s="73"/>
      <c r="AH2045" s="73"/>
      <c r="AI2045" s="73"/>
      <c r="AJ2045" s="161"/>
      <c r="AK2045" s="76" t="s">
        <v>6276</v>
      </c>
      <c r="AL2045" s="83" t="s">
        <v>19798</v>
      </c>
      <c r="AM2045" s="71" t="s">
        <v>19799</v>
      </c>
      <c r="AN2045" s="84" t="s">
        <v>19800</v>
      </c>
      <c r="AO2045" s="71" t="s">
        <v>19801</v>
      </c>
      <c r="AP2045" s="161" t="str">
        <f>IMAGE("https://bellingcat-archive.nyc3.cdn.digitaloceanspaces.com/Ukraine_Witness_Datasheet/Worksheet/telegram_3e323a289c/out20.jpg")</f>
        <v/>
      </c>
      <c r="AQ2045" s="84" t="s">
        <v>19802</v>
      </c>
      <c r="AR2045" s="84" t="s">
        <v>19794</v>
      </c>
      <c r="AS2045" s="71" t="s">
        <v>19803</v>
      </c>
      <c r="AT2045" s="71">
        <v>92.0</v>
      </c>
      <c r="AU2045" s="89"/>
      <c r="AV2045" s="80" t="s">
        <v>5457</v>
      </c>
      <c r="AW2045" s="73"/>
    </row>
    <row r="2046" ht="15.75" customHeight="1">
      <c r="A2046" s="570" t="s">
        <v>63</v>
      </c>
      <c r="B2046" s="73"/>
      <c r="C2046" s="216" t="s">
        <v>12050</v>
      </c>
      <c r="D2046" s="563" t="s">
        <v>19804</v>
      </c>
      <c r="E2046" s="563" t="s">
        <v>19805</v>
      </c>
      <c r="F2046" s="79">
        <v>2.0</v>
      </c>
      <c r="G2046" s="83" t="s">
        <v>19806</v>
      </c>
      <c r="H2046" s="61" t="s">
        <v>91</v>
      </c>
      <c r="I2046" s="571"/>
      <c r="J2046" s="476" t="s">
        <v>19807</v>
      </c>
      <c r="K2046" s="88" t="s">
        <v>19808</v>
      </c>
      <c r="L2046" s="61" t="s">
        <v>5670</v>
      </c>
      <c r="M2046" s="92" t="s">
        <v>5880</v>
      </c>
      <c r="N2046" s="314"/>
      <c r="O2046" s="92" t="s">
        <v>8524</v>
      </c>
      <c r="P2046" s="92" t="s">
        <v>19809</v>
      </c>
      <c r="Q2046" s="67"/>
      <c r="R2046" s="67"/>
      <c r="S2046" s="67"/>
      <c r="T2046" s="161"/>
      <c r="U2046" s="69"/>
      <c r="V2046" s="65" t="s">
        <v>19810</v>
      </c>
      <c r="W2046" s="71" t="s">
        <v>19543</v>
      </c>
      <c r="X2046" s="194"/>
      <c r="Y2046" s="216" t="s">
        <v>2982</v>
      </c>
      <c r="Z2046" s="61" t="s">
        <v>19811</v>
      </c>
      <c r="AA2046" s="73"/>
      <c r="AB2046" s="73"/>
      <c r="AC2046" s="73"/>
      <c r="AD2046" s="73"/>
      <c r="AE2046" s="73"/>
      <c r="AF2046" s="73"/>
      <c r="AG2046" s="73"/>
      <c r="AH2046" s="73"/>
      <c r="AI2046" s="73"/>
      <c r="AJ2046" s="161"/>
      <c r="AK2046" s="76" t="s">
        <v>6276</v>
      </c>
      <c r="AL2046" s="83" t="s">
        <v>19812</v>
      </c>
      <c r="AM2046" s="71" t="s">
        <v>19813</v>
      </c>
      <c r="AN2046" s="84" t="s">
        <v>19814</v>
      </c>
      <c r="AO2046" s="71" t="s">
        <v>19815</v>
      </c>
      <c r="AP2046" s="161"/>
      <c r="AQ2046" s="161"/>
      <c r="AR2046" s="161"/>
      <c r="AS2046" s="71" t="s">
        <v>19816</v>
      </c>
      <c r="AT2046" s="161"/>
      <c r="AU2046" s="89"/>
      <c r="AV2046" s="162"/>
      <c r="AW2046" s="73"/>
    </row>
    <row r="2047" ht="15.75" customHeight="1">
      <c r="A2047" s="570" t="s">
        <v>63</v>
      </c>
      <c r="B2047" s="73"/>
      <c r="C2047" s="216" t="s">
        <v>18286</v>
      </c>
      <c r="D2047" s="563" t="s">
        <v>19817</v>
      </c>
      <c r="E2047" s="563" t="s">
        <v>19818</v>
      </c>
      <c r="F2047" s="79">
        <v>1.0</v>
      </c>
      <c r="G2047" s="83" t="s">
        <v>19819</v>
      </c>
      <c r="H2047" s="61" t="s">
        <v>91</v>
      </c>
      <c r="I2047" s="571"/>
      <c r="J2047" s="476" t="s">
        <v>8164</v>
      </c>
      <c r="K2047" s="88" t="s">
        <v>19820</v>
      </c>
      <c r="L2047" s="61" t="s">
        <v>5670</v>
      </c>
      <c r="M2047" s="93" t="s">
        <v>5590</v>
      </c>
      <c r="N2047" s="314"/>
      <c r="O2047" s="92" t="s">
        <v>5626</v>
      </c>
      <c r="P2047" s="92" t="s">
        <v>19821</v>
      </c>
      <c r="Q2047" s="67"/>
      <c r="R2047" s="67"/>
      <c r="S2047" s="67"/>
      <c r="T2047" s="161"/>
      <c r="U2047" s="69"/>
      <c r="V2047" s="65" t="s">
        <v>19822</v>
      </c>
      <c r="W2047" s="71" t="s">
        <v>19543</v>
      </c>
      <c r="X2047" s="194"/>
      <c r="Y2047" s="216" t="s">
        <v>11347</v>
      </c>
      <c r="Z2047" s="73"/>
      <c r="AA2047" s="73"/>
      <c r="AB2047" s="73"/>
      <c r="AC2047" s="73"/>
      <c r="AD2047" s="73"/>
      <c r="AE2047" s="73"/>
      <c r="AF2047" s="73"/>
      <c r="AG2047" s="73"/>
      <c r="AH2047" s="73"/>
      <c r="AI2047" s="73"/>
      <c r="AJ2047" s="161"/>
      <c r="AK2047" s="76" t="s">
        <v>2108</v>
      </c>
      <c r="AL2047" s="83" t="s">
        <v>19823</v>
      </c>
      <c r="AM2047" s="71" t="s">
        <v>19824</v>
      </c>
      <c r="AN2047" s="84" t="s">
        <v>19825</v>
      </c>
      <c r="AO2047" s="71" t="s">
        <v>19826</v>
      </c>
      <c r="AP2047" s="161" t="str">
        <f>IMAGE("https://bellingcat-archive.nyc3.cdn.digitaloceanspaces.com/Ukraine_Witness_Datasheet/Worksheet/twitter__media_FNa_Y5BXIAYjKoU.jpg")</f>
        <v/>
      </c>
      <c r="AQ2047" s="161"/>
      <c r="AR2047" s="161"/>
      <c r="AS2047" s="71" t="s">
        <v>19827</v>
      </c>
      <c r="AT2047" s="161"/>
      <c r="AU2047" s="89"/>
      <c r="AV2047" s="162"/>
      <c r="AW2047" s="73"/>
    </row>
    <row r="2048" ht="15.75" customHeight="1">
      <c r="A2048" s="559" t="s">
        <v>63</v>
      </c>
      <c r="B2048" s="73"/>
      <c r="C2048" s="101" t="s">
        <v>18286</v>
      </c>
      <c r="D2048" s="74">
        <v>48.760238</v>
      </c>
      <c r="E2048" s="74">
        <v>37.559128</v>
      </c>
      <c r="F2048" s="79">
        <v>1.0</v>
      </c>
      <c r="G2048" s="572" t="s">
        <v>19828</v>
      </c>
      <c r="H2048" s="61" t="s">
        <v>5522</v>
      </c>
      <c r="I2048" s="75"/>
      <c r="J2048" s="71" t="s">
        <v>18468</v>
      </c>
      <c r="K2048" s="69"/>
      <c r="L2048" s="65" t="s">
        <v>3542</v>
      </c>
      <c r="M2048" s="92" t="s">
        <v>5750</v>
      </c>
      <c r="N2048" s="314"/>
      <c r="O2048" s="92" t="s">
        <v>18469</v>
      </c>
      <c r="P2048" s="140" t="str">
        <f>IF(ISBLANK(D2048), "", CONCATENATE(D2048,", ", E2048))</f>
        <v>48.760238, 37.559128</v>
      </c>
      <c r="Q2048" s="67"/>
      <c r="R2048" s="67"/>
      <c r="S2048" s="67"/>
      <c r="T2048" s="161"/>
      <c r="U2048" s="69"/>
      <c r="V2048" s="65" t="s">
        <v>19829</v>
      </c>
      <c r="W2048" s="71" t="s">
        <v>16058</v>
      </c>
      <c r="X2048" s="194"/>
      <c r="Y2048" s="216" t="s">
        <v>11347</v>
      </c>
      <c r="Z2048" s="73"/>
      <c r="AA2048" s="73"/>
      <c r="AB2048" s="73"/>
      <c r="AC2048" s="73"/>
      <c r="AD2048" s="73"/>
      <c r="AE2048" s="73"/>
      <c r="AF2048" s="73"/>
      <c r="AG2048" s="73"/>
      <c r="AH2048" s="73"/>
      <c r="AI2048" s="73"/>
      <c r="AJ2048" s="161"/>
      <c r="AK2048" s="76" t="s">
        <v>798</v>
      </c>
      <c r="AL2048" s="83" t="s">
        <v>19830</v>
      </c>
      <c r="AM2048" s="71" t="s">
        <v>19831</v>
      </c>
      <c r="AN2048" s="84" t="s">
        <v>19832</v>
      </c>
      <c r="AO2048" s="71" t="s">
        <v>19833</v>
      </c>
      <c r="AP2048" s="161" t="str">
        <f>IMAGE("https://bellingcat-archive.nyc3.cdn.digitaloceanspaces.com/Ukraine_Witness_Datasheet/Worksheet/youtube_dl_1501621542391853059/out20.jpg")</f>
        <v/>
      </c>
      <c r="AQ2048" s="84" t="s">
        <v>19834</v>
      </c>
      <c r="AR2048" s="71" t="s">
        <v>19835</v>
      </c>
      <c r="AS2048" s="71" t="s">
        <v>19836</v>
      </c>
      <c r="AT2048" s="71">
        <v>109.666</v>
      </c>
      <c r="AU2048" s="89"/>
      <c r="AV2048" s="80" t="s">
        <v>5457</v>
      </c>
      <c r="AW2048" s="73"/>
    </row>
    <row r="2049" ht="15.75" customHeight="1">
      <c r="A2049" s="570" t="s">
        <v>63</v>
      </c>
      <c r="B2049" s="73"/>
      <c r="C2049" s="101" t="s">
        <v>18286</v>
      </c>
      <c r="D2049" s="563" t="s">
        <v>19837</v>
      </c>
      <c r="E2049" s="563" t="s">
        <v>19838</v>
      </c>
      <c r="F2049" s="79">
        <v>1.0</v>
      </c>
      <c r="G2049" s="83" t="s">
        <v>19839</v>
      </c>
      <c r="H2049" s="61" t="s">
        <v>5522</v>
      </c>
      <c r="I2049" s="571"/>
      <c r="J2049" s="476" t="s">
        <v>19807</v>
      </c>
      <c r="K2049" s="88" t="s">
        <v>19840</v>
      </c>
      <c r="L2049" s="65" t="s">
        <v>3542</v>
      </c>
      <c r="M2049" s="93" t="s">
        <v>5590</v>
      </c>
      <c r="N2049" s="73"/>
      <c r="O2049" s="92" t="s">
        <v>9227</v>
      </c>
      <c r="P2049" s="74" t="s">
        <v>19841</v>
      </c>
      <c r="Q2049" s="67"/>
      <c r="R2049" s="67"/>
      <c r="S2049" s="67"/>
      <c r="T2049" s="161"/>
      <c r="U2049" s="69"/>
      <c r="V2049" s="65" t="s">
        <v>19842</v>
      </c>
      <c r="W2049" s="71" t="s">
        <v>19543</v>
      </c>
      <c r="X2049" s="194"/>
      <c r="Y2049" s="216" t="s">
        <v>11347</v>
      </c>
      <c r="Z2049" s="73"/>
      <c r="AA2049" s="73"/>
      <c r="AB2049" s="73"/>
      <c r="AC2049" s="73"/>
      <c r="AD2049" s="73"/>
      <c r="AE2049" s="73"/>
      <c r="AF2049" s="73"/>
      <c r="AG2049" s="73"/>
      <c r="AH2049" s="73"/>
      <c r="AI2049" s="73"/>
      <c r="AJ2049" s="161"/>
      <c r="AK2049" s="76" t="s">
        <v>798</v>
      </c>
      <c r="AL2049" s="83" t="s">
        <v>19843</v>
      </c>
      <c r="AM2049" s="71" t="s">
        <v>19844</v>
      </c>
      <c r="AN2049" s="84" t="s">
        <v>19845</v>
      </c>
      <c r="AO2049" s="71" t="s">
        <v>19846</v>
      </c>
      <c r="AP2049" s="161" t="str">
        <f>IMAGE("https://bellingcat-archive.nyc3.cdn.digitaloceanspaces.com/Ukraine_Witness_Datasheet/Worksheet/youtube_dl_1501617674211758084/out7.jpg")</f>
        <v/>
      </c>
      <c r="AQ2049" s="84" t="s">
        <v>19847</v>
      </c>
      <c r="AR2049" s="71" t="s">
        <v>19848</v>
      </c>
      <c r="AS2049" s="71" t="s">
        <v>19849</v>
      </c>
      <c r="AT2049" s="71">
        <v>59.3</v>
      </c>
      <c r="AU2049" s="89"/>
      <c r="AV2049" s="162"/>
      <c r="AW2049" s="73"/>
    </row>
    <row r="2050" ht="15.75" customHeight="1">
      <c r="A2050" s="573" t="s">
        <v>63</v>
      </c>
      <c r="B2050" s="73"/>
      <c r="C2050" s="101" t="s">
        <v>18286</v>
      </c>
      <c r="D2050" s="563" t="s">
        <v>19850</v>
      </c>
      <c r="E2050" s="563" t="s">
        <v>19851</v>
      </c>
      <c r="F2050" s="79">
        <v>1.0</v>
      </c>
      <c r="G2050" s="83" t="s">
        <v>19852</v>
      </c>
      <c r="H2050" s="61" t="s">
        <v>5522</v>
      </c>
      <c r="I2050" s="571"/>
      <c r="J2050" s="476" t="s">
        <v>19853</v>
      </c>
      <c r="K2050" s="69"/>
      <c r="L2050" s="65" t="s">
        <v>3542</v>
      </c>
      <c r="M2050" s="92" t="s">
        <v>5750</v>
      </c>
      <c r="N2050" s="73"/>
      <c r="O2050" s="92" t="s">
        <v>19498</v>
      </c>
      <c r="P2050" s="563" t="s">
        <v>19854</v>
      </c>
      <c r="Q2050" s="67"/>
      <c r="R2050" s="67"/>
      <c r="S2050" s="67"/>
      <c r="T2050" s="161"/>
      <c r="U2050" s="69"/>
      <c r="V2050" s="65" t="s">
        <v>19855</v>
      </c>
      <c r="W2050" s="71" t="s">
        <v>19543</v>
      </c>
      <c r="X2050" s="194"/>
      <c r="Y2050" s="216" t="s">
        <v>11347</v>
      </c>
      <c r="Z2050" s="73"/>
      <c r="AA2050" s="73"/>
      <c r="AB2050" s="73"/>
      <c r="AC2050" s="73"/>
      <c r="AD2050" s="73"/>
      <c r="AE2050" s="73"/>
      <c r="AF2050" s="73"/>
      <c r="AG2050" s="73"/>
      <c r="AH2050" s="73"/>
      <c r="AI2050" s="73"/>
      <c r="AJ2050" s="161"/>
      <c r="AK2050" s="76" t="s">
        <v>6276</v>
      </c>
      <c r="AL2050" s="83" t="s">
        <v>19856</v>
      </c>
      <c r="AM2050" s="71" t="s">
        <v>19857</v>
      </c>
      <c r="AN2050" s="84" t="s">
        <v>19858</v>
      </c>
      <c r="AO2050" s="71" t="s">
        <v>19859</v>
      </c>
      <c r="AP2050" s="161" t="str">
        <f>IMAGE("https://bellingcat-archive.nyc3.cdn.digitaloceanspaces.com/Ukraine_Witness_Datasheet/Worksheet/telegram_309dc2677f/out7.jpg")</f>
        <v/>
      </c>
      <c r="AQ2050" s="84" t="s">
        <v>19860</v>
      </c>
      <c r="AR2050" s="84" t="s">
        <v>19852</v>
      </c>
      <c r="AS2050" s="71" t="s">
        <v>19861</v>
      </c>
      <c r="AT2050" s="71">
        <v>29.0</v>
      </c>
      <c r="AU2050" s="89"/>
      <c r="AV2050" s="162"/>
      <c r="AW2050" s="73"/>
    </row>
    <row r="2051" ht="15.75" customHeight="1">
      <c r="A2051" s="573" t="s">
        <v>63</v>
      </c>
      <c r="B2051" s="73"/>
      <c r="C2051" s="216" t="s">
        <v>19525</v>
      </c>
      <c r="D2051" s="563" t="s">
        <v>19862</v>
      </c>
      <c r="E2051" s="563" t="s">
        <v>19863</v>
      </c>
      <c r="F2051" s="79">
        <v>1.0</v>
      </c>
      <c r="G2051" s="83" t="s">
        <v>19864</v>
      </c>
      <c r="H2051" s="61" t="s">
        <v>5522</v>
      </c>
      <c r="I2051" s="571"/>
      <c r="J2051" s="476" t="s">
        <v>19865</v>
      </c>
      <c r="K2051" s="69"/>
      <c r="L2051" s="65" t="s">
        <v>3542</v>
      </c>
      <c r="M2051" s="92" t="s">
        <v>5880</v>
      </c>
      <c r="N2051" s="73"/>
      <c r="O2051" s="92" t="s">
        <v>8524</v>
      </c>
      <c r="P2051" s="74" t="s">
        <v>19866</v>
      </c>
      <c r="Q2051" s="67"/>
      <c r="R2051" s="67"/>
      <c r="S2051" s="67"/>
      <c r="T2051" s="161"/>
      <c r="U2051" s="69"/>
      <c r="V2051" s="65" t="s">
        <v>19867</v>
      </c>
      <c r="W2051" s="71" t="s">
        <v>16058</v>
      </c>
      <c r="X2051" s="194"/>
      <c r="Y2051" s="216" t="s">
        <v>11347</v>
      </c>
      <c r="Z2051" s="73"/>
      <c r="AA2051" s="73"/>
      <c r="AB2051" s="73"/>
      <c r="AC2051" s="73"/>
      <c r="AD2051" s="73"/>
      <c r="AE2051" s="73"/>
      <c r="AF2051" s="73"/>
      <c r="AG2051" s="73"/>
      <c r="AH2051" s="73"/>
      <c r="AI2051" s="73"/>
      <c r="AJ2051" s="161"/>
      <c r="AK2051" s="76" t="s">
        <v>6276</v>
      </c>
      <c r="AL2051" s="83" t="s">
        <v>19868</v>
      </c>
      <c r="AM2051" s="71" t="s">
        <v>19869</v>
      </c>
      <c r="AN2051" s="84" t="s">
        <v>19870</v>
      </c>
      <c r="AO2051" s="71" t="s">
        <v>19871</v>
      </c>
      <c r="AP2051" s="161" t="str">
        <f>IMAGE("https://bellingcat-archive.nyc3.cdn.digitaloceanspaces.com/Ukraine_Witness_Datasheet/Worksheet/telegram_1f8fc30456/out7.jpg")</f>
        <v/>
      </c>
      <c r="AQ2051" s="84" t="s">
        <v>19872</v>
      </c>
      <c r="AR2051" s="84" t="s">
        <v>19864</v>
      </c>
      <c r="AS2051" s="71" t="s">
        <v>19873</v>
      </c>
      <c r="AT2051" s="71">
        <v>17.0</v>
      </c>
      <c r="AU2051" s="89"/>
      <c r="AV2051" s="162"/>
      <c r="AW2051" s="73"/>
    </row>
    <row r="2052" ht="15.75" customHeight="1">
      <c r="A2052" s="573" t="s">
        <v>63</v>
      </c>
      <c r="B2052" s="73"/>
      <c r="C2052" s="216" t="s">
        <v>18286</v>
      </c>
      <c r="D2052" s="563" t="s">
        <v>19874</v>
      </c>
      <c r="E2052" s="563" t="s">
        <v>19875</v>
      </c>
      <c r="F2052" s="79">
        <v>1.0</v>
      </c>
      <c r="G2052" s="83" t="s">
        <v>19876</v>
      </c>
      <c r="H2052" s="61" t="s">
        <v>91</v>
      </c>
      <c r="I2052" s="571"/>
      <c r="J2052" s="476" t="s">
        <v>19877</v>
      </c>
      <c r="K2052" s="69"/>
      <c r="L2052" s="65" t="s">
        <v>3542</v>
      </c>
      <c r="M2052" s="61" t="s">
        <v>5827</v>
      </c>
      <c r="N2052" s="73"/>
      <c r="O2052" s="74" t="s">
        <v>7550</v>
      </c>
      <c r="P2052" s="74" t="s">
        <v>19878</v>
      </c>
      <c r="Q2052" s="67"/>
      <c r="R2052" s="67"/>
      <c r="S2052" s="67"/>
      <c r="T2052" s="161"/>
      <c r="U2052" s="69"/>
      <c r="V2052" s="65" t="s">
        <v>19879</v>
      </c>
      <c r="W2052" s="71" t="s">
        <v>811</v>
      </c>
      <c r="X2052" s="194"/>
      <c r="Y2052" s="216" t="s">
        <v>11347</v>
      </c>
      <c r="Z2052" s="73"/>
      <c r="AA2052" s="73"/>
      <c r="AB2052" s="73"/>
      <c r="AC2052" s="73"/>
      <c r="AD2052" s="73"/>
      <c r="AE2052" s="73"/>
      <c r="AF2052" s="73"/>
      <c r="AG2052" s="73"/>
      <c r="AH2052" s="73"/>
      <c r="AI2052" s="73"/>
      <c r="AJ2052" s="161"/>
      <c r="AK2052" s="76" t="s">
        <v>6276</v>
      </c>
      <c r="AL2052" s="83" t="s">
        <v>19880</v>
      </c>
      <c r="AM2052" s="71" t="s">
        <v>19881</v>
      </c>
      <c r="AN2052" s="84" t="s">
        <v>19882</v>
      </c>
      <c r="AO2052" s="71" t="s">
        <v>19883</v>
      </c>
      <c r="AP2052" s="161"/>
      <c r="AQ2052" s="161"/>
      <c r="AR2052" s="161"/>
      <c r="AS2052" s="71" t="s">
        <v>19884</v>
      </c>
      <c r="AT2052" s="161"/>
      <c r="AU2052" s="89"/>
      <c r="AV2052" s="162"/>
      <c r="AW2052" s="73"/>
    </row>
    <row r="2053" ht="15.75" customHeight="1">
      <c r="A2053" s="573" t="s">
        <v>63</v>
      </c>
      <c r="B2053" s="73"/>
      <c r="C2053" s="216" t="s">
        <v>19525</v>
      </c>
      <c r="D2053" s="563" t="s">
        <v>19885</v>
      </c>
      <c r="E2053" s="563" t="s">
        <v>19886</v>
      </c>
      <c r="F2053" s="79">
        <v>1.0</v>
      </c>
      <c r="G2053" s="83" t="s">
        <v>19887</v>
      </c>
      <c r="H2053" s="61" t="s">
        <v>5522</v>
      </c>
      <c r="I2053" s="571"/>
      <c r="J2053" s="476" t="s">
        <v>19619</v>
      </c>
      <c r="K2053" s="69"/>
      <c r="L2053" s="65" t="s">
        <v>3542</v>
      </c>
      <c r="M2053" s="93" t="s">
        <v>5590</v>
      </c>
      <c r="N2053" s="73"/>
      <c r="O2053" s="92" t="s">
        <v>5626</v>
      </c>
      <c r="P2053" s="74" t="s">
        <v>19888</v>
      </c>
      <c r="Q2053" s="67"/>
      <c r="R2053" s="67"/>
      <c r="S2053" s="67"/>
      <c r="T2053" s="84" t="s">
        <v>19889</v>
      </c>
      <c r="U2053" s="69"/>
      <c r="V2053" s="65" t="s">
        <v>19890</v>
      </c>
      <c r="W2053" s="71" t="s">
        <v>19543</v>
      </c>
      <c r="X2053" s="194"/>
      <c r="Y2053" s="216" t="s">
        <v>11347</v>
      </c>
      <c r="Z2053" s="73"/>
      <c r="AA2053" s="73"/>
      <c r="AB2053" s="73"/>
      <c r="AC2053" s="73"/>
      <c r="AD2053" s="73"/>
      <c r="AE2053" s="73"/>
      <c r="AF2053" s="73"/>
      <c r="AG2053" s="73"/>
      <c r="AH2053" s="73"/>
      <c r="AI2053" s="73"/>
      <c r="AJ2053" s="161"/>
      <c r="AK2053" s="76" t="s">
        <v>6276</v>
      </c>
      <c r="AL2053" s="83" t="s">
        <v>19891</v>
      </c>
      <c r="AM2053" s="71" t="s">
        <v>19892</v>
      </c>
      <c r="AN2053" s="84" t="s">
        <v>19893</v>
      </c>
      <c r="AO2053" s="71" t="s">
        <v>19894</v>
      </c>
      <c r="AP2053" s="161" t="str">
        <f>IMAGE("https://bellingcat-archive.nyc3.cdn.digitaloceanspaces.com/Ukraine_Witness_Datasheet/Worksheet/telegram_71ab9bcac7/out7.jpg")</f>
        <v/>
      </c>
      <c r="AQ2053" s="84" t="s">
        <v>19895</v>
      </c>
      <c r="AR2053" s="84" t="s">
        <v>19887</v>
      </c>
      <c r="AS2053" s="71" t="s">
        <v>19896</v>
      </c>
      <c r="AT2053" s="71">
        <v>19.0</v>
      </c>
      <c r="AU2053" s="89"/>
      <c r="AV2053" s="162"/>
      <c r="AW2053" s="73"/>
    </row>
    <row r="2054" ht="15.75" customHeight="1">
      <c r="A2054" s="573" t="s">
        <v>63</v>
      </c>
      <c r="B2054" s="73"/>
      <c r="C2054" s="216" t="s">
        <v>18286</v>
      </c>
      <c r="D2054" s="563" t="s">
        <v>19897</v>
      </c>
      <c r="E2054" s="563" t="s">
        <v>19898</v>
      </c>
      <c r="F2054" s="79">
        <v>1.0</v>
      </c>
      <c r="G2054" s="83" t="s">
        <v>19899</v>
      </c>
      <c r="H2054" s="61" t="s">
        <v>91</v>
      </c>
      <c r="I2054" s="571"/>
      <c r="J2054" s="476" t="s">
        <v>19900</v>
      </c>
      <c r="K2054" s="69"/>
      <c r="L2054" s="65" t="s">
        <v>3542</v>
      </c>
      <c r="M2054" s="93" t="s">
        <v>5590</v>
      </c>
      <c r="N2054" s="73"/>
      <c r="O2054" s="92" t="s">
        <v>5626</v>
      </c>
      <c r="P2054" s="74" t="s">
        <v>19901</v>
      </c>
      <c r="Q2054" s="67"/>
      <c r="R2054" s="67"/>
      <c r="S2054" s="67"/>
      <c r="T2054" s="161"/>
      <c r="U2054" s="69"/>
      <c r="V2054" s="65" t="s">
        <v>19902</v>
      </c>
      <c r="W2054" s="71" t="s">
        <v>19543</v>
      </c>
      <c r="X2054" s="194"/>
      <c r="Y2054" s="216" t="s">
        <v>11347</v>
      </c>
      <c r="Z2054" s="73"/>
      <c r="AA2054" s="73"/>
      <c r="AB2054" s="73"/>
      <c r="AC2054" s="73"/>
      <c r="AD2054" s="73"/>
      <c r="AE2054" s="73"/>
      <c r="AF2054" s="73"/>
      <c r="AG2054" s="73"/>
      <c r="AH2054" s="73"/>
      <c r="AI2054" s="73"/>
      <c r="AJ2054" s="161"/>
      <c r="AK2054" s="76" t="s">
        <v>6276</v>
      </c>
      <c r="AL2054" s="83" t="s">
        <v>19903</v>
      </c>
      <c r="AM2054" s="71" t="s">
        <v>19904</v>
      </c>
      <c r="AN2054" s="84" t="s">
        <v>19905</v>
      </c>
      <c r="AO2054" s="71" t="s">
        <v>19906</v>
      </c>
      <c r="AP2054" s="161"/>
      <c r="AQ2054" s="161"/>
      <c r="AR2054" s="161"/>
      <c r="AS2054" s="71" t="s">
        <v>19907</v>
      </c>
      <c r="AT2054" s="161"/>
      <c r="AU2054" s="89"/>
      <c r="AV2054" s="162"/>
      <c r="AW2054" s="73"/>
    </row>
    <row r="2055" ht="15.75" customHeight="1">
      <c r="A2055" s="573" t="s">
        <v>63</v>
      </c>
      <c r="B2055" s="73"/>
      <c r="C2055" s="216" t="s">
        <v>18286</v>
      </c>
      <c r="D2055" s="563" t="s">
        <v>19908</v>
      </c>
      <c r="E2055" s="563" t="s">
        <v>19909</v>
      </c>
      <c r="F2055" s="79">
        <v>1.0</v>
      </c>
      <c r="G2055" s="83" t="s">
        <v>19910</v>
      </c>
      <c r="H2055" s="61" t="s">
        <v>5522</v>
      </c>
      <c r="I2055" s="571"/>
      <c r="J2055" s="476" t="s">
        <v>19911</v>
      </c>
      <c r="K2055" s="69"/>
      <c r="L2055" s="65" t="s">
        <v>3542</v>
      </c>
      <c r="M2055" s="93" t="s">
        <v>5590</v>
      </c>
      <c r="N2055" s="73"/>
      <c r="O2055" s="92" t="s">
        <v>5626</v>
      </c>
      <c r="P2055" s="74" t="s">
        <v>19912</v>
      </c>
      <c r="Q2055" s="67"/>
      <c r="R2055" s="67"/>
      <c r="S2055" s="67"/>
      <c r="T2055" s="161"/>
      <c r="U2055" s="69"/>
      <c r="V2055" s="65" t="s">
        <v>19913</v>
      </c>
      <c r="W2055" s="71" t="s">
        <v>19543</v>
      </c>
      <c r="X2055" s="194"/>
      <c r="Y2055" s="216" t="s">
        <v>11347</v>
      </c>
      <c r="Z2055" s="73"/>
      <c r="AA2055" s="73"/>
      <c r="AB2055" s="73"/>
      <c r="AC2055" s="73"/>
      <c r="AD2055" s="73"/>
      <c r="AE2055" s="73"/>
      <c r="AF2055" s="73"/>
      <c r="AG2055" s="73"/>
      <c r="AH2055" s="73"/>
      <c r="AI2055" s="73"/>
      <c r="AJ2055" s="161"/>
      <c r="AK2055" s="76" t="s">
        <v>6276</v>
      </c>
      <c r="AL2055" s="83" t="s">
        <v>19914</v>
      </c>
      <c r="AM2055" s="71" t="s">
        <v>19915</v>
      </c>
      <c r="AN2055" s="84" t="s">
        <v>19916</v>
      </c>
      <c r="AO2055" s="71" t="s">
        <v>19917</v>
      </c>
      <c r="AP2055" s="161" t="str">
        <f>IMAGE("https://bellingcat-archive.nyc3.cdn.digitaloceanspaces.com/Ukraine_Witness_Datasheet/Worksheet/telegram_49054ea64b/out7.jpg")</f>
        <v/>
      </c>
      <c r="AQ2055" s="84" t="s">
        <v>19918</v>
      </c>
      <c r="AR2055" s="84" t="s">
        <v>19910</v>
      </c>
      <c r="AS2055" s="71" t="s">
        <v>19919</v>
      </c>
      <c r="AT2055" s="71">
        <v>9.0</v>
      </c>
      <c r="AU2055" s="89"/>
      <c r="AV2055" s="162"/>
      <c r="AW2055" s="73"/>
    </row>
    <row r="2056" ht="15.75" customHeight="1">
      <c r="A2056" s="556" t="s">
        <v>11075</v>
      </c>
      <c r="B2056" s="73"/>
      <c r="C2056" s="216" t="s">
        <v>14806</v>
      </c>
      <c r="D2056" s="241" t="s">
        <v>19920</v>
      </c>
      <c r="E2056" s="241" t="s">
        <v>19921</v>
      </c>
      <c r="F2056" s="79">
        <v>2.0</v>
      </c>
      <c r="G2056" s="83" t="s">
        <v>19922</v>
      </c>
      <c r="H2056" s="61" t="s">
        <v>5522</v>
      </c>
      <c r="I2056" s="571"/>
      <c r="J2056" s="476" t="s">
        <v>19923</v>
      </c>
      <c r="K2056" s="64"/>
      <c r="L2056" s="61" t="s">
        <v>3542</v>
      </c>
      <c r="M2056" s="61" t="s">
        <v>5880</v>
      </c>
      <c r="N2056" s="73"/>
      <c r="O2056" s="74" t="s">
        <v>8524</v>
      </c>
      <c r="P2056" s="74" t="s">
        <v>19924</v>
      </c>
      <c r="Q2056" s="67"/>
      <c r="R2056" s="67"/>
      <c r="S2056" s="67"/>
      <c r="T2056" s="84" t="s">
        <v>19925</v>
      </c>
      <c r="U2056" s="69"/>
      <c r="V2056" s="65" t="s">
        <v>19926</v>
      </c>
      <c r="W2056" s="71" t="s">
        <v>6641</v>
      </c>
      <c r="X2056" s="194"/>
      <c r="Y2056" s="216" t="s">
        <v>11347</v>
      </c>
      <c r="Z2056" s="73"/>
      <c r="AA2056" s="73"/>
      <c r="AB2056" s="73"/>
      <c r="AC2056" s="73"/>
      <c r="AD2056" s="73"/>
      <c r="AE2056" s="73"/>
      <c r="AF2056" s="73"/>
      <c r="AG2056" s="73"/>
      <c r="AH2056" s="73"/>
      <c r="AI2056" s="73"/>
      <c r="AJ2056" s="161"/>
      <c r="AK2056" s="76" t="s">
        <v>798</v>
      </c>
      <c r="AL2056" s="83" t="s">
        <v>19927</v>
      </c>
      <c r="AM2056" s="71" t="s">
        <v>19928</v>
      </c>
      <c r="AN2056" s="84" t="s">
        <v>19929</v>
      </c>
      <c r="AO2056" s="71" t="s">
        <v>19930</v>
      </c>
      <c r="AP2056" s="161" t="str">
        <f>IMAGE("https://bellingcat-archive.nyc3.cdn.digitaloceanspaces.com/Ukraine_Witness_Datasheet/Worksheet/youtube_dl_iq50X9cM_hU/out20.jpg")</f>
        <v/>
      </c>
      <c r="AQ2056" s="84" t="s">
        <v>19931</v>
      </c>
      <c r="AR2056" s="71" t="s">
        <v>19932</v>
      </c>
      <c r="AS2056" s="71" t="s">
        <v>17554</v>
      </c>
      <c r="AT2056" s="71">
        <v>171.0</v>
      </c>
      <c r="AU2056" s="89"/>
      <c r="AV2056" s="80" t="s">
        <v>63</v>
      </c>
      <c r="AW2056" s="73"/>
    </row>
    <row r="2057" ht="15.75" customHeight="1">
      <c r="A2057" s="556" t="s">
        <v>11075</v>
      </c>
      <c r="B2057" s="73"/>
      <c r="C2057" s="216" t="s">
        <v>6118</v>
      </c>
      <c r="D2057" s="563" t="s">
        <v>19933</v>
      </c>
      <c r="E2057" s="563" t="s">
        <v>19934</v>
      </c>
      <c r="F2057" s="79">
        <v>1.0</v>
      </c>
      <c r="G2057" s="83" t="s">
        <v>19935</v>
      </c>
      <c r="H2057" s="61" t="s">
        <v>5522</v>
      </c>
      <c r="I2057" s="571"/>
      <c r="J2057" s="476" t="s">
        <v>19936</v>
      </c>
      <c r="K2057" s="64"/>
      <c r="L2057" s="61" t="s">
        <v>3542</v>
      </c>
      <c r="M2057" s="61" t="s">
        <v>5702</v>
      </c>
      <c r="N2057" s="73"/>
      <c r="O2057" s="74" t="s">
        <v>19937</v>
      </c>
      <c r="P2057" s="74" t="s">
        <v>19938</v>
      </c>
      <c r="Q2057" s="67"/>
      <c r="R2057" s="67"/>
      <c r="S2057" s="67"/>
      <c r="T2057" s="71" t="s">
        <v>19939</v>
      </c>
      <c r="U2057" s="69"/>
      <c r="V2057" s="73"/>
      <c r="W2057" s="71" t="s">
        <v>74</v>
      </c>
      <c r="X2057" s="194"/>
      <c r="Y2057" s="216" t="s">
        <v>75</v>
      </c>
      <c r="Z2057" s="61" t="s">
        <v>19940</v>
      </c>
      <c r="AA2057" s="73"/>
      <c r="AB2057" s="73"/>
      <c r="AC2057" s="73"/>
      <c r="AD2057" s="73"/>
      <c r="AE2057" s="73"/>
      <c r="AF2057" s="73"/>
      <c r="AG2057" s="73"/>
      <c r="AH2057" s="73"/>
      <c r="AI2057" s="73"/>
      <c r="AJ2057" s="161"/>
      <c r="AK2057" s="76" t="s">
        <v>798</v>
      </c>
      <c r="AL2057" s="83" t="s">
        <v>19941</v>
      </c>
      <c r="AM2057" s="71" t="s">
        <v>19942</v>
      </c>
      <c r="AN2057" s="84" t="s">
        <v>19943</v>
      </c>
      <c r="AO2057" s="71" t="s">
        <v>19944</v>
      </c>
      <c r="AP2057" s="161" t="str">
        <f>IMAGE("https://bellingcat-archive.nyc3.cdn.digitaloceanspaces.com/Ukraine_Witness_Datasheet/Worksheet/youtube_dl_SHnxKirW6e0/out20.jpg")</f>
        <v/>
      </c>
      <c r="AQ2057" s="84" t="s">
        <v>19945</v>
      </c>
      <c r="AR2057" s="71" t="s">
        <v>19946</v>
      </c>
      <c r="AS2057" s="71" t="s">
        <v>10741</v>
      </c>
      <c r="AT2057" s="71">
        <v>167.0</v>
      </c>
      <c r="AU2057" s="89"/>
      <c r="AV2057" s="80" t="s">
        <v>63</v>
      </c>
      <c r="AW2057" s="73"/>
    </row>
    <row r="2058" ht="15.75" customHeight="1">
      <c r="A2058" s="556" t="s">
        <v>11075</v>
      </c>
      <c r="B2058" s="73"/>
      <c r="C2058" s="216" t="s">
        <v>15852</v>
      </c>
      <c r="D2058" s="241" t="s">
        <v>19947</v>
      </c>
      <c r="E2058" s="241" t="s">
        <v>19948</v>
      </c>
      <c r="F2058" s="79">
        <v>1.0</v>
      </c>
      <c r="G2058" s="83" t="s">
        <v>19949</v>
      </c>
      <c r="H2058" s="61" t="s">
        <v>5522</v>
      </c>
      <c r="I2058" s="571"/>
      <c r="J2058" s="476" t="s">
        <v>19950</v>
      </c>
      <c r="K2058" s="64"/>
      <c r="L2058" s="61" t="s">
        <v>3542</v>
      </c>
      <c r="M2058" s="61" t="s">
        <v>5702</v>
      </c>
      <c r="N2058" s="73"/>
      <c r="O2058" s="74" t="s">
        <v>15069</v>
      </c>
      <c r="P2058" s="74" t="s">
        <v>19951</v>
      </c>
      <c r="Q2058" s="67"/>
      <c r="R2058" s="67"/>
      <c r="S2058" s="67"/>
      <c r="T2058" s="71" t="s">
        <v>19952</v>
      </c>
      <c r="U2058" s="69"/>
      <c r="V2058" s="73"/>
      <c r="W2058" s="71" t="s">
        <v>74</v>
      </c>
      <c r="X2058" s="194"/>
      <c r="Y2058" s="216" t="s">
        <v>75</v>
      </c>
      <c r="Z2058" s="61" t="s">
        <v>19940</v>
      </c>
      <c r="AA2058" s="73"/>
      <c r="AB2058" s="73"/>
      <c r="AC2058" s="73"/>
      <c r="AD2058" s="73"/>
      <c r="AE2058" s="73"/>
      <c r="AF2058" s="73"/>
      <c r="AG2058" s="73"/>
      <c r="AH2058" s="73"/>
      <c r="AI2058" s="73"/>
      <c r="AJ2058" s="161"/>
      <c r="AK2058" s="76" t="s">
        <v>798</v>
      </c>
      <c r="AL2058" s="83" t="s">
        <v>19953</v>
      </c>
      <c r="AM2058" s="71" t="s">
        <v>19954</v>
      </c>
      <c r="AN2058" s="84" t="s">
        <v>19955</v>
      </c>
      <c r="AO2058" s="71" t="s">
        <v>19956</v>
      </c>
      <c r="AP2058" s="161" t="str">
        <f>IMAGE("https://bellingcat-archive.nyc3.cdn.digitaloceanspaces.com/Ukraine_Witness_Datasheet/Worksheet/youtube_dl_uR9zfWq253Y/out20.jpg")</f>
        <v/>
      </c>
      <c r="AQ2058" s="84" t="s">
        <v>19957</v>
      </c>
      <c r="AR2058" s="71" t="s">
        <v>19958</v>
      </c>
      <c r="AS2058" s="71" t="s">
        <v>18363</v>
      </c>
      <c r="AT2058" s="71">
        <v>447.0</v>
      </c>
      <c r="AU2058" s="89"/>
      <c r="AV2058" s="80" t="s">
        <v>63</v>
      </c>
      <c r="AW2058" s="73"/>
    </row>
    <row r="2059" ht="15.75" customHeight="1">
      <c r="A2059" s="561" t="s">
        <v>12532</v>
      </c>
      <c r="B2059" s="73"/>
      <c r="C2059" s="216" t="s">
        <v>15852</v>
      </c>
      <c r="D2059" s="241" t="s">
        <v>19959</v>
      </c>
      <c r="E2059" s="241" t="s">
        <v>19960</v>
      </c>
      <c r="F2059" s="79">
        <v>1.0</v>
      </c>
      <c r="G2059" s="83" t="s">
        <v>19961</v>
      </c>
      <c r="H2059" s="61" t="s">
        <v>5522</v>
      </c>
      <c r="I2059" s="571"/>
      <c r="J2059" s="476" t="s">
        <v>19962</v>
      </c>
      <c r="K2059" s="64"/>
      <c r="L2059" s="61" t="s">
        <v>69</v>
      </c>
      <c r="M2059" s="61"/>
      <c r="N2059" s="73"/>
      <c r="O2059" s="74" t="s">
        <v>70</v>
      </c>
      <c r="P2059" s="67"/>
      <c r="Q2059" s="67"/>
      <c r="R2059" s="67"/>
      <c r="S2059" s="67"/>
      <c r="T2059" s="71" t="s">
        <v>19963</v>
      </c>
      <c r="U2059" s="69"/>
      <c r="V2059" s="73"/>
      <c r="W2059" s="71" t="s">
        <v>74</v>
      </c>
      <c r="X2059" s="194"/>
      <c r="Y2059" s="216" t="s">
        <v>5820</v>
      </c>
      <c r="Z2059" s="73"/>
      <c r="AA2059" s="73"/>
      <c r="AB2059" s="73"/>
      <c r="AC2059" s="73"/>
      <c r="AD2059" s="73"/>
      <c r="AE2059" s="73"/>
      <c r="AF2059" s="73"/>
      <c r="AG2059" s="73"/>
      <c r="AH2059" s="73"/>
      <c r="AI2059" s="73"/>
      <c r="AJ2059" s="161"/>
      <c r="AK2059" s="76" t="s">
        <v>6276</v>
      </c>
      <c r="AL2059" s="83" t="s">
        <v>19964</v>
      </c>
      <c r="AM2059" s="71" t="s">
        <v>19965</v>
      </c>
      <c r="AN2059" s="84" t="s">
        <v>19966</v>
      </c>
      <c r="AO2059" s="71" t="s">
        <v>19967</v>
      </c>
      <c r="AP2059" s="161" t="str">
        <f>IMAGE("https://bellingcat-archive.nyc3.cdn.digitaloceanspaces.com/Ukraine_Witness_Datasheet/Worksheet/telegram_fa8e490cab/out7.jpg")</f>
        <v/>
      </c>
      <c r="AQ2059" s="84" t="s">
        <v>19968</v>
      </c>
      <c r="AR2059" s="84" t="s">
        <v>19961</v>
      </c>
      <c r="AS2059" s="71" t="s">
        <v>19969</v>
      </c>
      <c r="AT2059" s="71">
        <v>44.0</v>
      </c>
      <c r="AU2059" s="89"/>
      <c r="AV2059" s="162"/>
      <c r="AW2059" s="73"/>
    </row>
    <row r="2060" ht="15.75" customHeight="1">
      <c r="A2060" s="574" t="s">
        <v>11075</v>
      </c>
      <c r="B2060" s="73"/>
      <c r="C2060" s="216"/>
      <c r="D2060" s="241"/>
      <c r="E2060" s="241"/>
      <c r="F2060" s="89"/>
      <c r="G2060" s="476"/>
      <c r="H2060" s="73"/>
      <c r="I2060" s="571"/>
      <c r="J2060" s="476"/>
      <c r="K2060" s="69"/>
      <c r="L2060" s="61"/>
      <c r="M2060" s="61"/>
      <c r="N2060" s="73"/>
      <c r="O2060" s="74"/>
      <c r="P2060" s="67"/>
      <c r="Q2060" s="67"/>
      <c r="R2060" s="67"/>
      <c r="S2060" s="67"/>
      <c r="T2060" s="161"/>
      <c r="U2060" s="69"/>
      <c r="V2060" s="73"/>
      <c r="W2060" s="71"/>
      <c r="X2060" s="194"/>
      <c r="Y2060" s="216"/>
      <c r="Z2060" s="73"/>
      <c r="AA2060" s="73"/>
      <c r="AB2060" s="73"/>
      <c r="AC2060" s="73"/>
      <c r="AD2060" s="73"/>
      <c r="AE2060" s="73"/>
      <c r="AF2060" s="73"/>
      <c r="AG2060" s="73"/>
      <c r="AH2060" s="73"/>
      <c r="AI2060" s="73"/>
      <c r="AJ2060" s="161"/>
      <c r="AK2060" s="236"/>
      <c r="AL2060" s="269"/>
      <c r="AM2060" s="161"/>
      <c r="AN2060" s="161"/>
      <c r="AO2060" s="161"/>
      <c r="AP2060" s="161"/>
      <c r="AQ2060" s="161"/>
      <c r="AR2060" s="161"/>
      <c r="AS2060" s="161"/>
      <c r="AT2060" s="161"/>
      <c r="AU2060" s="89"/>
      <c r="AV2060" s="162"/>
      <c r="AW2060" s="73"/>
    </row>
    <row r="2061" ht="15.75" customHeight="1">
      <c r="A2061" s="574" t="s">
        <v>11075</v>
      </c>
      <c r="B2061" s="73"/>
      <c r="C2061" s="216"/>
      <c r="D2061" s="241"/>
      <c r="E2061" s="241"/>
      <c r="F2061" s="89"/>
      <c r="G2061" s="476"/>
      <c r="H2061" s="73"/>
      <c r="I2061" s="571"/>
      <c r="J2061" s="476"/>
      <c r="K2061" s="69"/>
      <c r="L2061" s="61"/>
      <c r="M2061" s="61"/>
      <c r="N2061" s="73"/>
      <c r="O2061" s="74"/>
      <c r="P2061" s="67"/>
      <c r="Q2061" s="67"/>
      <c r="R2061" s="67"/>
      <c r="S2061" s="67"/>
      <c r="T2061" s="161"/>
      <c r="U2061" s="69"/>
      <c r="V2061" s="73"/>
      <c r="W2061" s="71"/>
      <c r="X2061" s="194"/>
      <c r="Y2061" s="216"/>
      <c r="Z2061" s="73"/>
      <c r="AA2061" s="73"/>
      <c r="AB2061" s="73"/>
      <c r="AC2061" s="73"/>
      <c r="AD2061" s="73"/>
      <c r="AE2061" s="73"/>
      <c r="AF2061" s="73"/>
      <c r="AG2061" s="73"/>
      <c r="AH2061" s="73"/>
      <c r="AI2061" s="73"/>
      <c r="AJ2061" s="161"/>
      <c r="AK2061" s="236"/>
      <c r="AL2061" s="269"/>
      <c r="AM2061" s="161"/>
      <c r="AN2061" s="161"/>
      <c r="AO2061" s="161"/>
      <c r="AP2061" s="161"/>
      <c r="AQ2061" s="161"/>
      <c r="AR2061" s="161"/>
      <c r="AS2061" s="161"/>
      <c r="AT2061" s="161"/>
      <c r="AU2061" s="89"/>
      <c r="AV2061" s="162"/>
      <c r="AW2061" s="73"/>
    </row>
    <row r="2062" ht="15.75" customHeight="1">
      <c r="A2062" s="574" t="s">
        <v>11075</v>
      </c>
      <c r="B2062" s="73"/>
      <c r="C2062" s="216"/>
      <c r="D2062" s="241"/>
      <c r="E2062" s="241"/>
      <c r="F2062" s="89"/>
      <c r="G2062" s="476"/>
      <c r="H2062" s="73"/>
      <c r="I2062" s="571"/>
      <c r="J2062" s="476"/>
      <c r="K2062" s="69"/>
      <c r="L2062" s="61"/>
      <c r="M2062" s="61"/>
      <c r="N2062" s="73"/>
      <c r="O2062" s="74"/>
      <c r="P2062" s="67"/>
      <c r="Q2062" s="67"/>
      <c r="R2062" s="67"/>
      <c r="S2062" s="67"/>
      <c r="T2062" s="161"/>
      <c r="U2062" s="69"/>
      <c r="V2062" s="73"/>
      <c r="W2062" s="71"/>
      <c r="X2062" s="194"/>
      <c r="Y2062" s="216"/>
      <c r="Z2062" s="73"/>
      <c r="AA2062" s="73"/>
      <c r="AB2062" s="73"/>
      <c r="AC2062" s="73"/>
      <c r="AD2062" s="73"/>
      <c r="AE2062" s="73"/>
      <c r="AF2062" s="73"/>
      <c r="AG2062" s="73"/>
      <c r="AH2062" s="73"/>
      <c r="AI2062" s="73"/>
      <c r="AJ2062" s="161"/>
      <c r="AK2062" s="236"/>
      <c r="AL2062" s="269"/>
      <c r="AM2062" s="161"/>
      <c r="AN2062" s="161"/>
      <c r="AO2062" s="161"/>
      <c r="AP2062" s="161"/>
      <c r="AQ2062" s="161"/>
      <c r="AR2062" s="161"/>
      <c r="AS2062" s="161"/>
      <c r="AT2062" s="161"/>
      <c r="AU2062" s="89"/>
      <c r="AV2062" s="162"/>
      <c r="AW2062" s="73"/>
    </row>
    <row r="2063" ht="15.75" customHeight="1">
      <c r="A2063" s="574" t="s">
        <v>11075</v>
      </c>
      <c r="B2063" s="73"/>
      <c r="C2063" s="216"/>
      <c r="D2063" s="241"/>
      <c r="E2063" s="241"/>
      <c r="F2063" s="89"/>
      <c r="G2063" s="476"/>
      <c r="H2063" s="73"/>
      <c r="I2063" s="571"/>
      <c r="J2063" s="476"/>
      <c r="K2063" s="69"/>
      <c r="L2063" s="61"/>
      <c r="M2063" s="61"/>
      <c r="N2063" s="73"/>
      <c r="O2063" s="74"/>
      <c r="P2063" s="67"/>
      <c r="Q2063" s="67"/>
      <c r="R2063" s="67"/>
      <c r="S2063" s="67"/>
      <c r="T2063" s="161"/>
      <c r="U2063" s="69"/>
      <c r="V2063" s="73"/>
      <c r="W2063" s="71"/>
      <c r="X2063" s="194"/>
      <c r="Y2063" s="216"/>
      <c r="Z2063" s="73"/>
      <c r="AA2063" s="73"/>
      <c r="AB2063" s="73"/>
      <c r="AC2063" s="73"/>
      <c r="AD2063" s="73"/>
      <c r="AE2063" s="73"/>
      <c r="AF2063" s="73"/>
      <c r="AG2063" s="73"/>
      <c r="AH2063" s="73"/>
      <c r="AI2063" s="73"/>
      <c r="AJ2063" s="161"/>
      <c r="AK2063" s="236"/>
      <c r="AL2063" s="269"/>
      <c r="AM2063" s="161"/>
      <c r="AN2063" s="161"/>
      <c r="AO2063" s="161"/>
      <c r="AP2063" s="161"/>
      <c r="AQ2063" s="161"/>
      <c r="AR2063" s="161"/>
      <c r="AS2063" s="161"/>
      <c r="AT2063" s="161"/>
      <c r="AU2063" s="89"/>
      <c r="AV2063" s="162"/>
      <c r="AW2063" s="73"/>
    </row>
    <row r="2064" ht="15.75" customHeight="1">
      <c r="A2064" s="574" t="s">
        <v>11075</v>
      </c>
      <c r="B2064" s="73"/>
      <c r="C2064" s="216"/>
      <c r="D2064" s="241"/>
      <c r="E2064" s="241"/>
      <c r="F2064" s="89"/>
      <c r="G2064" s="476"/>
      <c r="H2064" s="73"/>
      <c r="I2064" s="571"/>
      <c r="J2064" s="476"/>
      <c r="K2064" s="69"/>
      <c r="L2064" s="61"/>
      <c r="M2064" s="61"/>
      <c r="N2064" s="73"/>
      <c r="O2064" s="74"/>
      <c r="P2064" s="67"/>
      <c r="Q2064" s="67"/>
      <c r="R2064" s="67"/>
      <c r="S2064" s="67"/>
      <c r="T2064" s="161"/>
      <c r="U2064" s="69"/>
      <c r="V2064" s="73"/>
      <c r="W2064" s="71"/>
      <c r="X2064" s="194"/>
      <c r="Y2064" s="216"/>
      <c r="Z2064" s="73"/>
      <c r="AA2064" s="73"/>
      <c r="AB2064" s="73"/>
      <c r="AC2064" s="73"/>
      <c r="AD2064" s="73"/>
      <c r="AE2064" s="73"/>
      <c r="AF2064" s="73"/>
      <c r="AG2064" s="73"/>
      <c r="AH2064" s="73"/>
      <c r="AI2064" s="73"/>
      <c r="AJ2064" s="161"/>
      <c r="AK2064" s="236"/>
      <c r="AL2064" s="269"/>
      <c r="AM2064" s="161"/>
      <c r="AN2064" s="161"/>
      <c r="AO2064" s="161"/>
      <c r="AP2064" s="161"/>
      <c r="AQ2064" s="161"/>
      <c r="AR2064" s="161"/>
      <c r="AS2064" s="161"/>
      <c r="AT2064" s="161"/>
      <c r="AU2064" s="89"/>
      <c r="AV2064" s="162"/>
      <c r="AW2064" s="73"/>
    </row>
    <row r="2065" ht="15.75" customHeight="1">
      <c r="A2065" s="574" t="s">
        <v>11075</v>
      </c>
      <c r="B2065" s="73"/>
      <c r="C2065" s="216"/>
      <c r="D2065" s="241"/>
      <c r="E2065" s="241"/>
      <c r="F2065" s="89"/>
      <c r="G2065" s="476"/>
      <c r="H2065" s="73"/>
      <c r="I2065" s="571"/>
      <c r="J2065" s="476"/>
      <c r="K2065" s="69"/>
      <c r="L2065" s="61"/>
      <c r="M2065" s="61"/>
      <c r="N2065" s="73"/>
      <c r="O2065" s="74"/>
      <c r="P2065" s="67"/>
      <c r="Q2065" s="67"/>
      <c r="R2065" s="67"/>
      <c r="S2065" s="67"/>
      <c r="T2065" s="161"/>
      <c r="U2065" s="69"/>
      <c r="V2065" s="73"/>
      <c r="W2065" s="71"/>
      <c r="X2065" s="194"/>
      <c r="Y2065" s="216"/>
      <c r="Z2065" s="73"/>
      <c r="AA2065" s="73"/>
      <c r="AB2065" s="73"/>
      <c r="AC2065" s="73"/>
      <c r="AD2065" s="73"/>
      <c r="AE2065" s="73"/>
      <c r="AF2065" s="73"/>
      <c r="AG2065" s="73"/>
      <c r="AH2065" s="73"/>
      <c r="AI2065" s="73"/>
      <c r="AJ2065" s="161"/>
      <c r="AK2065" s="236"/>
      <c r="AL2065" s="269"/>
      <c r="AM2065" s="161"/>
      <c r="AN2065" s="161"/>
      <c r="AO2065" s="161"/>
      <c r="AP2065" s="161"/>
      <c r="AQ2065" s="161"/>
      <c r="AR2065" s="161"/>
      <c r="AS2065" s="161"/>
      <c r="AT2065" s="161"/>
      <c r="AU2065" s="89"/>
      <c r="AV2065" s="162"/>
      <c r="AW2065" s="73"/>
    </row>
    <row r="2066" ht="15.75" customHeight="1">
      <c r="A2066" s="573" t="s">
        <v>63</v>
      </c>
      <c r="B2066" s="73"/>
      <c r="C2066" s="216" t="s">
        <v>18286</v>
      </c>
      <c r="D2066" s="563" t="s">
        <v>19970</v>
      </c>
      <c r="E2066" s="563" t="s">
        <v>19971</v>
      </c>
      <c r="F2066" s="79">
        <v>1.0</v>
      </c>
      <c r="G2066" s="83" t="s">
        <v>19972</v>
      </c>
      <c r="H2066" s="61" t="s">
        <v>91</v>
      </c>
      <c r="I2066" s="571"/>
      <c r="J2066" s="476" t="s">
        <v>19973</v>
      </c>
      <c r="K2066" s="69"/>
      <c r="L2066" s="61" t="s">
        <v>3542</v>
      </c>
      <c r="M2066" s="93" t="s">
        <v>5590</v>
      </c>
      <c r="N2066" s="73"/>
      <c r="O2066" s="92" t="s">
        <v>5626</v>
      </c>
      <c r="P2066" s="74" t="s">
        <v>19974</v>
      </c>
      <c r="Q2066" s="67"/>
      <c r="R2066" s="67"/>
      <c r="S2066" s="67"/>
      <c r="T2066" s="161"/>
      <c r="U2066" s="69"/>
      <c r="V2066" s="73"/>
      <c r="W2066" s="71" t="s">
        <v>19543</v>
      </c>
      <c r="X2066" s="194"/>
      <c r="Y2066" s="216" t="s">
        <v>11347</v>
      </c>
      <c r="Z2066" s="73"/>
      <c r="AA2066" s="73"/>
      <c r="AB2066" s="73"/>
      <c r="AC2066" s="73"/>
      <c r="AD2066" s="73"/>
      <c r="AE2066" s="73"/>
      <c r="AF2066" s="73"/>
      <c r="AG2066" s="73"/>
      <c r="AH2066" s="73"/>
      <c r="AI2066" s="73"/>
      <c r="AJ2066" s="161"/>
      <c r="AK2066" s="76" t="s">
        <v>6276</v>
      </c>
      <c r="AL2066" s="83" t="s">
        <v>19975</v>
      </c>
      <c r="AM2066" s="71" t="s">
        <v>19976</v>
      </c>
      <c r="AN2066" s="84" t="s">
        <v>19977</v>
      </c>
      <c r="AO2066" s="71" t="s">
        <v>19978</v>
      </c>
      <c r="AP2066" s="161" t="str">
        <f>IMAGE("https://bellingcat-archive.nyc3.cdn.digitaloceanspaces.com/Ukraine_Witness_Datasheet/Worksheet/telegram_eAnVQsCDx85YO9r7JynzGdPYmkgdu0Mg-8LzJOwnuzkPETmh03SELPpscj-LAv5T76pEyfm7MQE3qU2EeNWI_hLKhBJ09Z7oqprcnAG_BZRe11mTZKD1xBBQUWihPTrA.jpg")</f>
        <v/>
      </c>
      <c r="AQ2066" s="161"/>
      <c r="AR2066" s="161"/>
      <c r="AS2066" s="71" t="s">
        <v>19979</v>
      </c>
      <c r="AT2066" s="161"/>
      <c r="AU2066" s="89"/>
      <c r="AV2066" s="162"/>
      <c r="AW2066" s="73"/>
    </row>
    <row r="2067" ht="15.75" customHeight="1">
      <c r="A2067" s="570" t="s">
        <v>63</v>
      </c>
      <c r="B2067" s="73"/>
      <c r="C2067" s="216" t="s">
        <v>18286</v>
      </c>
      <c r="D2067" s="563" t="s">
        <v>19980</v>
      </c>
      <c r="E2067" s="563" t="s">
        <v>19981</v>
      </c>
      <c r="F2067" s="79">
        <v>1.0</v>
      </c>
      <c r="G2067" s="83" t="s">
        <v>19982</v>
      </c>
      <c r="H2067" s="61" t="s">
        <v>5522</v>
      </c>
      <c r="I2067" s="571"/>
      <c r="J2067" s="476" t="s">
        <v>19983</v>
      </c>
      <c r="K2067" s="88" t="s">
        <v>19984</v>
      </c>
      <c r="L2067" s="61" t="s">
        <v>3542</v>
      </c>
      <c r="M2067" s="61" t="s">
        <v>5702</v>
      </c>
      <c r="N2067" s="73"/>
      <c r="O2067" s="74" t="s">
        <v>19985</v>
      </c>
      <c r="P2067" s="74" t="s">
        <v>19986</v>
      </c>
      <c r="Q2067" s="67"/>
      <c r="R2067" s="67"/>
      <c r="S2067" s="67"/>
      <c r="T2067" s="161"/>
      <c r="U2067" s="69"/>
      <c r="V2067" s="73"/>
      <c r="W2067" s="71" t="s">
        <v>5858</v>
      </c>
      <c r="X2067" s="194"/>
      <c r="Y2067" s="216" t="s">
        <v>11347</v>
      </c>
      <c r="Z2067" s="73"/>
      <c r="AA2067" s="73"/>
      <c r="AB2067" s="73"/>
      <c r="AC2067" s="73"/>
      <c r="AD2067" s="73"/>
      <c r="AE2067" s="73"/>
      <c r="AF2067" s="73"/>
      <c r="AG2067" s="73"/>
      <c r="AH2067" s="73"/>
      <c r="AI2067" s="73"/>
      <c r="AJ2067" s="161"/>
      <c r="AK2067" s="76" t="s">
        <v>798</v>
      </c>
      <c r="AL2067" s="83" t="s">
        <v>19987</v>
      </c>
      <c r="AM2067" s="71" t="s">
        <v>19988</v>
      </c>
      <c r="AN2067" s="84" t="s">
        <v>19989</v>
      </c>
      <c r="AO2067" s="71" t="s">
        <v>19990</v>
      </c>
      <c r="AP2067" s="161" t="str">
        <f>IMAGE("https://bellingcat-archive.nyc3.cdn.digitaloceanspaces.com/Ukraine_Witness_Datasheet/Worksheet/youtube_dl_1501532907571236866/out7.jpg")</f>
        <v/>
      </c>
      <c r="AQ2067" s="84" t="s">
        <v>19991</v>
      </c>
      <c r="AR2067" s="71" t="s">
        <v>19992</v>
      </c>
      <c r="AS2067" s="71" t="s">
        <v>19993</v>
      </c>
      <c r="AT2067" s="71">
        <v>40.379</v>
      </c>
      <c r="AU2067" s="89"/>
      <c r="AV2067" s="162"/>
      <c r="AW2067" s="73"/>
    </row>
    <row r="2068" ht="15.75" customHeight="1">
      <c r="A2068" s="216"/>
      <c r="B2068" s="73"/>
      <c r="C2068" s="216"/>
      <c r="D2068" s="241"/>
      <c r="E2068" s="241"/>
      <c r="F2068" s="89"/>
      <c r="G2068" s="476"/>
      <c r="H2068" s="73"/>
      <c r="I2068" s="571"/>
      <c r="J2068" s="476"/>
      <c r="K2068" s="69"/>
      <c r="L2068" s="61"/>
      <c r="M2068" s="61"/>
      <c r="N2068" s="73"/>
      <c r="O2068" s="74"/>
      <c r="P2068" s="67"/>
      <c r="Q2068" s="67"/>
      <c r="R2068" s="67"/>
      <c r="S2068" s="67"/>
      <c r="T2068" s="161"/>
      <c r="U2068" s="69"/>
      <c r="V2068" s="73"/>
      <c r="W2068" s="71"/>
      <c r="X2068" s="194"/>
      <c r="Y2068" s="216"/>
      <c r="Z2068" s="73"/>
      <c r="AA2068" s="73"/>
      <c r="AB2068" s="73"/>
      <c r="AC2068" s="73"/>
      <c r="AD2068" s="73"/>
      <c r="AE2068" s="73"/>
      <c r="AF2068" s="73"/>
      <c r="AG2068" s="73"/>
      <c r="AH2068" s="73"/>
      <c r="AI2068" s="73"/>
      <c r="AJ2068" s="161"/>
      <c r="AK2068" s="236"/>
      <c r="AL2068" s="269"/>
      <c r="AM2068" s="161"/>
      <c r="AN2068" s="161"/>
      <c r="AO2068" s="161"/>
      <c r="AP2068" s="161"/>
      <c r="AQ2068" s="161"/>
      <c r="AR2068" s="161"/>
      <c r="AS2068" s="161"/>
      <c r="AT2068" s="161"/>
      <c r="AU2068" s="89"/>
      <c r="AV2068" s="162"/>
      <c r="AW2068" s="73"/>
    </row>
    <row r="2069" ht="15.75" customHeight="1">
      <c r="A2069" s="216"/>
      <c r="B2069" s="73"/>
      <c r="C2069" s="216"/>
      <c r="D2069" s="241"/>
      <c r="E2069" s="241"/>
      <c r="F2069" s="89"/>
      <c r="G2069" s="476"/>
      <c r="H2069" s="73"/>
      <c r="I2069" s="571"/>
      <c r="J2069" s="476"/>
      <c r="K2069" s="69"/>
      <c r="L2069" s="61"/>
      <c r="M2069" s="61"/>
      <c r="N2069" s="73"/>
      <c r="O2069" s="74"/>
      <c r="P2069" s="67"/>
      <c r="Q2069" s="67"/>
      <c r="R2069" s="67"/>
      <c r="S2069" s="67"/>
      <c r="T2069" s="161"/>
      <c r="U2069" s="69"/>
      <c r="V2069" s="73"/>
      <c r="W2069" s="71"/>
      <c r="X2069" s="194"/>
      <c r="Y2069" s="216"/>
      <c r="Z2069" s="73"/>
      <c r="AA2069" s="73"/>
      <c r="AB2069" s="73"/>
      <c r="AC2069" s="73"/>
      <c r="AD2069" s="73"/>
      <c r="AE2069" s="73"/>
      <c r="AF2069" s="73"/>
      <c r="AG2069" s="73"/>
      <c r="AH2069" s="73"/>
      <c r="AI2069" s="73"/>
      <c r="AJ2069" s="161"/>
      <c r="AK2069" s="236"/>
      <c r="AL2069" s="269"/>
      <c r="AM2069" s="161"/>
      <c r="AN2069" s="161"/>
      <c r="AO2069" s="161"/>
      <c r="AP2069" s="161"/>
      <c r="AQ2069" s="161"/>
      <c r="AR2069" s="161"/>
      <c r="AS2069" s="161"/>
      <c r="AT2069" s="161"/>
      <c r="AU2069" s="89"/>
      <c r="AV2069" s="162"/>
      <c r="AW2069" s="73"/>
    </row>
    <row r="2070" ht="15.75" customHeight="1">
      <c r="A2070" s="216"/>
      <c r="B2070" s="73"/>
      <c r="C2070" s="216"/>
      <c r="D2070" s="241"/>
      <c r="E2070" s="241"/>
      <c r="F2070" s="89"/>
      <c r="G2070" s="476"/>
      <c r="H2070" s="73"/>
      <c r="I2070" s="571"/>
      <c r="J2070" s="476"/>
      <c r="K2070" s="69"/>
      <c r="L2070" s="61"/>
      <c r="M2070" s="61"/>
      <c r="N2070" s="73"/>
      <c r="O2070" s="74"/>
      <c r="P2070" s="67"/>
      <c r="Q2070" s="67"/>
      <c r="R2070" s="67"/>
      <c r="S2070" s="67"/>
      <c r="T2070" s="161"/>
      <c r="U2070" s="69"/>
      <c r="V2070" s="73"/>
      <c r="W2070" s="71"/>
      <c r="X2070" s="194"/>
      <c r="Y2070" s="216"/>
      <c r="Z2070" s="73"/>
      <c r="AA2070" s="73"/>
      <c r="AB2070" s="73"/>
      <c r="AC2070" s="73"/>
      <c r="AD2070" s="73"/>
      <c r="AE2070" s="73"/>
      <c r="AF2070" s="73"/>
      <c r="AG2070" s="73"/>
      <c r="AH2070" s="73"/>
      <c r="AI2070" s="73"/>
      <c r="AJ2070" s="161"/>
      <c r="AK2070" s="236"/>
      <c r="AL2070" s="269"/>
      <c r="AM2070" s="161"/>
      <c r="AN2070" s="161"/>
      <c r="AO2070" s="161"/>
      <c r="AP2070" s="161"/>
      <c r="AQ2070" s="161"/>
      <c r="AR2070" s="161"/>
      <c r="AS2070" s="161"/>
      <c r="AT2070" s="161"/>
      <c r="AU2070" s="89"/>
      <c r="AV2070" s="162"/>
      <c r="AW2070" s="73"/>
    </row>
    <row r="2071" ht="15.75" customHeight="1">
      <c r="A2071" s="216"/>
      <c r="B2071" s="73"/>
      <c r="C2071" s="216"/>
      <c r="D2071" s="241"/>
      <c r="E2071" s="241"/>
      <c r="F2071" s="89"/>
      <c r="G2071" s="476"/>
      <c r="H2071" s="73"/>
      <c r="I2071" s="571"/>
      <c r="J2071" s="476"/>
      <c r="K2071" s="69"/>
      <c r="L2071" s="61"/>
      <c r="M2071" s="61"/>
      <c r="N2071" s="73"/>
      <c r="O2071" s="74"/>
      <c r="P2071" s="67"/>
      <c r="Q2071" s="67"/>
      <c r="R2071" s="67"/>
      <c r="S2071" s="67"/>
      <c r="T2071" s="161"/>
      <c r="U2071" s="69"/>
      <c r="V2071" s="73"/>
      <c r="W2071" s="71"/>
      <c r="X2071" s="194"/>
      <c r="Y2071" s="216"/>
      <c r="Z2071" s="73"/>
      <c r="AA2071" s="73"/>
      <c r="AB2071" s="73"/>
      <c r="AC2071" s="73"/>
      <c r="AD2071" s="73"/>
      <c r="AE2071" s="73"/>
      <c r="AF2071" s="73"/>
      <c r="AG2071" s="73"/>
      <c r="AH2071" s="73"/>
      <c r="AI2071" s="73"/>
      <c r="AJ2071" s="161"/>
      <c r="AK2071" s="236"/>
      <c r="AL2071" s="269"/>
      <c r="AM2071" s="161"/>
      <c r="AN2071" s="161"/>
      <c r="AO2071" s="161"/>
      <c r="AP2071" s="161"/>
      <c r="AQ2071" s="161"/>
      <c r="AR2071" s="161"/>
      <c r="AS2071" s="161"/>
      <c r="AT2071" s="161"/>
      <c r="AU2071" s="89"/>
      <c r="AV2071" s="162"/>
      <c r="AW2071" s="73"/>
    </row>
    <row r="2072" ht="15.75" customHeight="1">
      <c r="A2072" s="216"/>
      <c r="B2072" s="73"/>
      <c r="C2072" s="216"/>
      <c r="D2072" s="241"/>
      <c r="E2072" s="241"/>
      <c r="F2072" s="89"/>
      <c r="G2072" s="476"/>
      <c r="H2072" s="73"/>
      <c r="I2072" s="571"/>
      <c r="J2072" s="476"/>
      <c r="K2072" s="69"/>
      <c r="L2072" s="61"/>
      <c r="M2072" s="61"/>
      <c r="N2072" s="73"/>
      <c r="O2072" s="74"/>
      <c r="P2072" s="67"/>
      <c r="Q2072" s="67"/>
      <c r="R2072" s="67"/>
      <c r="S2072" s="67"/>
      <c r="T2072" s="161"/>
      <c r="U2072" s="69"/>
      <c r="V2072" s="73"/>
      <c r="W2072" s="71"/>
      <c r="X2072" s="194"/>
      <c r="Y2072" s="216"/>
      <c r="Z2072" s="73"/>
      <c r="AA2072" s="73"/>
      <c r="AB2072" s="73"/>
      <c r="AC2072" s="73"/>
      <c r="AD2072" s="73"/>
      <c r="AE2072" s="73"/>
      <c r="AF2072" s="73"/>
      <c r="AG2072" s="73"/>
      <c r="AH2072" s="73"/>
      <c r="AI2072" s="73"/>
      <c r="AJ2072" s="161"/>
      <c r="AK2072" s="236"/>
      <c r="AL2072" s="269"/>
      <c r="AM2072" s="161"/>
      <c r="AN2072" s="161"/>
      <c r="AO2072" s="161"/>
      <c r="AP2072" s="161"/>
      <c r="AQ2072" s="161"/>
      <c r="AR2072" s="161"/>
      <c r="AS2072" s="161"/>
      <c r="AT2072" s="161"/>
      <c r="AU2072" s="89"/>
      <c r="AV2072" s="162"/>
      <c r="AW2072" s="73"/>
    </row>
    <row r="2073" ht="15.75" customHeight="1">
      <c r="A2073" s="216"/>
      <c r="B2073" s="73"/>
      <c r="C2073" s="216"/>
      <c r="D2073" s="241"/>
      <c r="E2073" s="241"/>
      <c r="F2073" s="89"/>
      <c r="G2073" s="476"/>
      <c r="H2073" s="73"/>
      <c r="I2073" s="551"/>
      <c r="J2073" s="476"/>
      <c r="K2073" s="69"/>
      <c r="L2073" s="61"/>
      <c r="M2073" s="61"/>
      <c r="N2073" s="73"/>
      <c r="O2073" s="66"/>
      <c r="P2073" s="67"/>
      <c r="Q2073" s="67"/>
      <c r="R2073" s="67"/>
      <c r="S2073" s="67"/>
      <c r="T2073" s="161"/>
      <c r="U2073" s="69"/>
      <c r="V2073" s="73"/>
      <c r="W2073" s="71"/>
      <c r="X2073" s="194"/>
      <c r="Y2073" s="216"/>
      <c r="Z2073" s="73"/>
      <c r="AA2073" s="73"/>
      <c r="AB2073" s="73"/>
      <c r="AC2073" s="73"/>
      <c r="AD2073" s="73"/>
      <c r="AE2073" s="73"/>
      <c r="AF2073" s="73"/>
      <c r="AG2073" s="73"/>
      <c r="AH2073" s="73"/>
      <c r="AI2073" s="73"/>
      <c r="AJ2073" s="161"/>
      <c r="AK2073" s="236"/>
      <c r="AL2073" s="269"/>
      <c r="AM2073" s="161"/>
      <c r="AN2073" s="161"/>
      <c r="AO2073" s="161"/>
      <c r="AP2073" s="161"/>
      <c r="AQ2073" s="161"/>
      <c r="AR2073" s="161"/>
      <c r="AS2073" s="161"/>
      <c r="AT2073" s="161"/>
      <c r="AU2073" s="89"/>
      <c r="AV2073" s="162"/>
      <c r="AW2073" s="73"/>
    </row>
    <row r="2074" ht="15.75" customHeight="1">
      <c r="A2074" s="216"/>
      <c r="B2074" s="73"/>
      <c r="C2074" s="216"/>
      <c r="D2074" s="241"/>
      <c r="E2074" s="241"/>
      <c r="F2074" s="89"/>
      <c r="G2074" s="476"/>
      <c r="H2074" s="73"/>
      <c r="I2074" s="551"/>
      <c r="J2074" s="476"/>
      <c r="K2074" s="69"/>
      <c r="L2074" s="61"/>
      <c r="M2074" s="61"/>
      <c r="N2074" s="73"/>
      <c r="O2074" s="66"/>
      <c r="P2074" s="67"/>
      <c r="Q2074" s="67"/>
      <c r="R2074" s="67"/>
      <c r="S2074" s="67"/>
      <c r="T2074" s="161"/>
      <c r="U2074" s="69"/>
      <c r="V2074" s="73"/>
      <c r="W2074" s="71"/>
      <c r="X2074" s="194"/>
      <c r="Y2074" s="216"/>
      <c r="Z2074" s="73"/>
      <c r="AA2074" s="73"/>
      <c r="AB2074" s="73"/>
      <c r="AC2074" s="73"/>
      <c r="AD2074" s="73"/>
      <c r="AE2074" s="73"/>
      <c r="AF2074" s="73"/>
      <c r="AG2074" s="73"/>
      <c r="AH2074" s="73"/>
      <c r="AI2074" s="73"/>
      <c r="AJ2074" s="161"/>
      <c r="AK2074" s="236"/>
      <c r="AL2074" s="269"/>
      <c r="AM2074" s="161"/>
      <c r="AN2074" s="161"/>
      <c r="AO2074" s="161"/>
      <c r="AP2074" s="161"/>
      <c r="AQ2074" s="161"/>
      <c r="AR2074" s="161"/>
      <c r="AS2074" s="161"/>
      <c r="AT2074" s="161"/>
      <c r="AU2074" s="89"/>
      <c r="AV2074" s="162"/>
      <c r="AW2074" s="73"/>
    </row>
    <row r="2075" ht="15.75" customHeight="1">
      <c r="A2075" s="216"/>
      <c r="B2075" s="73"/>
      <c r="C2075" s="216"/>
      <c r="D2075" s="241"/>
      <c r="E2075" s="241"/>
      <c r="F2075" s="89"/>
      <c r="G2075" s="476"/>
      <c r="H2075" s="73"/>
      <c r="I2075" s="551"/>
      <c r="J2075" s="476"/>
      <c r="K2075" s="69"/>
      <c r="L2075" s="61"/>
      <c r="M2075" s="61"/>
      <c r="N2075" s="73"/>
      <c r="O2075" s="66"/>
      <c r="P2075" s="67"/>
      <c r="Q2075" s="67"/>
      <c r="R2075" s="67"/>
      <c r="S2075" s="67"/>
      <c r="T2075" s="161"/>
      <c r="U2075" s="69"/>
      <c r="V2075" s="73"/>
      <c r="W2075" s="71"/>
      <c r="X2075" s="194"/>
      <c r="Y2075" s="216"/>
      <c r="Z2075" s="73"/>
      <c r="AA2075" s="73"/>
      <c r="AB2075" s="73"/>
      <c r="AC2075" s="73"/>
      <c r="AD2075" s="73"/>
      <c r="AE2075" s="73"/>
      <c r="AF2075" s="73"/>
      <c r="AG2075" s="73"/>
      <c r="AH2075" s="73"/>
      <c r="AI2075" s="73"/>
      <c r="AJ2075" s="161"/>
      <c r="AK2075" s="236"/>
      <c r="AL2075" s="269"/>
      <c r="AM2075" s="161"/>
      <c r="AN2075" s="161"/>
      <c r="AO2075" s="161"/>
      <c r="AP2075" s="161"/>
      <c r="AQ2075" s="161"/>
      <c r="AR2075" s="161"/>
      <c r="AS2075" s="161"/>
      <c r="AT2075" s="161"/>
      <c r="AU2075" s="89"/>
      <c r="AV2075" s="162"/>
      <c r="AW2075" s="73"/>
    </row>
    <row r="2076" ht="15.75" customHeight="1">
      <c r="A2076" s="216"/>
      <c r="B2076" s="73"/>
      <c r="C2076" s="216"/>
      <c r="D2076" s="241"/>
      <c r="E2076" s="241"/>
      <c r="F2076" s="89"/>
      <c r="G2076" s="476"/>
      <c r="H2076" s="73"/>
      <c r="I2076" s="551"/>
      <c r="J2076" s="476"/>
      <c r="K2076" s="69"/>
      <c r="L2076" s="61"/>
      <c r="M2076" s="61"/>
      <c r="N2076" s="73"/>
      <c r="O2076" s="66"/>
      <c r="P2076" s="67"/>
      <c r="Q2076" s="67"/>
      <c r="R2076" s="67"/>
      <c r="S2076" s="67"/>
      <c r="T2076" s="161"/>
      <c r="U2076" s="69"/>
      <c r="V2076" s="73"/>
      <c r="W2076" s="71"/>
      <c r="X2076" s="194"/>
      <c r="Y2076" s="216"/>
      <c r="Z2076" s="73"/>
      <c r="AA2076" s="73"/>
      <c r="AB2076" s="73"/>
      <c r="AC2076" s="73"/>
      <c r="AD2076" s="73"/>
      <c r="AE2076" s="73"/>
      <c r="AF2076" s="73"/>
      <c r="AG2076" s="73"/>
      <c r="AH2076" s="73"/>
      <c r="AI2076" s="73"/>
      <c r="AJ2076" s="161"/>
      <c r="AK2076" s="236"/>
      <c r="AL2076" s="269"/>
      <c r="AM2076" s="161"/>
      <c r="AN2076" s="161"/>
      <c r="AO2076" s="161"/>
      <c r="AP2076" s="161"/>
      <c r="AQ2076" s="161"/>
      <c r="AR2076" s="161"/>
      <c r="AS2076" s="161"/>
      <c r="AT2076" s="161"/>
      <c r="AU2076" s="89"/>
      <c r="AV2076" s="162"/>
      <c r="AW2076" s="73"/>
    </row>
    <row r="2077" ht="15.75" customHeight="1">
      <c r="A2077" s="216"/>
      <c r="B2077" s="73"/>
      <c r="C2077" s="216"/>
      <c r="D2077" s="241"/>
      <c r="E2077" s="241"/>
      <c r="F2077" s="89"/>
      <c r="G2077" s="476"/>
      <c r="H2077" s="73"/>
      <c r="I2077" s="551"/>
      <c r="J2077" s="476"/>
      <c r="K2077" s="69"/>
      <c r="L2077" s="61"/>
      <c r="M2077" s="61"/>
      <c r="N2077" s="73"/>
      <c r="O2077" s="66"/>
      <c r="P2077" s="67"/>
      <c r="Q2077" s="67"/>
      <c r="R2077" s="67"/>
      <c r="S2077" s="67"/>
      <c r="T2077" s="161"/>
      <c r="U2077" s="69"/>
      <c r="V2077" s="73"/>
      <c r="W2077" s="71"/>
      <c r="X2077" s="194"/>
      <c r="Y2077" s="216"/>
      <c r="Z2077" s="73"/>
      <c r="AA2077" s="73"/>
      <c r="AB2077" s="73"/>
      <c r="AC2077" s="73"/>
      <c r="AD2077" s="73"/>
      <c r="AE2077" s="73"/>
      <c r="AF2077" s="73"/>
      <c r="AG2077" s="73"/>
      <c r="AH2077" s="73"/>
      <c r="AI2077" s="73"/>
      <c r="AJ2077" s="161"/>
      <c r="AK2077" s="236"/>
      <c r="AL2077" s="269"/>
      <c r="AM2077" s="161"/>
      <c r="AN2077" s="161"/>
      <c r="AO2077" s="161"/>
      <c r="AP2077" s="161"/>
      <c r="AQ2077" s="161"/>
      <c r="AR2077" s="161"/>
      <c r="AS2077" s="161"/>
      <c r="AT2077" s="161"/>
      <c r="AU2077" s="89"/>
      <c r="AV2077" s="162"/>
      <c r="AW2077" s="73"/>
    </row>
    <row r="2078" ht="15.75" customHeight="1">
      <c r="A2078" s="216"/>
      <c r="B2078" s="73"/>
      <c r="C2078" s="216"/>
      <c r="D2078" s="241"/>
      <c r="E2078" s="241"/>
      <c r="F2078" s="89"/>
      <c r="G2078" s="476"/>
      <c r="H2078" s="73"/>
      <c r="I2078" s="551"/>
      <c r="J2078" s="476"/>
      <c r="K2078" s="69"/>
      <c r="L2078" s="61"/>
      <c r="M2078" s="61"/>
      <c r="N2078" s="73"/>
      <c r="O2078" s="66"/>
      <c r="P2078" s="67"/>
      <c r="Q2078" s="67"/>
      <c r="R2078" s="67"/>
      <c r="S2078" s="67"/>
      <c r="T2078" s="161"/>
      <c r="U2078" s="69"/>
      <c r="V2078" s="73"/>
      <c r="W2078" s="71"/>
      <c r="X2078" s="194"/>
      <c r="Y2078" s="216"/>
      <c r="Z2078" s="73"/>
      <c r="AA2078" s="73"/>
      <c r="AB2078" s="73"/>
      <c r="AC2078" s="73"/>
      <c r="AD2078" s="73"/>
      <c r="AE2078" s="73"/>
      <c r="AF2078" s="73"/>
      <c r="AG2078" s="73"/>
      <c r="AH2078" s="73"/>
      <c r="AI2078" s="73"/>
      <c r="AJ2078" s="161"/>
      <c r="AK2078" s="236"/>
      <c r="AL2078" s="269"/>
      <c r="AM2078" s="161"/>
      <c r="AN2078" s="161"/>
      <c r="AO2078" s="161"/>
      <c r="AP2078" s="161"/>
      <c r="AQ2078" s="161"/>
      <c r="AR2078" s="161"/>
      <c r="AS2078" s="161"/>
      <c r="AT2078" s="161"/>
      <c r="AU2078" s="89"/>
      <c r="AV2078" s="162"/>
      <c r="AW2078" s="73"/>
    </row>
    <row r="2079" ht="15.75" customHeight="1">
      <c r="A2079" s="216"/>
      <c r="B2079" s="73"/>
      <c r="C2079" s="216"/>
      <c r="D2079" s="241"/>
      <c r="E2079" s="241"/>
      <c r="F2079" s="89"/>
      <c r="G2079" s="476"/>
      <c r="H2079" s="73"/>
      <c r="I2079" s="551"/>
      <c r="J2079" s="476"/>
      <c r="K2079" s="69"/>
      <c r="L2079" s="61"/>
      <c r="M2079" s="61"/>
      <c r="N2079" s="73"/>
      <c r="O2079" s="66"/>
      <c r="P2079" s="67"/>
      <c r="Q2079" s="67"/>
      <c r="R2079" s="67"/>
      <c r="S2079" s="67"/>
      <c r="T2079" s="161"/>
      <c r="U2079" s="69"/>
      <c r="V2079" s="73"/>
      <c r="W2079" s="71"/>
      <c r="X2079" s="194"/>
      <c r="Y2079" s="216"/>
      <c r="Z2079" s="73"/>
      <c r="AA2079" s="73"/>
      <c r="AB2079" s="73"/>
      <c r="AC2079" s="73"/>
      <c r="AD2079" s="73"/>
      <c r="AE2079" s="73"/>
      <c r="AF2079" s="73"/>
      <c r="AG2079" s="73"/>
      <c r="AH2079" s="73"/>
      <c r="AI2079" s="73"/>
      <c r="AJ2079" s="161"/>
      <c r="AK2079" s="236"/>
      <c r="AL2079" s="269"/>
      <c r="AM2079" s="161"/>
      <c r="AN2079" s="161"/>
      <c r="AO2079" s="161"/>
      <c r="AP2079" s="161"/>
      <c r="AQ2079" s="161"/>
      <c r="AR2079" s="161"/>
      <c r="AS2079" s="161"/>
      <c r="AT2079" s="161"/>
      <c r="AU2079" s="89"/>
      <c r="AV2079" s="162"/>
      <c r="AW2079" s="73"/>
    </row>
    <row r="2080" ht="15.75" customHeight="1">
      <c r="A2080" s="216"/>
      <c r="B2080" s="73"/>
      <c r="C2080" s="216"/>
      <c r="D2080" s="241"/>
      <c r="E2080" s="241"/>
      <c r="F2080" s="89"/>
      <c r="G2080" s="476"/>
      <c r="H2080" s="73"/>
      <c r="I2080" s="551"/>
      <c r="J2080" s="476"/>
      <c r="K2080" s="69"/>
      <c r="L2080" s="61"/>
      <c r="M2080" s="61"/>
      <c r="N2080" s="73"/>
      <c r="O2080" s="66"/>
      <c r="P2080" s="67"/>
      <c r="Q2080" s="67"/>
      <c r="R2080" s="67"/>
      <c r="S2080" s="67"/>
      <c r="T2080" s="161"/>
      <c r="U2080" s="69"/>
      <c r="V2080" s="73"/>
      <c r="W2080" s="71"/>
      <c r="X2080" s="194"/>
      <c r="Y2080" s="216"/>
      <c r="Z2080" s="73"/>
      <c r="AA2080" s="73"/>
      <c r="AB2080" s="73"/>
      <c r="AC2080" s="73"/>
      <c r="AD2080" s="73"/>
      <c r="AE2080" s="73"/>
      <c r="AF2080" s="73"/>
      <c r="AG2080" s="73"/>
      <c r="AH2080" s="73"/>
      <c r="AI2080" s="73"/>
      <c r="AJ2080" s="161"/>
      <c r="AK2080" s="236"/>
      <c r="AL2080" s="269"/>
      <c r="AM2080" s="161"/>
      <c r="AN2080" s="161"/>
      <c r="AO2080" s="161"/>
      <c r="AP2080" s="161"/>
      <c r="AQ2080" s="161"/>
      <c r="AR2080" s="161"/>
      <c r="AS2080" s="161"/>
      <c r="AT2080" s="161"/>
      <c r="AU2080" s="89"/>
      <c r="AV2080" s="162"/>
      <c r="AW2080" s="73"/>
    </row>
    <row r="2081" ht="15.75" customHeight="1">
      <c r="A2081" s="216"/>
      <c r="B2081" s="73"/>
      <c r="C2081" s="216"/>
      <c r="D2081" s="241"/>
      <c r="E2081" s="241"/>
      <c r="F2081" s="89"/>
      <c r="G2081" s="476"/>
      <c r="H2081" s="73"/>
      <c r="I2081" s="551"/>
      <c r="J2081" s="476"/>
      <c r="K2081" s="69"/>
      <c r="L2081" s="61"/>
      <c r="M2081" s="61"/>
      <c r="N2081" s="73"/>
      <c r="O2081" s="66"/>
      <c r="P2081" s="67"/>
      <c r="Q2081" s="67"/>
      <c r="R2081" s="67"/>
      <c r="S2081" s="67"/>
      <c r="T2081" s="161"/>
      <c r="U2081" s="69"/>
      <c r="V2081" s="73"/>
      <c r="W2081" s="71"/>
      <c r="X2081" s="194"/>
      <c r="Y2081" s="216"/>
      <c r="Z2081" s="73"/>
      <c r="AA2081" s="73"/>
      <c r="AB2081" s="73"/>
      <c r="AC2081" s="73"/>
      <c r="AD2081" s="73"/>
      <c r="AE2081" s="73"/>
      <c r="AF2081" s="73"/>
      <c r="AG2081" s="73"/>
      <c r="AH2081" s="73"/>
      <c r="AI2081" s="73"/>
      <c r="AJ2081" s="161"/>
      <c r="AK2081" s="236"/>
      <c r="AL2081" s="269"/>
      <c r="AM2081" s="161"/>
      <c r="AN2081" s="161"/>
      <c r="AO2081" s="161"/>
      <c r="AP2081" s="161"/>
      <c r="AQ2081" s="161"/>
      <c r="AR2081" s="161"/>
      <c r="AS2081" s="161"/>
      <c r="AT2081" s="161"/>
      <c r="AU2081" s="89"/>
      <c r="AV2081" s="162"/>
      <c r="AW2081" s="73"/>
    </row>
    <row r="2082" ht="15.75" customHeight="1">
      <c r="A2082" s="216"/>
      <c r="B2082" s="73"/>
      <c r="C2082" s="216"/>
      <c r="D2082" s="241"/>
      <c r="E2082" s="241"/>
      <c r="F2082" s="89"/>
      <c r="G2082" s="476"/>
      <c r="H2082" s="73"/>
      <c r="I2082" s="551"/>
      <c r="J2082" s="476"/>
      <c r="K2082" s="69"/>
      <c r="L2082" s="61"/>
      <c r="M2082" s="61"/>
      <c r="N2082" s="73"/>
      <c r="O2082" s="66"/>
      <c r="P2082" s="67"/>
      <c r="Q2082" s="67"/>
      <c r="R2082" s="67"/>
      <c r="S2082" s="67"/>
      <c r="T2082" s="161"/>
      <c r="U2082" s="69"/>
      <c r="V2082" s="73"/>
      <c r="W2082" s="71"/>
      <c r="X2082" s="194"/>
      <c r="Y2082" s="216"/>
      <c r="Z2082" s="73"/>
      <c r="AA2082" s="73"/>
      <c r="AB2082" s="73"/>
      <c r="AC2082" s="73"/>
      <c r="AD2082" s="73"/>
      <c r="AE2082" s="73"/>
      <c r="AF2082" s="73"/>
      <c r="AG2082" s="73"/>
      <c r="AH2082" s="73"/>
      <c r="AI2082" s="73"/>
      <c r="AJ2082" s="161"/>
      <c r="AK2082" s="236"/>
      <c r="AL2082" s="269"/>
      <c r="AM2082" s="161"/>
      <c r="AN2082" s="161"/>
      <c r="AO2082" s="161"/>
      <c r="AP2082" s="161"/>
      <c r="AQ2082" s="161"/>
      <c r="AR2082" s="161"/>
      <c r="AS2082" s="161"/>
      <c r="AT2082" s="161"/>
      <c r="AU2082" s="89"/>
      <c r="AV2082" s="162"/>
      <c r="AW2082" s="73"/>
    </row>
    <row r="2083" ht="15.75" customHeight="1">
      <c r="A2083" s="216"/>
      <c r="B2083" s="73"/>
      <c r="C2083" s="216"/>
      <c r="D2083" s="241"/>
      <c r="E2083" s="241"/>
      <c r="F2083" s="89"/>
      <c r="G2083" s="476"/>
      <c r="H2083" s="73"/>
      <c r="I2083" s="551"/>
      <c r="J2083" s="476"/>
      <c r="K2083" s="69"/>
      <c r="L2083" s="61"/>
      <c r="M2083" s="61"/>
      <c r="N2083" s="73"/>
      <c r="O2083" s="66"/>
      <c r="P2083" s="67"/>
      <c r="Q2083" s="67"/>
      <c r="R2083" s="67"/>
      <c r="S2083" s="67"/>
      <c r="T2083" s="161"/>
      <c r="U2083" s="69"/>
      <c r="V2083" s="73"/>
      <c r="W2083" s="71"/>
      <c r="X2083" s="194"/>
      <c r="Y2083" s="216"/>
      <c r="Z2083" s="73"/>
      <c r="AA2083" s="73"/>
      <c r="AB2083" s="73"/>
      <c r="AC2083" s="73"/>
      <c r="AD2083" s="73"/>
      <c r="AE2083" s="73"/>
      <c r="AF2083" s="73"/>
      <c r="AG2083" s="73"/>
      <c r="AH2083" s="73"/>
      <c r="AI2083" s="73"/>
      <c r="AJ2083" s="161"/>
      <c r="AK2083" s="236"/>
      <c r="AL2083" s="269"/>
      <c r="AM2083" s="161"/>
      <c r="AN2083" s="161"/>
      <c r="AO2083" s="161"/>
      <c r="AP2083" s="161"/>
      <c r="AQ2083" s="161"/>
      <c r="AR2083" s="161"/>
      <c r="AS2083" s="161"/>
      <c r="AT2083" s="161"/>
      <c r="AU2083" s="89"/>
      <c r="AV2083" s="162"/>
      <c r="AW2083" s="73"/>
    </row>
    <row r="2084" ht="15.75" customHeight="1">
      <c r="A2084" s="216"/>
      <c r="B2084" s="73"/>
      <c r="C2084" s="216"/>
      <c r="D2084" s="241"/>
      <c r="E2084" s="241"/>
      <c r="F2084" s="89"/>
      <c r="G2084" s="476"/>
      <c r="H2084" s="73"/>
      <c r="I2084" s="551"/>
      <c r="J2084" s="476"/>
      <c r="K2084" s="69"/>
      <c r="L2084" s="61"/>
      <c r="M2084" s="61"/>
      <c r="N2084" s="73"/>
      <c r="O2084" s="66"/>
      <c r="P2084" s="67"/>
      <c r="Q2084" s="67"/>
      <c r="R2084" s="67"/>
      <c r="S2084" s="67"/>
      <c r="T2084" s="161"/>
      <c r="U2084" s="69"/>
      <c r="V2084" s="73"/>
      <c r="W2084" s="71"/>
      <c r="X2084" s="194"/>
      <c r="Y2084" s="216"/>
      <c r="Z2084" s="73"/>
      <c r="AA2084" s="73"/>
      <c r="AB2084" s="73"/>
      <c r="AC2084" s="73"/>
      <c r="AD2084" s="73"/>
      <c r="AE2084" s="73"/>
      <c r="AF2084" s="73"/>
      <c r="AG2084" s="73"/>
      <c r="AH2084" s="73"/>
      <c r="AI2084" s="73"/>
      <c r="AJ2084" s="161"/>
      <c r="AK2084" s="236"/>
      <c r="AL2084" s="269"/>
      <c r="AM2084" s="161"/>
      <c r="AN2084" s="161"/>
      <c r="AO2084" s="161"/>
      <c r="AP2084" s="161"/>
      <c r="AQ2084" s="161"/>
      <c r="AR2084" s="161"/>
      <c r="AS2084" s="161"/>
      <c r="AT2084" s="161"/>
      <c r="AU2084" s="89"/>
      <c r="AV2084" s="162"/>
      <c r="AW2084" s="73"/>
    </row>
    <row r="2085" ht="15.75" customHeight="1">
      <c r="A2085" s="216"/>
      <c r="B2085" s="73"/>
      <c r="C2085" s="216"/>
      <c r="D2085" s="241"/>
      <c r="E2085" s="241"/>
      <c r="F2085" s="89"/>
      <c r="G2085" s="476"/>
      <c r="H2085" s="73"/>
      <c r="I2085" s="551"/>
      <c r="J2085" s="476"/>
      <c r="K2085" s="69"/>
      <c r="L2085" s="61"/>
      <c r="M2085" s="61"/>
      <c r="N2085" s="73"/>
      <c r="O2085" s="66"/>
      <c r="P2085" s="67"/>
      <c r="Q2085" s="67"/>
      <c r="R2085" s="67"/>
      <c r="S2085" s="67"/>
      <c r="T2085" s="161"/>
      <c r="U2085" s="69"/>
      <c r="V2085" s="73"/>
      <c r="W2085" s="71"/>
      <c r="X2085" s="194"/>
      <c r="Y2085" s="216"/>
      <c r="Z2085" s="73"/>
      <c r="AA2085" s="73"/>
      <c r="AB2085" s="73"/>
      <c r="AC2085" s="73"/>
      <c r="AD2085" s="73"/>
      <c r="AE2085" s="73"/>
      <c r="AF2085" s="73"/>
      <c r="AG2085" s="73"/>
      <c r="AH2085" s="73"/>
      <c r="AI2085" s="73"/>
      <c r="AJ2085" s="161"/>
      <c r="AK2085" s="236"/>
      <c r="AL2085" s="269"/>
      <c r="AM2085" s="161"/>
      <c r="AN2085" s="161"/>
      <c r="AO2085" s="161"/>
      <c r="AP2085" s="161"/>
      <c r="AQ2085" s="161"/>
      <c r="AR2085" s="161"/>
      <c r="AS2085" s="161"/>
      <c r="AT2085" s="161"/>
      <c r="AU2085" s="89"/>
      <c r="AV2085" s="162"/>
      <c r="AW2085" s="73"/>
    </row>
    <row r="2086" ht="15.75" customHeight="1">
      <c r="A2086" s="216"/>
      <c r="B2086" s="73"/>
      <c r="C2086" s="216"/>
      <c r="D2086" s="241"/>
      <c r="E2086" s="241"/>
      <c r="F2086" s="89"/>
      <c r="G2086" s="476"/>
      <c r="H2086" s="73"/>
      <c r="I2086" s="551"/>
      <c r="J2086" s="476"/>
      <c r="K2086" s="69"/>
      <c r="L2086" s="61"/>
      <c r="M2086" s="61"/>
      <c r="N2086" s="73"/>
      <c r="O2086" s="66"/>
      <c r="P2086" s="67"/>
      <c r="Q2086" s="67"/>
      <c r="R2086" s="67"/>
      <c r="S2086" s="67"/>
      <c r="T2086" s="161"/>
      <c r="U2086" s="69"/>
      <c r="V2086" s="73"/>
      <c r="W2086" s="71"/>
      <c r="X2086" s="194"/>
      <c r="Y2086" s="216"/>
      <c r="Z2086" s="73"/>
      <c r="AA2086" s="73"/>
      <c r="AB2086" s="73"/>
      <c r="AC2086" s="73"/>
      <c r="AD2086" s="73"/>
      <c r="AE2086" s="73"/>
      <c r="AF2086" s="73"/>
      <c r="AG2086" s="73"/>
      <c r="AH2086" s="73"/>
      <c r="AI2086" s="73"/>
      <c r="AJ2086" s="161"/>
      <c r="AK2086" s="236"/>
      <c r="AL2086" s="269"/>
      <c r="AM2086" s="161"/>
      <c r="AN2086" s="161"/>
      <c r="AO2086" s="161"/>
      <c r="AP2086" s="161"/>
      <c r="AQ2086" s="161"/>
      <c r="AR2086" s="161"/>
      <c r="AS2086" s="161"/>
      <c r="AT2086" s="161"/>
      <c r="AU2086" s="89"/>
      <c r="AV2086" s="162"/>
      <c r="AW2086" s="73"/>
    </row>
    <row r="2087" ht="15.75" customHeight="1">
      <c r="A2087" s="216"/>
      <c r="B2087" s="73"/>
      <c r="C2087" s="216"/>
      <c r="D2087" s="241"/>
      <c r="E2087" s="241"/>
      <c r="F2087" s="89"/>
      <c r="G2087" s="476"/>
      <c r="H2087" s="73"/>
      <c r="I2087" s="551"/>
      <c r="J2087" s="476"/>
      <c r="K2087" s="69"/>
      <c r="L2087" s="61"/>
      <c r="M2087" s="61"/>
      <c r="N2087" s="73"/>
      <c r="O2087" s="66"/>
      <c r="P2087" s="67"/>
      <c r="Q2087" s="67"/>
      <c r="R2087" s="67"/>
      <c r="S2087" s="67"/>
      <c r="T2087" s="161"/>
      <c r="U2087" s="69"/>
      <c r="V2087" s="73"/>
      <c r="W2087" s="71"/>
      <c r="X2087" s="194"/>
      <c r="Y2087" s="216"/>
      <c r="Z2087" s="73"/>
      <c r="AA2087" s="73"/>
      <c r="AB2087" s="73"/>
      <c r="AC2087" s="73"/>
      <c r="AD2087" s="73"/>
      <c r="AE2087" s="73"/>
      <c r="AF2087" s="73"/>
      <c r="AG2087" s="73"/>
      <c r="AH2087" s="73"/>
      <c r="AI2087" s="73"/>
      <c r="AJ2087" s="161"/>
      <c r="AK2087" s="236"/>
      <c r="AL2087" s="269"/>
      <c r="AM2087" s="161"/>
      <c r="AN2087" s="161"/>
      <c r="AO2087" s="161"/>
      <c r="AP2087" s="161"/>
      <c r="AQ2087" s="161"/>
      <c r="AR2087" s="161"/>
      <c r="AS2087" s="161"/>
      <c r="AT2087" s="161"/>
      <c r="AU2087" s="89"/>
      <c r="AV2087" s="162"/>
      <c r="AW2087" s="73"/>
    </row>
    <row r="2088" ht="15.75" customHeight="1">
      <c r="A2088" s="216"/>
      <c r="B2088" s="73"/>
      <c r="C2088" s="216"/>
      <c r="D2088" s="241"/>
      <c r="E2088" s="241"/>
      <c r="F2088" s="89"/>
      <c r="G2088" s="476"/>
      <c r="H2088" s="73"/>
      <c r="I2088" s="551"/>
      <c r="J2088" s="476"/>
      <c r="K2088" s="69"/>
      <c r="L2088" s="61"/>
      <c r="M2088" s="61"/>
      <c r="N2088" s="73"/>
      <c r="O2088" s="66"/>
      <c r="P2088" s="67"/>
      <c r="Q2088" s="67"/>
      <c r="R2088" s="67"/>
      <c r="S2088" s="67"/>
      <c r="T2088" s="161"/>
      <c r="U2088" s="69"/>
      <c r="V2088" s="73"/>
      <c r="W2088" s="71"/>
      <c r="X2088" s="194"/>
      <c r="Y2088" s="216"/>
      <c r="Z2088" s="73"/>
      <c r="AA2088" s="73"/>
      <c r="AB2088" s="73"/>
      <c r="AC2088" s="73"/>
      <c r="AD2088" s="73"/>
      <c r="AE2088" s="73"/>
      <c r="AF2088" s="73"/>
      <c r="AG2088" s="73"/>
      <c r="AH2088" s="73"/>
      <c r="AI2088" s="73"/>
      <c r="AJ2088" s="161"/>
      <c r="AK2088" s="236"/>
      <c r="AL2088" s="269"/>
      <c r="AM2088" s="161"/>
      <c r="AN2088" s="161"/>
      <c r="AO2088" s="161"/>
      <c r="AP2088" s="161"/>
      <c r="AQ2088" s="161"/>
      <c r="AR2088" s="161"/>
      <c r="AS2088" s="161"/>
      <c r="AT2088" s="161"/>
      <c r="AU2088" s="89"/>
      <c r="AV2088" s="162"/>
      <c r="AW2088" s="73"/>
    </row>
    <row r="2089" ht="15.75" customHeight="1">
      <c r="A2089" s="216"/>
      <c r="B2089" s="73"/>
      <c r="C2089" s="216"/>
      <c r="D2089" s="241"/>
      <c r="E2089" s="241"/>
      <c r="F2089" s="89"/>
      <c r="G2089" s="476"/>
      <c r="H2089" s="73"/>
      <c r="I2089" s="551"/>
      <c r="J2089" s="476"/>
      <c r="K2089" s="69"/>
      <c r="L2089" s="61"/>
      <c r="M2089" s="61"/>
      <c r="N2089" s="73"/>
      <c r="O2089" s="66"/>
      <c r="P2089" s="67"/>
      <c r="Q2089" s="67"/>
      <c r="R2089" s="67"/>
      <c r="S2089" s="67"/>
      <c r="T2089" s="161"/>
      <c r="U2089" s="69"/>
      <c r="V2089" s="73"/>
      <c r="W2089" s="71"/>
      <c r="X2089" s="194"/>
      <c r="Y2089" s="216"/>
      <c r="Z2089" s="73"/>
      <c r="AA2089" s="73"/>
      <c r="AB2089" s="73"/>
      <c r="AC2089" s="73"/>
      <c r="AD2089" s="73"/>
      <c r="AE2089" s="73"/>
      <c r="AF2089" s="73"/>
      <c r="AG2089" s="73"/>
      <c r="AH2089" s="73"/>
      <c r="AI2089" s="73"/>
      <c r="AJ2089" s="161"/>
      <c r="AK2089" s="236"/>
      <c r="AL2089" s="269"/>
      <c r="AM2089" s="161"/>
      <c r="AN2089" s="161"/>
      <c r="AO2089" s="161"/>
      <c r="AP2089" s="161"/>
      <c r="AQ2089" s="161"/>
      <c r="AR2089" s="161"/>
      <c r="AS2089" s="161"/>
      <c r="AT2089" s="161"/>
      <c r="AU2089" s="89"/>
      <c r="AV2089" s="162"/>
      <c r="AW2089" s="73"/>
    </row>
    <row r="2090" ht="15.75" customHeight="1">
      <c r="A2090" s="216"/>
      <c r="B2090" s="73"/>
      <c r="C2090" s="216"/>
      <c r="D2090" s="241"/>
      <c r="E2090" s="241"/>
      <c r="F2090" s="89"/>
      <c r="G2090" s="476"/>
      <c r="H2090" s="73"/>
      <c r="I2090" s="551"/>
      <c r="J2090" s="476"/>
      <c r="K2090" s="69"/>
      <c r="L2090" s="61"/>
      <c r="M2090" s="61"/>
      <c r="N2090" s="73"/>
      <c r="O2090" s="66"/>
      <c r="P2090" s="67"/>
      <c r="Q2090" s="67"/>
      <c r="R2090" s="67"/>
      <c r="S2090" s="67"/>
      <c r="T2090" s="161"/>
      <c r="U2090" s="69"/>
      <c r="V2090" s="73"/>
      <c r="W2090" s="71"/>
      <c r="X2090" s="194"/>
      <c r="Y2090" s="216"/>
      <c r="Z2090" s="73"/>
      <c r="AA2090" s="73"/>
      <c r="AB2090" s="73"/>
      <c r="AC2090" s="73"/>
      <c r="AD2090" s="73"/>
      <c r="AE2090" s="73"/>
      <c r="AF2090" s="73"/>
      <c r="AG2090" s="73"/>
      <c r="AH2090" s="73"/>
      <c r="AI2090" s="73"/>
      <c r="AJ2090" s="161"/>
      <c r="AK2090" s="236"/>
      <c r="AL2090" s="269"/>
      <c r="AM2090" s="161"/>
      <c r="AN2090" s="161"/>
      <c r="AO2090" s="161"/>
      <c r="AP2090" s="161"/>
      <c r="AQ2090" s="161"/>
      <c r="AR2090" s="161"/>
      <c r="AS2090" s="161"/>
      <c r="AT2090" s="161"/>
      <c r="AU2090" s="89"/>
      <c r="AV2090" s="162"/>
      <c r="AW2090" s="73"/>
    </row>
    <row r="2091" ht="15.75" customHeight="1">
      <c r="A2091" s="216"/>
      <c r="B2091" s="73"/>
      <c r="C2091" s="216"/>
      <c r="D2091" s="241"/>
      <c r="E2091" s="241"/>
      <c r="F2091" s="89"/>
      <c r="G2091" s="476"/>
      <c r="H2091" s="73"/>
      <c r="I2091" s="551"/>
      <c r="J2091" s="476"/>
      <c r="K2091" s="69"/>
      <c r="L2091" s="61"/>
      <c r="M2091" s="61"/>
      <c r="N2091" s="73"/>
      <c r="O2091" s="66"/>
      <c r="P2091" s="67"/>
      <c r="Q2091" s="67"/>
      <c r="R2091" s="67"/>
      <c r="S2091" s="67"/>
      <c r="T2091" s="161"/>
      <c r="U2091" s="69"/>
      <c r="V2091" s="73"/>
      <c r="W2091" s="71"/>
      <c r="X2091" s="194"/>
      <c r="Y2091" s="216"/>
      <c r="Z2091" s="73"/>
      <c r="AA2091" s="73"/>
      <c r="AB2091" s="73"/>
      <c r="AC2091" s="73"/>
      <c r="AD2091" s="73"/>
      <c r="AE2091" s="73"/>
      <c r="AF2091" s="73"/>
      <c r="AG2091" s="73"/>
      <c r="AH2091" s="73"/>
      <c r="AI2091" s="73"/>
      <c r="AJ2091" s="161"/>
      <c r="AK2091" s="236"/>
      <c r="AL2091" s="269"/>
      <c r="AM2091" s="161"/>
      <c r="AN2091" s="161"/>
      <c r="AO2091" s="161"/>
      <c r="AP2091" s="161"/>
      <c r="AQ2091" s="161"/>
      <c r="AR2091" s="161"/>
      <c r="AS2091" s="161"/>
      <c r="AT2091" s="161"/>
      <c r="AU2091" s="89"/>
      <c r="AV2091" s="162"/>
      <c r="AW2091" s="73"/>
    </row>
    <row r="2092" ht="15.75" customHeight="1">
      <c r="A2092" s="216"/>
      <c r="B2092" s="73"/>
      <c r="C2092" s="216"/>
      <c r="D2092" s="241"/>
      <c r="E2092" s="241"/>
      <c r="F2092" s="89"/>
      <c r="G2092" s="476"/>
      <c r="H2092" s="73"/>
      <c r="I2092" s="551"/>
      <c r="J2092" s="476"/>
      <c r="K2092" s="69"/>
      <c r="L2092" s="61"/>
      <c r="M2092" s="61"/>
      <c r="N2092" s="73"/>
      <c r="O2092" s="66"/>
      <c r="P2092" s="67"/>
      <c r="Q2092" s="67"/>
      <c r="R2092" s="67"/>
      <c r="S2092" s="67"/>
      <c r="T2092" s="161"/>
      <c r="U2092" s="69"/>
      <c r="V2092" s="73"/>
      <c r="W2092" s="71"/>
      <c r="X2092" s="194"/>
      <c r="Y2092" s="216"/>
      <c r="Z2092" s="73"/>
      <c r="AA2092" s="73"/>
      <c r="AB2092" s="73"/>
      <c r="AC2092" s="73"/>
      <c r="AD2092" s="73"/>
      <c r="AE2092" s="73"/>
      <c r="AF2092" s="73"/>
      <c r="AG2092" s="73"/>
      <c r="AH2092" s="73"/>
      <c r="AI2092" s="73"/>
      <c r="AJ2092" s="161"/>
      <c r="AK2092" s="236"/>
      <c r="AL2092" s="269"/>
      <c r="AM2092" s="161"/>
      <c r="AN2092" s="161"/>
      <c r="AO2092" s="161"/>
      <c r="AP2092" s="161"/>
      <c r="AQ2092" s="161"/>
      <c r="AR2092" s="161"/>
      <c r="AS2092" s="161"/>
      <c r="AT2092" s="161"/>
      <c r="AU2092" s="89"/>
      <c r="AV2092" s="162"/>
      <c r="AW2092" s="73"/>
    </row>
    <row r="2093" ht="15.75" customHeight="1">
      <c r="A2093" s="216"/>
      <c r="B2093" s="73"/>
      <c r="C2093" s="216"/>
      <c r="D2093" s="241"/>
      <c r="E2093" s="241"/>
      <c r="F2093" s="89"/>
      <c r="G2093" s="476"/>
      <c r="H2093" s="73"/>
      <c r="I2093" s="551"/>
      <c r="J2093" s="476"/>
      <c r="K2093" s="69"/>
      <c r="L2093" s="61"/>
      <c r="M2093" s="61"/>
      <c r="N2093" s="73"/>
      <c r="O2093" s="66"/>
      <c r="P2093" s="67"/>
      <c r="Q2093" s="67"/>
      <c r="R2093" s="67"/>
      <c r="S2093" s="67"/>
      <c r="T2093" s="161"/>
      <c r="U2093" s="69"/>
      <c r="V2093" s="73"/>
      <c r="W2093" s="71"/>
      <c r="X2093" s="194"/>
      <c r="Y2093" s="216"/>
      <c r="Z2093" s="73"/>
      <c r="AA2093" s="73"/>
      <c r="AB2093" s="73"/>
      <c r="AC2093" s="73"/>
      <c r="AD2093" s="73"/>
      <c r="AE2093" s="73"/>
      <c r="AF2093" s="73"/>
      <c r="AG2093" s="73"/>
      <c r="AH2093" s="73"/>
      <c r="AI2093" s="73"/>
      <c r="AJ2093" s="161"/>
      <c r="AK2093" s="236"/>
      <c r="AL2093" s="269"/>
      <c r="AM2093" s="161"/>
      <c r="AN2093" s="161"/>
      <c r="AO2093" s="161"/>
      <c r="AP2093" s="161"/>
      <c r="AQ2093" s="161"/>
      <c r="AR2093" s="161"/>
      <c r="AS2093" s="161"/>
      <c r="AT2093" s="161"/>
      <c r="AU2093" s="89"/>
      <c r="AV2093" s="162"/>
      <c r="AW2093" s="73"/>
    </row>
    <row r="2094" ht="15.75" customHeight="1">
      <c r="A2094" s="216"/>
      <c r="B2094" s="73"/>
      <c r="C2094" s="216"/>
      <c r="D2094" s="241"/>
      <c r="E2094" s="241"/>
      <c r="F2094" s="89"/>
      <c r="G2094" s="476"/>
      <c r="H2094" s="73"/>
      <c r="I2094" s="551"/>
      <c r="J2094" s="476"/>
      <c r="K2094" s="69"/>
      <c r="L2094" s="61"/>
      <c r="M2094" s="61"/>
      <c r="N2094" s="73"/>
      <c r="O2094" s="66"/>
      <c r="P2094" s="67"/>
      <c r="Q2094" s="67"/>
      <c r="R2094" s="67"/>
      <c r="S2094" s="67"/>
      <c r="T2094" s="161"/>
      <c r="U2094" s="69"/>
      <c r="V2094" s="73"/>
      <c r="W2094" s="71"/>
      <c r="X2094" s="194"/>
      <c r="Y2094" s="216"/>
      <c r="Z2094" s="73"/>
      <c r="AA2094" s="73"/>
      <c r="AB2094" s="73"/>
      <c r="AC2094" s="73"/>
      <c r="AD2094" s="73"/>
      <c r="AE2094" s="73"/>
      <c r="AF2094" s="73"/>
      <c r="AG2094" s="73"/>
      <c r="AH2094" s="73"/>
      <c r="AI2094" s="73"/>
      <c r="AJ2094" s="161"/>
      <c r="AK2094" s="236"/>
      <c r="AL2094" s="269"/>
      <c r="AM2094" s="161"/>
      <c r="AN2094" s="161"/>
      <c r="AO2094" s="161"/>
      <c r="AP2094" s="161"/>
      <c r="AQ2094" s="161"/>
      <c r="AR2094" s="161"/>
      <c r="AS2094" s="161"/>
      <c r="AT2094" s="161"/>
      <c r="AU2094" s="89"/>
      <c r="AV2094" s="162"/>
      <c r="AW2094" s="73"/>
    </row>
    <row r="2095" ht="15.75" customHeight="1">
      <c r="A2095" s="216"/>
      <c r="B2095" s="73"/>
      <c r="C2095" s="216"/>
      <c r="D2095" s="241"/>
      <c r="E2095" s="241"/>
      <c r="F2095" s="89"/>
      <c r="G2095" s="476"/>
      <c r="H2095" s="73"/>
      <c r="I2095" s="551"/>
      <c r="J2095" s="476"/>
      <c r="K2095" s="69"/>
      <c r="L2095" s="61"/>
      <c r="M2095" s="61"/>
      <c r="N2095" s="73"/>
      <c r="O2095" s="66"/>
      <c r="P2095" s="67"/>
      <c r="Q2095" s="67"/>
      <c r="R2095" s="67"/>
      <c r="S2095" s="67"/>
      <c r="T2095" s="161"/>
      <c r="U2095" s="69"/>
      <c r="V2095" s="73"/>
      <c r="W2095" s="71"/>
      <c r="X2095" s="194"/>
      <c r="Y2095" s="216"/>
      <c r="Z2095" s="73"/>
      <c r="AA2095" s="73"/>
      <c r="AB2095" s="73"/>
      <c r="AC2095" s="73"/>
      <c r="AD2095" s="73"/>
      <c r="AE2095" s="73"/>
      <c r="AF2095" s="73"/>
      <c r="AG2095" s="73"/>
      <c r="AH2095" s="73"/>
      <c r="AI2095" s="73"/>
      <c r="AJ2095" s="161"/>
      <c r="AK2095" s="236"/>
      <c r="AL2095" s="269"/>
      <c r="AM2095" s="161"/>
      <c r="AN2095" s="161"/>
      <c r="AO2095" s="161"/>
      <c r="AP2095" s="161"/>
      <c r="AQ2095" s="161"/>
      <c r="AR2095" s="161"/>
      <c r="AS2095" s="161"/>
      <c r="AT2095" s="161"/>
      <c r="AU2095" s="89"/>
      <c r="AV2095" s="162"/>
      <c r="AW2095" s="73"/>
    </row>
    <row r="2096" ht="15.75" customHeight="1">
      <c r="A2096" s="216"/>
      <c r="B2096" s="73"/>
      <c r="C2096" s="216"/>
      <c r="D2096" s="241"/>
      <c r="E2096" s="241"/>
      <c r="F2096" s="89"/>
      <c r="G2096" s="476"/>
      <c r="H2096" s="73"/>
      <c r="I2096" s="551"/>
      <c r="J2096" s="476"/>
      <c r="K2096" s="69"/>
      <c r="L2096" s="61"/>
      <c r="M2096" s="61"/>
      <c r="N2096" s="73"/>
      <c r="O2096" s="66"/>
      <c r="P2096" s="67"/>
      <c r="Q2096" s="67"/>
      <c r="R2096" s="67"/>
      <c r="S2096" s="67"/>
      <c r="T2096" s="161"/>
      <c r="U2096" s="69"/>
      <c r="V2096" s="73"/>
      <c r="W2096" s="71"/>
      <c r="X2096" s="194"/>
      <c r="Y2096" s="216"/>
      <c r="Z2096" s="73"/>
      <c r="AA2096" s="73"/>
      <c r="AB2096" s="73"/>
      <c r="AC2096" s="73"/>
      <c r="AD2096" s="73"/>
      <c r="AE2096" s="73"/>
      <c r="AF2096" s="73"/>
      <c r="AG2096" s="73"/>
      <c r="AH2096" s="73"/>
      <c r="AI2096" s="73"/>
      <c r="AJ2096" s="161"/>
      <c r="AK2096" s="236"/>
      <c r="AL2096" s="269"/>
      <c r="AM2096" s="161"/>
      <c r="AN2096" s="161"/>
      <c r="AO2096" s="161"/>
      <c r="AP2096" s="161"/>
      <c r="AQ2096" s="161"/>
      <c r="AR2096" s="161"/>
      <c r="AS2096" s="161"/>
      <c r="AT2096" s="161"/>
      <c r="AU2096" s="89"/>
      <c r="AV2096" s="162"/>
      <c r="AW2096" s="73"/>
    </row>
    <row r="2097" ht="15.75" customHeight="1">
      <c r="A2097" s="216"/>
      <c r="B2097" s="73"/>
      <c r="C2097" s="216"/>
      <c r="D2097" s="241"/>
      <c r="E2097" s="241"/>
      <c r="F2097" s="89"/>
      <c r="G2097" s="476"/>
      <c r="H2097" s="73"/>
      <c r="I2097" s="551"/>
      <c r="J2097" s="476"/>
      <c r="K2097" s="69"/>
      <c r="L2097" s="61"/>
      <c r="M2097" s="61"/>
      <c r="N2097" s="73"/>
      <c r="O2097" s="66"/>
      <c r="P2097" s="67"/>
      <c r="Q2097" s="67"/>
      <c r="R2097" s="67"/>
      <c r="S2097" s="67"/>
      <c r="T2097" s="161"/>
      <c r="U2097" s="69"/>
      <c r="V2097" s="73"/>
      <c r="W2097" s="71"/>
      <c r="X2097" s="194"/>
      <c r="Y2097" s="216"/>
      <c r="Z2097" s="73"/>
      <c r="AA2097" s="73"/>
      <c r="AB2097" s="73"/>
      <c r="AC2097" s="73"/>
      <c r="AD2097" s="73"/>
      <c r="AE2097" s="73"/>
      <c r="AF2097" s="73"/>
      <c r="AG2097" s="73"/>
      <c r="AH2097" s="73"/>
      <c r="AI2097" s="73"/>
      <c r="AJ2097" s="161"/>
      <c r="AK2097" s="236"/>
      <c r="AL2097" s="269"/>
      <c r="AM2097" s="161"/>
      <c r="AN2097" s="161"/>
      <c r="AO2097" s="161"/>
      <c r="AP2097" s="161"/>
      <c r="AQ2097" s="161"/>
      <c r="AR2097" s="161"/>
      <c r="AS2097" s="161"/>
      <c r="AT2097" s="161"/>
      <c r="AU2097" s="89"/>
      <c r="AV2097" s="162"/>
      <c r="AW2097" s="73"/>
    </row>
    <row r="2098" ht="15.75" customHeight="1">
      <c r="A2098" s="216"/>
      <c r="B2098" s="73"/>
      <c r="C2098" s="216"/>
      <c r="D2098" s="241"/>
      <c r="E2098" s="241"/>
      <c r="F2098" s="89"/>
      <c r="G2098" s="476"/>
      <c r="H2098" s="73"/>
      <c r="I2098" s="551"/>
      <c r="J2098" s="476"/>
      <c r="K2098" s="69"/>
      <c r="L2098" s="61"/>
      <c r="M2098" s="61"/>
      <c r="N2098" s="73"/>
      <c r="O2098" s="66"/>
      <c r="P2098" s="67"/>
      <c r="Q2098" s="67"/>
      <c r="R2098" s="67"/>
      <c r="S2098" s="67"/>
      <c r="T2098" s="161"/>
      <c r="U2098" s="69"/>
      <c r="V2098" s="73"/>
      <c r="W2098" s="71"/>
      <c r="X2098" s="194"/>
      <c r="Y2098" s="216"/>
      <c r="Z2098" s="73"/>
      <c r="AA2098" s="73"/>
      <c r="AB2098" s="73"/>
      <c r="AC2098" s="73"/>
      <c r="AD2098" s="73"/>
      <c r="AE2098" s="73"/>
      <c r="AF2098" s="73"/>
      <c r="AG2098" s="73"/>
      <c r="AH2098" s="73"/>
      <c r="AI2098" s="73"/>
      <c r="AJ2098" s="161"/>
      <c r="AK2098" s="236"/>
      <c r="AL2098" s="269"/>
      <c r="AM2098" s="161"/>
      <c r="AN2098" s="161"/>
      <c r="AO2098" s="161"/>
      <c r="AP2098" s="161"/>
      <c r="AQ2098" s="161"/>
      <c r="AR2098" s="161"/>
      <c r="AS2098" s="161"/>
      <c r="AT2098" s="161"/>
      <c r="AU2098" s="89"/>
      <c r="AV2098" s="162"/>
      <c r="AW2098" s="73"/>
    </row>
    <row r="2099" ht="15.75" customHeight="1">
      <c r="A2099" s="216"/>
      <c r="B2099" s="73"/>
      <c r="C2099" s="216"/>
      <c r="D2099" s="241"/>
      <c r="E2099" s="241"/>
      <c r="F2099" s="89"/>
      <c r="G2099" s="476"/>
      <c r="H2099" s="73"/>
      <c r="I2099" s="551"/>
      <c r="J2099" s="476"/>
      <c r="K2099" s="69"/>
      <c r="L2099" s="61"/>
      <c r="M2099" s="61"/>
      <c r="N2099" s="73"/>
      <c r="O2099" s="66"/>
      <c r="P2099" s="67"/>
      <c r="Q2099" s="67"/>
      <c r="R2099" s="67"/>
      <c r="S2099" s="67"/>
      <c r="T2099" s="161"/>
      <c r="U2099" s="69"/>
      <c r="V2099" s="73"/>
      <c r="W2099" s="71"/>
      <c r="X2099" s="194"/>
      <c r="Y2099" s="216"/>
      <c r="Z2099" s="73"/>
      <c r="AA2099" s="73"/>
      <c r="AB2099" s="73"/>
      <c r="AC2099" s="73"/>
      <c r="AD2099" s="73"/>
      <c r="AE2099" s="73"/>
      <c r="AF2099" s="73"/>
      <c r="AG2099" s="73"/>
      <c r="AH2099" s="73"/>
      <c r="AI2099" s="73"/>
      <c r="AJ2099" s="161"/>
      <c r="AK2099" s="236"/>
      <c r="AL2099" s="269"/>
      <c r="AM2099" s="161"/>
      <c r="AN2099" s="161"/>
      <c r="AO2099" s="161"/>
      <c r="AP2099" s="161"/>
      <c r="AQ2099" s="161"/>
      <c r="AR2099" s="161"/>
      <c r="AS2099" s="161"/>
      <c r="AT2099" s="161"/>
      <c r="AU2099" s="89"/>
      <c r="AV2099" s="162"/>
      <c r="AW2099" s="73"/>
    </row>
    <row r="2100" ht="15.75" customHeight="1">
      <c r="A2100" s="216"/>
      <c r="B2100" s="73"/>
      <c r="C2100" s="216"/>
      <c r="D2100" s="241"/>
      <c r="E2100" s="241"/>
      <c r="F2100" s="89"/>
      <c r="G2100" s="476"/>
      <c r="H2100" s="73"/>
      <c r="I2100" s="551"/>
      <c r="J2100" s="476"/>
      <c r="K2100" s="69"/>
      <c r="L2100" s="61"/>
      <c r="M2100" s="61"/>
      <c r="N2100" s="73"/>
      <c r="O2100" s="66"/>
      <c r="P2100" s="67"/>
      <c r="Q2100" s="67"/>
      <c r="R2100" s="67"/>
      <c r="S2100" s="67"/>
      <c r="T2100" s="161"/>
      <c r="U2100" s="69"/>
      <c r="V2100" s="73"/>
      <c r="W2100" s="71"/>
      <c r="X2100" s="194"/>
      <c r="Y2100" s="216"/>
      <c r="Z2100" s="73"/>
      <c r="AA2100" s="73"/>
      <c r="AB2100" s="73"/>
      <c r="AC2100" s="73"/>
      <c r="AD2100" s="73"/>
      <c r="AE2100" s="73"/>
      <c r="AF2100" s="73"/>
      <c r="AG2100" s="73"/>
      <c r="AH2100" s="73"/>
      <c r="AI2100" s="73"/>
      <c r="AJ2100" s="161"/>
      <c r="AK2100" s="236"/>
      <c r="AL2100" s="269"/>
      <c r="AM2100" s="161"/>
      <c r="AN2100" s="161"/>
      <c r="AO2100" s="161"/>
      <c r="AP2100" s="161"/>
      <c r="AQ2100" s="161"/>
      <c r="AR2100" s="161"/>
      <c r="AS2100" s="161"/>
      <c r="AT2100" s="161"/>
      <c r="AU2100" s="89"/>
      <c r="AV2100" s="162"/>
      <c r="AW2100" s="73"/>
    </row>
    <row r="2101" ht="15.75" customHeight="1">
      <c r="A2101" s="216"/>
      <c r="B2101" s="73"/>
      <c r="C2101" s="216"/>
      <c r="D2101" s="241"/>
      <c r="E2101" s="241"/>
      <c r="F2101" s="89"/>
      <c r="G2101" s="476"/>
      <c r="H2101" s="73"/>
      <c r="I2101" s="551"/>
      <c r="J2101" s="476"/>
      <c r="K2101" s="69"/>
      <c r="L2101" s="61"/>
      <c r="M2101" s="61"/>
      <c r="N2101" s="73"/>
      <c r="O2101" s="66"/>
      <c r="P2101" s="67"/>
      <c r="Q2101" s="67"/>
      <c r="R2101" s="67"/>
      <c r="S2101" s="67"/>
      <c r="T2101" s="161"/>
      <c r="U2101" s="69"/>
      <c r="V2101" s="73"/>
      <c r="W2101" s="71"/>
      <c r="X2101" s="194"/>
      <c r="Y2101" s="216"/>
      <c r="Z2101" s="73"/>
      <c r="AA2101" s="73"/>
      <c r="AB2101" s="73"/>
      <c r="AC2101" s="73"/>
      <c r="AD2101" s="73"/>
      <c r="AE2101" s="73"/>
      <c r="AF2101" s="73"/>
      <c r="AG2101" s="73"/>
      <c r="AH2101" s="73"/>
      <c r="AI2101" s="73"/>
      <c r="AJ2101" s="161"/>
      <c r="AK2101" s="236"/>
      <c r="AL2101" s="269"/>
      <c r="AM2101" s="161"/>
      <c r="AN2101" s="161"/>
      <c r="AO2101" s="161"/>
      <c r="AP2101" s="161"/>
      <c r="AQ2101" s="161"/>
      <c r="AR2101" s="161"/>
      <c r="AS2101" s="161"/>
      <c r="AT2101" s="161"/>
      <c r="AU2101" s="89"/>
      <c r="AV2101" s="162"/>
      <c r="AW2101" s="73"/>
    </row>
    <row r="2102" ht="15.75" customHeight="1">
      <c r="A2102" s="216"/>
      <c r="B2102" s="73"/>
      <c r="C2102" s="216"/>
      <c r="D2102" s="241"/>
      <c r="E2102" s="241"/>
      <c r="F2102" s="89"/>
      <c r="G2102" s="476"/>
      <c r="H2102" s="73"/>
      <c r="I2102" s="551"/>
      <c r="J2102" s="476"/>
      <c r="K2102" s="69"/>
      <c r="L2102" s="61"/>
      <c r="M2102" s="61"/>
      <c r="N2102" s="73"/>
      <c r="O2102" s="66"/>
      <c r="P2102" s="67"/>
      <c r="Q2102" s="67"/>
      <c r="R2102" s="67"/>
      <c r="S2102" s="67"/>
      <c r="T2102" s="161"/>
      <c r="U2102" s="69"/>
      <c r="V2102" s="73"/>
      <c r="W2102" s="71"/>
      <c r="X2102" s="194"/>
      <c r="Y2102" s="216"/>
      <c r="Z2102" s="73"/>
      <c r="AA2102" s="73"/>
      <c r="AB2102" s="73"/>
      <c r="AC2102" s="73"/>
      <c r="AD2102" s="73"/>
      <c r="AE2102" s="73"/>
      <c r="AF2102" s="73"/>
      <c r="AG2102" s="73"/>
      <c r="AH2102" s="73"/>
      <c r="AI2102" s="73"/>
      <c r="AJ2102" s="161"/>
      <c r="AK2102" s="236"/>
      <c r="AL2102" s="269"/>
      <c r="AM2102" s="161"/>
      <c r="AN2102" s="161"/>
      <c r="AO2102" s="161"/>
      <c r="AP2102" s="161"/>
      <c r="AQ2102" s="161"/>
      <c r="AR2102" s="161"/>
      <c r="AS2102" s="161"/>
      <c r="AT2102" s="161"/>
      <c r="AU2102" s="89"/>
      <c r="AV2102" s="162"/>
      <c r="AW2102" s="73"/>
    </row>
    <row r="2103" ht="15.75" customHeight="1">
      <c r="A2103" s="216"/>
      <c r="B2103" s="73"/>
      <c r="C2103" s="216"/>
      <c r="D2103" s="241"/>
      <c r="E2103" s="241"/>
      <c r="F2103" s="89"/>
      <c r="G2103" s="476"/>
      <c r="H2103" s="73"/>
      <c r="I2103" s="551"/>
      <c r="J2103" s="476"/>
      <c r="K2103" s="69"/>
      <c r="L2103" s="61"/>
      <c r="M2103" s="61"/>
      <c r="N2103" s="73"/>
      <c r="O2103" s="66"/>
      <c r="P2103" s="67"/>
      <c r="Q2103" s="67"/>
      <c r="R2103" s="67"/>
      <c r="S2103" s="67"/>
      <c r="T2103" s="161"/>
      <c r="U2103" s="69"/>
      <c r="V2103" s="73"/>
      <c r="W2103" s="71"/>
      <c r="X2103" s="194"/>
      <c r="Y2103" s="216"/>
      <c r="Z2103" s="73"/>
      <c r="AA2103" s="73"/>
      <c r="AB2103" s="73"/>
      <c r="AC2103" s="73"/>
      <c r="AD2103" s="73"/>
      <c r="AE2103" s="73"/>
      <c r="AF2103" s="73"/>
      <c r="AG2103" s="73"/>
      <c r="AH2103" s="73"/>
      <c r="AI2103" s="73"/>
      <c r="AJ2103" s="161"/>
      <c r="AK2103" s="236"/>
      <c r="AL2103" s="269"/>
      <c r="AM2103" s="161"/>
      <c r="AN2103" s="161"/>
      <c r="AO2103" s="161"/>
      <c r="AP2103" s="161"/>
      <c r="AQ2103" s="161"/>
      <c r="AR2103" s="161"/>
      <c r="AS2103" s="161"/>
      <c r="AT2103" s="161"/>
      <c r="AU2103" s="89"/>
      <c r="AV2103" s="162"/>
      <c r="AW2103" s="73"/>
    </row>
    <row r="2104" ht="15.75" customHeight="1">
      <c r="A2104" s="216"/>
      <c r="B2104" s="73"/>
      <c r="C2104" s="216"/>
      <c r="D2104" s="241"/>
      <c r="E2104" s="241"/>
      <c r="F2104" s="89"/>
      <c r="G2104" s="476"/>
      <c r="H2104" s="73"/>
      <c r="I2104" s="551"/>
      <c r="J2104" s="476"/>
      <c r="K2104" s="69"/>
      <c r="L2104" s="61"/>
      <c r="M2104" s="61"/>
      <c r="N2104" s="73"/>
      <c r="O2104" s="66"/>
      <c r="P2104" s="67"/>
      <c r="Q2104" s="67"/>
      <c r="R2104" s="67"/>
      <c r="S2104" s="67"/>
      <c r="T2104" s="161"/>
      <c r="U2104" s="69"/>
      <c r="V2104" s="73"/>
      <c r="W2104" s="71"/>
      <c r="X2104" s="194"/>
      <c r="Y2104" s="216"/>
      <c r="Z2104" s="73"/>
      <c r="AA2104" s="73"/>
      <c r="AB2104" s="73"/>
      <c r="AC2104" s="73"/>
      <c r="AD2104" s="73"/>
      <c r="AE2104" s="73"/>
      <c r="AF2104" s="73"/>
      <c r="AG2104" s="73"/>
      <c r="AH2104" s="73"/>
      <c r="AI2104" s="73"/>
      <c r="AJ2104" s="161"/>
      <c r="AK2104" s="236"/>
      <c r="AL2104" s="269"/>
      <c r="AM2104" s="161"/>
      <c r="AN2104" s="161"/>
      <c r="AO2104" s="161"/>
      <c r="AP2104" s="161"/>
      <c r="AQ2104" s="161"/>
      <c r="AR2104" s="161"/>
      <c r="AS2104" s="161"/>
      <c r="AT2104" s="161"/>
      <c r="AU2104" s="89"/>
      <c r="AV2104" s="162"/>
      <c r="AW2104" s="73"/>
    </row>
    <row r="2105" ht="15.75" customHeight="1">
      <c r="A2105" s="216"/>
      <c r="B2105" s="73"/>
      <c r="C2105" s="216"/>
      <c r="D2105" s="241"/>
      <c r="E2105" s="241"/>
      <c r="F2105" s="89"/>
      <c r="G2105" s="476"/>
      <c r="H2105" s="73"/>
      <c r="I2105" s="551"/>
      <c r="J2105" s="476"/>
      <c r="K2105" s="69"/>
      <c r="L2105" s="61"/>
      <c r="M2105" s="61"/>
      <c r="N2105" s="73"/>
      <c r="O2105" s="66"/>
      <c r="P2105" s="67"/>
      <c r="Q2105" s="67"/>
      <c r="R2105" s="67"/>
      <c r="S2105" s="67"/>
      <c r="T2105" s="161"/>
      <c r="U2105" s="69"/>
      <c r="V2105" s="73"/>
      <c r="W2105" s="71"/>
      <c r="X2105" s="194"/>
      <c r="Y2105" s="216"/>
      <c r="Z2105" s="73"/>
      <c r="AA2105" s="73"/>
      <c r="AB2105" s="73"/>
      <c r="AC2105" s="73"/>
      <c r="AD2105" s="73"/>
      <c r="AE2105" s="73"/>
      <c r="AF2105" s="73"/>
      <c r="AG2105" s="73"/>
      <c r="AH2105" s="73"/>
      <c r="AI2105" s="73"/>
      <c r="AJ2105" s="161"/>
      <c r="AK2105" s="236"/>
      <c r="AL2105" s="269"/>
      <c r="AM2105" s="161"/>
      <c r="AN2105" s="161"/>
      <c r="AO2105" s="161"/>
      <c r="AP2105" s="161"/>
      <c r="AQ2105" s="161"/>
      <c r="AR2105" s="161"/>
      <c r="AS2105" s="161"/>
      <c r="AT2105" s="161"/>
      <c r="AU2105" s="89"/>
      <c r="AV2105" s="162"/>
      <c r="AW2105" s="73"/>
    </row>
    <row r="2106" ht="15.75" customHeight="1">
      <c r="A2106" s="216"/>
      <c r="B2106" s="73"/>
      <c r="C2106" s="216"/>
      <c r="D2106" s="241"/>
      <c r="E2106" s="241"/>
      <c r="F2106" s="89"/>
      <c r="G2106" s="476"/>
      <c r="H2106" s="73"/>
      <c r="I2106" s="551"/>
      <c r="J2106" s="476"/>
      <c r="K2106" s="69"/>
      <c r="L2106" s="61"/>
      <c r="M2106" s="61"/>
      <c r="N2106" s="73"/>
      <c r="O2106" s="66"/>
      <c r="P2106" s="67"/>
      <c r="Q2106" s="67"/>
      <c r="R2106" s="67"/>
      <c r="S2106" s="67"/>
      <c r="T2106" s="161"/>
      <c r="U2106" s="69"/>
      <c r="V2106" s="73"/>
      <c r="W2106" s="71"/>
      <c r="X2106" s="194"/>
      <c r="Y2106" s="216"/>
      <c r="Z2106" s="73"/>
      <c r="AA2106" s="73"/>
      <c r="AB2106" s="73"/>
      <c r="AC2106" s="73"/>
      <c r="AD2106" s="73"/>
      <c r="AE2106" s="73"/>
      <c r="AF2106" s="73"/>
      <c r="AG2106" s="73"/>
      <c r="AH2106" s="73"/>
      <c r="AI2106" s="73"/>
      <c r="AJ2106" s="161"/>
      <c r="AK2106" s="236"/>
      <c r="AL2106" s="269"/>
      <c r="AM2106" s="161"/>
      <c r="AN2106" s="161"/>
      <c r="AO2106" s="161"/>
      <c r="AP2106" s="161"/>
      <c r="AQ2106" s="161"/>
      <c r="AR2106" s="161"/>
      <c r="AS2106" s="161"/>
      <c r="AT2106" s="161"/>
      <c r="AU2106" s="89"/>
      <c r="AV2106" s="162"/>
      <c r="AW2106" s="73"/>
    </row>
    <row r="2107" ht="15.75" customHeight="1">
      <c r="A2107" s="216"/>
      <c r="B2107" s="73"/>
      <c r="C2107" s="216"/>
      <c r="D2107" s="241"/>
      <c r="E2107" s="241"/>
      <c r="F2107" s="89"/>
      <c r="G2107" s="476"/>
      <c r="H2107" s="73"/>
      <c r="I2107" s="551"/>
      <c r="J2107" s="476"/>
      <c r="K2107" s="69"/>
      <c r="L2107" s="61"/>
      <c r="M2107" s="61"/>
      <c r="N2107" s="73"/>
      <c r="O2107" s="66"/>
      <c r="P2107" s="67"/>
      <c r="Q2107" s="67"/>
      <c r="R2107" s="67"/>
      <c r="S2107" s="67"/>
      <c r="T2107" s="161"/>
      <c r="U2107" s="69"/>
      <c r="V2107" s="73"/>
      <c r="W2107" s="71"/>
      <c r="X2107" s="194"/>
      <c r="Y2107" s="216"/>
      <c r="Z2107" s="73"/>
      <c r="AA2107" s="73"/>
      <c r="AB2107" s="73"/>
      <c r="AC2107" s="73"/>
      <c r="AD2107" s="73"/>
      <c r="AE2107" s="73"/>
      <c r="AF2107" s="73"/>
      <c r="AG2107" s="73"/>
      <c r="AH2107" s="73"/>
      <c r="AI2107" s="73"/>
      <c r="AJ2107" s="161"/>
      <c r="AK2107" s="236"/>
      <c r="AL2107" s="269"/>
      <c r="AM2107" s="161"/>
      <c r="AN2107" s="161"/>
      <c r="AO2107" s="161"/>
      <c r="AP2107" s="161"/>
      <c r="AQ2107" s="161"/>
      <c r="AR2107" s="161"/>
      <c r="AS2107" s="161"/>
      <c r="AT2107" s="161"/>
      <c r="AU2107" s="89"/>
      <c r="AV2107" s="162"/>
      <c r="AW2107" s="73"/>
    </row>
    <row r="2108" ht="15.75" customHeight="1">
      <c r="A2108" s="216"/>
      <c r="B2108" s="73"/>
      <c r="C2108" s="216"/>
      <c r="D2108" s="241"/>
      <c r="E2108" s="241"/>
      <c r="F2108" s="89"/>
      <c r="G2108" s="476"/>
      <c r="H2108" s="73"/>
      <c r="I2108" s="551"/>
      <c r="J2108" s="476"/>
      <c r="K2108" s="69"/>
      <c r="L2108" s="61"/>
      <c r="M2108" s="61"/>
      <c r="N2108" s="73"/>
      <c r="O2108" s="66"/>
      <c r="P2108" s="67"/>
      <c r="Q2108" s="67"/>
      <c r="R2108" s="67"/>
      <c r="S2108" s="67"/>
      <c r="T2108" s="161"/>
      <c r="U2108" s="69"/>
      <c r="V2108" s="73"/>
      <c r="W2108" s="71"/>
      <c r="X2108" s="194"/>
      <c r="Y2108" s="216"/>
      <c r="Z2108" s="73"/>
      <c r="AA2108" s="73"/>
      <c r="AB2108" s="73"/>
      <c r="AC2108" s="73"/>
      <c r="AD2108" s="73"/>
      <c r="AE2108" s="73"/>
      <c r="AF2108" s="73"/>
      <c r="AG2108" s="73"/>
      <c r="AH2108" s="73"/>
      <c r="AI2108" s="73"/>
      <c r="AJ2108" s="161"/>
      <c r="AK2108" s="236"/>
      <c r="AL2108" s="269"/>
      <c r="AM2108" s="161"/>
      <c r="AN2108" s="161"/>
      <c r="AO2108" s="161"/>
      <c r="AP2108" s="161"/>
      <c r="AQ2108" s="161"/>
      <c r="AR2108" s="161"/>
      <c r="AS2108" s="161"/>
      <c r="AT2108" s="161"/>
      <c r="AU2108" s="89"/>
      <c r="AV2108" s="162"/>
      <c r="AW2108" s="73"/>
    </row>
    <row r="2109" ht="15.75" customHeight="1">
      <c r="A2109" s="216"/>
      <c r="B2109" s="73"/>
      <c r="C2109" s="216"/>
      <c r="D2109" s="241"/>
      <c r="E2109" s="241"/>
      <c r="F2109" s="89"/>
      <c r="G2109" s="476"/>
      <c r="H2109" s="73"/>
      <c r="I2109" s="551"/>
      <c r="J2109" s="476"/>
      <c r="K2109" s="69"/>
      <c r="L2109" s="61"/>
      <c r="M2109" s="61"/>
      <c r="N2109" s="73"/>
      <c r="O2109" s="66"/>
      <c r="P2109" s="67"/>
      <c r="Q2109" s="67"/>
      <c r="R2109" s="67"/>
      <c r="S2109" s="67"/>
      <c r="T2109" s="161"/>
      <c r="U2109" s="69"/>
      <c r="V2109" s="73"/>
      <c r="W2109" s="71"/>
      <c r="X2109" s="194"/>
      <c r="Y2109" s="216"/>
      <c r="Z2109" s="73"/>
      <c r="AA2109" s="73"/>
      <c r="AB2109" s="73"/>
      <c r="AC2109" s="73"/>
      <c r="AD2109" s="73"/>
      <c r="AE2109" s="73"/>
      <c r="AF2109" s="73"/>
      <c r="AG2109" s="73"/>
      <c r="AH2109" s="73"/>
      <c r="AI2109" s="73"/>
      <c r="AJ2109" s="161"/>
      <c r="AK2109" s="236"/>
      <c r="AL2109" s="269"/>
      <c r="AM2109" s="161"/>
      <c r="AN2109" s="161"/>
      <c r="AO2109" s="161"/>
      <c r="AP2109" s="161"/>
      <c r="AQ2109" s="161"/>
      <c r="AR2109" s="161"/>
      <c r="AS2109" s="161"/>
      <c r="AT2109" s="161"/>
      <c r="AU2109" s="89"/>
      <c r="AV2109" s="162"/>
      <c r="AW2109" s="73"/>
    </row>
    <row r="2110" ht="15.75" customHeight="1">
      <c r="A2110" s="216"/>
      <c r="B2110" s="73"/>
      <c r="C2110" s="216"/>
      <c r="D2110" s="241"/>
      <c r="E2110" s="241"/>
      <c r="F2110" s="89"/>
      <c r="G2110" s="476"/>
      <c r="H2110" s="73"/>
      <c r="I2110" s="551"/>
      <c r="J2110" s="476"/>
      <c r="K2110" s="69"/>
      <c r="L2110" s="61"/>
      <c r="M2110" s="61"/>
      <c r="N2110" s="73"/>
      <c r="O2110" s="66"/>
      <c r="P2110" s="67"/>
      <c r="Q2110" s="67"/>
      <c r="R2110" s="67"/>
      <c r="S2110" s="67"/>
      <c r="T2110" s="161"/>
      <c r="U2110" s="69"/>
      <c r="V2110" s="73"/>
      <c r="W2110" s="71"/>
      <c r="X2110" s="194"/>
      <c r="Y2110" s="216"/>
      <c r="Z2110" s="73"/>
      <c r="AA2110" s="73"/>
      <c r="AB2110" s="73"/>
      <c r="AC2110" s="73"/>
      <c r="AD2110" s="73"/>
      <c r="AE2110" s="73"/>
      <c r="AF2110" s="73"/>
      <c r="AG2110" s="73"/>
      <c r="AH2110" s="73"/>
      <c r="AI2110" s="73"/>
      <c r="AJ2110" s="161"/>
      <c r="AK2110" s="236"/>
      <c r="AL2110" s="269"/>
      <c r="AM2110" s="161"/>
      <c r="AN2110" s="161"/>
      <c r="AO2110" s="161"/>
      <c r="AP2110" s="161"/>
      <c r="AQ2110" s="161"/>
      <c r="AR2110" s="161"/>
      <c r="AS2110" s="161"/>
      <c r="AT2110" s="161"/>
      <c r="AU2110" s="89"/>
      <c r="AV2110" s="162"/>
      <c r="AW2110" s="73"/>
    </row>
    <row r="2111" ht="15.75" customHeight="1">
      <c r="A2111" s="216"/>
      <c r="B2111" s="73"/>
      <c r="C2111" s="216"/>
      <c r="D2111" s="241"/>
      <c r="E2111" s="241"/>
      <c r="F2111" s="89"/>
      <c r="G2111" s="476"/>
      <c r="H2111" s="73"/>
      <c r="I2111" s="551"/>
      <c r="J2111" s="476"/>
      <c r="K2111" s="69"/>
      <c r="L2111" s="61"/>
      <c r="M2111" s="61"/>
      <c r="N2111" s="73"/>
      <c r="O2111" s="66"/>
      <c r="P2111" s="67"/>
      <c r="Q2111" s="67"/>
      <c r="R2111" s="67"/>
      <c r="S2111" s="67"/>
      <c r="T2111" s="161"/>
      <c r="U2111" s="69"/>
      <c r="V2111" s="73"/>
      <c r="W2111" s="71"/>
      <c r="X2111" s="194"/>
      <c r="Y2111" s="216"/>
      <c r="Z2111" s="73"/>
      <c r="AA2111" s="73"/>
      <c r="AB2111" s="73"/>
      <c r="AC2111" s="73"/>
      <c r="AD2111" s="73"/>
      <c r="AE2111" s="73"/>
      <c r="AF2111" s="73"/>
      <c r="AG2111" s="73"/>
      <c r="AH2111" s="73"/>
      <c r="AI2111" s="73"/>
      <c r="AJ2111" s="161"/>
      <c r="AK2111" s="236"/>
      <c r="AL2111" s="269"/>
      <c r="AM2111" s="161"/>
      <c r="AN2111" s="161"/>
      <c r="AO2111" s="161"/>
      <c r="AP2111" s="161"/>
      <c r="AQ2111" s="161"/>
      <c r="AR2111" s="161"/>
      <c r="AS2111" s="161"/>
      <c r="AT2111" s="161"/>
      <c r="AU2111" s="89"/>
      <c r="AV2111" s="162"/>
      <c r="AW2111" s="73"/>
    </row>
    <row r="2112" ht="15.75" customHeight="1">
      <c r="A2112" s="216"/>
      <c r="B2112" s="73"/>
      <c r="C2112" s="216"/>
      <c r="D2112" s="241"/>
      <c r="E2112" s="241"/>
      <c r="F2112" s="89"/>
      <c r="G2112" s="476"/>
      <c r="H2112" s="73"/>
      <c r="I2112" s="551"/>
      <c r="J2112" s="476"/>
      <c r="K2112" s="69"/>
      <c r="L2112" s="61"/>
      <c r="M2112" s="61"/>
      <c r="N2112" s="73"/>
      <c r="O2112" s="66"/>
      <c r="P2112" s="67"/>
      <c r="Q2112" s="67"/>
      <c r="R2112" s="67"/>
      <c r="S2112" s="67"/>
      <c r="T2112" s="161"/>
      <c r="U2112" s="69"/>
      <c r="V2112" s="73"/>
      <c r="W2112" s="71"/>
      <c r="X2112" s="194"/>
      <c r="Y2112" s="216"/>
      <c r="Z2112" s="73"/>
      <c r="AA2112" s="73"/>
      <c r="AB2112" s="73"/>
      <c r="AC2112" s="73"/>
      <c r="AD2112" s="73"/>
      <c r="AE2112" s="73"/>
      <c r="AF2112" s="73"/>
      <c r="AG2112" s="73"/>
      <c r="AH2112" s="73"/>
      <c r="AI2112" s="73"/>
      <c r="AJ2112" s="161"/>
      <c r="AK2112" s="236"/>
      <c r="AL2112" s="269"/>
      <c r="AM2112" s="161"/>
      <c r="AN2112" s="161"/>
      <c r="AO2112" s="161"/>
      <c r="AP2112" s="161"/>
      <c r="AQ2112" s="161"/>
      <c r="AR2112" s="161"/>
      <c r="AS2112" s="161"/>
      <c r="AT2112" s="161"/>
      <c r="AU2112" s="89"/>
      <c r="AV2112" s="162"/>
      <c r="AW2112" s="73"/>
    </row>
    <row r="2113" ht="15.75" customHeight="1">
      <c r="A2113" s="216"/>
      <c r="B2113" s="73"/>
      <c r="C2113" s="216"/>
      <c r="D2113" s="241"/>
      <c r="E2113" s="241"/>
      <c r="F2113" s="89"/>
      <c r="G2113" s="476"/>
      <c r="H2113" s="73"/>
      <c r="I2113" s="551"/>
      <c r="J2113" s="476"/>
      <c r="K2113" s="69"/>
      <c r="L2113" s="61"/>
      <c r="M2113" s="61"/>
      <c r="N2113" s="73"/>
      <c r="O2113" s="66"/>
      <c r="P2113" s="67"/>
      <c r="Q2113" s="67"/>
      <c r="R2113" s="67"/>
      <c r="S2113" s="67"/>
      <c r="T2113" s="161"/>
      <c r="U2113" s="69"/>
      <c r="V2113" s="73"/>
      <c r="W2113" s="71"/>
      <c r="X2113" s="194"/>
      <c r="Y2113" s="216"/>
      <c r="Z2113" s="73"/>
      <c r="AA2113" s="73"/>
      <c r="AB2113" s="73"/>
      <c r="AC2113" s="73"/>
      <c r="AD2113" s="73"/>
      <c r="AE2113" s="73"/>
      <c r="AF2113" s="73"/>
      <c r="AG2113" s="73"/>
      <c r="AH2113" s="73"/>
      <c r="AI2113" s="73"/>
      <c r="AJ2113" s="161"/>
      <c r="AK2113" s="236"/>
      <c r="AL2113" s="269"/>
      <c r="AM2113" s="161"/>
      <c r="AN2113" s="161"/>
      <c r="AO2113" s="161"/>
      <c r="AP2113" s="161"/>
      <c r="AQ2113" s="161"/>
      <c r="AR2113" s="161"/>
      <c r="AS2113" s="161"/>
      <c r="AT2113" s="161"/>
      <c r="AU2113" s="89"/>
      <c r="AV2113" s="162"/>
      <c r="AW2113" s="73"/>
    </row>
    <row r="2114" ht="15.75" customHeight="1">
      <c r="A2114" s="216"/>
      <c r="B2114" s="73"/>
      <c r="C2114" s="216"/>
      <c r="D2114" s="241"/>
      <c r="E2114" s="241"/>
      <c r="F2114" s="89"/>
      <c r="G2114" s="476"/>
      <c r="H2114" s="73"/>
      <c r="I2114" s="551"/>
      <c r="J2114" s="476"/>
      <c r="K2114" s="69"/>
      <c r="L2114" s="61"/>
      <c r="M2114" s="61"/>
      <c r="N2114" s="73"/>
      <c r="O2114" s="66"/>
      <c r="P2114" s="67"/>
      <c r="Q2114" s="67"/>
      <c r="R2114" s="67"/>
      <c r="S2114" s="67"/>
      <c r="T2114" s="161"/>
      <c r="U2114" s="69"/>
      <c r="V2114" s="73"/>
      <c r="W2114" s="71"/>
      <c r="X2114" s="194"/>
      <c r="Y2114" s="216"/>
      <c r="Z2114" s="73"/>
      <c r="AA2114" s="73"/>
      <c r="AB2114" s="73"/>
      <c r="AC2114" s="73"/>
      <c r="AD2114" s="73"/>
      <c r="AE2114" s="73"/>
      <c r="AF2114" s="73"/>
      <c r="AG2114" s="73"/>
      <c r="AH2114" s="73"/>
      <c r="AI2114" s="73"/>
      <c r="AJ2114" s="161"/>
      <c r="AK2114" s="236"/>
      <c r="AL2114" s="269"/>
      <c r="AM2114" s="161"/>
      <c r="AN2114" s="161"/>
      <c r="AO2114" s="161"/>
      <c r="AP2114" s="161"/>
      <c r="AQ2114" s="161"/>
      <c r="AR2114" s="161"/>
      <c r="AS2114" s="161"/>
      <c r="AT2114" s="161"/>
      <c r="AU2114" s="89"/>
      <c r="AV2114" s="162"/>
      <c r="AW2114" s="73"/>
    </row>
    <row r="2115" ht="15.75" customHeight="1">
      <c r="A2115" s="216"/>
      <c r="B2115" s="73"/>
      <c r="C2115" s="216"/>
      <c r="D2115" s="241"/>
      <c r="E2115" s="241"/>
      <c r="F2115" s="89"/>
      <c r="G2115" s="476"/>
      <c r="H2115" s="73"/>
      <c r="I2115" s="551"/>
      <c r="J2115" s="476"/>
      <c r="K2115" s="69"/>
      <c r="L2115" s="61"/>
      <c r="M2115" s="61"/>
      <c r="N2115" s="73"/>
      <c r="O2115" s="66"/>
      <c r="P2115" s="67"/>
      <c r="Q2115" s="67"/>
      <c r="R2115" s="67"/>
      <c r="S2115" s="67"/>
      <c r="T2115" s="161"/>
      <c r="U2115" s="69"/>
      <c r="V2115" s="73"/>
      <c r="W2115" s="71"/>
      <c r="X2115" s="194"/>
      <c r="Y2115" s="216"/>
      <c r="Z2115" s="73"/>
      <c r="AA2115" s="73"/>
      <c r="AB2115" s="73"/>
      <c r="AC2115" s="73"/>
      <c r="AD2115" s="73"/>
      <c r="AE2115" s="73"/>
      <c r="AF2115" s="73"/>
      <c r="AG2115" s="73"/>
      <c r="AH2115" s="73"/>
      <c r="AI2115" s="73"/>
      <c r="AJ2115" s="161"/>
      <c r="AK2115" s="236"/>
      <c r="AL2115" s="269"/>
      <c r="AM2115" s="161"/>
      <c r="AN2115" s="161"/>
      <c r="AO2115" s="161"/>
      <c r="AP2115" s="161"/>
      <c r="AQ2115" s="161"/>
      <c r="AR2115" s="161"/>
      <c r="AS2115" s="161"/>
      <c r="AT2115" s="161"/>
      <c r="AU2115" s="89"/>
      <c r="AV2115" s="162"/>
      <c r="AW2115" s="73"/>
    </row>
    <row r="2116" ht="15.75" customHeight="1">
      <c r="A2116" s="216"/>
      <c r="B2116" s="73"/>
      <c r="C2116" s="216"/>
      <c r="D2116" s="241"/>
      <c r="E2116" s="241"/>
      <c r="F2116" s="89"/>
      <c r="G2116" s="476"/>
      <c r="H2116" s="73"/>
      <c r="I2116" s="551"/>
      <c r="J2116" s="476"/>
      <c r="K2116" s="69"/>
      <c r="L2116" s="61"/>
      <c r="M2116" s="61"/>
      <c r="N2116" s="73"/>
      <c r="O2116" s="66"/>
      <c r="P2116" s="67"/>
      <c r="Q2116" s="67"/>
      <c r="R2116" s="67"/>
      <c r="S2116" s="67"/>
      <c r="T2116" s="161"/>
      <c r="U2116" s="69"/>
      <c r="V2116" s="73"/>
      <c r="W2116" s="71"/>
      <c r="X2116" s="194"/>
      <c r="Y2116" s="216"/>
      <c r="Z2116" s="73"/>
      <c r="AA2116" s="73"/>
      <c r="AB2116" s="73"/>
      <c r="AC2116" s="73"/>
      <c r="AD2116" s="73"/>
      <c r="AE2116" s="73"/>
      <c r="AF2116" s="73"/>
      <c r="AG2116" s="73"/>
      <c r="AH2116" s="73"/>
      <c r="AI2116" s="73"/>
      <c r="AJ2116" s="161"/>
      <c r="AK2116" s="236"/>
      <c r="AL2116" s="269"/>
      <c r="AM2116" s="161"/>
      <c r="AN2116" s="161"/>
      <c r="AO2116" s="161"/>
      <c r="AP2116" s="161"/>
      <c r="AQ2116" s="161"/>
      <c r="AR2116" s="161"/>
      <c r="AS2116" s="161"/>
      <c r="AT2116" s="161"/>
      <c r="AU2116" s="89"/>
      <c r="AV2116" s="162"/>
      <c r="AW2116" s="73"/>
    </row>
    <row r="2117" ht="15.75" customHeight="1">
      <c r="A2117" s="216"/>
      <c r="B2117" s="73"/>
      <c r="C2117" s="216"/>
      <c r="D2117" s="241"/>
      <c r="E2117" s="241"/>
      <c r="F2117" s="89"/>
      <c r="G2117" s="476"/>
      <c r="H2117" s="73"/>
      <c r="I2117" s="551"/>
      <c r="J2117" s="476"/>
      <c r="K2117" s="69"/>
      <c r="L2117" s="61"/>
      <c r="M2117" s="61"/>
      <c r="N2117" s="73"/>
      <c r="O2117" s="66"/>
      <c r="P2117" s="67"/>
      <c r="Q2117" s="67"/>
      <c r="R2117" s="67"/>
      <c r="S2117" s="67"/>
      <c r="T2117" s="161"/>
      <c r="U2117" s="69"/>
      <c r="V2117" s="73"/>
      <c r="W2117" s="71"/>
      <c r="X2117" s="194"/>
      <c r="Y2117" s="216"/>
      <c r="Z2117" s="73"/>
      <c r="AA2117" s="73"/>
      <c r="AB2117" s="73"/>
      <c r="AC2117" s="73"/>
      <c r="AD2117" s="73"/>
      <c r="AE2117" s="73"/>
      <c r="AF2117" s="73"/>
      <c r="AG2117" s="73"/>
      <c r="AH2117" s="73"/>
      <c r="AI2117" s="73"/>
      <c r="AJ2117" s="161"/>
      <c r="AK2117" s="236"/>
      <c r="AL2117" s="269"/>
      <c r="AM2117" s="161"/>
      <c r="AN2117" s="161"/>
      <c r="AO2117" s="161"/>
      <c r="AP2117" s="161"/>
      <c r="AQ2117" s="161"/>
      <c r="AR2117" s="161"/>
      <c r="AS2117" s="161"/>
      <c r="AT2117" s="161"/>
      <c r="AU2117" s="89"/>
      <c r="AV2117" s="162"/>
      <c r="AW2117" s="73"/>
    </row>
    <row r="2118" ht="15.75" customHeight="1">
      <c r="A2118" s="216"/>
      <c r="B2118" s="73"/>
      <c r="C2118" s="216"/>
      <c r="D2118" s="241"/>
      <c r="E2118" s="241"/>
      <c r="F2118" s="89"/>
      <c r="G2118" s="476"/>
      <c r="H2118" s="73"/>
      <c r="I2118" s="551"/>
      <c r="J2118" s="476"/>
      <c r="K2118" s="69"/>
      <c r="L2118" s="61"/>
      <c r="M2118" s="61"/>
      <c r="N2118" s="73"/>
      <c r="O2118" s="66"/>
      <c r="P2118" s="67"/>
      <c r="Q2118" s="67"/>
      <c r="R2118" s="67"/>
      <c r="S2118" s="67"/>
      <c r="T2118" s="161"/>
      <c r="U2118" s="69"/>
      <c r="V2118" s="73"/>
      <c r="W2118" s="71"/>
      <c r="X2118" s="194"/>
      <c r="Y2118" s="216"/>
      <c r="Z2118" s="73"/>
      <c r="AA2118" s="73"/>
      <c r="AB2118" s="73"/>
      <c r="AC2118" s="73"/>
      <c r="AD2118" s="73"/>
      <c r="AE2118" s="73"/>
      <c r="AF2118" s="73"/>
      <c r="AG2118" s="73"/>
      <c r="AH2118" s="73"/>
      <c r="AI2118" s="73"/>
      <c r="AJ2118" s="161"/>
      <c r="AK2118" s="236"/>
      <c r="AL2118" s="269"/>
      <c r="AM2118" s="161"/>
      <c r="AN2118" s="161"/>
      <c r="AO2118" s="161"/>
      <c r="AP2118" s="161"/>
      <c r="AQ2118" s="161"/>
      <c r="AR2118" s="161"/>
      <c r="AS2118" s="161"/>
      <c r="AT2118" s="161"/>
      <c r="AU2118" s="89"/>
      <c r="AV2118" s="162"/>
      <c r="AW2118" s="73"/>
    </row>
    <row r="2119" ht="15.75" customHeight="1">
      <c r="A2119" s="216"/>
      <c r="B2119" s="73"/>
      <c r="C2119" s="216"/>
      <c r="D2119" s="241"/>
      <c r="E2119" s="241"/>
      <c r="F2119" s="89"/>
      <c r="G2119" s="476"/>
      <c r="H2119" s="73"/>
      <c r="I2119" s="551"/>
      <c r="J2119" s="476"/>
      <c r="K2119" s="69"/>
      <c r="L2119" s="61"/>
      <c r="M2119" s="61"/>
      <c r="N2119" s="73"/>
      <c r="O2119" s="66"/>
      <c r="P2119" s="67"/>
      <c r="Q2119" s="67"/>
      <c r="R2119" s="67"/>
      <c r="S2119" s="67"/>
      <c r="T2119" s="161"/>
      <c r="U2119" s="69"/>
      <c r="V2119" s="73"/>
      <c r="W2119" s="71"/>
      <c r="X2119" s="194"/>
      <c r="Y2119" s="216"/>
      <c r="Z2119" s="73"/>
      <c r="AA2119" s="73"/>
      <c r="AB2119" s="73"/>
      <c r="AC2119" s="73"/>
      <c r="AD2119" s="73"/>
      <c r="AE2119" s="73"/>
      <c r="AF2119" s="73"/>
      <c r="AG2119" s="73"/>
      <c r="AH2119" s="73"/>
      <c r="AI2119" s="73"/>
      <c r="AJ2119" s="161"/>
      <c r="AK2119" s="236"/>
      <c r="AL2119" s="269"/>
      <c r="AM2119" s="161"/>
      <c r="AN2119" s="161"/>
      <c r="AO2119" s="161"/>
      <c r="AP2119" s="161"/>
      <c r="AQ2119" s="161"/>
      <c r="AR2119" s="161"/>
      <c r="AS2119" s="161"/>
      <c r="AT2119" s="161"/>
      <c r="AU2119" s="89"/>
      <c r="AV2119" s="162"/>
      <c r="AW2119" s="73"/>
    </row>
    <row r="2120" ht="15.75" customHeight="1">
      <c r="A2120" s="216"/>
      <c r="B2120" s="73"/>
      <c r="C2120" s="216"/>
      <c r="D2120" s="241"/>
      <c r="E2120" s="241"/>
      <c r="F2120" s="89"/>
      <c r="G2120" s="476"/>
      <c r="H2120" s="73"/>
      <c r="I2120" s="551"/>
      <c r="J2120" s="476"/>
      <c r="K2120" s="69"/>
      <c r="L2120" s="61"/>
      <c r="M2120" s="61"/>
      <c r="N2120" s="73"/>
      <c r="O2120" s="66"/>
      <c r="P2120" s="67"/>
      <c r="Q2120" s="67"/>
      <c r="R2120" s="67"/>
      <c r="S2120" s="67"/>
      <c r="T2120" s="161"/>
      <c r="U2120" s="69"/>
      <c r="V2120" s="73"/>
      <c r="W2120" s="71"/>
      <c r="X2120" s="194"/>
      <c r="Y2120" s="216"/>
      <c r="Z2120" s="73"/>
      <c r="AA2120" s="73"/>
      <c r="AB2120" s="73"/>
      <c r="AC2120" s="73"/>
      <c r="AD2120" s="73"/>
      <c r="AE2120" s="73"/>
      <c r="AF2120" s="73"/>
      <c r="AG2120" s="73"/>
      <c r="AH2120" s="73"/>
      <c r="AI2120" s="73"/>
      <c r="AJ2120" s="161"/>
      <c r="AK2120" s="236"/>
      <c r="AL2120" s="269"/>
      <c r="AM2120" s="161"/>
      <c r="AN2120" s="161"/>
      <c r="AO2120" s="161"/>
      <c r="AP2120" s="161"/>
      <c r="AQ2120" s="161"/>
      <c r="AR2120" s="161"/>
      <c r="AS2120" s="161"/>
      <c r="AT2120" s="161"/>
      <c r="AU2120" s="89"/>
      <c r="AV2120" s="162"/>
      <c r="AW2120" s="73"/>
    </row>
    <row r="2121" ht="15.75" customHeight="1">
      <c r="A2121" s="216"/>
      <c r="B2121" s="73"/>
      <c r="C2121" s="216"/>
      <c r="D2121" s="241"/>
      <c r="E2121" s="241"/>
      <c r="F2121" s="89"/>
      <c r="G2121" s="476"/>
      <c r="H2121" s="73"/>
      <c r="I2121" s="551"/>
      <c r="J2121" s="476"/>
      <c r="K2121" s="69"/>
      <c r="L2121" s="61"/>
      <c r="M2121" s="61"/>
      <c r="N2121" s="73"/>
      <c r="O2121" s="66"/>
      <c r="P2121" s="67"/>
      <c r="Q2121" s="67"/>
      <c r="R2121" s="67"/>
      <c r="S2121" s="67"/>
      <c r="T2121" s="161"/>
      <c r="U2121" s="69"/>
      <c r="V2121" s="73"/>
      <c r="W2121" s="71"/>
      <c r="X2121" s="194"/>
      <c r="Y2121" s="216"/>
      <c r="Z2121" s="73"/>
      <c r="AA2121" s="73"/>
      <c r="AB2121" s="73"/>
      <c r="AC2121" s="73"/>
      <c r="AD2121" s="73"/>
      <c r="AE2121" s="73"/>
      <c r="AF2121" s="73"/>
      <c r="AG2121" s="73"/>
      <c r="AH2121" s="73"/>
      <c r="AI2121" s="73"/>
      <c r="AJ2121" s="161"/>
      <c r="AK2121" s="236"/>
      <c r="AL2121" s="269"/>
      <c r="AM2121" s="161"/>
      <c r="AN2121" s="161"/>
      <c r="AO2121" s="161"/>
      <c r="AP2121" s="161"/>
      <c r="AQ2121" s="161"/>
      <c r="AR2121" s="161"/>
      <c r="AS2121" s="161"/>
      <c r="AT2121" s="161"/>
      <c r="AU2121" s="89"/>
      <c r="AV2121" s="162"/>
      <c r="AW2121" s="73"/>
    </row>
    <row r="2122" ht="15.75" customHeight="1">
      <c r="A2122" s="216"/>
      <c r="B2122" s="73"/>
      <c r="C2122" s="216"/>
      <c r="D2122" s="241"/>
      <c r="E2122" s="241"/>
      <c r="F2122" s="89"/>
      <c r="G2122" s="476"/>
      <c r="H2122" s="73"/>
      <c r="I2122" s="551"/>
      <c r="J2122" s="476"/>
      <c r="K2122" s="69"/>
      <c r="L2122" s="61"/>
      <c r="M2122" s="61"/>
      <c r="N2122" s="73"/>
      <c r="O2122" s="66"/>
      <c r="P2122" s="67"/>
      <c r="Q2122" s="67"/>
      <c r="R2122" s="67"/>
      <c r="S2122" s="67"/>
      <c r="T2122" s="161"/>
      <c r="U2122" s="69"/>
      <c r="V2122" s="73"/>
      <c r="W2122" s="71"/>
      <c r="X2122" s="194"/>
      <c r="Y2122" s="216"/>
      <c r="Z2122" s="73"/>
      <c r="AA2122" s="73"/>
      <c r="AB2122" s="73"/>
      <c r="AC2122" s="73"/>
      <c r="AD2122" s="73"/>
      <c r="AE2122" s="73"/>
      <c r="AF2122" s="73"/>
      <c r="AG2122" s="73"/>
      <c r="AH2122" s="73"/>
      <c r="AI2122" s="73"/>
      <c r="AJ2122" s="161"/>
      <c r="AK2122" s="236"/>
      <c r="AL2122" s="269"/>
      <c r="AM2122" s="161"/>
      <c r="AN2122" s="161"/>
      <c r="AO2122" s="161"/>
      <c r="AP2122" s="161"/>
      <c r="AQ2122" s="161"/>
      <c r="AR2122" s="161"/>
      <c r="AS2122" s="161"/>
      <c r="AT2122" s="161"/>
      <c r="AU2122" s="89"/>
      <c r="AV2122" s="162"/>
      <c r="AW2122" s="73"/>
    </row>
    <row r="2123" ht="15.75" customHeight="1">
      <c r="A2123" s="216"/>
      <c r="B2123" s="73"/>
      <c r="C2123" s="216"/>
      <c r="D2123" s="241"/>
      <c r="E2123" s="241"/>
      <c r="F2123" s="89"/>
      <c r="G2123" s="476"/>
      <c r="H2123" s="73"/>
      <c r="I2123" s="551"/>
      <c r="J2123" s="476"/>
      <c r="K2123" s="69"/>
      <c r="L2123" s="61"/>
      <c r="M2123" s="61"/>
      <c r="N2123" s="73"/>
      <c r="O2123" s="66"/>
      <c r="P2123" s="67"/>
      <c r="Q2123" s="67"/>
      <c r="R2123" s="67"/>
      <c r="S2123" s="67"/>
      <c r="T2123" s="161"/>
      <c r="U2123" s="69"/>
      <c r="V2123" s="73"/>
      <c r="W2123" s="71"/>
      <c r="X2123" s="194"/>
      <c r="Y2123" s="216"/>
      <c r="Z2123" s="73"/>
      <c r="AA2123" s="73"/>
      <c r="AB2123" s="73"/>
      <c r="AC2123" s="73"/>
      <c r="AD2123" s="73"/>
      <c r="AE2123" s="73"/>
      <c r="AF2123" s="73"/>
      <c r="AG2123" s="73"/>
      <c r="AH2123" s="73"/>
      <c r="AI2123" s="73"/>
      <c r="AJ2123" s="161"/>
      <c r="AK2123" s="236"/>
      <c r="AL2123" s="269"/>
      <c r="AM2123" s="161"/>
      <c r="AN2123" s="161"/>
      <c r="AO2123" s="161"/>
      <c r="AP2123" s="161"/>
      <c r="AQ2123" s="161"/>
      <c r="AR2123" s="161"/>
      <c r="AS2123" s="161"/>
      <c r="AT2123" s="161"/>
      <c r="AU2123" s="89"/>
      <c r="AV2123" s="162"/>
      <c r="AW2123" s="73"/>
    </row>
    <row r="2124" ht="15.75" customHeight="1">
      <c r="A2124" s="216"/>
      <c r="B2124" s="73"/>
      <c r="C2124" s="216"/>
      <c r="D2124" s="241"/>
      <c r="E2124" s="241"/>
      <c r="F2124" s="89"/>
      <c r="G2124" s="476"/>
      <c r="H2124" s="73"/>
      <c r="I2124" s="551"/>
      <c r="J2124" s="476"/>
      <c r="K2124" s="69"/>
      <c r="L2124" s="61"/>
      <c r="M2124" s="61"/>
      <c r="N2124" s="73"/>
      <c r="O2124" s="66"/>
      <c r="P2124" s="67"/>
      <c r="Q2124" s="67"/>
      <c r="R2124" s="67"/>
      <c r="S2124" s="67"/>
      <c r="T2124" s="161"/>
      <c r="U2124" s="69"/>
      <c r="V2124" s="73"/>
      <c r="W2124" s="71"/>
      <c r="X2124" s="194"/>
      <c r="Y2124" s="216"/>
      <c r="Z2124" s="73"/>
      <c r="AA2124" s="73"/>
      <c r="AB2124" s="73"/>
      <c r="AC2124" s="73"/>
      <c r="AD2124" s="73"/>
      <c r="AE2124" s="73"/>
      <c r="AF2124" s="73"/>
      <c r="AG2124" s="73"/>
      <c r="AH2124" s="73"/>
      <c r="AI2124" s="73"/>
      <c r="AJ2124" s="161"/>
      <c r="AK2124" s="236"/>
      <c r="AL2124" s="269"/>
      <c r="AM2124" s="161"/>
      <c r="AN2124" s="161"/>
      <c r="AO2124" s="161"/>
      <c r="AP2124" s="161"/>
      <c r="AQ2124" s="161"/>
      <c r="AR2124" s="161"/>
      <c r="AS2124" s="161"/>
      <c r="AT2124" s="161"/>
      <c r="AU2124" s="89"/>
      <c r="AV2124" s="162"/>
      <c r="AW2124" s="73"/>
    </row>
    <row r="2125" ht="15.75" customHeight="1">
      <c r="A2125" s="216"/>
      <c r="B2125" s="73"/>
      <c r="C2125" s="216"/>
      <c r="D2125" s="241"/>
      <c r="E2125" s="241"/>
      <c r="F2125" s="89"/>
      <c r="G2125" s="476"/>
      <c r="H2125" s="73"/>
      <c r="I2125" s="551"/>
      <c r="J2125" s="476"/>
      <c r="K2125" s="69"/>
      <c r="L2125" s="61"/>
      <c r="M2125" s="61"/>
      <c r="N2125" s="73"/>
      <c r="O2125" s="66"/>
      <c r="P2125" s="67"/>
      <c r="Q2125" s="67"/>
      <c r="R2125" s="67"/>
      <c r="S2125" s="67"/>
      <c r="T2125" s="161"/>
      <c r="U2125" s="69"/>
      <c r="V2125" s="73"/>
      <c r="W2125" s="71"/>
      <c r="X2125" s="194"/>
      <c r="Y2125" s="216"/>
      <c r="Z2125" s="73"/>
      <c r="AA2125" s="73"/>
      <c r="AB2125" s="73"/>
      <c r="AC2125" s="73"/>
      <c r="AD2125" s="73"/>
      <c r="AE2125" s="73"/>
      <c r="AF2125" s="73"/>
      <c r="AG2125" s="73"/>
      <c r="AH2125" s="73"/>
      <c r="AI2125" s="73"/>
      <c r="AJ2125" s="161"/>
      <c r="AK2125" s="236"/>
      <c r="AL2125" s="269"/>
      <c r="AM2125" s="161"/>
      <c r="AN2125" s="161"/>
      <c r="AO2125" s="161"/>
      <c r="AP2125" s="161"/>
      <c r="AQ2125" s="161"/>
      <c r="AR2125" s="161"/>
      <c r="AS2125" s="161"/>
      <c r="AT2125" s="161"/>
      <c r="AU2125" s="89"/>
      <c r="AV2125" s="162"/>
      <c r="AW2125" s="73"/>
    </row>
    <row r="2126" ht="15.75" customHeight="1">
      <c r="A2126" s="216"/>
      <c r="B2126" s="73"/>
      <c r="C2126" s="216"/>
      <c r="D2126" s="241"/>
      <c r="E2126" s="241"/>
      <c r="F2126" s="89"/>
      <c r="G2126" s="476"/>
      <c r="H2126" s="73"/>
      <c r="I2126" s="551"/>
      <c r="J2126" s="476"/>
      <c r="K2126" s="69"/>
      <c r="L2126" s="61"/>
      <c r="M2126" s="61"/>
      <c r="N2126" s="73"/>
      <c r="O2126" s="66"/>
      <c r="P2126" s="67"/>
      <c r="Q2126" s="67"/>
      <c r="R2126" s="67"/>
      <c r="S2126" s="67"/>
      <c r="T2126" s="161"/>
      <c r="U2126" s="69"/>
      <c r="V2126" s="73"/>
      <c r="W2126" s="71"/>
      <c r="X2126" s="194"/>
      <c r="Y2126" s="216"/>
      <c r="Z2126" s="73"/>
      <c r="AA2126" s="73"/>
      <c r="AB2126" s="73"/>
      <c r="AC2126" s="73"/>
      <c r="AD2126" s="73"/>
      <c r="AE2126" s="73"/>
      <c r="AF2126" s="73"/>
      <c r="AG2126" s="73"/>
      <c r="AH2126" s="73"/>
      <c r="AI2126" s="73"/>
      <c r="AJ2126" s="161"/>
      <c r="AK2126" s="236"/>
      <c r="AL2126" s="269"/>
      <c r="AM2126" s="161"/>
      <c r="AN2126" s="161"/>
      <c r="AO2126" s="161"/>
      <c r="AP2126" s="161"/>
      <c r="AQ2126" s="161"/>
      <c r="AR2126" s="161"/>
      <c r="AS2126" s="161"/>
      <c r="AT2126" s="161"/>
      <c r="AU2126" s="89"/>
      <c r="AV2126" s="162"/>
      <c r="AW2126" s="73"/>
    </row>
    <row r="2127" ht="15.75" customHeight="1">
      <c r="A2127" s="216"/>
      <c r="B2127" s="73"/>
      <c r="C2127" s="216"/>
      <c r="D2127" s="241"/>
      <c r="E2127" s="241"/>
      <c r="F2127" s="89"/>
      <c r="G2127" s="476"/>
      <c r="H2127" s="73"/>
      <c r="I2127" s="551"/>
      <c r="J2127" s="476"/>
      <c r="K2127" s="69"/>
      <c r="L2127" s="61"/>
      <c r="M2127" s="61"/>
      <c r="N2127" s="73"/>
      <c r="O2127" s="66"/>
      <c r="P2127" s="67"/>
      <c r="Q2127" s="67"/>
      <c r="R2127" s="67"/>
      <c r="S2127" s="67"/>
      <c r="T2127" s="161"/>
      <c r="U2127" s="69"/>
      <c r="V2127" s="73"/>
      <c r="W2127" s="71"/>
      <c r="X2127" s="194"/>
      <c r="Y2127" s="216"/>
      <c r="Z2127" s="73"/>
      <c r="AA2127" s="73"/>
      <c r="AB2127" s="73"/>
      <c r="AC2127" s="73"/>
      <c r="AD2127" s="73"/>
      <c r="AE2127" s="73"/>
      <c r="AF2127" s="73"/>
      <c r="AG2127" s="73"/>
      <c r="AH2127" s="73"/>
      <c r="AI2127" s="73"/>
      <c r="AJ2127" s="161"/>
      <c r="AK2127" s="236"/>
      <c r="AL2127" s="269"/>
      <c r="AM2127" s="161"/>
      <c r="AN2127" s="161"/>
      <c r="AO2127" s="161"/>
      <c r="AP2127" s="161"/>
      <c r="AQ2127" s="161"/>
      <c r="AR2127" s="161"/>
      <c r="AS2127" s="161"/>
      <c r="AT2127" s="161"/>
      <c r="AU2127" s="89"/>
      <c r="AV2127" s="162"/>
      <c r="AW2127" s="73"/>
    </row>
    <row r="2128" ht="15.75" customHeight="1">
      <c r="A2128" s="216"/>
      <c r="B2128" s="73"/>
      <c r="C2128" s="216"/>
      <c r="D2128" s="241"/>
      <c r="E2128" s="241"/>
      <c r="F2128" s="89"/>
      <c r="G2128" s="476"/>
      <c r="H2128" s="73"/>
      <c r="I2128" s="551"/>
      <c r="J2128" s="476"/>
      <c r="K2128" s="69"/>
      <c r="L2128" s="61"/>
      <c r="M2128" s="61"/>
      <c r="N2128" s="73"/>
      <c r="O2128" s="66"/>
      <c r="P2128" s="67"/>
      <c r="Q2128" s="67"/>
      <c r="R2128" s="67"/>
      <c r="S2128" s="67"/>
      <c r="T2128" s="161"/>
      <c r="U2128" s="69"/>
      <c r="V2128" s="73"/>
      <c r="W2128" s="71"/>
      <c r="X2128" s="194"/>
      <c r="Y2128" s="216"/>
      <c r="Z2128" s="73"/>
      <c r="AA2128" s="73"/>
      <c r="AB2128" s="73"/>
      <c r="AC2128" s="73"/>
      <c r="AD2128" s="73"/>
      <c r="AE2128" s="73"/>
      <c r="AF2128" s="73"/>
      <c r="AG2128" s="73"/>
      <c r="AH2128" s="73"/>
      <c r="AI2128" s="73"/>
      <c r="AJ2128" s="161"/>
      <c r="AK2128" s="236"/>
      <c r="AL2128" s="269"/>
      <c r="AM2128" s="161"/>
      <c r="AN2128" s="161"/>
      <c r="AO2128" s="161"/>
      <c r="AP2128" s="161"/>
      <c r="AQ2128" s="161"/>
      <c r="AR2128" s="161"/>
      <c r="AS2128" s="161"/>
      <c r="AT2128" s="161"/>
      <c r="AU2128" s="89"/>
      <c r="AV2128" s="162"/>
      <c r="AW2128" s="73"/>
    </row>
    <row r="2129" ht="15.75" customHeight="1">
      <c r="A2129" s="216"/>
      <c r="B2129" s="73"/>
      <c r="C2129" s="216"/>
      <c r="D2129" s="241"/>
      <c r="E2129" s="241"/>
      <c r="F2129" s="89"/>
      <c r="G2129" s="476"/>
      <c r="H2129" s="73"/>
      <c r="I2129" s="551"/>
      <c r="J2129" s="476"/>
      <c r="K2129" s="69"/>
      <c r="L2129" s="61"/>
      <c r="M2129" s="61"/>
      <c r="N2129" s="73"/>
      <c r="O2129" s="66"/>
      <c r="P2129" s="67"/>
      <c r="Q2129" s="67"/>
      <c r="R2129" s="67"/>
      <c r="S2129" s="67"/>
      <c r="T2129" s="161"/>
      <c r="U2129" s="69"/>
      <c r="V2129" s="73"/>
      <c r="W2129" s="71"/>
      <c r="X2129" s="194"/>
      <c r="Y2129" s="216"/>
      <c r="Z2129" s="73"/>
      <c r="AA2129" s="73"/>
      <c r="AB2129" s="73"/>
      <c r="AC2129" s="73"/>
      <c r="AD2129" s="73"/>
      <c r="AE2129" s="73"/>
      <c r="AF2129" s="73"/>
      <c r="AG2129" s="73"/>
      <c r="AH2129" s="73"/>
      <c r="AI2129" s="73"/>
      <c r="AJ2129" s="161"/>
      <c r="AK2129" s="236"/>
      <c r="AL2129" s="269"/>
      <c r="AM2129" s="161"/>
      <c r="AN2129" s="161"/>
      <c r="AO2129" s="161"/>
      <c r="AP2129" s="161"/>
      <c r="AQ2129" s="161"/>
      <c r="AR2129" s="161"/>
      <c r="AS2129" s="161"/>
      <c r="AT2129" s="161"/>
      <c r="AU2129" s="89"/>
      <c r="AV2129" s="162"/>
      <c r="AW2129" s="73"/>
    </row>
    <row r="2130" ht="15.75" customHeight="1">
      <c r="A2130" s="216"/>
      <c r="B2130" s="73"/>
      <c r="C2130" s="216"/>
      <c r="D2130" s="241"/>
      <c r="E2130" s="241"/>
      <c r="F2130" s="89"/>
      <c r="G2130" s="476"/>
      <c r="H2130" s="73"/>
      <c r="I2130" s="551"/>
      <c r="J2130" s="476"/>
      <c r="K2130" s="69"/>
      <c r="L2130" s="61"/>
      <c r="M2130" s="61"/>
      <c r="N2130" s="73"/>
      <c r="O2130" s="66"/>
      <c r="P2130" s="67"/>
      <c r="Q2130" s="67"/>
      <c r="R2130" s="67"/>
      <c r="S2130" s="67"/>
      <c r="T2130" s="161"/>
      <c r="U2130" s="69"/>
      <c r="V2130" s="73"/>
      <c r="W2130" s="71"/>
      <c r="X2130" s="194"/>
      <c r="Y2130" s="216"/>
      <c r="Z2130" s="73"/>
      <c r="AA2130" s="73"/>
      <c r="AB2130" s="73"/>
      <c r="AC2130" s="73"/>
      <c r="AD2130" s="73"/>
      <c r="AE2130" s="73"/>
      <c r="AF2130" s="73"/>
      <c r="AG2130" s="73"/>
      <c r="AH2130" s="73"/>
      <c r="AI2130" s="73"/>
      <c r="AJ2130" s="161"/>
      <c r="AK2130" s="236"/>
      <c r="AL2130" s="269"/>
      <c r="AM2130" s="161"/>
      <c r="AN2130" s="161"/>
      <c r="AO2130" s="161"/>
      <c r="AP2130" s="161"/>
      <c r="AQ2130" s="161"/>
      <c r="AR2130" s="161"/>
      <c r="AS2130" s="161"/>
      <c r="AT2130" s="161"/>
      <c r="AU2130" s="89"/>
      <c r="AV2130" s="162"/>
      <c r="AW2130" s="73"/>
    </row>
    <row r="2131" ht="15.75" customHeight="1">
      <c r="A2131" s="216"/>
      <c r="B2131" s="73"/>
      <c r="C2131" s="216"/>
      <c r="D2131" s="241"/>
      <c r="E2131" s="241"/>
      <c r="F2131" s="89"/>
      <c r="G2131" s="476"/>
      <c r="H2131" s="73"/>
      <c r="I2131" s="551"/>
      <c r="J2131" s="476"/>
      <c r="K2131" s="69"/>
      <c r="L2131" s="61"/>
      <c r="M2131" s="61"/>
      <c r="N2131" s="73"/>
      <c r="O2131" s="66"/>
      <c r="P2131" s="67"/>
      <c r="Q2131" s="67"/>
      <c r="R2131" s="67"/>
      <c r="S2131" s="67"/>
      <c r="T2131" s="161"/>
      <c r="U2131" s="69"/>
      <c r="V2131" s="73"/>
      <c r="W2131" s="71"/>
      <c r="X2131" s="194"/>
      <c r="Y2131" s="216"/>
      <c r="Z2131" s="73"/>
      <c r="AA2131" s="73"/>
      <c r="AB2131" s="73"/>
      <c r="AC2131" s="73"/>
      <c r="AD2131" s="73"/>
      <c r="AE2131" s="73"/>
      <c r="AF2131" s="73"/>
      <c r="AG2131" s="73"/>
      <c r="AH2131" s="73"/>
      <c r="AI2131" s="73"/>
      <c r="AJ2131" s="161"/>
      <c r="AK2131" s="236"/>
      <c r="AL2131" s="269"/>
      <c r="AM2131" s="161"/>
      <c r="AN2131" s="161"/>
      <c r="AO2131" s="161"/>
      <c r="AP2131" s="161"/>
      <c r="AQ2131" s="161"/>
      <c r="AR2131" s="161"/>
      <c r="AS2131" s="161"/>
      <c r="AT2131" s="161"/>
      <c r="AU2131" s="89"/>
      <c r="AV2131" s="162"/>
      <c r="AW2131" s="73"/>
    </row>
    <row r="2132" ht="15.75" customHeight="1">
      <c r="A2132" s="216"/>
      <c r="B2132" s="73"/>
      <c r="C2132" s="216"/>
      <c r="D2132" s="241"/>
      <c r="E2132" s="241"/>
      <c r="F2132" s="89"/>
      <c r="G2132" s="476"/>
      <c r="H2132" s="73"/>
      <c r="I2132" s="551"/>
      <c r="J2132" s="476"/>
      <c r="K2132" s="69"/>
      <c r="L2132" s="61"/>
      <c r="M2132" s="61"/>
      <c r="N2132" s="73"/>
      <c r="O2132" s="66"/>
      <c r="P2132" s="67"/>
      <c r="Q2132" s="67"/>
      <c r="R2132" s="67"/>
      <c r="S2132" s="67"/>
      <c r="T2132" s="161"/>
      <c r="U2132" s="69"/>
      <c r="V2132" s="73"/>
      <c r="W2132" s="71"/>
      <c r="X2132" s="194"/>
      <c r="Y2132" s="216"/>
      <c r="Z2132" s="73"/>
      <c r="AA2132" s="73"/>
      <c r="AB2132" s="73"/>
      <c r="AC2132" s="73"/>
      <c r="AD2132" s="73"/>
      <c r="AE2132" s="73"/>
      <c r="AF2132" s="73"/>
      <c r="AG2132" s="73"/>
      <c r="AH2132" s="73"/>
      <c r="AI2132" s="73"/>
      <c r="AJ2132" s="161"/>
      <c r="AK2132" s="236"/>
      <c r="AL2132" s="269"/>
      <c r="AM2132" s="161"/>
      <c r="AN2132" s="161"/>
      <c r="AO2132" s="161"/>
      <c r="AP2132" s="161"/>
      <c r="AQ2132" s="161"/>
      <c r="AR2132" s="161"/>
      <c r="AS2132" s="161"/>
      <c r="AT2132" s="161"/>
      <c r="AU2132" s="89"/>
      <c r="AV2132" s="162"/>
      <c r="AW2132" s="73"/>
    </row>
    <row r="2133" ht="15.75" customHeight="1">
      <c r="A2133" s="216"/>
      <c r="B2133" s="73"/>
      <c r="C2133" s="216"/>
      <c r="D2133" s="241"/>
      <c r="E2133" s="241"/>
      <c r="F2133" s="89"/>
      <c r="G2133" s="476"/>
      <c r="H2133" s="73"/>
      <c r="I2133" s="551"/>
      <c r="J2133" s="476"/>
      <c r="K2133" s="69"/>
      <c r="L2133" s="61"/>
      <c r="M2133" s="61"/>
      <c r="N2133" s="73"/>
      <c r="O2133" s="66"/>
      <c r="P2133" s="67"/>
      <c r="Q2133" s="67"/>
      <c r="R2133" s="67"/>
      <c r="S2133" s="67"/>
      <c r="T2133" s="161"/>
      <c r="U2133" s="69"/>
      <c r="V2133" s="73"/>
      <c r="W2133" s="71"/>
      <c r="X2133" s="194"/>
      <c r="Y2133" s="216"/>
      <c r="Z2133" s="73"/>
      <c r="AA2133" s="73"/>
      <c r="AB2133" s="73"/>
      <c r="AC2133" s="73"/>
      <c r="AD2133" s="73"/>
      <c r="AE2133" s="73"/>
      <c r="AF2133" s="73"/>
      <c r="AG2133" s="73"/>
      <c r="AH2133" s="73"/>
      <c r="AI2133" s="73"/>
      <c r="AJ2133" s="161"/>
      <c r="AK2133" s="236"/>
      <c r="AL2133" s="269"/>
      <c r="AM2133" s="161"/>
      <c r="AN2133" s="161"/>
      <c r="AO2133" s="161"/>
      <c r="AP2133" s="161"/>
      <c r="AQ2133" s="161"/>
      <c r="AR2133" s="161"/>
      <c r="AS2133" s="161"/>
      <c r="AT2133" s="161"/>
      <c r="AU2133" s="89"/>
      <c r="AV2133" s="162"/>
      <c r="AW2133" s="73"/>
    </row>
    <row r="2134" ht="15.75" customHeight="1">
      <c r="A2134" s="216"/>
      <c r="B2134" s="73"/>
      <c r="C2134" s="216"/>
      <c r="D2134" s="241"/>
      <c r="E2134" s="241"/>
      <c r="F2134" s="89"/>
      <c r="G2134" s="476"/>
      <c r="H2134" s="73"/>
      <c r="I2134" s="551"/>
      <c r="J2134" s="476"/>
      <c r="K2134" s="69"/>
      <c r="L2134" s="61"/>
      <c r="M2134" s="61"/>
      <c r="N2134" s="73"/>
      <c r="O2134" s="66"/>
      <c r="P2134" s="67"/>
      <c r="Q2134" s="67"/>
      <c r="R2134" s="67"/>
      <c r="S2134" s="67"/>
      <c r="T2134" s="161"/>
      <c r="U2134" s="69"/>
      <c r="V2134" s="73"/>
      <c r="W2134" s="71"/>
      <c r="X2134" s="194"/>
      <c r="Y2134" s="216"/>
      <c r="Z2134" s="73"/>
      <c r="AA2134" s="73"/>
      <c r="AB2134" s="73"/>
      <c r="AC2134" s="73"/>
      <c r="AD2134" s="73"/>
      <c r="AE2134" s="73"/>
      <c r="AF2134" s="73"/>
      <c r="AG2134" s="73"/>
      <c r="AH2134" s="73"/>
      <c r="AI2134" s="73"/>
      <c r="AJ2134" s="161"/>
      <c r="AK2134" s="236"/>
      <c r="AL2134" s="269"/>
      <c r="AM2134" s="161"/>
      <c r="AN2134" s="161"/>
      <c r="AO2134" s="161"/>
      <c r="AP2134" s="161"/>
      <c r="AQ2134" s="161"/>
      <c r="AR2134" s="161"/>
      <c r="AS2134" s="161"/>
      <c r="AT2134" s="161"/>
      <c r="AU2134" s="89"/>
      <c r="AV2134" s="162"/>
      <c r="AW2134" s="73"/>
    </row>
    <row r="2135" ht="15.75" customHeight="1">
      <c r="A2135" s="216"/>
      <c r="B2135" s="73"/>
      <c r="C2135" s="216"/>
      <c r="D2135" s="241"/>
      <c r="E2135" s="241"/>
      <c r="F2135" s="89"/>
      <c r="G2135" s="476"/>
      <c r="H2135" s="73"/>
      <c r="I2135" s="551"/>
      <c r="J2135" s="476"/>
      <c r="K2135" s="69"/>
      <c r="L2135" s="61"/>
      <c r="M2135" s="61"/>
      <c r="N2135" s="73"/>
      <c r="O2135" s="66"/>
      <c r="P2135" s="67"/>
      <c r="Q2135" s="67"/>
      <c r="R2135" s="67"/>
      <c r="S2135" s="67"/>
      <c r="T2135" s="161"/>
      <c r="U2135" s="69"/>
      <c r="V2135" s="73"/>
      <c r="W2135" s="71"/>
      <c r="X2135" s="194"/>
      <c r="Y2135" s="216"/>
      <c r="Z2135" s="73"/>
      <c r="AA2135" s="73"/>
      <c r="AB2135" s="73"/>
      <c r="AC2135" s="73"/>
      <c r="AD2135" s="73"/>
      <c r="AE2135" s="73"/>
      <c r="AF2135" s="73"/>
      <c r="AG2135" s="73"/>
      <c r="AH2135" s="73"/>
      <c r="AI2135" s="73"/>
      <c r="AJ2135" s="161"/>
      <c r="AK2135" s="236"/>
      <c r="AL2135" s="269"/>
      <c r="AM2135" s="161"/>
      <c r="AN2135" s="161"/>
      <c r="AO2135" s="161"/>
      <c r="AP2135" s="161"/>
      <c r="AQ2135" s="161"/>
      <c r="AR2135" s="161"/>
      <c r="AS2135" s="161"/>
      <c r="AT2135" s="161"/>
      <c r="AU2135" s="89"/>
      <c r="AV2135" s="162"/>
      <c r="AW2135" s="73"/>
    </row>
    <row r="2136" ht="15.75" customHeight="1">
      <c r="A2136" s="216"/>
      <c r="B2136" s="73"/>
      <c r="C2136" s="216"/>
      <c r="D2136" s="241"/>
      <c r="E2136" s="241"/>
      <c r="F2136" s="89"/>
      <c r="G2136" s="476"/>
      <c r="H2136" s="73"/>
      <c r="I2136" s="551"/>
      <c r="J2136" s="476"/>
      <c r="K2136" s="69"/>
      <c r="L2136" s="61"/>
      <c r="M2136" s="61"/>
      <c r="N2136" s="73"/>
      <c r="O2136" s="66"/>
      <c r="P2136" s="67"/>
      <c r="Q2136" s="67"/>
      <c r="R2136" s="67"/>
      <c r="S2136" s="67"/>
      <c r="T2136" s="161"/>
      <c r="U2136" s="69"/>
      <c r="V2136" s="73"/>
      <c r="W2136" s="71"/>
      <c r="X2136" s="194"/>
      <c r="Y2136" s="216"/>
      <c r="Z2136" s="73"/>
      <c r="AA2136" s="73"/>
      <c r="AB2136" s="73"/>
      <c r="AC2136" s="73"/>
      <c r="AD2136" s="73"/>
      <c r="AE2136" s="73"/>
      <c r="AF2136" s="73"/>
      <c r="AG2136" s="73"/>
      <c r="AH2136" s="73"/>
      <c r="AI2136" s="73"/>
      <c r="AJ2136" s="161"/>
      <c r="AK2136" s="236"/>
      <c r="AL2136" s="269"/>
      <c r="AM2136" s="161"/>
      <c r="AN2136" s="161"/>
      <c r="AO2136" s="161"/>
      <c r="AP2136" s="161"/>
      <c r="AQ2136" s="161"/>
      <c r="AR2136" s="161"/>
      <c r="AS2136" s="161"/>
      <c r="AT2136" s="161"/>
      <c r="AU2136" s="89"/>
      <c r="AV2136" s="162"/>
      <c r="AW2136" s="73"/>
    </row>
    <row r="2137" ht="15.75" customHeight="1">
      <c r="A2137" s="216"/>
      <c r="B2137" s="73"/>
      <c r="C2137" s="216"/>
      <c r="D2137" s="241"/>
      <c r="E2137" s="241"/>
      <c r="F2137" s="89"/>
      <c r="G2137" s="476"/>
      <c r="H2137" s="73"/>
      <c r="I2137" s="551"/>
      <c r="J2137" s="476"/>
      <c r="K2137" s="69"/>
      <c r="L2137" s="61"/>
      <c r="M2137" s="61"/>
      <c r="N2137" s="73"/>
      <c r="O2137" s="66"/>
      <c r="P2137" s="67"/>
      <c r="Q2137" s="67"/>
      <c r="R2137" s="67"/>
      <c r="S2137" s="67"/>
      <c r="T2137" s="161"/>
      <c r="U2137" s="69"/>
      <c r="V2137" s="73"/>
      <c r="W2137" s="71"/>
      <c r="X2137" s="194"/>
      <c r="Y2137" s="216"/>
      <c r="Z2137" s="73"/>
      <c r="AA2137" s="73"/>
      <c r="AB2137" s="73"/>
      <c r="AC2137" s="73"/>
      <c r="AD2137" s="73"/>
      <c r="AE2137" s="73"/>
      <c r="AF2137" s="73"/>
      <c r="AG2137" s="73"/>
      <c r="AH2137" s="73"/>
      <c r="AI2137" s="73"/>
      <c r="AJ2137" s="161"/>
      <c r="AK2137" s="236"/>
      <c r="AL2137" s="269"/>
      <c r="AM2137" s="161"/>
      <c r="AN2137" s="161"/>
      <c r="AO2137" s="161"/>
      <c r="AP2137" s="161"/>
      <c r="AQ2137" s="161"/>
      <c r="AR2137" s="161"/>
      <c r="AS2137" s="161"/>
      <c r="AT2137" s="161"/>
      <c r="AU2137" s="89"/>
      <c r="AV2137" s="162"/>
      <c r="AW2137" s="73"/>
    </row>
    <row r="2138" ht="15.75" customHeight="1">
      <c r="A2138" s="216"/>
      <c r="B2138" s="73"/>
      <c r="C2138" s="216"/>
      <c r="D2138" s="241"/>
      <c r="E2138" s="241"/>
      <c r="F2138" s="89"/>
      <c r="G2138" s="476"/>
      <c r="H2138" s="73"/>
      <c r="I2138" s="551"/>
      <c r="J2138" s="476"/>
      <c r="K2138" s="69"/>
      <c r="L2138" s="61"/>
      <c r="M2138" s="61"/>
      <c r="N2138" s="73"/>
      <c r="O2138" s="66"/>
      <c r="P2138" s="67"/>
      <c r="Q2138" s="67"/>
      <c r="R2138" s="67"/>
      <c r="S2138" s="67"/>
      <c r="T2138" s="161"/>
      <c r="U2138" s="69"/>
      <c r="V2138" s="73"/>
      <c r="W2138" s="71"/>
      <c r="X2138" s="194"/>
      <c r="Y2138" s="216"/>
      <c r="Z2138" s="73"/>
      <c r="AA2138" s="73"/>
      <c r="AB2138" s="73"/>
      <c r="AC2138" s="73"/>
      <c r="AD2138" s="73"/>
      <c r="AE2138" s="73"/>
      <c r="AF2138" s="73"/>
      <c r="AG2138" s="73"/>
      <c r="AH2138" s="73"/>
      <c r="AI2138" s="73"/>
      <c r="AJ2138" s="161"/>
      <c r="AK2138" s="236"/>
      <c r="AL2138" s="269"/>
      <c r="AM2138" s="161"/>
      <c r="AN2138" s="161"/>
      <c r="AO2138" s="161"/>
      <c r="AP2138" s="161"/>
      <c r="AQ2138" s="161"/>
      <c r="AR2138" s="161"/>
      <c r="AS2138" s="161"/>
      <c r="AT2138" s="161"/>
      <c r="AU2138" s="89"/>
      <c r="AV2138" s="162"/>
      <c r="AW2138" s="73"/>
    </row>
    <row r="2139" ht="15.75" customHeight="1">
      <c r="A2139" s="216"/>
      <c r="B2139" s="73"/>
      <c r="C2139" s="216"/>
      <c r="D2139" s="241"/>
      <c r="E2139" s="241"/>
      <c r="F2139" s="89"/>
      <c r="G2139" s="476"/>
      <c r="H2139" s="73"/>
      <c r="I2139" s="551"/>
      <c r="J2139" s="476"/>
      <c r="K2139" s="69"/>
      <c r="L2139" s="61"/>
      <c r="M2139" s="61"/>
      <c r="N2139" s="73"/>
      <c r="O2139" s="66"/>
      <c r="P2139" s="67"/>
      <c r="Q2139" s="67"/>
      <c r="R2139" s="67"/>
      <c r="S2139" s="67"/>
      <c r="T2139" s="161"/>
      <c r="U2139" s="69"/>
      <c r="V2139" s="73"/>
      <c r="W2139" s="71"/>
      <c r="X2139" s="194"/>
      <c r="Y2139" s="216"/>
      <c r="Z2139" s="73"/>
      <c r="AA2139" s="73"/>
      <c r="AB2139" s="73"/>
      <c r="AC2139" s="73"/>
      <c r="AD2139" s="73"/>
      <c r="AE2139" s="73"/>
      <c r="AF2139" s="73"/>
      <c r="AG2139" s="73"/>
      <c r="AH2139" s="73"/>
      <c r="AI2139" s="73"/>
      <c r="AJ2139" s="161"/>
      <c r="AK2139" s="236"/>
      <c r="AL2139" s="269"/>
      <c r="AM2139" s="161"/>
      <c r="AN2139" s="161"/>
      <c r="AO2139" s="161"/>
      <c r="AP2139" s="161"/>
      <c r="AQ2139" s="161"/>
      <c r="AR2139" s="161"/>
      <c r="AS2139" s="161"/>
      <c r="AT2139" s="161"/>
      <c r="AU2139" s="89"/>
      <c r="AV2139" s="162"/>
      <c r="AW2139" s="73"/>
    </row>
    <row r="2140" ht="15.75" customHeight="1">
      <c r="A2140" s="216"/>
      <c r="B2140" s="73"/>
      <c r="C2140" s="216"/>
      <c r="D2140" s="241"/>
      <c r="E2140" s="241"/>
      <c r="F2140" s="89"/>
      <c r="G2140" s="476"/>
      <c r="H2140" s="73"/>
      <c r="I2140" s="551"/>
      <c r="J2140" s="476"/>
      <c r="K2140" s="69"/>
      <c r="L2140" s="61"/>
      <c r="M2140" s="61"/>
      <c r="N2140" s="73"/>
      <c r="O2140" s="66"/>
      <c r="P2140" s="67"/>
      <c r="Q2140" s="67"/>
      <c r="R2140" s="67"/>
      <c r="S2140" s="67"/>
      <c r="T2140" s="161"/>
      <c r="U2140" s="69"/>
      <c r="V2140" s="73"/>
      <c r="W2140" s="71"/>
      <c r="X2140" s="194"/>
      <c r="Y2140" s="216"/>
      <c r="Z2140" s="73"/>
      <c r="AA2140" s="73"/>
      <c r="AB2140" s="73"/>
      <c r="AC2140" s="73"/>
      <c r="AD2140" s="73"/>
      <c r="AE2140" s="73"/>
      <c r="AF2140" s="73"/>
      <c r="AG2140" s="73"/>
      <c r="AH2140" s="73"/>
      <c r="AI2140" s="73"/>
      <c r="AJ2140" s="161"/>
      <c r="AK2140" s="236"/>
      <c r="AL2140" s="269"/>
      <c r="AM2140" s="161"/>
      <c r="AN2140" s="161"/>
      <c r="AO2140" s="161"/>
      <c r="AP2140" s="161"/>
      <c r="AQ2140" s="161"/>
      <c r="AR2140" s="161"/>
      <c r="AS2140" s="161"/>
      <c r="AT2140" s="161"/>
      <c r="AU2140" s="89"/>
      <c r="AV2140" s="162"/>
      <c r="AW2140" s="73"/>
    </row>
    <row r="2141" ht="15.75" customHeight="1">
      <c r="A2141" s="216"/>
      <c r="B2141" s="73"/>
      <c r="C2141" s="216"/>
      <c r="D2141" s="241"/>
      <c r="E2141" s="241"/>
      <c r="F2141" s="89"/>
      <c r="G2141" s="476"/>
      <c r="H2141" s="73"/>
      <c r="I2141" s="551"/>
      <c r="J2141" s="476"/>
      <c r="K2141" s="69"/>
      <c r="L2141" s="61"/>
      <c r="M2141" s="61"/>
      <c r="N2141" s="73"/>
      <c r="O2141" s="66"/>
      <c r="P2141" s="67"/>
      <c r="Q2141" s="67"/>
      <c r="R2141" s="67"/>
      <c r="S2141" s="67"/>
      <c r="T2141" s="161"/>
      <c r="U2141" s="69"/>
      <c r="V2141" s="73"/>
      <c r="W2141" s="71"/>
      <c r="X2141" s="194"/>
      <c r="Y2141" s="216"/>
      <c r="Z2141" s="73"/>
      <c r="AA2141" s="73"/>
      <c r="AB2141" s="73"/>
      <c r="AC2141" s="73"/>
      <c r="AD2141" s="73"/>
      <c r="AE2141" s="73"/>
      <c r="AF2141" s="73"/>
      <c r="AG2141" s="73"/>
      <c r="AH2141" s="73"/>
      <c r="AI2141" s="73"/>
      <c r="AJ2141" s="161"/>
      <c r="AK2141" s="236"/>
      <c r="AL2141" s="269"/>
      <c r="AM2141" s="161"/>
      <c r="AN2141" s="161"/>
      <c r="AO2141" s="161"/>
      <c r="AP2141" s="161"/>
      <c r="AQ2141" s="161"/>
      <c r="AR2141" s="161"/>
      <c r="AS2141" s="161"/>
      <c r="AT2141" s="161"/>
      <c r="AU2141" s="89"/>
      <c r="AV2141" s="162"/>
      <c r="AW2141" s="73"/>
    </row>
    <row r="2142" ht="15.75" customHeight="1">
      <c r="A2142" s="216"/>
      <c r="B2142" s="73"/>
      <c r="C2142" s="216"/>
      <c r="D2142" s="241"/>
      <c r="E2142" s="241"/>
      <c r="F2142" s="89"/>
      <c r="G2142" s="476"/>
      <c r="H2142" s="73"/>
      <c r="I2142" s="551"/>
      <c r="J2142" s="476"/>
      <c r="K2142" s="69"/>
      <c r="L2142" s="61"/>
      <c r="M2142" s="61"/>
      <c r="N2142" s="73"/>
      <c r="O2142" s="66"/>
      <c r="P2142" s="67"/>
      <c r="Q2142" s="67"/>
      <c r="R2142" s="67"/>
      <c r="S2142" s="67"/>
      <c r="T2142" s="161"/>
      <c r="U2142" s="69"/>
      <c r="V2142" s="73"/>
      <c r="W2142" s="71"/>
      <c r="X2142" s="194"/>
      <c r="Y2142" s="216"/>
      <c r="Z2142" s="73"/>
      <c r="AA2142" s="73"/>
      <c r="AB2142" s="73"/>
      <c r="AC2142" s="73"/>
      <c r="AD2142" s="73"/>
      <c r="AE2142" s="73"/>
      <c r="AF2142" s="73"/>
      <c r="AG2142" s="73"/>
      <c r="AH2142" s="73"/>
      <c r="AI2142" s="73"/>
      <c r="AJ2142" s="161"/>
      <c r="AK2142" s="236"/>
      <c r="AL2142" s="269"/>
      <c r="AM2142" s="161"/>
      <c r="AN2142" s="161"/>
      <c r="AO2142" s="161"/>
      <c r="AP2142" s="161"/>
      <c r="AQ2142" s="161"/>
      <c r="AR2142" s="161"/>
      <c r="AS2142" s="161"/>
      <c r="AT2142" s="161"/>
      <c r="AU2142" s="89"/>
      <c r="AV2142" s="162"/>
      <c r="AW2142" s="73"/>
    </row>
    <row r="2143" ht="15.75" customHeight="1">
      <c r="A2143" s="216"/>
      <c r="B2143" s="73"/>
      <c r="C2143" s="216"/>
      <c r="D2143" s="241"/>
      <c r="E2143" s="241"/>
      <c r="F2143" s="89"/>
      <c r="G2143" s="476"/>
      <c r="H2143" s="73"/>
      <c r="I2143" s="551"/>
      <c r="J2143" s="476"/>
      <c r="K2143" s="69"/>
      <c r="L2143" s="61"/>
      <c r="M2143" s="61"/>
      <c r="N2143" s="73"/>
      <c r="O2143" s="66"/>
      <c r="P2143" s="67"/>
      <c r="Q2143" s="67"/>
      <c r="R2143" s="67"/>
      <c r="S2143" s="67"/>
      <c r="T2143" s="161"/>
      <c r="U2143" s="69"/>
      <c r="V2143" s="73"/>
      <c r="W2143" s="71"/>
      <c r="X2143" s="194"/>
      <c r="Y2143" s="216"/>
      <c r="Z2143" s="73"/>
      <c r="AA2143" s="73"/>
      <c r="AB2143" s="73"/>
      <c r="AC2143" s="73"/>
      <c r="AD2143" s="73"/>
      <c r="AE2143" s="73"/>
      <c r="AF2143" s="73"/>
      <c r="AG2143" s="73"/>
      <c r="AH2143" s="73"/>
      <c r="AI2143" s="73"/>
      <c r="AJ2143" s="161"/>
      <c r="AK2143" s="236"/>
      <c r="AL2143" s="269"/>
      <c r="AM2143" s="161"/>
      <c r="AN2143" s="161"/>
      <c r="AO2143" s="161"/>
      <c r="AP2143" s="161"/>
      <c r="AQ2143" s="161"/>
      <c r="AR2143" s="161"/>
      <c r="AS2143" s="161"/>
      <c r="AT2143" s="161"/>
      <c r="AU2143" s="89"/>
      <c r="AV2143" s="162"/>
      <c r="AW2143" s="73"/>
    </row>
    <row r="2144" ht="15.75" customHeight="1">
      <c r="A2144" s="216"/>
      <c r="B2144" s="73"/>
      <c r="C2144" s="216"/>
      <c r="D2144" s="241"/>
      <c r="E2144" s="241"/>
      <c r="F2144" s="89"/>
      <c r="G2144" s="476"/>
      <c r="H2144" s="73"/>
      <c r="I2144" s="551"/>
      <c r="J2144" s="476"/>
      <c r="K2144" s="69"/>
      <c r="L2144" s="61"/>
      <c r="M2144" s="61"/>
      <c r="N2144" s="73"/>
      <c r="O2144" s="66"/>
      <c r="P2144" s="67"/>
      <c r="Q2144" s="67"/>
      <c r="R2144" s="67"/>
      <c r="S2144" s="67"/>
      <c r="T2144" s="161"/>
      <c r="U2144" s="69"/>
      <c r="V2144" s="73"/>
      <c r="W2144" s="71"/>
      <c r="X2144" s="194"/>
      <c r="Y2144" s="216"/>
      <c r="Z2144" s="73"/>
      <c r="AA2144" s="73"/>
      <c r="AB2144" s="73"/>
      <c r="AC2144" s="73"/>
      <c r="AD2144" s="73"/>
      <c r="AE2144" s="73"/>
      <c r="AF2144" s="73"/>
      <c r="AG2144" s="73"/>
      <c r="AH2144" s="73"/>
      <c r="AI2144" s="73"/>
      <c r="AJ2144" s="161"/>
      <c r="AK2144" s="236"/>
      <c r="AL2144" s="269"/>
      <c r="AM2144" s="161"/>
      <c r="AN2144" s="161"/>
      <c r="AO2144" s="161"/>
      <c r="AP2144" s="161"/>
      <c r="AQ2144" s="161"/>
      <c r="AR2144" s="161"/>
      <c r="AS2144" s="161"/>
      <c r="AT2144" s="161"/>
      <c r="AU2144" s="89"/>
      <c r="AV2144" s="162"/>
      <c r="AW2144" s="73"/>
    </row>
    <row r="2145" ht="15.75" customHeight="1">
      <c r="A2145" s="216"/>
      <c r="B2145" s="73"/>
      <c r="C2145" s="216"/>
      <c r="D2145" s="241"/>
      <c r="E2145" s="241"/>
      <c r="F2145" s="89"/>
      <c r="G2145" s="476"/>
      <c r="H2145" s="73"/>
      <c r="I2145" s="551"/>
      <c r="J2145" s="476"/>
      <c r="K2145" s="69"/>
      <c r="L2145" s="61"/>
      <c r="M2145" s="61"/>
      <c r="N2145" s="73"/>
      <c r="O2145" s="66"/>
      <c r="P2145" s="67"/>
      <c r="Q2145" s="67"/>
      <c r="R2145" s="67"/>
      <c r="S2145" s="67"/>
      <c r="T2145" s="161"/>
      <c r="U2145" s="69"/>
      <c r="V2145" s="73"/>
      <c r="W2145" s="71"/>
      <c r="X2145" s="194"/>
      <c r="Y2145" s="216"/>
      <c r="Z2145" s="73"/>
      <c r="AA2145" s="73"/>
      <c r="AB2145" s="73"/>
      <c r="AC2145" s="73"/>
      <c r="AD2145" s="73"/>
      <c r="AE2145" s="73"/>
      <c r="AF2145" s="73"/>
      <c r="AG2145" s="73"/>
      <c r="AH2145" s="73"/>
      <c r="AI2145" s="73"/>
      <c r="AJ2145" s="161"/>
      <c r="AK2145" s="236"/>
      <c r="AL2145" s="269"/>
      <c r="AM2145" s="161"/>
      <c r="AN2145" s="161"/>
      <c r="AO2145" s="161"/>
      <c r="AP2145" s="161"/>
      <c r="AQ2145" s="161"/>
      <c r="AR2145" s="161"/>
      <c r="AS2145" s="161"/>
      <c r="AT2145" s="161"/>
      <c r="AU2145" s="89"/>
      <c r="AV2145" s="162"/>
      <c r="AW2145" s="73"/>
    </row>
    <row r="2146" ht="15.75" customHeight="1">
      <c r="A2146" s="216"/>
      <c r="B2146" s="73"/>
      <c r="C2146" s="216"/>
      <c r="D2146" s="241"/>
      <c r="E2146" s="241"/>
      <c r="F2146" s="89"/>
      <c r="G2146" s="476"/>
      <c r="H2146" s="73"/>
      <c r="I2146" s="551"/>
      <c r="J2146" s="476"/>
      <c r="K2146" s="69"/>
      <c r="L2146" s="61"/>
      <c r="M2146" s="61"/>
      <c r="N2146" s="73"/>
      <c r="O2146" s="66"/>
      <c r="P2146" s="67"/>
      <c r="Q2146" s="67"/>
      <c r="R2146" s="67"/>
      <c r="S2146" s="67"/>
      <c r="T2146" s="161"/>
      <c r="U2146" s="69"/>
      <c r="V2146" s="73"/>
      <c r="W2146" s="71"/>
      <c r="X2146" s="194"/>
      <c r="Y2146" s="216"/>
      <c r="Z2146" s="73"/>
      <c r="AA2146" s="73"/>
      <c r="AB2146" s="73"/>
      <c r="AC2146" s="73"/>
      <c r="AD2146" s="73"/>
      <c r="AE2146" s="73"/>
      <c r="AF2146" s="73"/>
      <c r="AG2146" s="73"/>
      <c r="AH2146" s="73"/>
      <c r="AI2146" s="73"/>
      <c r="AJ2146" s="161"/>
      <c r="AK2146" s="236"/>
      <c r="AL2146" s="269"/>
      <c r="AM2146" s="161"/>
      <c r="AN2146" s="161"/>
      <c r="AO2146" s="161"/>
      <c r="AP2146" s="161"/>
      <c r="AQ2146" s="161"/>
      <c r="AR2146" s="161"/>
      <c r="AS2146" s="161"/>
      <c r="AT2146" s="161"/>
      <c r="AU2146" s="89"/>
      <c r="AV2146" s="162"/>
      <c r="AW2146" s="73"/>
    </row>
    <row r="2147" ht="15.75" customHeight="1">
      <c r="A2147" s="216"/>
      <c r="B2147" s="73"/>
      <c r="C2147" s="216"/>
      <c r="D2147" s="241"/>
      <c r="E2147" s="241"/>
      <c r="F2147" s="89"/>
      <c r="G2147" s="476"/>
      <c r="H2147" s="73"/>
      <c r="I2147" s="551"/>
      <c r="J2147" s="476"/>
      <c r="K2147" s="69"/>
      <c r="L2147" s="61"/>
      <c r="M2147" s="61"/>
      <c r="N2147" s="73"/>
      <c r="O2147" s="66"/>
      <c r="P2147" s="67"/>
      <c r="Q2147" s="67"/>
      <c r="R2147" s="67"/>
      <c r="S2147" s="67"/>
      <c r="T2147" s="161"/>
      <c r="U2147" s="69"/>
      <c r="V2147" s="73"/>
      <c r="W2147" s="71"/>
      <c r="X2147" s="194"/>
      <c r="Y2147" s="216"/>
      <c r="Z2147" s="73"/>
      <c r="AA2147" s="73"/>
      <c r="AB2147" s="73"/>
      <c r="AC2147" s="73"/>
      <c r="AD2147" s="73"/>
      <c r="AE2147" s="73"/>
      <c r="AF2147" s="73"/>
      <c r="AG2147" s="73"/>
      <c r="AH2147" s="73"/>
      <c r="AI2147" s="73"/>
      <c r="AJ2147" s="161"/>
      <c r="AK2147" s="236"/>
      <c r="AL2147" s="269"/>
      <c r="AM2147" s="161"/>
      <c r="AN2147" s="161"/>
      <c r="AO2147" s="161"/>
      <c r="AP2147" s="161"/>
      <c r="AQ2147" s="161"/>
      <c r="AR2147" s="161"/>
      <c r="AS2147" s="161"/>
      <c r="AT2147" s="161"/>
      <c r="AU2147" s="89"/>
      <c r="AV2147" s="162"/>
      <c r="AW2147" s="73"/>
    </row>
    <row r="2148" ht="15.75" customHeight="1">
      <c r="A2148" s="216"/>
      <c r="B2148" s="73"/>
      <c r="C2148" s="216"/>
      <c r="D2148" s="241"/>
      <c r="E2148" s="241"/>
      <c r="F2148" s="89"/>
      <c r="G2148" s="476"/>
      <c r="H2148" s="73"/>
      <c r="I2148" s="551"/>
      <c r="J2148" s="476"/>
      <c r="K2148" s="69"/>
      <c r="L2148" s="61"/>
      <c r="M2148" s="61"/>
      <c r="N2148" s="73"/>
      <c r="O2148" s="66"/>
      <c r="P2148" s="67"/>
      <c r="Q2148" s="67"/>
      <c r="R2148" s="67"/>
      <c r="S2148" s="67"/>
      <c r="T2148" s="161"/>
      <c r="U2148" s="69"/>
      <c r="V2148" s="73"/>
      <c r="W2148" s="71"/>
      <c r="X2148" s="194"/>
      <c r="Y2148" s="216"/>
      <c r="Z2148" s="73"/>
      <c r="AA2148" s="73"/>
      <c r="AB2148" s="73"/>
      <c r="AC2148" s="73"/>
      <c r="AD2148" s="73"/>
      <c r="AE2148" s="73"/>
      <c r="AF2148" s="73"/>
      <c r="AG2148" s="73"/>
      <c r="AH2148" s="73"/>
      <c r="AI2148" s="73"/>
      <c r="AJ2148" s="161"/>
      <c r="AK2148" s="236"/>
      <c r="AL2148" s="269"/>
      <c r="AM2148" s="161"/>
      <c r="AN2148" s="161"/>
      <c r="AO2148" s="161"/>
      <c r="AP2148" s="161"/>
      <c r="AQ2148" s="161"/>
      <c r="AR2148" s="161"/>
      <c r="AS2148" s="161"/>
      <c r="AT2148" s="161"/>
      <c r="AU2148" s="89"/>
      <c r="AV2148" s="162"/>
      <c r="AW2148" s="73"/>
    </row>
    <row r="2149" ht="15.75" customHeight="1">
      <c r="A2149" s="216"/>
      <c r="B2149" s="73"/>
      <c r="C2149" s="216"/>
      <c r="D2149" s="241"/>
      <c r="E2149" s="241"/>
      <c r="F2149" s="89"/>
      <c r="G2149" s="476"/>
      <c r="H2149" s="73"/>
      <c r="I2149" s="551"/>
      <c r="J2149" s="476"/>
      <c r="K2149" s="69"/>
      <c r="L2149" s="61"/>
      <c r="M2149" s="61"/>
      <c r="N2149" s="73"/>
      <c r="O2149" s="66"/>
      <c r="P2149" s="67"/>
      <c r="Q2149" s="67"/>
      <c r="R2149" s="67"/>
      <c r="S2149" s="67"/>
      <c r="T2149" s="161"/>
      <c r="U2149" s="69"/>
      <c r="V2149" s="73"/>
      <c r="W2149" s="71"/>
      <c r="X2149" s="194"/>
      <c r="Y2149" s="216"/>
      <c r="Z2149" s="73"/>
      <c r="AA2149" s="73"/>
      <c r="AB2149" s="73"/>
      <c r="AC2149" s="73"/>
      <c r="AD2149" s="73"/>
      <c r="AE2149" s="73"/>
      <c r="AF2149" s="73"/>
      <c r="AG2149" s="73"/>
      <c r="AH2149" s="73"/>
      <c r="AI2149" s="73"/>
      <c r="AJ2149" s="161"/>
      <c r="AK2149" s="236"/>
      <c r="AL2149" s="269"/>
      <c r="AM2149" s="161"/>
      <c r="AN2149" s="161"/>
      <c r="AO2149" s="161"/>
      <c r="AP2149" s="161"/>
      <c r="AQ2149" s="161"/>
      <c r="AR2149" s="161"/>
      <c r="AS2149" s="161"/>
      <c r="AT2149" s="161"/>
      <c r="AU2149" s="89"/>
      <c r="AV2149" s="162"/>
      <c r="AW2149" s="73"/>
    </row>
    <row r="2150" ht="15.75" customHeight="1">
      <c r="A2150" s="216"/>
      <c r="B2150" s="73"/>
      <c r="C2150" s="216"/>
      <c r="D2150" s="241"/>
      <c r="E2150" s="241"/>
      <c r="F2150" s="89"/>
      <c r="G2150" s="476"/>
      <c r="H2150" s="73"/>
      <c r="I2150" s="551"/>
      <c r="J2150" s="476"/>
      <c r="K2150" s="69"/>
      <c r="L2150" s="61"/>
      <c r="M2150" s="61"/>
      <c r="N2150" s="73"/>
      <c r="O2150" s="66"/>
      <c r="P2150" s="67"/>
      <c r="Q2150" s="67"/>
      <c r="R2150" s="67"/>
      <c r="S2150" s="67"/>
      <c r="T2150" s="161"/>
      <c r="U2150" s="69"/>
      <c r="V2150" s="73"/>
      <c r="W2150" s="71"/>
      <c r="X2150" s="194"/>
      <c r="Y2150" s="216"/>
      <c r="Z2150" s="73"/>
      <c r="AA2150" s="73"/>
      <c r="AB2150" s="73"/>
      <c r="AC2150" s="73"/>
      <c r="AD2150" s="73"/>
      <c r="AE2150" s="73"/>
      <c r="AF2150" s="73"/>
      <c r="AG2150" s="73"/>
      <c r="AH2150" s="73"/>
      <c r="AI2150" s="73"/>
      <c r="AJ2150" s="161"/>
      <c r="AK2150" s="236"/>
      <c r="AL2150" s="269"/>
      <c r="AM2150" s="161"/>
      <c r="AN2150" s="161"/>
      <c r="AO2150" s="161"/>
      <c r="AP2150" s="161"/>
      <c r="AQ2150" s="161"/>
      <c r="AR2150" s="161"/>
      <c r="AS2150" s="161"/>
      <c r="AT2150" s="161"/>
      <c r="AU2150" s="89"/>
      <c r="AV2150" s="162"/>
      <c r="AW2150" s="73"/>
    </row>
    <row r="2151" ht="15.75" customHeight="1">
      <c r="A2151" s="216"/>
      <c r="B2151" s="73"/>
      <c r="C2151" s="216"/>
      <c r="D2151" s="241"/>
      <c r="E2151" s="241"/>
      <c r="F2151" s="89"/>
      <c r="G2151" s="476"/>
      <c r="H2151" s="73"/>
      <c r="I2151" s="551"/>
      <c r="J2151" s="476"/>
      <c r="K2151" s="69"/>
      <c r="L2151" s="61"/>
      <c r="M2151" s="61"/>
      <c r="N2151" s="73"/>
      <c r="O2151" s="66"/>
      <c r="P2151" s="67"/>
      <c r="Q2151" s="67"/>
      <c r="R2151" s="67"/>
      <c r="S2151" s="67"/>
      <c r="T2151" s="161"/>
      <c r="U2151" s="69"/>
      <c r="V2151" s="73"/>
      <c r="W2151" s="71"/>
      <c r="X2151" s="194"/>
      <c r="Y2151" s="216"/>
      <c r="Z2151" s="73"/>
      <c r="AA2151" s="73"/>
      <c r="AB2151" s="73"/>
      <c r="AC2151" s="73"/>
      <c r="AD2151" s="73"/>
      <c r="AE2151" s="73"/>
      <c r="AF2151" s="73"/>
      <c r="AG2151" s="73"/>
      <c r="AH2151" s="73"/>
      <c r="AI2151" s="73"/>
      <c r="AJ2151" s="161"/>
      <c r="AK2151" s="236"/>
      <c r="AL2151" s="269"/>
      <c r="AM2151" s="161"/>
      <c r="AN2151" s="161"/>
      <c r="AO2151" s="161"/>
      <c r="AP2151" s="161"/>
      <c r="AQ2151" s="161"/>
      <c r="AR2151" s="161"/>
      <c r="AS2151" s="161"/>
      <c r="AT2151" s="161"/>
      <c r="AU2151" s="89"/>
      <c r="AV2151" s="162"/>
      <c r="AW2151" s="73"/>
    </row>
    <row r="2152" ht="15.75" customHeight="1">
      <c r="A2152" s="216"/>
      <c r="B2152" s="73"/>
      <c r="C2152" s="216"/>
      <c r="D2152" s="241"/>
      <c r="E2152" s="241"/>
      <c r="F2152" s="89"/>
      <c r="G2152" s="476"/>
      <c r="H2152" s="73"/>
      <c r="I2152" s="551"/>
      <c r="J2152" s="476"/>
      <c r="K2152" s="69"/>
      <c r="L2152" s="61"/>
      <c r="M2152" s="61"/>
      <c r="N2152" s="73"/>
      <c r="O2152" s="66"/>
      <c r="P2152" s="67"/>
      <c r="Q2152" s="67"/>
      <c r="R2152" s="67"/>
      <c r="S2152" s="67"/>
      <c r="T2152" s="161"/>
      <c r="U2152" s="69"/>
      <c r="V2152" s="73"/>
      <c r="W2152" s="71"/>
      <c r="X2152" s="194"/>
      <c r="Y2152" s="216"/>
      <c r="Z2152" s="73"/>
      <c r="AA2152" s="73"/>
      <c r="AB2152" s="73"/>
      <c r="AC2152" s="73"/>
      <c r="AD2152" s="73"/>
      <c r="AE2152" s="73"/>
      <c r="AF2152" s="73"/>
      <c r="AG2152" s="73"/>
      <c r="AH2152" s="73"/>
      <c r="AI2152" s="73"/>
      <c r="AJ2152" s="161"/>
      <c r="AK2152" s="236"/>
      <c r="AL2152" s="269"/>
      <c r="AM2152" s="161"/>
      <c r="AN2152" s="161"/>
      <c r="AO2152" s="161"/>
      <c r="AP2152" s="161"/>
      <c r="AQ2152" s="161"/>
      <c r="AR2152" s="161"/>
      <c r="AS2152" s="161"/>
      <c r="AT2152" s="161"/>
      <c r="AU2152" s="89"/>
      <c r="AV2152" s="162"/>
      <c r="AW2152" s="73"/>
    </row>
    <row r="2153" ht="15.75" customHeight="1">
      <c r="A2153" s="216"/>
      <c r="B2153" s="73"/>
      <c r="C2153" s="216"/>
      <c r="D2153" s="241"/>
      <c r="E2153" s="241"/>
      <c r="F2153" s="89"/>
      <c r="G2153" s="476"/>
      <c r="H2153" s="73"/>
      <c r="I2153" s="551"/>
      <c r="J2153" s="476"/>
      <c r="K2153" s="69"/>
      <c r="L2153" s="61"/>
      <c r="M2153" s="61"/>
      <c r="N2153" s="73"/>
      <c r="O2153" s="66"/>
      <c r="P2153" s="67"/>
      <c r="Q2153" s="67"/>
      <c r="R2153" s="67"/>
      <c r="S2153" s="67"/>
      <c r="T2153" s="161"/>
      <c r="U2153" s="69"/>
      <c r="V2153" s="73"/>
      <c r="W2153" s="71"/>
      <c r="X2153" s="194"/>
      <c r="Y2153" s="216"/>
      <c r="Z2153" s="73"/>
      <c r="AA2153" s="73"/>
      <c r="AB2153" s="73"/>
      <c r="AC2153" s="73"/>
      <c r="AD2153" s="73"/>
      <c r="AE2153" s="73"/>
      <c r="AF2153" s="73"/>
      <c r="AG2153" s="73"/>
      <c r="AH2153" s="73"/>
      <c r="AI2153" s="73"/>
      <c r="AJ2153" s="161"/>
      <c r="AK2153" s="236"/>
      <c r="AL2153" s="269"/>
      <c r="AM2153" s="161"/>
      <c r="AN2153" s="161"/>
      <c r="AO2153" s="161"/>
      <c r="AP2153" s="161"/>
      <c r="AQ2153" s="161"/>
      <c r="AR2153" s="161"/>
      <c r="AS2153" s="161"/>
      <c r="AT2153" s="161"/>
      <c r="AU2153" s="89"/>
      <c r="AV2153" s="162"/>
      <c r="AW2153" s="73"/>
    </row>
    <row r="2154" ht="15.75" customHeight="1">
      <c r="A2154" s="216"/>
      <c r="B2154" s="73"/>
      <c r="C2154" s="216"/>
      <c r="D2154" s="241"/>
      <c r="E2154" s="241"/>
      <c r="F2154" s="89"/>
      <c r="G2154" s="476"/>
      <c r="H2154" s="73"/>
      <c r="I2154" s="551"/>
      <c r="J2154" s="476"/>
      <c r="K2154" s="69"/>
      <c r="L2154" s="61"/>
      <c r="M2154" s="61"/>
      <c r="N2154" s="73"/>
      <c r="O2154" s="66"/>
      <c r="P2154" s="67"/>
      <c r="Q2154" s="67"/>
      <c r="R2154" s="67"/>
      <c r="S2154" s="67"/>
      <c r="T2154" s="161"/>
      <c r="U2154" s="69"/>
      <c r="V2154" s="73"/>
      <c r="W2154" s="71"/>
      <c r="X2154" s="194"/>
      <c r="Y2154" s="216"/>
      <c r="Z2154" s="73"/>
      <c r="AA2154" s="73"/>
      <c r="AB2154" s="73"/>
      <c r="AC2154" s="73"/>
      <c r="AD2154" s="73"/>
      <c r="AE2154" s="73"/>
      <c r="AF2154" s="73"/>
      <c r="AG2154" s="73"/>
      <c r="AH2154" s="73"/>
      <c r="AI2154" s="73"/>
      <c r="AJ2154" s="161"/>
      <c r="AK2154" s="236"/>
      <c r="AL2154" s="269"/>
      <c r="AM2154" s="161"/>
      <c r="AN2154" s="161"/>
      <c r="AO2154" s="161"/>
      <c r="AP2154" s="161"/>
      <c r="AQ2154" s="161"/>
      <c r="AR2154" s="161"/>
      <c r="AS2154" s="161"/>
      <c r="AT2154" s="161"/>
      <c r="AU2154" s="89"/>
      <c r="AV2154" s="162"/>
      <c r="AW2154" s="73"/>
    </row>
    <row r="2155" ht="15.75" customHeight="1">
      <c r="A2155" s="216"/>
      <c r="B2155" s="73"/>
      <c r="C2155" s="216"/>
      <c r="D2155" s="241"/>
      <c r="E2155" s="241"/>
      <c r="F2155" s="89"/>
      <c r="G2155" s="476"/>
      <c r="H2155" s="73"/>
      <c r="I2155" s="551"/>
      <c r="J2155" s="476"/>
      <c r="K2155" s="69"/>
      <c r="L2155" s="61"/>
      <c r="M2155" s="61"/>
      <c r="N2155" s="73"/>
      <c r="O2155" s="66"/>
      <c r="P2155" s="67"/>
      <c r="Q2155" s="67"/>
      <c r="R2155" s="67"/>
      <c r="S2155" s="67"/>
      <c r="T2155" s="161"/>
      <c r="U2155" s="69"/>
      <c r="V2155" s="73"/>
      <c r="W2155" s="71"/>
      <c r="X2155" s="194"/>
      <c r="Y2155" s="216"/>
      <c r="Z2155" s="73"/>
      <c r="AA2155" s="73"/>
      <c r="AB2155" s="73"/>
      <c r="AC2155" s="73"/>
      <c r="AD2155" s="73"/>
      <c r="AE2155" s="73"/>
      <c r="AF2155" s="73"/>
      <c r="AG2155" s="73"/>
      <c r="AH2155" s="73"/>
      <c r="AI2155" s="73"/>
      <c r="AJ2155" s="161"/>
      <c r="AK2155" s="236"/>
      <c r="AL2155" s="269"/>
      <c r="AM2155" s="161"/>
      <c r="AN2155" s="161"/>
      <c r="AO2155" s="161"/>
      <c r="AP2155" s="161"/>
      <c r="AQ2155" s="161"/>
      <c r="AR2155" s="161"/>
      <c r="AS2155" s="161"/>
      <c r="AT2155" s="161"/>
      <c r="AU2155" s="89"/>
      <c r="AV2155" s="162"/>
      <c r="AW2155" s="73"/>
    </row>
    <row r="2156" ht="15.75" customHeight="1">
      <c r="A2156" s="216"/>
      <c r="B2156" s="73"/>
      <c r="C2156" s="216"/>
      <c r="D2156" s="241"/>
      <c r="E2156" s="241"/>
      <c r="F2156" s="89"/>
      <c r="G2156" s="476"/>
      <c r="H2156" s="73"/>
      <c r="I2156" s="551"/>
      <c r="J2156" s="476"/>
      <c r="K2156" s="69"/>
      <c r="L2156" s="61"/>
      <c r="M2156" s="61"/>
      <c r="N2156" s="73"/>
      <c r="O2156" s="66"/>
      <c r="P2156" s="67"/>
      <c r="Q2156" s="67"/>
      <c r="R2156" s="67"/>
      <c r="S2156" s="67"/>
      <c r="T2156" s="161"/>
      <c r="U2156" s="69"/>
      <c r="V2156" s="73"/>
      <c r="W2156" s="71"/>
      <c r="X2156" s="194"/>
      <c r="Y2156" s="216"/>
      <c r="Z2156" s="73"/>
      <c r="AA2156" s="73"/>
      <c r="AB2156" s="73"/>
      <c r="AC2156" s="73"/>
      <c r="AD2156" s="73"/>
      <c r="AE2156" s="73"/>
      <c r="AF2156" s="73"/>
      <c r="AG2156" s="73"/>
      <c r="AH2156" s="73"/>
      <c r="AI2156" s="73"/>
      <c r="AJ2156" s="161"/>
      <c r="AK2156" s="236"/>
      <c r="AL2156" s="269"/>
      <c r="AM2156" s="161"/>
      <c r="AN2156" s="161"/>
      <c r="AO2156" s="161"/>
      <c r="AP2156" s="161"/>
      <c r="AQ2156" s="161"/>
      <c r="AR2156" s="161"/>
      <c r="AS2156" s="161"/>
      <c r="AT2156" s="161"/>
      <c r="AU2156" s="89"/>
      <c r="AV2156" s="162"/>
      <c r="AW2156" s="73"/>
    </row>
    <row r="2157" ht="15.75" customHeight="1">
      <c r="A2157" s="216"/>
      <c r="B2157" s="73"/>
      <c r="C2157" s="216"/>
      <c r="D2157" s="241"/>
      <c r="E2157" s="241"/>
      <c r="F2157" s="89"/>
      <c r="G2157" s="476"/>
      <c r="H2157" s="73"/>
      <c r="I2157" s="551"/>
      <c r="J2157" s="476"/>
      <c r="K2157" s="69"/>
      <c r="L2157" s="61"/>
      <c r="M2157" s="61"/>
      <c r="N2157" s="73"/>
      <c r="O2157" s="66"/>
      <c r="P2157" s="67"/>
      <c r="Q2157" s="67"/>
      <c r="R2157" s="67"/>
      <c r="S2157" s="67"/>
      <c r="T2157" s="161"/>
      <c r="U2157" s="69"/>
      <c r="V2157" s="73"/>
      <c r="W2157" s="71"/>
      <c r="X2157" s="194"/>
      <c r="Y2157" s="216"/>
      <c r="Z2157" s="73"/>
      <c r="AA2157" s="73"/>
      <c r="AB2157" s="73"/>
      <c r="AC2157" s="73"/>
      <c r="AD2157" s="73"/>
      <c r="AE2157" s="73"/>
      <c r="AF2157" s="73"/>
      <c r="AG2157" s="73"/>
      <c r="AH2157" s="73"/>
      <c r="AI2157" s="73"/>
      <c r="AJ2157" s="161"/>
      <c r="AK2157" s="236"/>
      <c r="AL2157" s="269"/>
      <c r="AM2157" s="161"/>
      <c r="AN2157" s="161"/>
      <c r="AO2157" s="161"/>
      <c r="AP2157" s="161"/>
      <c r="AQ2157" s="161"/>
      <c r="AR2157" s="161"/>
      <c r="AS2157" s="161"/>
      <c r="AT2157" s="161"/>
      <c r="AU2157" s="89"/>
      <c r="AV2157" s="162"/>
      <c r="AW2157" s="73"/>
    </row>
    <row r="2158" ht="15.75" customHeight="1">
      <c r="A2158" s="216"/>
      <c r="B2158" s="73"/>
      <c r="C2158" s="216"/>
      <c r="D2158" s="241"/>
      <c r="E2158" s="241"/>
      <c r="F2158" s="89"/>
      <c r="G2158" s="476"/>
      <c r="H2158" s="73"/>
      <c r="I2158" s="551"/>
      <c r="J2158" s="476"/>
      <c r="K2158" s="69"/>
      <c r="L2158" s="61"/>
      <c r="M2158" s="61"/>
      <c r="N2158" s="73"/>
      <c r="O2158" s="66"/>
      <c r="P2158" s="67"/>
      <c r="Q2158" s="67"/>
      <c r="R2158" s="67"/>
      <c r="S2158" s="67"/>
      <c r="T2158" s="161"/>
      <c r="U2158" s="69"/>
      <c r="V2158" s="73"/>
      <c r="W2158" s="71"/>
      <c r="X2158" s="194"/>
      <c r="Y2158" s="216"/>
      <c r="Z2158" s="73"/>
      <c r="AA2158" s="73"/>
      <c r="AB2158" s="73"/>
      <c r="AC2158" s="73"/>
      <c r="AD2158" s="73"/>
      <c r="AE2158" s="73"/>
      <c r="AF2158" s="73"/>
      <c r="AG2158" s="73"/>
      <c r="AH2158" s="73"/>
      <c r="AI2158" s="73"/>
      <c r="AJ2158" s="161"/>
      <c r="AK2158" s="236"/>
      <c r="AL2158" s="269"/>
      <c r="AM2158" s="161"/>
      <c r="AN2158" s="161"/>
      <c r="AO2158" s="161"/>
      <c r="AP2158" s="161"/>
      <c r="AQ2158" s="161"/>
      <c r="AR2158" s="161"/>
      <c r="AS2158" s="161"/>
      <c r="AT2158" s="161"/>
      <c r="AU2158" s="89"/>
      <c r="AV2158" s="162"/>
      <c r="AW2158" s="73"/>
    </row>
    <row r="2159" ht="15.75" customHeight="1">
      <c r="A2159" s="216"/>
      <c r="B2159" s="73"/>
      <c r="C2159" s="216"/>
      <c r="D2159" s="241"/>
      <c r="E2159" s="241"/>
      <c r="F2159" s="89"/>
      <c r="G2159" s="476"/>
      <c r="H2159" s="73"/>
      <c r="I2159" s="551"/>
      <c r="J2159" s="476"/>
      <c r="K2159" s="69"/>
      <c r="L2159" s="61"/>
      <c r="M2159" s="61"/>
      <c r="N2159" s="73"/>
      <c r="O2159" s="66"/>
      <c r="P2159" s="67"/>
      <c r="Q2159" s="67"/>
      <c r="R2159" s="67"/>
      <c r="S2159" s="67"/>
      <c r="T2159" s="161"/>
      <c r="U2159" s="69"/>
      <c r="V2159" s="73"/>
      <c r="W2159" s="71"/>
      <c r="X2159" s="194"/>
      <c r="Y2159" s="216"/>
      <c r="Z2159" s="73"/>
      <c r="AA2159" s="73"/>
      <c r="AB2159" s="73"/>
      <c r="AC2159" s="73"/>
      <c r="AD2159" s="73"/>
      <c r="AE2159" s="73"/>
      <c r="AF2159" s="73"/>
      <c r="AG2159" s="73"/>
      <c r="AH2159" s="73"/>
      <c r="AI2159" s="73"/>
      <c r="AJ2159" s="161"/>
      <c r="AK2159" s="236"/>
      <c r="AL2159" s="269"/>
      <c r="AM2159" s="161"/>
      <c r="AN2159" s="161"/>
      <c r="AO2159" s="161"/>
      <c r="AP2159" s="161"/>
      <c r="AQ2159" s="161"/>
      <c r="AR2159" s="161"/>
      <c r="AS2159" s="161"/>
      <c r="AT2159" s="161"/>
      <c r="AU2159" s="89"/>
      <c r="AV2159" s="162"/>
      <c r="AW2159" s="73"/>
    </row>
    <row r="2160" ht="15.75" customHeight="1">
      <c r="A2160" s="216"/>
      <c r="B2160" s="73"/>
      <c r="C2160" s="216"/>
      <c r="D2160" s="241"/>
      <c r="E2160" s="241"/>
      <c r="F2160" s="89"/>
      <c r="G2160" s="476"/>
      <c r="H2160" s="73"/>
      <c r="I2160" s="551"/>
      <c r="J2160" s="476"/>
      <c r="K2160" s="69"/>
      <c r="L2160" s="61"/>
      <c r="M2160" s="61"/>
      <c r="N2160" s="73"/>
      <c r="O2160" s="66"/>
      <c r="P2160" s="67"/>
      <c r="Q2160" s="67"/>
      <c r="R2160" s="67"/>
      <c r="S2160" s="67"/>
      <c r="T2160" s="161"/>
      <c r="U2160" s="69"/>
      <c r="V2160" s="73"/>
      <c r="W2160" s="71"/>
      <c r="X2160" s="194"/>
      <c r="Y2160" s="216"/>
      <c r="Z2160" s="73"/>
      <c r="AA2160" s="73"/>
      <c r="AB2160" s="73"/>
      <c r="AC2160" s="73"/>
      <c r="AD2160" s="73"/>
      <c r="AE2160" s="73"/>
      <c r="AF2160" s="73"/>
      <c r="AG2160" s="73"/>
      <c r="AH2160" s="73"/>
      <c r="AI2160" s="73"/>
      <c r="AJ2160" s="161"/>
      <c r="AK2160" s="236"/>
      <c r="AL2160" s="269"/>
      <c r="AM2160" s="161"/>
      <c r="AN2160" s="161"/>
      <c r="AO2160" s="161"/>
      <c r="AP2160" s="161"/>
      <c r="AQ2160" s="161"/>
      <c r="AR2160" s="161"/>
      <c r="AS2160" s="161"/>
      <c r="AT2160" s="161"/>
      <c r="AU2160" s="89"/>
      <c r="AV2160" s="162"/>
      <c r="AW2160" s="73"/>
    </row>
    <row r="2161" ht="15.75" customHeight="1">
      <c r="A2161" s="216"/>
      <c r="B2161" s="73"/>
      <c r="C2161" s="216"/>
      <c r="D2161" s="241"/>
      <c r="E2161" s="241"/>
      <c r="F2161" s="89"/>
      <c r="G2161" s="476"/>
      <c r="H2161" s="73"/>
      <c r="I2161" s="551"/>
      <c r="J2161" s="476"/>
      <c r="K2161" s="69"/>
      <c r="L2161" s="61"/>
      <c r="M2161" s="61"/>
      <c r="N2161" s="73"/>
      <c r="O2161" s="66"/>
      <c r="P2161" s="67"/>
      <c r="Q2161" s="67"/>
      <c r="R2161" s="67"/>
      <c r="S2161" s="67"/>
      <c r="T2161" s="161"/>
      <c r="U2161" s="69"/>
      <c r="V2161" s="73"/>
      <c r="W2161" s="71"/>
      <c r="X2161" s="194"/>
      <c r="Y2161" s="216"/>
      <c r="Z2161" s="73"/>
      <c r="AA2161" s="73"/>
      <c r="AB2161" s="73"/>
      <c r="AC2161" s="73"/>
      <c r="AD2161" s="73"/>
      <c r="AE2161" s="73"/>
      <c r="AF2161" s="73"/>
      <c r="AG2161" s="73"/>
      <c r="AH2161" s="73"/>
      <c r="AI2161" s="73"/>
      <c r="AJ2161" s="161"/>
      <c r="AK2161" s="236"/>
      <c r="AL2161" s="269"/>
      <c r="AM2161" s="161"/>
      <c r="AN2161" s="161"/>
      <c r="AO2161" s="161"/>
      <c r="AP2161" s="161"/>
      <c r="AQ2161" s="161"/>
      <c r="AR2161" s="161"/>
      <c r="AS2161" s="161"/>
      <c r="AT2161" s="161"/>
      <c r="AU2161" s="89"/>
      <c r="AV2161" s="162"/>
      <c r="AW2161" s="73"/>
    </row>
    <row r="2162" ht="15.75" customHeight="1">
      <c r="A2162" s="216"/>
      <c r="B2162" s="73"/>
      <c r="C2162" s="216"/>
      <c r="D2162" s="241"/>
      <c r="E2162" s="241"/>
      <c r="F2162" s="89"/>
      <c r="G2162" s="476"/>
      <c r="H2162" s="73"/>
      <c r="I2162" s="551"/>
      <c r="J2162" s="476"/>
      <c r="K2162" s="69"/>
      <c r="L2162" s="61"/>
      <c r="M2162" s="61"/>
      <c r="N2162" s="73"/>
      <c r="O2162" s="66"/>
      <c r="P2162" s="67"/>
      <c r="Q2162" s="67"/>
      <c r="R2162" s="67"/>
      <c r="S2162" s="67"/>
      <c r="T2162" s="161"/>
      <c r="U2162" s="69"/>
      <c r="V2162" s="73"/>
      <c r="W2162" s="71"/>
      <c r="X2162" s="194"/>
      <c r="Y2162" s="216"/>
      <c r="Z2162" s="73"/>
      <c r="AA2162" s="73"/>
      <c r="AB2162" s="73"/>
      <c r="AC2162" s="73"/>
      <c r="AD2162" s="73"/>
      <c r="AE2162" s="73"/>
      <c r="AF2162" s="73"/>
      <c r="AG2162" s="73"/>
      <c r="AH2162" s="73"/>
      <c r="AI2162" s="73"/>
      <c r="AJ2162" s="161"/>
      <c r="AK2162" s="236"/>
      <c r="AL2162" s="269"/>
      <c r="AM2162" s="161"/>
      <c r="AN2162" s="161"/>
      <c r="AO2162" s="161"/>
      <c r="AP2162" s="161"/>
      <c r="AQ2162" s="161"/>
      <c r="AR2162" s="161"/>
      <c r="AS2162" s="161"/>
      <c r="AT2162" s="161"/>
      <c r="AU2162" s="89"/>
      <c r="AV2162" s="162"/>
      <c r="AW2162" s="73"/>
    </row>
    <row r="2163" ht="15.75" customHeight="1">
      <c r="A2163" s="216"/>
      <c r="B2163" s="73"/>
      <c r="C2163" s="216"/>
      <c r="D2163" s="241"/>
      <c r="E2163" s="241"/>
      <c r="F2163" s="89"/>
      <c r="G2163" s="476"/>
      <c r="H2163" s="73"/>
      <c r="I2163" s="551"/>
      <c r="J2163" s="476"/>
      <c r="K2163" s="69"/>
      <c r="L2163" s="61"/>
      <c r="M2163" s="61"/>
      <c r="N2163" s="73"/>
      <c r="O2163" s="66"/>
      <c r="P2163" s="67"/>
      <c r="Q2163" s="67"/>
      <c r="R2163" s="67"/>
      <c r="S2163" s="67"/>
      <c r="T2163" s="161"/>
      <c r="U2163" s="69"/>
      <c r="V2163" s="73"/>
      <c r="W2163" s="71"/>
      <c r="X2163" s="194"/>
      <c r="Y2163" s="216"/>
      <c r="Z2163" s="73"/>
      <c r="AA2163" s="73"/>
      <c r="AB2163" s="73"/>
      <c r="AC2163" s="73"/>
      <c r="AD2163" s="73"/>
      <c r="AE2163" s="73"/>
      <c r="AF2163" s="73"/>
      <c r="AG2163" s="73"/>
      <c r="AH2163" s="73"/>
      <c r="AI2163" s="73"/>
      <c r="AJ2163" s="161"/>
      <c r="AK2163" s="236"/>
      <c r="AL2163" s="269"/>
      <c r="AM2163" s="161"/>
      <c r="AN2163" s="161"/>
      <c r="AO2163" s="161"/>
      <c r="AP2163" s="161"/>
      <c r="AQ2163" s="161"/>
      <c r="AR2163" s="161"/>
      <c r="AS2163" s="161"/>
      <c r="AT2163" s="161"/>
      <c r="AU2163" s="89"/>
      <c r="AV2163" s="162"/>
      <c r="AW2163" s="73"/>
    </row>
    <row r="2164" ht="15.75" customHeight="1">
      <c r="A2164" s="216"/>
      <c r="B2164" s="73"/>
      <c r="C2164" s="216"/>
      <c r="D2164" s="241"/>
      <c r="E2164" s="241"/>
      <c r="F2164" s="89"/>
      <c r="G2164" s="476"/>
      <c r="H2164" s="73"/>
      <c r="I2164" s="551"/>
      <c r="J2164" s="476"/>
      <c r="K2164" s="69"/>
      <c r="L2164" s="61"/>
      <c r="M2164" s="61"/>
      <c r="N2164" s="73"/>
      <c r="O2164" s="66"/>
      <c r="P2164" s="67"/>
      <c r="Q2164" s="67"/>
      <c r="R2164" s="67"/>
      <c r="S2164" s="67"/>
      <c r="T2164" s="161"/>
      <c r="U2164" s="69"/>
      <c r="V2164" s="73"/>
      <c r="W2164" s="71"/>
      <c r="X2164" s="194"/>
      <c r="Y2164" s="216"/>
      <c r="Z2164" s="73"/>
      <c r="AA2164" s="73"/>
      <c r="AB2164" s="73"/>
      <c r="AC2164" s="73"/>
      <c r="AD2164" s="73"/>
      <c r="AE2164" s="73"/>
      <c r="AF2164" s="73"/>
      <c r="AG2164" s="73"/>
      <c r="AH2164" s="73"/>
      <c r="AI2164" s="73"/>
      <c r="AJ2164" s="161"/>
      <c r="AK2164" s="236"/>
      <c r="AL2164" s="269"/>
      <c r="AM2164" s="161"/>
      <c r="AN2164" s="161"/>
      <c r="AO2164" s="161"/>
      <c r="AP2164" s="161"/>
      <c r="AQ2164" s="161"/>
      <c r="AR2164" s="161"/>
      <c r="AS2164" s="161"/>
      <c r="AT2164" s="161"/>
      <c r="AU2164" s="89"/>
      <c r="AV2164" s="162"/>
      <c r="AW2164" s="73"/>
    </row>
    <row r="2165" ht="15.75" customHeight="1">
      <c r="A2165" s="216"/>
      <c r="B2165" s="73"/>
      <c r="C2165" s="216"/>
      <c r="D2165" s="241"/>
      <c r="E2165" s="241"/>
      <c r="F2165" s="89"/>
      <c r="G2165" s="476"/>
      <c r="H2165" s="73"/>
      <c r="I2165" s="551"/>
      <c r="J2165" s="476"/>
      <c r="K2165" s="69"/>
      <c r="L2165" s="61"/>
      <c r="M2165" s="61"/>
      <c r="N2165" s="73"/>
      <c r="O2165" s="66"/>
      <c r="P2165" s="67"/>
      <c r="Q2165" s="67"/>
      <c r="R2165" s="67"/>
      <c r="S2165" s="67"/>
      <c r="T2165" s="161"/>
      <c r="U2165" s="69"/>
      <c r="V2165" s="73"/>
      <c r="W2165" s="71"/>
      <c r="X2165" s="194"/>
      <c r="Y2165" s="216"/>
      <c r="Z2165" s="73"/>
      <c r="AA2165" s="73"/>
      <c r="AB2165" s="73"/>
      <c r="AC2165" s="73"/>
      <c r="AD2165" s="73"/>
      <c r="AE2165" s="73"/>
      <c r="AF2165" s="73"/>
      <c r="AG2165" s="73"/>
      <c r="AH2165" s="73"/>
      <c r="AI2165" s="73"/>
      <c r="AJ2165" s="161"/>
      <c r="AK2165" s="236"/>
      <c r="AL2165" s="269"/>
      <c r="AM2165" s="161"/>
      <c r="AN2165" s="161"/>
      <c r="AO2165" s="161"/>
      <c r="AP2165" s="161"/>
      <c r="AQ2165" s="161"/>
      <c r="AR2165" s="161"/>
      <c r="AS2165" s="161"/>
      <c r="AT2165" s="161"/>
      <c r="AU2165" s="89"/>
      <c r="AV2165" s="162"/>
      <c r="AW2165" s="73"/>
    </row>
    <row r="2166" ht="15.75" customHeight="1">
      <c r="A2166" s="216"/>
      <c r="B2166" s="73"/>
      <c r="C2166" s="216"/>
      <c r="D2166" s="241"/>
      <c r="E2166" s="241"/>
      <c r="F2166" s="89"/>
      <c r="G2166" s="476"/>
      <c r="H2166" s="73"/>
      <c r="I2166" s="551"/>
      <c r="J2166" s="476"/>
      <c r="K2166" s="69"/>
      <c r="L2166" s="61"/>
      <c r="M2166" s="61"/>
      <c r="N2166" s="73"/>
      <c r="O2166" s="66"/>
      <c r="P2166" s="67"/>
      <c r="Q2166" s="67"/>
      <c r="R2166" s="67"/>
      <c r="S2166" s="67"/>
      <c r="T2166" s="161"/>
      <c r="U2166" s="69"/>
      <c r="V2166" s="73"/>
      <c r="W2166" s="71"/>
      <c r="X2166" s="194"/>
      <c r="Y2166" s="216"/>
      <c r="Z2166" s="73"/>
      <c r="AA2166" s="73"/>
      <c r="AB2166" s="73"/>
      <c r="AC2166" s="73"/>
      <c r="AD2166" s="73"/>
      <c r="AE2166" s="73"/>
      <c r="AF2166" s="73"/>
      <c r="AG2166" s="73"/>
      <c r="AH2166" s="73"/>
      <c r="AI2166" s="73"/>
      <c r="AJ2166" s="161"/>
      <c r="AK2166" s="236"/>
      <c r="AL2166" s="269"/>
      <c r="AM2166" s="161"/>
      <c r="AN2166" s="161"/>
      <c r="AO2166" s="161"/>
      <c r="AP2166" s="161"/>
      <c r="AQ2166" s="161"/>
      <c r="AR2166" s="161"/>
      <c r="AS2166" s="161"/>
      <c r="AT2166" s="161"/>
      <c r="AU2166" s="89"/>
      <c r="AV2166" s="162"/>
      <c r="AW2166" s="73"/>
    </row>
    <row r="2167" ht="15.75" customHeight="1">
      <c r="A2167" s="216"/>
      <c r="B2167" s="73"/>
      <c r="C2167" s="216"/>
      <c r="D2167" s="241"/>
      <c r="E2167" s="241"/>
      <c r="F2167" s="89"/>
      <c r="G2167" s="476"/>
      <c r="H2167" s="73"/>
      <c r="I2167" s="551"/>
      <c r="J2167" s="476"/>
      <c r="K2167" s="69"/>
      <c r="L2167" s="61"/>
      <c r="M2167" s="61"/>
      <c r="N2167" s="73"/>
      <c r="O2167" s="66"/>
      <c r="P2167" s="67"/>
      <c r="Q2167" s="67"/>
      <c r="R2167" s="67"/>
      <c r="S2167" s="67"/>
      <c r="T2167" s="161"/>
      <c r="U2167" s="69"/>
      <c r="V2167" s="73"/>
      <c r="W2167" s="71"/>
      <c r="X2167" s="194"/>
      <c r="Y2167" s="216"/>
      <c r="Z2167" s="73"/>
      <c r="AA2167" s="73"/>
      <c r="AB2167" s="73"/>
      <c r="AC2167" s="73"/>
      <c r="AD2167" s="73"/>
      <c r="AE2167" s="73"/>
      <c r="AF2167" s="73"/>
      <c r="AG2167" s="73"/>
      <c r="AH2167" s="73"/>
      <c r="AI2167" s="73"/>
      <c r="AJ2167" s="161"/>
      <c r="AK2167" s="236"/>
      <c r="AL2167" s="269"/>
      <c r="AM2167" s="161"/>
      <c r="AN2167" s="161"/>
      <c r="AO2167" s="161"/>
      <c r="AP2167" s="161"/>
      <c r="AQ2167" s="161"/>
      <c r="AR2167" s="161"/>
      <c r="AS2167" s="161"/>
      <c r="AT2167" s="161"/>
      <c r="AU2167" s="89"/>
      <c r="AV2167" s="162"/>
      <c r="AW2167" s="73"/>
    </row>
    <row r="2168" ht="15.75" customHeight="1">
      <c r="A2168" s="216"/>
      <c r="B2168" s="73"/>
      <c r="C2168" s="216"/>
      <c r="D2168" s="241"/>
      <c r="E2168" s="241"/>
      <c r="F2168" s="89"/>
      <c r="G2168" s="476"/>
      <c r="H2168" s="73"/>
      <c r="I2168" s="551"/>
      <c r="J2168" s="476"/>
      <c r="K2168" s="69"/>
      <c r="L2168" s="61"/>
      <c r="M2168" s="61"/>
      <c r="N2168" s="73"/>
      <c r="O2168" s="66"/>
      <c r="P2168" s="67"/>
      <c r="Q2168" s="67"/>
      <c r="R2168" s="67"/>
      <c r="S2168" s="67"/>
      <c r="T2168" s="161"/>
      <c r="U2168" s="69"/>
      <c r="V2168" s="73"/>
      <c r="W2168" s="71"/>
      <c r="X2168" s="194"/>
      <c r="Y2168" s="216"/>
      <c r="Z2168" s="73"/>
      <c r="AA2168" s="73"/>
      <c r="AB2168" s="73"/>
      <c r="AC2168" s="73"/>
      <c r="AD2168" s="73"/>
      <c r="AE2168" s="73"/>
      <c r="AF2168" s="73"/>
      <c r="AG2168" s="73"/>
      <c r="AH2168" s="73"/>
      <c r="AI2168" s="73"/>
      <c r="AJ2168" s="161"/>
      <c r="AK2168" s="236"/>
      <c r="AL2168" s="269"/>
      <c r="AM2168" s="161"/>
      <c r="AN2168" s="161"/>
      <c r="AO2168" s="161"/>
      <c r="AP2168" s="161"/>
      <c r="AQ2168" s="161"/>
      <c r="AR2168" s="161"/>
      <c r="AS2168" s="161"/>
      <c r="AT2168" s="161"/>
      <c r="AU2168" s="89"/>
      <c r="AV2168" s="162"/>
      <c r="AW2168" s="73"/>
    </row>
    <row r="2169" ht="15.75" customHeight="1">
      <c r="A2169" s="216"/>
      <c r="B2169" s="73"/>
      <c r="C2169" s="216"/>
      <c r="D2169" s="241"/>
      <c r="E2169" s="241"/>
      <c r="F2169" s="89"/>
      <c r="G2169" s="476"/>
      <c r="H2169" s="73"/>
      <c r="I2169" s="551"/>
      <c r="J2169" s="476"/>
      <c r="K2169" s="69"/>
      <c r="L2169" s="61"/>
      <c r="M2169" s="61"/>
      <c r="N2169" s="73"/>
      <c r="O2169" s="66"/>
      <c r="P2169" s="67"/>
      <c r="Q2169" s="67"/>
      <c r="R2169" s="67"/>
      <c r="S2169" s="67"/>
      <c r="T2169" s="161"/>
      <c r="U2169" s="69"/>
      <c r="V2169" s="73"/>
      <c r="W2169" s="71"/>
      <c r="X2169" s="194"/>
      <c r="Y2169" s="216"/>
      <c r="Z2169" s="73"/>
      <c r="AA2169" s="73"/>
      <c r="AB2169" s="73"/>
      <c r="AC2169" s="73"/>
      <c r="AD2169" s="73"/>
      <c r="AE2169" s="73"/>
      <c r="AF2169" s="73"/>
      <c r="AG2169" s="73"/>
      <c r="AH2169" s="73"/>
      <c r="AI2169" s="73"/>
      <c r="AJ2169" s="161"/>
      <c r="AK2169" s="236"/>
      <c r="AL2169" s="269"/>
      <c r="AM2169" s="161"/>
      <c r="AN2169" s="161"/>
      <c r="AO2169" s="161"/>
      <c r="AP2169" s="161"/>
      <c r="AQ2169" s="161"/>
      <c r="AR2169" s="161"/>
      <c r="AS2169" s="161"/>
      <c r="AT2169" s="161"/>
      <c r="AU2169" s="89"/>
      <c r="AV2169" s="162"/>
      <c r="AW2169" s="73"/>
    </row>
    <row r="2170" ht="15.75" customHeight="1">
      <c r="A2170" s="216"/>
      <c r="B2170" s="73"/>
      <c r="C2170" s="216"/>
      <c r="D2170" s="241"/>
      <c r="E2170" s="241"/>
      <c r="F2170" s="89"/>
      <c r="G2170" s="476"/>
      <c r="H2170" s="73"/>
      <c r="I2170" s="551"/>
      <c r="J2170" s="476"/>
      <c r="K2170" s="69"/>
      <c r="L2170" s="61"/>
      <c r="M2170" s="61"/>
      <c r="N2170" s="73"/>
      <c r="O2170" s="66"/>
      <c r="P2170" s="67"/>
      <c r="Q2170" s="67"/>
      <c r="R2170" s="67"/>
      <c r="S2170" s="67"/>
      <c r="T2170" s="161"/>
      <c r="U2170" s="69"/>
      <c r="V2170" s="73"/>
      <c r="W2170" s="71"/>
      <c r="X2170" s="194"/>
      <c r="Y2170" s="216"/>
      <c r="Z2170" s="73"/>
      <c r="AA2170" s="73"/>
      <c r="AB2170" s="73"/>
      <c r="AC2170" s="73"/>
      <c r="AD2170" s="73"/>
      <c r="AE2170" s="73"/>
      <c r="AF2170" s="73"/>
      <c r="AG2170" s="73"/>
      <c r="AH2170" s="73"/>
      <c r="AI2170" s="73"/>
      <c r="AJ2170" s="161"/>
      <c r="AK2170" s="236"/>
      <c r="AL2170" s="269"/>
      <c r="AM2170" s="161"/>
      <c r="AN2170" s="161"/>
      <c r="AO2170" s="161"/>
      <c r="AP2170" s="161"/>
      <c r="AQ2170" s="161"/>
      <c r="AR2170" s="161"/>
      <c r="AS2170" s="161"/>
      <c r="AT2170" s="161"/>
      <c r="AU2170" s="89"/>
      <c r="AV2170" s="162"/>
      <c r="AW2170" s="73"/>
    </row>
    <row r="2171" ht="15.75" customHeight="1">
      <c r="A2171" s="216"/>
      <c r="B2171" s="73"/>
      <c r="C2171" s="216"/>
      <c r="D2171" s="241"/>
      <c r="E2171" s="241"/>
      <c r="F2171" s="89"/>
      <c r="G2171" s="476"/>
      <c r="H2171" s="73"/>
      <c r="I2171" s="551"/>
      <c r="J2171" s="476"/>
      <c r="K2171" s="69"/>
      <c r="L2171" s="61"/>
      <c r="M2171" s="61"/>
      <c r="N2171" s="73"/>
      <c r="O2171" s="66"/>
      <c r="P2171" s="67"/>
      <c r="Q2171" s="67"/>
      <c r="R2171" s="67"/>
      <c r="S2171" s="67"/>
      <c r="T2171" s="161"/>
      <c r="U2171" s="69"/>
      <c r="V2171" s="73"/>
      <c r="W2171" s="71"/>
      <c r="X2171" s="194"/>
      <c r="Y2171" s="216"/>
      <c r="Z2171" s="73"/>
      <c r="AA2171" s="73"/>
      <c r="AB2171" s="73"/>
      <c r="AC2171" s="73"/>
      <c r="AD2171" s="73"/>
      <c r="AE2171" s="73"/>
      <c r="AF2171" s="73"/>
      <c r="AG2171" s="73"/>
      <c r="AH2171" s="73"/>
      <c r="AI2171" s="73"/>
      <c r="AJ2171" s="161"/>
      <c r="AK2171" s="236"/>
      <c r="AL2171" s="269"/>
      <c r="AM2171" s="161"/>
      <c r="AN2171" s="161"/>
      <c r="AO2171" s="161"/>
      <c r="AP2171" s="161"/>
      <c r="AQ2171" s="161"/>
      <c r="AR2171" s="161"/>
      <c r="AS2171" s="161"/>
      <c r="AT2171" s="161"/>
      <c r="AU2171" s="89"/>
      <c r="AV2171" s="162"/>
      <c r="AW2171" s="73"/>
    </row>
    <row r="2172" ht="15.75" customHeight="1">
      <c r="A2172" s="216"/>
      <c r="B2172" s="73"/>
      <c r="C2172" s="216"/>
      <c r="D2172" s="241"/>
      <c r="E2172" s="241"/>
      <c r="F2172" s="89"/>
      <c r="G2172" s="476"/>
      <c r="H2172" s="73"/>
      <c r="I2172" s="551"/>
      <c r="J2172" s="476"/>
      <c r="K2172" s="69"/>
      <c r="L2172" s="61"/>
      <c r="M2172" s="61"/>
      <c r="N2172" s="73"/>
      <c r="O2172" s="66"/>
      <c r="P2172" s="67"/>
      <c r="Q2172" s="67"/>
      <c r="R2172" s="67"/>
      <c r="S2172" s="67"/>
      <c r="T2172" s="161"/>
      <c r="U2172" s="69"/>
      <c r="V2172" s="73"/>
      <c r="W2172" s="71"/>
      <c r="X2172" s="194"/>
      <c r="Y2172" s="216"/>
      <c r="Z2172" s="73"/>
      <c r="AA2172" s="73"/>
      <c r="AB2172" s="73"/>
      <c r="AC2172" s="73"/>
      <c r="AD2172" s="73"/>
      <c r="AE2172" s="73"/>
      <c r="AF2172" s="73"/>
      <c r="AG2172" s="73"/>
      <c r="AH2172" s="73"/>
      <c r="AI2172" s="73"/>
      <c r="AJ2172" s="161"/>
      <c r="AK2172" s="236"/>
      <c r="AL2172" s="269"/>
      <c r="AM2172" s="161"/>
      <c r="AN2172" s="161"/>
      <c r="AO2172" s="161"/>
      <c r="AP2172" s="161"/>
      <c r="AQ2172" s="161"/>
      <c r="AR2172" s="161"/>
      <c r="AS2172" s="161"/>
      <c r="AT2172" s="161"/>
      <c r="AU2172" s="89"/>
      <c r="AV2172" s="162"/>
      <c r="AW2172" s="73"/>
    </row>
    <row r="2173" ht="15.75" customHeight="1">
      <c r="A2173" s="216"/>
      <c r="B2173" s="73"/>
      <c r="C2173" s="216"/>
      <c r="D2173" s="241"/>
      <c r="E2173" s="241"/>
      <c r="F2173" s="89"/>
      <c r="G2173" s="476"/>
      <c r="H2173" s="73"/>
      <c r="I2173" s="551"/>
      <c r="J2173" s="476"/>
      <c r="K2173" s="69"/>
      <c r="L2173" s="61"/>
      <c r="M2173" s="61"/>
      <c r="N2173" s="73"/>
      <c r="O2173" s="66"/>
      <c r="P2173" s="67"/>
      <c r="Q2173" s="67"/>
      <c r="R2173" s="67"/>
      <c r="S2173" s="67"/>
      <c r="T2173" s="161"/>
      <c r="U2173" s="69"/>
      <c r="V2173" s="73"/>
      <c r="W2173" s="71"/>
      <c r="X2173" s="194"/>
      <c r="Y2173" s="216"/>
      <c r="Z2173" s="73"/>
      <c r="AA2173" s="73"/>
      <c r="AB2173" s="73"/>
      <c r="AC2173" s="73"/>
      <c r="AD2173" s="73"/>
      <c r="AE2173" s="73"/>
      <c r="AF2173" s="73"/>
      <c r="AG2173" s="73"/>
      <c r="AH2173" s="73"/>
      <c r="AI2173" s="73"/>
      <c r="AJ2173" s="161"/>
      <c r="AK2173" s="236"/>
      <c r="AL2173" s="269"/>
      <c r="AM2173" s="161"/>
      <c r="AN2173" s="161"/>
      <c r="AO2173" s="161"/>
      <c r="AP2173" s="161"/>
      <c r="AQ2173" s="161"/>
      <c r="AR2173" s="161"/>
      <c r="AS2173" s="161"/>
      <c r="AT2173" s="161"/>
      <c r="AU2173" s="89"/>
      <c r="AV2173" s="162"/>
      <c r="AW2173" s="73"/>
    </row>
    <row r="2174" ht="15.75" customHeight="1">
      <c r="A2174" s="216"/>
      <c r="B2174" s="73"/>
      <c r="C2174" s="216"/>
      <c r="D2174" s="241"/>
      <c r="E2174" s="241"/>
      <c r="F2174" s="89"/>
      <c r="G2174" s="476"/>
      <c r="H2174" s="73"/>
      <c r="I2174" s="551"/>
      <c r="J2174" s="476"/>
      <c r="K2174" s="69"/>
      <c r="L2174" s="61"/>
      <c r="M2174" s="61"/>
      <c r="N2174" s="73"/>
      <c r="O2174" s="66"/>
      <c r="P2174" s="67"/>
      <c r="Q2174" s="67"/>
      <c r="R2174" s="67"/>
      <c r="S2174" s="67"/>
      <c r="T2174" s="161"/>
      <c r="U2174" s="69"/>
      <c r="V2174" s="73"/>
      <c r="W2174" s="71"/>
      <c r="X2174" s="194"/>
      <c r="Y2174" s="216"/>
      <c r="Z2174" s="73"/>
      <c r="AA2174" s="73"/>
      <c r="AB2174" s="73"/>
      <c r="AC2174" s="73"/>
      <c r="AD2174" s="73"/>
      <c r="AE2174" s="73"/>
      <c r="AF2174" s="73"/>
      <c r="AG2174" s="73"/>
      <c r="AH2174" s="73"/>
      <c r="AI2174" s="73"/>
      <c r="AJ2174" s="161"/>
      <c r="AK2174" s="236"/>
      <c r="AL2174" s="269"/>
      <c r="AM2174" s="161"/>
      <c r="AN2174" s="161"/>
      <c r="AO2174" s="161"/>
      <c r="AP2174" s="161"/>
      <c r="AQ2174" s="161"/>
      <c r="AR2174" s="161"/>
      <c r="AS2174" s="161"/>
      <c r="AT2174" s="161"/>
      <c r="AU2174" s="89"/>
      <c r="AV2174" s="162"/>
      <c r="AW2174" s="73"/>
    </row>
    <row r="2175" ht="15.75" customHeight="1">
      <c r="A2175" s="216"/>
      <c r="B2175" s="73"/>
      <c r="C2175" s="216"/>
      <c r="D2175" s="241"/>
      <c r="E2175" s="241"/>
      <c r="F2175" s="89"/>
      <c r="G2175" s="476"/>
      <c r="H2175" s="73"/>
      <c r="I2175" s="551"/>
      <c r="J2175" s="476"/>
      <c r="K2175" s="69"/>
      <c r="L2175" s="61"/>
      <c r="M2175" s="61"/>
      <c r="N2175" s="73"/>
      <c r="O2175" s="66"/>
      <c r="P2175" s="67"/>
      <c r="Q2175" s="67"/>
      <c r="R2175" s="67"/>
      <c r="S2175" s="67"/>
      <c r="T2175" s="161"/>
      <c r="U2175" s="69"/>
      <c r="V2175" s="73"/>
      <c r="W2175" s="71"/>
      <c r="X2175" s="194"/>
      <c r="Y2175" s="216"/>
      <c r="Z2175" s="73"/>
      <c r="AA2175" s="73"/>
      <c r="AB2175" s="73"/>
      <c r="AC2175" s="73"/>
      <c r="AD2175" s="73"/>
      <c r="AE2175" s="73"/>
      <c r="AF2175" s="73"/>
      <c r="AG2175" s="73"/>
      <c r="AH2175" s="73"/>
      <c r="AI2175" s="73"/>
      <c r="AJ2175" s="161"/>
      <c r="AK2175" s="236"/>
      <c r="AL2175" s="269"/>
      <c r="AM2175" s="161"/>
      <c r="AN2175" s="161"/>
      <c r="AO2175" s="161"/>
      <c r="AP2175" s="161"/>
      <c r="AQ2175" s="161"/>
      <c r="AR2175" s="161"/>
      <c r="AS2175" s="161"/>
      <c r="AT2175" s="161"/>
      <c r="AU2175" s="89"/>
      <c r="AV2175" s="162"/>
      <c r="AW2175" s="73"/>
    </row>
    <row r="2176" ht="15.75" customHeight="1">
      <c r="A2176" s="216"/>
      <c r="B2176" s="73"/>
      <c r="C2176" s="216"/>
      <c r="D2176" s="241"/>
      <c r="E2176" s="241"/>
      <c r="F2176" s="89"/>
      <c r="G2176" s="476"/>
      <c r="H2176" s="73"/>
      <c r="I2176" s="551"/>
      <c r="J2176" s="476"/>
      <c r="K2176" s="69"/>
      <c r="L2176" s="61"/>
      <c r="M2176" s="61"/>
      <c r="N2176" s="73"/>
      <c r="O2176" s="66"/>
      <c r="P2176" s="67"/>
      <c r="Q2176" s="67"/>
      <c r="R2176" s="67"/>
      <c r="S2176" s="67"/>
      <c r="T2176" s="161"/>
      <c r="U2176" s="69"/>
      <c r="V2176" s="73"/>
      <c r="W2176" s="71"/>
      <c r="X2176" s="194"/>
      <c r="Y2176" s="216"/>
      <c r="Z2176" s="73"/>
      <c r="AA2176" s="73"/>
      <c r="AB2176" s="73"/>
      <c r="AC2176" s="73"/>
      <c r="AD2176" s="73"/>
      <c r="AE2176" s="73"/>
      <c r="AF2176" s="73"/>
      <c r="AG2176" s="73"/>
      <c r="AH2176" s="73"/>
      <c r="AI2176" s="73"/>
      <c r="AJ2176" s="161"/>
      <c r="AK2176" s="236"/>
      <c r="AL2176" s="269"/>
      <c r="AM2176" s="161"/>
      <c r="AN2176" s="161"/>
      <c r="AO2176" s="161"/>
      <c r="AP2176" s="161"/>
      <c r="AQ2176" s="161"/>
      <c r="AR2176" s="161"/>
      <c r="AS2176" s="161"/>
      <c r="AT2176" s="161"/>
      <c r="AU2176" s="89"/>
      <c r="AV2176" s="162"/>
      <c r="AW2176" s="73"/>
    </row>
    <row r="2177" ht="15.75" customHeight="1">
      <c r="A2177" s="216"/>
      <c r="B2177" s="73"/>
      <c r="C2177" s="216"/>
      <c r="D2177" s="241"/>
      <c r="E2177" s="241"/>
      <c r="F2177" s="89"/>
      <c r="G2177" s="476"/>
      <c r="H2177" s="73"/>
      <c r="I2177" s="551"/>
      <c r="J2177" s="476"/>
      <c r="K2177" s="69"/>
      <c r="L2177" s="61"/>
      <c r="M2177" s="61"/>
      <c r="N2177" s="73"/>
      <c r="O2177" s="66"/>
      <c r="P2177" s="67"/>
      <c r="Q2177" s="67"/>
      <c r="R2177" s="67"/>
      <c r="S2177" s="67"/>
      <c r="T2177" s="161"/>
      <c r="U2177" s="69"/>
      <c r="V2177" s="73"/>
      <c r="W2177" s="71"/>
      <c r="X2177" s="194"/>
      <c r="Y2177" s="216"/>
      <c r="Z2177" s="73"/>
      <c r="AA2177" s="73"/>
      <c r="AB2177" s="73"/>
      <c r="AC2177" s="73"/>
      <c r="AD2177" s="73"/>
      <c r="AE2177" s="73"/>
      <c r="AF2177" s="73"/>
      <c r="AG2177" s="73"/>
      <c r="AH2177" s="73"/>
      <c r="AI2177" s="73"/>
      <c r="AJ2177" s="161"/>
      <c r="AK2177" s="236"/>
      <c r="AL2177" s="269"/>
      <c r="AM2177" s="161"/>
      <c r="AN2177" s="161"/>
      <c r="AO2177" s="161"/>
      <c r="AP2177" s="161"/>
      <c r="AQ2177" s="161"/>
      <c r="AR2177" s="161"/>
      <c r="AS2177" s="161"/>
      <c r="AT2177" s="161"/>
      <c r="AU2177" s="89"/>
      <c r="AV2177" s="162"/>
      <c r="AW2177" s="73"/>
    </row>
    <row r="2178" ht="15.75" customHeight="1">
      <c r="A2178" s="216"/>
      <c r="B2178" s="73"/>
      <c r="C2178" s="216"/>
      <c r="D2178" s="241"/>
      <c r="E2178" s="241"/>
      <c r="F2178" s="89"/>
      <c r="G2178" s="476"/>
      <c r="H2178" s="73"/>
      <c r="I2178" s="551"/>
      <c r="J2178" s="476"/>
      <c r="K2178" s="69"/>
      <c r="L2178" s="61"/>
      <c r="M2178" s="61"/>
      <c r="N2178" s="73"/>
      <c r="O2178" s="66"/>
      <c r="P2178" s="67"/>
      <c r="Q2178" s="67"/>
      <c r="R2178" s="67"/>
      <c r="S2178" s="67"/>
      <c r="T2178" s="161"/>
      <c r="U2178" s="69"/>
      <c r="V2178" s="73"/>
      <c r="W2178" s="71"/>
      <c r="X2178" s="194"/>
      <c r="Y2178" s="216"/>
      <c r="Z2178" s="73"/>
      <c r="AA2178" s="73"/>
      <c r="AB2178" s="73"/>
      <c r="AC2178" s="73"/>
      <c r="AD2178" s="73"/>
      <c r="AE2178" s="73"/>
      <c r="AF2178" s="73"/>
      <c r="AG2178" s="73"/>
      <c r="AH2178" s="73"/>
      <c r="AI2178" s="73"/>
      <c r="AJ2178" s="161"/>
      <c r="AK2178" s="236"/>
      <c r="AL2178" s="269"/>
      <c r="AM2178" s="161"/>
      <c r="AN2178" s="161"/>
      <c r="AO2178" s="161"/>
      <c r="AP2178" s="161"/>
      <c r="AQ2178" s="161"/>
      <c r="AR2178" s="161"/>
      <c r="AS2178" s="161"/>
      <c r="AT2178" s="161"/>
      <c r="AU2178" s="89"/>
      <c r="AV2178" s="162"/>
      <c r="AW2178" s="73"/>
    </row>
    <row r="2179" ht="15.75" customHeight="1">
      <c r="A2179" s="216"/>
      <c r="B2179" s="73"/>
      <c r="C2179" s="216"/>
      <c r="D2179" s="241"/>
      <c r="E2179" s="241"/>
      <c r="F2179" s="89"/>
      <c r="G2179" s="476"/>
      <c r="H2179" s="73"/>
      <c r="I2179" s="551"/>
      <c r="J2179" s="476"/>
      <c r="K2179" s="69"/>
      <c r="L2179" s="61"/>
      <c r="M2179" s="61"/>
      <c r="N2179" s="73"/>
      <c r="O2179" s="66"/>
      <c r="P2179" s="67"/>
      <c r="Q2179" s="67"/>
      <c r="R2179" s="67"/>
      <c r="S2179" s="67"/>
      <c r="T2179" s="161"/>
      <c r="U2179" s="69"/>
      <c r="V2179" s="73"/>
      <c r="W2179" s="71"/>
      <c r="X2179" s="194"/>
      <c r="Y2179" s="216"/>
      <c r="Z2179" s="73"/>
      <c r="AA2179" s="73"/>
      <c r="AB2179" s="73"/>
      <c r="AC2179" s="73"/>
      <c r="AD2179" s="73"/>
      <c r="AE2179" s="73"/>
      <c r="AF2179" s="73"/>
      <c r="AG2179" s="73"/>
      <c r="AH2179" s="73"/>
      <c r="AI2179" s="73"/>
      <c r="AJ2179" s="161"/>
      <c r="AK2179" s="236"/>
      <c r="AL2179" s="269"/>
      <c r="AM2179" s="161"/>
      <c r="AN2179" s="161"/>
      <c r="AO2179" s="161"/>
      <c r="AP2179" s="161"/>
      <c r="AQ2179" s="161"/>
      <c r="AR2179" s="161"/>
      <c r="AS2179" s="161"/>
      <c r="AT2179" s="161"/>
      <c r="AU2179" s="89"/>
      <c r="AV2179" s="162"/>
      <c r="AW2179" s="73"/>
    </row>
    <row r="2180" ht="15.75" customHeight="1">
      <c r="A2180" s="216"/>
      <c r="B2180" s="73"/>
      <c r="C2180" s="216"/>
      <c r="D2180" s="241"/>
      <c r="E2180" s="241"/>
      <c r="F2180" s="89"/>
      <c r="G2180" s="476"/>
      <c r="H2180" s="73"/>
      <c r="I2180" s="551"/>
      <c r="J2180" s="476"/>
      <c r="K2180" s="69"/>
      <c r="L2180" s="61"/>
      <c r="M2180" s="61"/>
      <c r="N2180" s="73"/>
      <c r="O2180" s="66"/>
      <c r="P2180" s="67"/>
      <c r="Q2180" s="67"/>
      <c r="R2180" s="67"/>
      <c r="S2180" s="67"/>
      <c r="T2180" s="161"/>
      <c r="U2180" s="69"/>
      <c r="V2180" s="73"/>
      <c r="W2180" s="71"/>
      <c r="X2180" s="194"/>
      <c r="Y2180" s="216"/>
      <c r="Z2180" s="73"/>
      <c r="AA2180" s="73"/>
      <c r="AB2180" s="73"/>
      <c r="AC2180" s="73"/>
      <c r="AD2180" s="73"/>
      <c r="AE2180" s="73"/>
      <c r="AF2180" s="73"/>
      <c r="AG2180" s="73"/>
      <c r="AH2180" s="73"/>
      <c r="AI2180" s="73"/>
      <c r="AJ2180" s="161"/>
      <c r="AK2180" s="236"/>
      <c r="AL2180" s="269"/>
      <c r="AM2180" s="161"/>
      <c r="AN2180" s="161"/>
      <c r="AO2180" s="161"/>
      <c r="AP2180" s="161"/>
      <c r="AQ2180" s="161"/>
      <c r="AR2180" s="161"/>
      <c r="AS2180" s="161"/>
      <c r="AT2180" s="161"/>
      <c r="AU2180" s="89"/>
      <c r="AV2180" s="162"/>
      <c r="AW2180" s="73"/>
    </row>
    <row r="2181" ht="15.75" customHeight="1">
      <c r="A2181" s="216"/>
      <c r="B2181" s="73"/>
      <c r="C2181" s="216"/>
      <c r="D2181" s="241"/>
      <c r="E2181" s="241"/>
      <c r="F2181" s="89"/>
      <c r="G2181" s="476"/>
      <c r="H2181" s="73"/>
      <c r="I2181" s="551"/>
      <c r="J2181" s="476"/>
      <c r="K2181" s="69"/>
      <c r="L2181" s="61"/>
      <c r="M2181" s="61"/>
      <c r="N2181" s="73"/>
      <c r="O2181" s="66"/>
      <c r="P2181" s="67"/>
      <c r="Q2181" s="67"/>
      <c r="R2181" s="67"/>
      <c r="S2181" s="67"/>
      <c r="T2181" s="161"/>
      <c r="U2181" s="69"/>
      <c r="V2181" s="73"/>
      <c r="W2181" s="71"/>
      <c r="X2181" s="194"/>
      <c r="Y2181" s="216"/>
      <c r="Z2181" s="73"/>
      <c r="AA2181" s="73"/>
      <c r="AB2181" s="73"/>
      <c r="AC2181" s="73"/>
      <c r="AD2181" s="73"/>
      <c r="AE2181" s="73"/>
      <c r="AF2181" s="73"/>
      <c r="AG2181" s="73"/>
      <c r="AH2181" s="73"/>
      <c r="AI2181" s="73"/>
      <c r="AJ2181" s="161"/>
      <c r="AK2181" s="236"/>
      <c r="AL2181" s="269"/>
      <c r="AM2181" s="161"/>
      <c r="AN2181" s="161"/>
      <c r="AO2181" s="161"/>
      <c r="AP2181" s="161"/>
      <c r="AQ2181" s="161"/>
      <c r="AR2181" s="161"/>
      <c r="AS2181" s="161"/>
      <c r="AT2181" s="161"/>
      <c r="AU2181" s="89"/>
      <c r="AV2181" s="162"/>
      <c r="AW2181" s="73"/>
    </row>
    <row r="2182" ht="15.75" customHeight="1">
      <c r="A2182" s="216"/>
      <c r="B2182" s="73"/>
      <c r="C2182" s="216"/>
      <c r="D2182" s="241"/>
      <c r="E2182" s="241"/>
      <c r="F2182" s="89"/>
      <c r="G2182" s="476"/>
      <c r="H2182" s="73"/>
      <c r="I2182" s="551"/>
      <c r="J2182" s="476"/>
      <c r="K2182" s="69"/>
      <c r="L2182" s="61"/>
      <c r="M2182" s="61"/>
      <c r="N2182" s="73"/>
      <c r="O2182" s="66"/>
      <c r="P2182" s="67"/>
      <c r="Q2182" s="67"/>
      <c r="R2182" s="67"/>
      <c r="S2182" s="67"/>
      <c r="T2182" s="161"/>
      <c r="U2182" s="69"/>
      <c r="V2182" s="73"/>
      <c r="W2182" s="71"/>
      <c r="X2182" s="194"/>
      <c r="Y2182" s="216"/>
      <c r="Z2182" s="73"/>
      <c r="AA2182" s="73"/>
      <c r="AB2182" s="73"/>
      <c r="AC2182" s="73"/>
      <c r="AD2182" s="73"/>
      <c r="AE2182" s="73"/>
      <c r="AF2182" s="73"/>
      <c r="AG2182" s="73"/>
      <c r="AH2182" s="73"/>
      <c r="AI2182" s="73"/>
      <c r="AJ2182" s="161"/>
      <c r="AK2182" s="236"/>
      <c r="AL2182" s="269"/>
      <c r="AM2182" s="161"/>
      <c r="AN2182" s="161"/>
      <c r="AO2182" s="161"/>
      <c r="AP2182" s="161"/>
      <c r="AQ2182" s="161"/>
      <c r="AR2182" s="161"/>
      <c r="AS2182" s="161"/>
      <c r="AT2182" s="161"/>
      <c r="AU2182" s="89"/>
      <c r="AV2182" s="162"/>
      <c r="AW2182" s="73"/>
    </row>
    <row r="2183" ht="15.75" customHeight="1">
      <c r="A2183" s="216"/>
      <c r="B2183" s="73"/>
      <c r="C2183" s="216"/>
      <c r="D2183" s="241"/>
      <c r="E2183" s="241"/>
      <c r="F2183" s="89"/>
      <c r="G2183" s="476"/>
      <c r="H2183" s="73"/>
      <c r="I2183" s="551"/>
      <c r="J2183" s="476"/>
      <c r="K2183" s="69"/>
      <c r="L2183" s="61"/>
      <c r="M2183" s="61"/>
      <c r="N2183" s="73"/>
      <c r="O2183" s="66"/>
      <c r="P2183" s="67"/>
      <c r="Q2183" s="67"/>
      <c r="R2183" s="67"/>
      <c r="S2183" s="67"/>
      <c r="T2183" s="161"/>
      <c r="U2183" s="69"/>
      <c r="V2183" s="73"/>
      <c r="W2183" s="71"/>
      <c r="X2183" s="194"/>
      <c r="Y2183" s="216"/>
      <c r="Z2183" s="73"/>
      <c r="AA2183" s="73"/>
      <c r="AB2183" s="73"/>
      <c r="AC2183" s="73"/>
      <c r="AD2183" s="73"/>
      <c r="AE2183" s="73"/>
      <c r="AF2183" s="73"/>
      <c r="AG2183" s="73"/>
      <c r="AH2183" s="73"/>
      <c r="AI2183" s="73"/>
      <c r="AJ2183" s="161"/>
      <c r="AK2183" s="236"/>
      <c r="AL2183" s="269"/>
      <c r="AM2183" s="161"/>
      <c r="AN2183" s="161"/>
      <c r="AO2183" s="161"/>
      <c r="AP2183" s="161"/>
      <c r="AQ2183" s="161"/>
      <c r="AR2183" s="161"/>
      <c r="AS2183" s="161"/>
      <c r="AT2183" s="161"/>
      <c r="AU2183" s="89"/>
      <c r="AV2183" s="162"/>
      <c r="AW2183" s="73"/>
    </row>
    <row r="2184" ht="15.75" customHeight="1">
      <c r="A2184" s="216"/>
      <c r="B2184" s="73"/>
      <c r="C2184" s="216"/>
      <c r="D2184" s="241"/>
      <c r="E2184" s="241"/>
      <c r="F2184" s="89"/>
      <c r="G2184" s="476"/>
      <c r="H2184" s="73"/>
      <c r="I2184" s="551"/>
      <c r="J2184" s="476"/>
      <c r="K2184" s="69"/>
      <c r="L2184" s="61"/>
      <c r="M2184" s="61"/>
      <c r="N2184" s="73"/>
      <c r="O2184" s="66"/>
      <c r="P2184" s="67"/>
      <c r="Q2184" s="67"/>
      <c r="R2184" s="67"/>
      <c r="S2184" s="67"/>
      <c r="T2184" s="161"/>
      <c r="U2184" s="69"/>
      <c r="V2184" s="73"/>
      <c r="W2184" s="71"/>
      <c r="X2184" s="194"/>
      <c r="Y2184" s="216"/>
      <c r="Z2184" s="73"/>
      <c r="AA2184" s="73"/>
      <c r="AB2184" s="73"/>
      <c r="AC2184" s="73"/>
      <c r="AD2184" s="73"/>
      <c r="AE2184" s="73"/>
      <c r="AF2184" s="73"/>
      <c r="AG2184" s="73"/>
      <c r="AH2184" s="73"/>
      <c r="AI2184" s="73"/>
      <c r="AJ2184" s="161"/>
      <c r="AK2184" s="236"/>
      <c r="AL2184" s="269"/>
      <c r="AM2184" s="161"/>
      <c r="AN2184" s="161"/>
      <c r="AO2184" s="161"/>
      <c r="AP2184" s="161"/>
      <c r="AQ2184" s="161"/>
      <c r="AR2184" s="161"/>
      <c r="AS2184" s="161"/>
      <c r="AT2184" s="161"/>
      <c r="AU2184" s="89"/>
      <c r="AV2184" s="162"/>
      <c r="AW2184" s="73"/>
    </row>
    <row r="2185" ht="15.75" customHeight="1">
      <c r="A2185" s="216"/>
      <c r="B2185" s="73"/>
      <c r="C2185" s="216"/>
      <c r="D2185" s="241"/>
      <c r="E2185" s="241"/>
      <c r="F2185" s="89"/>
      <c r="G2185" s="476"/>
      <c r="H2185" s="73"/>
      <c r="I2185" s="551"/>
      <c r="J2185" s="476"/>
      <c r="K2185" s="69"/>
      <c r="L2185" s="61"/>
      <c r="M2185" s="61"/>
      <c r="N2185" s="73"/>
      <c r="O2185" s="66"/>
      <c r="P2185" s="67"/>
      <c r="Q2185" s="67"/>
      <c r="R2185" s="67"/>
      <c r="S2185" s="67"/>
      <c r="T2185" s="161"/>
      <c r="U2185" s="69"/>
      <c r="V2185" s="73"/>
      <c r="W2185" s="71"/>
      <c r="X2185" s="194"/>
      <c r="Y2185" s="216"/>
      <c r="Z2185" s="73"/>
      <c r="AA2185" s="73"/>
      <c r="AB2185" s="73"/>
      <c r="AC2185" s="73"/>
      <c r="AD2185" s="73"/>
      <c r="AE2185" s="73"/>
      <c r="AF2185" s="73"/>
      <c r="AG2185" s="73"/>
      <c r="AH2185" s="73"/>
      <c r="AI2185" s="73"/>
      <c r="AJ2185" s="161"/>
      <c r="AK2185" s="236"/>
      <c r="AL2185" s="269"/>
      <c r="AM2185" s="161"/>
      <c r="AN2185" s="161"/>
      <c r="AO2185" s="161"/>
      <c r="AP2185" s="161"/>
      <c r="AQ2185" s="161"/>
      <c r="AR2185" s="161"/>
      <c r="AS2185" s="161"/>
      <c r="AT2185" s="161"/>
      <c r="AU2185" s="89"/>
      <c r="AV2185" s="162"/>
      <c r="AW2185" s="73"/>
    </row>
    <row r="2186" ht="15.75" customHeight="1">
      <c r="A2186" s="216"/>
      <c r="B2186" s="73"/>
      <c r="C2186" s="216"/>
      <c r="D2186" s="241"/>
      <c r="E2186" s="241"/>
      <c r="F2186" s="89"/>
      <c r="G2186" s="476"/>
      <c r="H2186" s="73"/>
      <c r="I2186" s="551"/>
      <c r="J2186" s="476"/>
      <c r="K2186" s="69"/>
      <c r="L2186" s="61"/>
      <c r="M2186" s="61"/>
      <c r="N2186" s="73"/>
      <c r="O2186" s="66"/>
      <c r="P2186" s="67"/>
      <c r="Q2186" s="67"/>
      <c r="R2186" s="67"/>
      <c r="S2186" s="67"/>
      <c r="T2186" s="161"/>
      <c r="U2186" s="69"/>
      <c r="V2186" s="73"/>
      <c r="W2186" s="71"/>
      <c r="X2186" s="194"/>
      <c r="Y2186" s="216"/>
      <c r="Z2186" s="73"/>
      <c r="AA2186" s="73"/>
      <c r="AB2186" s="73"/>
      <c r="AC2186" s="73"/>
      <c r="AD2186" s="73"/>
      <c r="AE2186" s="73"/>
      <c r="AF2186" s="73"/>
      <c r="AG2186" s="73"/>
      <c r="AH2186" s="73"/>
      <c r="AI2186" s="73"/>
      <c r="AJ2186" s="161"/>
      <c r="AK2186" s="236"/>
      <c r="AL2186" s="269"/>
      <c r="AM2186" s="161"/>
      <c r="AN2186" s="161"/>
      <c r="AO2186" s="161"/>
      <c r="AP2186" s="161"/>
      <c r="AQ2186" s="161"/>
      <c r="AR2186" s="161"/>
      <c r="AS2186" s="161"/>
      <c r="AT2186" s="161"/>
      <c r="AU2186" s="89"/>
      <c r="AV2186" s="162"/>
      <c r="AW2186" s="73"/>
    </row>
    <row r="2187" ht="15.75" customHeight="1">
      <c r="A2187" s="216"/>
      <c r="B2187" s="73"/>
      <c r="C2187" s="216"/>
      <c r="D2187" s="241"/>
      <c r="E2187" s="241"/>
      <c r="F2187" s="89"/>
      <c r="G2187" s="476"/>
      <c r="H2187" s="73"/>
      <c r="I2187" s="551"/>
      <c r="J2187" s="476"/>
      <c r="K2187" s="69"/>
      <c r="L2187" s="61"/>
      <c r="M2187" s="61"/>
      <c r="N2187" s="73"/>
      <c r="O2187" s="66"/>
      <c r="P2187" s="67"/>
      <c r="Q2187" s="67"/>
      <c r="R2187" s="67"/>
      <c r="S2187" s="67"/>
      <c r="T2187" s="161"/>
      <c r="U2187" s="69"/>
      <c r="V2187" s="73"/>
      <c r="W2187" s="71"/>
      <c r="X2187" s="194"/>
      <c r="Y2187" s="216"/>
      <c r="Z2187" s="73"/>
      <c r="AA2187" s="73"/>
      <c r="AB2187" s="73"/>
      <c r="AC2187" s="73"/>
      <c r="AD2187" s="73"/>
      <c r="AE2187" s="73"/>
      <c r="AF2187" s="73"/>
      <c r="AG2187" s="73"/>
      <c r="AH2187" s="73"/>
      <c r="AI2187" s="73"/>
      <c r="AJ2187" s="161"/>
      <c r="AK2187" s="236"/>
      <c r="AL2187" s="269"/>
      <c r="AM2187" s="161"/>
      <c r="AN2187" s="161"/>
      <c r="AO2187" s="161"/>
      <c r="AP2187" s="161"/>
      <c r="AQ2187" s="161"/>
      <c r="AR2187" s="161"/>
      <c r="AS2187" s="161"/>
      <c r="AT2187" s="161"/>
      <c r="AU2187" s="89"/>
      <c r="AV2187" s="162"/>
      <c r="AW2187" s="73"/>
    </row>
    <row r="2188" ht="15.75" customHeight="1">
      <c r="A2188" s="216"/>
      <c r="B2188" s="73"/>
      <c r="C2188" s="216"/>
      <c r="D2188" s="241"/>
      <c r="E2188" s="241"/>
      <c r="F2188" s="89"/>
      <c r="G2188" s="476"/>
      <c r="H2188" s="73"/>
      <c r="I2188" s="551"/>
      <c r="J2188" s="476"/>
      <c r="K2188" s="69"/>
      <c r="L2188" s="61"/>
      <c r="M2188" s="61"/>
      <c r="N2188" s="73"/>
      <c r="O2188" s="66"/>
      <c r="P2188" s="67"/>
      <c r="Q2188" s="67"/>
      <c r="R2188" s="67"/>
      <c r="S2188" s="67"/>
      <c r="T2188" s="161"/>
      <c r="U2188" s="69"/>
      <c r="V2188" s="73"/>
      <c r="W2188" s="71"/>
      <c r="X2188" s="194"/>
      <c r="Y2188" s="216"/>
      <c r="Z2188" s="73"/>
      <c r="AA2188" s="73"/>
      <c r="AB2188" s="73"/>
      <c r="AC2188" s="73"/>
      <c r="AD2188" s="73"/>
      <c r="AE2188" s="73"/>
      <c r="AF2188" s="73"/>
      <c r="AG2188" s="73"/>
      <c r="AH2188" s="73"/>
      <c r="AI2188" s="73"/>
      <c r="AJ2188" s="161"/>
      <c r="AK2188" s="236"/>
      <c r="AL2188" s="269"/>
      <c r="AM2188" s="161"/>
      <c r="AN2188" s="161"/>
      <c r="AO2188" s="161"/>
      <c r="AP2188" s="161"/>
      <c r="AQ2188" s="161"/>
      <c r="AR2188" s="161"/>
      <c r="AS2188" s="161"/>
      <c r="AT2188" s="161"/>
      <c r="AU2188" s="89"/>
      <c r="AV2188" s="162"/>
      <c r="AW2188" s="73"/>
    </row>
    <row r="2189" ht="15.75" customHeight="1">
      <c r="A2189" s="216"/>
      <c r="B2189" s="73"/>
      <c r="C2189" s="216"/>
      <c r="D2189" s="241"/>
      <c r="E2189" s="241"/>
      <c r="F2189" s="89"/>
      <c r="G2189" s="476"/>
      <c r="H2189" s="73"/>
      <c r="I2189" s="551"/>
      <c r="J2189" s="476"/>
      <c r="K2189" s="69"/>
      <c r="L2189" s="61"/>
      <c r="M2189" s="61"/>
      <c r="N2189" s="73"/>
      <c r="O2189" s="66"/>
      <c r="P2189" s="67"/>
      <c r="Q2189" s="67"/>
      <c r="R2189" s="67"/>
      <c r="S2189" s="67"/>
      <c r="T2189" s="161"/>
      <c r="U2189" s="69"/>
      <c r="V2189" s="73"/>
      <c r="W2189" s="71"/>
      <c r="X2189" s="194"/>
      <c r="Y2189" s="216"/>
      <c r="Z2189" s="73"/>
      <c r="AA2189" s="73"/>
      <c r="AB2189" s="73"/>
      <c r="AC2189" s="73"/>
      <c r="AD2189" s="73"/>
      <c r="AE2189" s="73"/>
      <c r="AF2189" s="73"/>
      <c r="AG2189" s="73"/>
      <c r="AH2189" s="73"/>
      <c r="AI2189" s="73"/>
      <c r="AJ2189" s="161"/>
      <c r="AK2189" s="236"/>
      <c r="AL2189" s="269"/>
      <c r="AM2189" s="161"/>
      <c r="AN2189" s="161"/>
      <c r="AO2189" s="161"/>
      <c r="AP2189" s="161"/>
      <c r="AQ2189" s="161"/>
      <c r="AR2189" s="161"/>
      <c r="AS2189" s="161"/>
      <c r="AT2189" s="161"/>
      <c r="AU2189" s="89"/>
      <c r="AV2189" s="162"/>
      <c r="AW2189" s="73"/>
    </row>
    <row r="2190" ht="15.75" customHeight="1">
      <c r="A2190" s="216"/>
      <c r="B2190" s="73"/>
      <c r="C2190" s="216"/>
      <c r="D2190" s="241"/>
      <c r="E2190" s="241"/>
      <c r="F2190" s="89"/>
      <c r="G2190" s="476"/>
      <c r="H2190" s="73"/>
      <c r="I2190" s="551"/>
      <c r="J2190" s="476"/>
      <c r="K2190" s="69"/>
      <c r="L2190" s="61"/>
      <c r="M2190" s="61"/>
      <c r="N2190" s="73"/>
      <c r="O2190" s="66"/>
      <c r="P2190" s="67"/>
      <c r="Q2190" s="67"/>
      <c r="R2190" s="67"/>
      <c r="S2190" s="67"/>
      <c r="T2190" s="161"/>
      <c r="U2190" s="69"/>
      <c r="V2190" s="73"/>
      <c r="W2190" s="71"/>
      <c r="X2190" s="194"/>
      <c r="Y2190" s="216"/>
      <c r="Z2190" s="73"/>
      <c r="AA2190" s="73"/>
      <c r="AB2190" s="73"/>
      <c r="AC2190" s="73"/>
      <c r="AD2190" s="73"/>
      <c r="AE2190" s="73"/>
      <c r="AF2190" s="73"/>
      <c r="AG2190" s="73"/>
      <c r="AH2190" s="73"/>
      <c r="AI2190" s="73"/>
      <c r="AJ2190" s="161"/>
      <c r="AK2190" s="236"/>
      <c r="AL2190" s="269"/>
      <c r="AM2190" s="161"/>
      <c r="AN2190" s="161"/>
      <c r="AO2190" s="161"/>
      <c r="AP2190" s="161"/>
      <c r="AQ2190" s="161"/>
      <c r="AR2190" s="161"/>
      <c r="AS2190" s="161"/>
      <c r="AT2190" s="161"/>
      <c r="AU2190" s="89"/>
      <c r="AV2190" s="162"/>
      <c r="AW2190" s="73"/>
    </row>
    <row r="2191" ht="15.75" customHeight="1">
      <c r="A2191" s="216"/>
      <c r="B2191" s="73"/>
      <c r="C2191" s="216"/>
      <c r="D2191" s="241"/>
      <c r="E2191" s="241"/>
      <c r="F2191" s="89"/>
      <c r="G2191" s="476"/>
      <c r="H2191" s="73"/>
      <c r="I2191" s="551"/>
      <c r="J2191" s="476"/>
      <c r="K2191" s="69"/>
      <c r="L2191" s="61"/>
      <c r="M2191" s="61"/>
      <c r="N2191" s="73"/>
      <c r="O2191" s="66"/>
      <c r="P2191" s="67"/>
      <c r="Q2191" s="67"/>
      <c r="R2191" s="67"/>
      <c r="S2191" s="67"/>
      <c r="T2191" s="161"/>
      <c r="U2191" s="69"/>
      <c r="V2191" s="73"/>
      <c r="W2191" s="71"/>
      <c r="X2191" s="194"/>
      <c r="Y2191" s="216"/>
      <c r="Z2191" s="73"/>
      <c r="AA2191" s="73"/>
      <c r="AB2191" s="73"/>
      <c r="AC2191" s="73"/>
      <c r="AD2191" s="73"/>
      <c r="AE2191" s="73"/>
      <c r="AF2191" s="73"/>
      <c r="AG2191" s="73"/>
      <c r="AH2191" s="73"/>
      <c r="AI2191" s="73"/>
      <c r="AJ2191" s="161"/>
      <c r="AK2191" s="236"/>
      <c r="AL2191" s="269"/>
      <c r="AM2191" s="161"/>
      <c r="AN2191" s="161"/>
      <c r="AO2191" s="161"/>
      <c r="AP2191" s="161"/>
      <c r="AQ2191" s="161"/>
      <c r="AR2191" s="161"/>
      <c r="AS2191" s="161"/>
      <c r="AT2191" s="161"/>
      <c r="AU2191" s="89"/>
      <c r="AV2191" s="162"/>
      <c r="AW2191" s="73"/>
    </row>
    <row r="2192" ht="15.75" customHeight="1">
      <c r="A2192" s="216"/>
      <c r="B2192" s="73"/>
      <c r="C2192" s="216"/>
      <c r="D2192" s="241"/>
      <c r="E2192" s="241"/>
      <c r="F2192" s="89"/>
      <c r="G2192" s="476"/>
      <c r="H2192" s="73"/>
      <c r="I2192" s="551"/>
      <c r="J2192" s="476"/>
      <c r="K2192" s="69"/>
      <c r="L2192" s="61"/>
      <c r="M2192" s="61"/>
      <c r="N2192" s="73"/>
      <c r="O2192" s="66"/>
      <c r="P2192" s="67"/>
      <c r="Q2192" s="67"/>
      <c r="R2192" s="67"/>
      <c r="S2192" s="67"/>
      <c r="T2192" s="161"/>
      <c r="U2192" s="69"/>
      <c r="V2192" s="73"/>
      <c r="W2192" s="71"/>
      <c r="X2192" s="194"/>
      <c r="Y2192" s="216"/>
      <c r="Z2192" s="73"/>
      <c r="AA2192" s="73"/>
      <c r="AB2192" s="73"/>
      <c r="AC2192" s="73"/>
      <c r="AD2192" s="73"/>
      <c r="AE2192" s="73"/>
      <c r="AF2192" s="73"/>
      <c r="AG2192" s="73"/>
      <c r="AH2192" s="73"/>
      <c r="AI2192" s="73"/>
      <c r="AJ2192" s="161"/>
      <c r="AK2192" s="236"/>
      <c r="AL2192" s="269"/>
      <c r="AM2192" s="161"/>
      <c r="AN2192" s="161"/>
      <c r="AO2192" s="161"/>
      <c r="AP2192" s="161"/>
      <c r="AQ2192" s="161"/>
      <c r="AR2192" s="161"/>
      <c r="AS2192" s="161"/>
      <c r="AT2192" s="161"/>
      <c r="AU2192" s="89"/>
      <c r="AV2192" s="162"/>
      <c r="AW2192" s="73"/>
    </row>
    <row r="2193" ht="15.75" customHeight="1">
      <c r="A2193" s="216"/>
      <c r="B2193" s="73"/>
      <c r="C2193" s="216"/>
      <c r="D2193" s="241"/>
      <c r="E2193" s="241"/>
      <c r="F2193" s="89"/>
      <c r="G2193" s="476"/>
      <c r="H2193" s="73"/>
      <c r="I2193" s="551"/>
      <c r="J2193" s="476"/>
      <c r="K2193" s="69"/>
      <c r="L2193" s="61"/>
      <c r="M2193" s="61"/>
      <c r="N2193" s="73"/>
      <c r="O2193" s="66"/>
      <c r="P2193" s="67"/>
      <c r="Q2193" s="67"/>
      <c r="R2193" s="67"/>
      <c r="S2193" s="67"/>
      <c r="T2193" s="161"/>
      <c r="U2193" s="69"/>
      <c r="V2193" s="73"/>
      <c r="W2193" s="71"/>
      <c r="X2193" s="194"/>
      <c r="Y2193" s="216"/>
      <c r="Z2193" s="73"/>
      <c r="AA2193" s="73"/>
      <c r="AB2193" s="73"/>
      <c r="AC2193" s="73"/>
      <c r="AD2193" s="73"/>
      <c r="AE2193" s="73"/>
      <c r="AF2193" s="73"/>
      <c r="AG2193" s="73"/>
      <c r="AH2193" s="73"/>
      <c r="AI2193" s="73"/>
      <c r="AJ2193" s="161"/>
      <c r="AK2193" s="236"/>
      <c r="AL2193" s="269"/>
      <c r="AM2193" s="161"/>
      <c r="AN2193" s="161"/>
      <c r="AO2193" s="161"/>
      <c r="AP2193" s="161"/>
      <c r="AQ2193" s="161"/>
      <c r="AR2193" s="161"/>
      <c r="AS2193" s="161"/>
      <c r="AT2193" s="161"/>
      <c r="AU2193" s="89"/>
      <c r="AV2193" s="162"/>
      <c r="AW2193" s="73"/>
    </row>
    <row r="2194" ht="15.75" customHeight="1">
      <c r="A2194" s="216"/>
      <c r="B2194" s="73"/>
      <c r="C2194" s="216"/>
      <c r="D2194" s="241"/>
      <c r="E2194" s="241"/>
      <c r="F2194" s="89"/>
      <c r="G2194" s="476"/>
      <c r="H2194" s="73"/>
      <c r="I2194" s="551"/>
      <c r="J2194" s="476"/>
      <c r="K2194" s="69"/>
      <c r="L2194" s="61"/>
      <c r="M2194" s="61"/>
      <c r="N2194" s="73"/>
      <c r="O2194" s="66"/>
      <c r="P2194" s="67"/>
      <c r="Q2194" s="67"/>
      <c r="R2194" s="67"/>
      <c r="S2194" s="67"/>
      <c r="T2194" s="161"/>
      <c r="U2194" s="69"/>
      <c r="V2194" s="73"/>
      <c r="W2194" s="71"/>
      <c r="X2194" s="194"/>
      <c r="Y2194" s="216"/>
      <c r="Z2194" s="73"/>
      <c r="AA2194" s="73"/>
      <c r="AB2194" s="73"/>
      <c r="AC2194" s="73"/>
      <c r="AD2194" s="73"/>
      <c r="AE2194" s="73"/>
      <c r="AF2194" s="73"/>
      <c r="AG2194" s="73"/>
      <c r="AH2194" s="73"/>
      <c r="AI2194" s="73"/>
      <c r="AJ2194" s="161"/>
      <c r="AK2194" s="236"/>
      <c r="AL2194" s="269"/>
      <c r="AM2194" s="161"/>
      <c r="AN2194" s="161"/>
      <c r="AO2194" s="161"/>
      <c r="AP2194" s="161"/>
      <c r="AQ2194" s="161"/>
      <c r="AR2194" s="161"/>
      <c r="AS2194" s="161"/>
      <c r="AT2194" s="161"/>
      <c r="AU2194" s="89"/>
      <c r="AV2194" s="162"/>
      <c r="AW2194" s="73"/>
    </row>
    <row r="2195" ht="15.75" customHeight="1">
      <c r="A2195" s="216"/>
      <c r="B2195" s="73"/>
      <c r="C2195" s="216"/>
      <c r="D2195" s="241"/>
      <c r="E2195" s="241"/>
      <c r="F2195" s="89"/>
      <c r="G2195" s="476"/>
      <c r="H2195" s="73"/>
      <c r="I2195" s="551"/>
      <c r="J2195" s="476"/>
      <c r="K2195" s="69"/>
      <c r="L2195" s="61"/>
      <c r="M2195" s="61"/>
      <c r="N2195" s="73"/>
      <c r="O2195" s="66"/>
      <c r="P2195" s="67"/>
      <c r="Q2195" s="67"/>
      <c r="R2195" s="67"/>
      <c r="S2195" s="67"/>
      <c r="T2195" s="161"/>
      <c r="U2195" s="69"/>
      <c r="V2195" s="73"/>
      <c r="W2195" s="71"/>
      <c r="X2195" s="194"/>
      <c r="Y2195" s="216"/>
      <c r="Z2195" s="73"/>
      <c r="AA2195" s="73"/>
      <c r="AB2195" s="73"/>
      <c r="AC2195" s="73"/>
      <c r="AD2195" s="73"/>
      <c r="AE2195" s="73"/>
      <c r="AF2195" s="73"/>
      <c r="AG2195" s="73"/>
      <c r="AH2195" s="73"/>
      <c r="AI2195" s="73"/>
      <c r="AJ2195" s="161"/>
      <c r="AK2195" s="236"/>
      <c r="AL2195" s="269"/>
      <c r="AM2195" s="161"/>
      <c r="AN2195" s="161"/>
      <c r="AO2195" s="161"/>
      <c r="AP2195" s="161"/>
      <c r="AQ2195" s="161"/>
      <c r="AR2195" s="161"/>
      <c r="AS2195" s="161"/>
      <c r="AT2195" s="161"/>
      <c r="AU2195" s="89"/>
      <c r="AV2195" s="162"/>
      <c r="AW2195" s="73"/>
    </row>
    <row r="2196" ht="15.75" customHeight="1">
      <c r="A2196" s="216"/>
      <c r="B2196" s="73"/>
      <c r="C2196" s="216"/>
      <c r="D2196" s="241"/>
      <c r="E2196" s="241"/>
      <c r="F2196" s="89"/>
      <c r="G2196" s="476"/>
      <c r="H2196" s="73"/>
      <c r="I2196" s="551"/>
      <c r="J2196" s="476"/>
      <c r="K2196" s="69"/>
      <c r="L2196" s="61"/>
      <c r="M2196" s="61"/>
      <c r="N2196" s="73"/>
      <c r="O2196" s="66"/>
      <c r="P2196" s="67"/>
      <c r="Q2196" s="67"/>
      <c r="R2196" s="67"/>
      <c r="S2196" s="67"/>
      <c r="T2196" s="161"/>
      <c r="U2196" s="69"/>
      <c r="V2196" s="73"/>
      <c r="W2196" s="71"/>
      <c r="X2196" s="194"/>
      <c r="Y2196" s="216"/>
      <c r="Z2196" s="73"/>
      <c r="AA2196" s="73"/>
      <c r="AB2196" s="73"/>
      <c r="AC2196" s="73"/>
      <c r="AD2196" s="73"/>
      <c r="AE2196" s="73"/>
      <c r="AF2196" s="73"/>
      <c r="AG2196" s="73"/>
      <c r="AH2196" s="73"/>
      <c r="AI2196" s="73"/>
      <c r="AJ2196" s="161"/>
      <c r="AK2196" s="236"/>
      <c r="AL2196" s="269"/>
      <c r="AM2196" s="161"/>
      <c r="AN2196" s="161"/>
      <c r="AO2196" s="161"/>
      <c r="AP2196" s="161"/>
      <c r="AQ2196" s="161"/>
      <c r="AR2196" s="161"/>
      <c r="AS2196" s="161"/>
      <c r="AT2196" s="161"/>
      <c r="AU2196" s="89"/>
      <c r="AV2196" s="162"/>
      <c r="AW2196" s="73"/>
    </row>
    <row r="2197" ht="15.75" customHeight="1">
      <c r="A2197" s="216"/>
      <c r="B2197" s="73"/>
      <c r="C2197" s="216"/>
      <c r="D2197" s="241"/>
      <c r="E2197" s="241"/>
      <c r="F2197" s="89"/>
      <c r="G2197" s="476"/>
      <c r="H2197" s="73"/>
      <c r="I2197" s="551"/>
      <c r="J2197" s="476"/>
      <c r="K2197" s="69"/>
      <c r="L2197" s="61"/>
      <c r="M2197" s="61"/>
      <c r="N2197" s="73"/>
      <c r="O2197" s="66"/>
      <c r="P2197" s="67"/>
      <c r="Q2197" s="67"/>
      <c r="R2197" s="67"/>
      <c r="S2197" s="67"/>
      <c r="T2197" s="161"/>
      <c r="U2197" s="69"/>
      <c r="V2197" s="73"/>
      <c r="W2197" s="71"/>
      <c r="X2197" s="194"/>
      <c r="Y2197" s="216"/>
      <c r="Z2197" s="73"/>
      <c r="AA2197" s="73"/>
      <c r="AB2197" s="73"/>
      <c r="AC2197" s="73"/>
      <c r="AD2197" s="73"/>
      <c r="AE2197" s="73"/>
      <c r="AF2197" s="73"/>
      <c r="AG2197" s="73"/>
      <c r="AH2197" s="73"/>
      <c r="AI2197" s="73"/>
      <c r="AJ2197" s="161"/>
      <c r="AK2197" s="236"/>
      <c r="AL2197" s="269"/>
      <c r="AM2197" s="161"/>
      <c r="AN2197" s="161"/>
      <c r="AO2197" s="161"/>
      <c r="AP2197" s="161"/>
      <c r="AQ2197" s="161"/>
      <c r="AR2197" s="161"/>
      <c r="AS2197" s="161"/>
      <c r="AT2197" s="161"/>
      <c r="AU2197" s="89"/>
      <c r="AV2197" s="162"/>
      <c r="AW2197" s="73"/>
    </row>
    <row r="2198" ht="15.75" customHeight="1">
      <c r="A2198" s="216"/>
      <c r="B2198" s="73"/>
      <c r="C2198" s="216"/>
      <c r="D2198" s="241"/>
      <c r="E2198" s="241"/>
      <c r="F2198" s="89"/>
      <c r="G2198" s="476"/>
      <c r="H2198" s="73"/>
      <c r="I2198" s="551"/>
      <c r="J2198" s="476"/>
      <c r="K2198" s="69"/>
      <c r="L2198" s="61"/>
      <c r="M2198" s="61"/>
      <c r="N2198" s="73"/>
      <c r="O2198" s="66"/>
      <c r="P2198" s="67"/>
      <c r="Q2198" s="67"/>
      <c r="R2198" s="67"/>
      <c r="S2198" s="67"/>
      <c r="T2198" s="161"/>
      <c r="U2198" s="69"/>
      <c r="V2198" s="73"/>
      <c r="W2198" s="71"/>
      <c r="X2198" s="194"/>
      <c r="Y2198" s="216"/>
      <c r="Z2198" s="73"/>
      <c r="AA2198" s="73"/>
      <c r="AB2198" s="73"/>
      <c r="AC2198" s="73"/>
      <c r="AD2198" s="73"/>
      <c r="AE2198" s="73"/>
      <c r="AF2198" s="73"/>
      <c r="AG2198" s="73"/>
      <c r="AH2198" s="73"/>
      <c r="AI2198" s="73"/>
      <c r="AJ2198" s="161"/>
      <c r="AK2198" s="236"/>
      <c r="AL2198" s="269"/>
      <c r="AM2198" s="161"/>
      <c r="AN2198" s="161"/>
      <c r="AO2198" s="161"/>
      <c r="AP2198" s="161"/>
      <c r="AQ2198" s="161"/>
      <c r="AR2198" s="161"/>
      <c r="AS2198" s="161"/>
      <c r="AT2198" s="161"/>
      <c r="AU2198" s="89"/>
      <c r="AV2198" s="162"/>
      <c r="AW2198" s="73"/>
    </row>
    <row r="2199" ht="15.75" customHeight="1">
      <c r="A2199" s="216"/>
      <c r="B2199" s="73"/>
      <c r="C2199" s="216"/>
      <c r="D2199" s="241"/>
      <c r="E2199" s="241"/>
      <c r="F2199" s="89"/>
      <c r="G2199" s="476"/>
      <c r="H2199" s="73"/>
      <c r="I2199" s="551"/>
      <c r="J2199" s="476"/>
      <c r="K2199" s="69"/>
      <c r="L2199" s="61"/>
      <c r="M2199" s="61"/>
      <c r="N2199" s="73"/>
      <c r="O2199" s="66"/>
      <c r="P2199" s="67"/>
      <c r="Q2199" s="67"/>
      <c r="R2199" s="67"/>
      <c r="S2199" s="67"/>
      <c r="T2199" s="161"/>
      <c r="U2199" s="69"/>
      <c r="V2199" s="73"/>
      <c r="W2199" s="71"/>
      <c r="X2199" s="194"/>
      <c r="Y2199" s="216"/>
      <c r="Z2199" s="73"/>
      <c r="AA2199" s="73"/>
      <c r="AB2199" s="73"/>
      <c r="AC2199" s="73"/>
      <c r="AD2199" s="73"/>
      <c r="AE2199" s="73"/>
      <c r="AF2199" s="73"/>
      <c r="AG2199" s="73"/>
      <c r="AH2199" s="73"/>
      <c r="AI2199" s="73"/>
      <c r="AJ2199" s="161"/>
      <c r="AK2199" s="236"/>
      <c r="AL2199" s="269"/>
      <c r="AM2199" s="161"/>
      <c r="AN2199" s="161"/>
      <c r="AO2199" s="161"/>
      <c r="AP2199" s="161"/>
      <c r="AQ2199" s="161"/>
      <c r="AR2199" s="161"/>
      <c r="AS2199" s="161"/>
      <c r="AT2199" s="161"/>
      <c r="AU2199" s="89"/>
      <c r="AV2199" s="162"/>
      <c r="AW2199" s="73"/>
    </row>
    <row r="2200" ht="15.75" customHeight="1">
      <c r="A2200" s="216"/>
      <c r="B2200" s="73"/>
      <c r="C2200" s="216"/>
      <c r="D2200" s="241"/>
      <c r="E2200" s="241"/>
      <c r="F2200" s="89"/>
      <c r="G2200" s="476"/>
      <c r="H2200" s="73"/>
      <c r="I2200" s="551"/>
      <c r="J2200" s="476"/>
      <c r="K2200" s="69"/>
      <c r="L2200" s="61"/>
      <c r="M2200" s="61"/>
      <c r="N2200" s="73"/>
      <c r="O2200" s="66"/>
      <c r="P2200" s="67"/>
      <c r="Q2200" s="67"/>
      <c r="R2200" s="67"/>
      <c r="S2200" s="67"/>
      <c r="T2200" s="161"/>
      <c r="U2200" s="69"/>
      <c r="V2200" s="73"/>
      <c r="W2200" s="71"/>
      <c r="X2200" s="194"/>
      <c r="Y2200" s="216"/>
      <c r="Z2200" s="73"/>
      <c r="AA2200" s="73"/>
      <c r="AB2200" s="73"/>
      <c r="AC2200" s="73"/>
      <c r="AD2200" s="73"/>
      <c r="AE2200" s="73"/>
      <c r="AF2200" s="73"/>
      <c r="AG2200" s="73"/>
      <c r="AH2200" s="73"/>
      <c r="AI2200" s="73"/>
      <c r="AJ2200" s="161"/>
      <c r="AK2200" s="236"/>
      <c r="AL2200" s="269"/>
      <c r="AM2200" s="161"/>
      <c r="AN2200" s="161"/>
      <c r="AO2200" s="161"/>
      <c r="AP2200" s="161"/>
      <c r="AQ2200" s="161"/>
      <c r="AR2200" s="161"/>
      <c r="AS2200" s="161"/>
      <c r="AT2200" s="161"/>
      <c r="AU2200" s="89"/>
      <c r="AV2200" s="162"/>
      <c r="AW2200" s="73"/>
    </row>
    <row r="2201" ht="15.75" customHeight="1">
      <c r="A2201" s="216"/>
      <c r="B2201" s="73"/>
      <c r="C2201" s="216"/>
      <c r="D2201" s="241"/>
      <c r="E2201" s="241"/>
      <c r="F2201" s="89"/>
      <c r="G2201" s="476"/>
      <c r="H2201" s="73"/>
      <c r="I2201" s="551"/>
      <c r="J2201" s="476"/>
      <c r="K2201" s="69"/>
      <c r="L2201" s="61"/>
      <c r="M2201" s="61"/>
      <c r="N2201" s="73"/>
      <c r="O2201" s="66"/>
      <c r="P2201" s="67"/>
      <c r="Q2201" s="67"/>
      <c r="R2201" s="67"/>
      <c r="S2201" s="67"/>
      <c r="T2201" s="161"/>
      <c r="U2201" s="69"/>
      <c r="V2201" s="73"/>
      <c r="W2201" s="71"/>
      <c r="X2201" s="194"/>
      <c r="Y2201" s="216"/>
      <c r="Z2201" s="73"/>
      <c r="AA2201" s="73"/>
      <c r="AB2201" s="73"/>
      <c r="AC2201" s="73"/>
      <c r="AD2201" s="73"/>
      <c r="AE2201" s="73"/>
      <c r="AF2201" s="73"/>
      <c r="AG2201" s="73"/>
      <c r="AH2201" s="73"/>
      <c r="AI2201" s="73"/>
      <c r="AJ2201" s="161"/>
      <c r="AK2201" s="236"/>
      <c r="AL2201" s="269"/>
      <c r="AM2201" s="161"/>
      <c r="AN2201" s="161"/>
      <c r="AO2201" s="161"/>
      <c r="AP2201" s="161"/>
      <c r="AQ2201" s="161"/>
      <c r="AR2201" s="161"/>
      <c r="AS2201" s="161"/>
      <c r="AT2201" s="161"/>
      <c r="AU2201" s="89"/>
      <c r="AV2201" s="162"/>
      <c r="AW2201" s="73"/>
    </row>
    <row r="2202" ht="15.75" customHeight="1">
      <c r="A2202" s="216"/>
      <c r="B2202" s="73"/>
      <c r="C2202" s="216"/>
      <c r="D2202" s="241"/>
      <c r="E2202" s="241"/>
      <c r="F2202" s="89"/>
      <c r="G2202" s="476"/>
      <c r="H2202" s="73"/>
      <c r="I2202" s="551"/>
      <c r="J2202" s="476"/>
      <c r="K2202" s="69"/>
      <c r="L2202" s="61"/>
      <c r="M2202" s="61"/>
      <c r="N2202" s="73"/>
      <c r="O2202" s="66"/>
      <c r="P2202" s="67"/>
      <c r="Q2202" s="67"/>
      <c r="R2202" s="67"/>
      <c r="S2202" s="67"/>
      <c r="T2202" s="161"/>
      <c r="U2202" s="69"/>
      <c r="V2202" s="73"/>
      <c r="W2202" s="71"/>
      <c r="X2202" s="194"/>
      <c r="Y2202" s="216"/>
      <c r="Z2202" s="73"/>
      <c r="AA2202" s="73"/>
      <c r="AB2202" s="73"/>
      <c r="AC2202" s="73"/>
      <c r="AD2202" s="73"/>
      <c r="AE2202" s="73"/>
      <c r="AF2202" s="73"/>
      <c r="AG2202" s="73"/>
      <c r="AH2202" s="73"/>
      <c r="AI2202" s="73"/>
      <c r="AJ2202" s="161"/>
      <c r="AK2202" s="236"/>
      <c r="AL2202" s="269"/>
      <c r="AM2202" s="161"/>
      <c r="AN2202" s="161"/>
      <c r="AO2202" s="161"/>
      <c r="AP2202" s="161"/>
      <c r="AQ2202" s="161"/>
      <c r="AR2202" s="161"/>
      <c r="AS2202" s="161"/>
      <c r="AT2202" s="161"/>
      <c r="AU2202" s="89"/>
      <c r="AV2202" s="162"/>
      <c r="AW2202" s="73"/>
    </row>
    <row r="2203" ht="15.75" customHeight="1">
      <c r="A2203" s="216"/>
      <c r="B2203" s="73"/>
      <c r="C2203" s="216"/>
      <c r="D2203" s="241"/>
      <c r="E2203" s="241"/>
      <c r="F2203" s="89"/>
      <c r="G2203" s="476"/>
      <c r="H2203" s="73"/>
      <c r="I2203" s="551"/>
      <c r="J2203" s="476"/>
      <c r="K2203" s="69"/>
      <c r="L2203" s="61"/>
      <c r="M2203" s="61"/>
      <c r="N2203" s="73"/>
      <c r="O2203" s="66"/>
      <c r="P2203" s="67"/>
      <c r="Q2203" s="67"/>
      <c r="R2203" s="67"/>
      <c r="S2203" s="67"/>
      <c r="T2203" s="161"/>
      <c r="U2203" s="69"/>
      <c r="V2203" s="73"/>
      <c r="W2203" s="71"/>
      <c r="X2203" s="194"/>
      <c r="Y2203" s="216"/>
      <c r="Z2203" s="73"/>
      <c r="AA2203" s="73"/>
      <c r="AB2203" s="73"/>
      <c r="AC2203" s="73"/>
      <c r="AD2203" s="73"/>
      <c r="AE2203" s="73"/>
      <c r="AF2203" s="73"/>
      <c r="AG2203" s="73"/>
      <c r="AH2203" s="73"/>
      <c r="AI2203" s="73"/>
      <c r="AJ2203" s="161"/>
      <c r="AK2203" s="236"/>
      <c r="AL2203" s="269"/>
      <c r="AM2203" s="161"/>
      <c r="AN2203" s="161"/>
      <c r="AO2203" s="161"/>
      <c r="AP2203" s="161"/>
      <c r="AQ2203" s="161"/>
      <c r="AR2203" s="161"/>
      <c r="AS2203" s="161"/>
      <c r="AT2203" s="161"/>
      <c r="AU2203" s="89"/>
      <c r="AV2203" s="162"/>
      <c r="AW2203" s="73"/>
    </row>
    <row r="2204" ht="15.75" customHeight="1">
      <c r="A2204" s="216"/>
      <c r="B2204" s="73"/>
      <c r="C2204" s="216"/>
      <c r="D2204" s="241"/>
      <c r="E2204" s="241"/>
      <c r="F2204" s="89"/>
      <c r="G2204" s="476"/>
      <c r="H2204" s="73"/>
      <c r="I2204" s="551"/>
      <c r="J2204" s="476"/>
      <c r="K2204" s="69"/>
      <c r="L2204" s="61"/>
      <c r="M2204" s="61"/>
      <c r="N2204" s="73"/>
      <c r="O2204" s="66"/>
      <c r="P2204" s="67"/>
      <c r="Q2204" s="67"/>
      <c r="R2204" s="67"/>
      <c r="S2204" s="67"/>
      <c r="T2204" s="161"/>
      <c r="U2204" s="69"/>
      <c r="V2204" s="73"/>
      <c r="W2204" s="71"/>
      <c r="X2204" s="194"/>
      <c r="Y2204" s="216"/>
      <c r="Z2204" s="73"/>
      <c r="AA2204" s="73"/>
      <c r="AB2204" s="73"/>
      <c r="AC2204" s="73"/>
      <c r="AD2204" s="73"/>
      <c r="AE2204" s="73"/>
      <c r="AF2204" s="73"/>
      <c r="AG2204" s="73"/>
      <c r="AH2204" s="73"/>
      <c r="AI2204" s="73"/>
      <c r="AJ2204" s="161"/>
      <c r="AK2204" s="236"/>
      <c r="AL2204" s="269"/>
      <c r="AM2204" s="161"/>
      <c r="AN2204" s="161"/>
      <c r="AO2204" s="161"/>
      <c r="AP2204" s="161"/>
      <c r="AQ2204" s="161"/>
      <c r="AR2204" s="161"/>
      <c r="AS2204" s="161"/>
      <c r="AT2204" s="161"/>
      <c r="AU2204" s="89"/>
      <c r="AV2204" s="162"/>
      <c r="AW2204" s="73"/>
    </row>
    <row r="2205" ht="15.75" customHeight="1">
      <c r="A2205" s="216"/>
      <c r="B2205" s="73"/>
      <c r="C2205" s="216"/>
      <c r="D2205" s="241"/>
      <c r="E2205" s="241"/>
      <c r="F2205" s="89"/>
      <c r="G2205" s="476"/>
      <c r="H2205" s="73"/>
      <c r="I2205" s="551"/>
      <c r="J2205" s="476"/>
      <c r="K2205" s="69"/>
      <c r="L2205" s="61"/>
      <c r="M2205" s="61"/>
      <c r="N2205" s="73"/>
      <c r="O2205" s="66"/>
      <c r="P2205" s="67"/>
      <c r="Q2205" s="67"/>
      <c r="R2205" s="67"/>
      <c r="S2205" s="67"/>
      <c r="T2205" s="161"/>
      <c r="U2205" s="69"/>
      <c r="V2205" s="73"/>
      <c r="W2205" s="71"/>
      <c r="X2205" s="194"/>
      <c r="Y2205" s="216"/>
      <c r="Z2205" s="73"/>
      <c r="AA2205" s="73"/>
      <c r="AB2205" s="73"/>
      <c r="AC2205" s="73"/>
      <c r="AD2205" s="73"/>
      <c r="AE2205" s="73"/>
      <c r="AF2205" s="73"/>
      <c r="AG2205" s="73"/>
      <c r="AH2205" s="73"/>
      <c r="AI2205" s="73"/>
      <c r="AJ2205" s="161"/>
      <c r="AK2205" s="236"/>
      <c r="AL2205" s="269"/>
      <c r="AM2205" s="161"/>
      <c r="AN2205" s="161"/>
      <c r="AO2205" s="161"/>
      <c r="AP2205" s="161"/>
      <c r="AQ2205" s="161"/>
      <c r="AR2205" s="161"/>
      <c r="AS2205" s="161"/>
      <c r="AT2205" s="161"/>
      <c r="AU2205" s="89"/>
      <c r="AV2205" s="162"/>
      <c r="AW2205" s="73"/>
    </row>
    <row r="2206" ht="15.75" customHeight="1">
      <c r="A2206" s="216"/>
      <c r="B2206" s="73"/>
      <c r="C2206" s="216"/>
      <c r="D2206" s="241"/>
      <c r="E2206" s="241"/>
      <c r="F2206" s="89"/>
      <c r="G2206" s="476"/>
      <c r="H2206" s="73"/>
      <c r="I2206" s="551"/>
      <c r="J2206" s="476"/>
      <c r="K2206" s="69"/>
      <c r="L2206" s="61"/>
      <c r="M2206" s="61"/>
      <c r="N2206" s="73"/>
      <c r="O2206" s="66"/>
      <c r="P2206" s="67"/>
      <c r="Q2206" s="67"/>
      <c r="R2206" s="67"/>
      <c r="S2206" s="67"/>
      <c r="T2206" s="161"/>
      <c r="U2206" s="69"/>
      <c r="V2206" s="73"/>
      <c r="W2206" s="71"/>
      <c r="X2206" s="194"/>
      <c r="Y2206" s="216"/>
      <c r="Z2206" s="73"/>
      <c r="AA2206" s="73"/>
      <c r="AB2206" s="73"/>
      <c r="AC2206" s="73"/>
      <c r="AD2206" s="73"/>
      <c r="AE2206" s="73"/>
      <c r="AF2206" s="73"/>
      <c r="AG2206" s="73"/>
      <c r="AH2206" s="73"/>
      <c r="AI2206" s="73"/>
      <c r="AJ2206" s="161"/>
      <c r="AK2206" s="236"/>
      <c r="AL2206" s="269"/>
      <c r="AM2206" s="161"/>
      <c r="AN2206" s="161"/>
      <c r="AO2206" s="161"/>
      <c r="AP2206" s="161"/>
      <c r="AQ2206" s="161"/>
      <c r="AR2206" s="161"/>
      <c r="AS2206" s="161"/>
      <c r="AT2206" s="161"/>
      <c r="AU2206" s="89"/>
      <c r="AV2206" s="162"/>
      <c r="AW2206" s="73"/>
    </row>
    <row r="2207" ht="15.75" customHeight="1">
      <c r="A2207" s="216"/>
      <c r="B2207" s="73"/>
      <c r="C2207" s="216"/>
      <c r="D2207" s="241"/>
      <c r="E2207" s="241"/>
      <c r="F2207" s="89"/>
      <c r="G2207" s="476"/>
      <c r="H2207" s="73"/>
      <c r="I2207" s="551"/>
      <c r="J2207" s="476"/>
      <c r="K2207" s="69"/>
      <c r="L2207" s="61"/>
      <c r="M2207" s="61"/>
      <c r="N2207" s="73"/>
      <c r="O2207" s="66"/>
      <c r="P2207" s="67"/>
      <c r="Q2207" s="67"/>
      <c r="R2207" s="67"/>
      <c r="S2207" s="67"/>
      <c r="T2207" s="161"/>
      <c r="U2207" s="69"/>
      <c r="V2207" s="73"/>
      <c r="W2207" s="71"/>
      <c r="X2207" s="194"/>
      <c r="Y2207" s="216"/>
      <c r="Z2207" s="73"/>
      <c r="AA2207" s="73"/>
      <c r="AB2207" s="73"/>
      <c r="AC2207" s="73"/>
      <c r="AD2207" s="73"/>
      <c r="AE2207" s="73"/>
      <c r="AF2207" s="73"/>
      <c r="AG2207" s="73"/>
      <c r="AH2207" s="73"/>
      <c r="AI2207" s="73"/>
      <c r="AJ2207" s="161"/>
      <c r="AK2207" s="236"/>
      <c r="AL2207" s="269"/>
      <c r="AM2207" s="161"/>
      <c r="AN2207" s="161"/>
      <c r="AO2207" s="161"/>
      <c r="AP2207" s="161"/>
      <c r="AQ2207" s="161"/>
      <c r="AR2207" s="161"/>
      <c r="AS2207" s="161"/>
      <c r="AT2207" s="161"/>
      <c r="AU2207" s="89"/>
      <c r="AV2207" s="162"/>
      <c r="AW2207" s="73"/>
    </row>
    <row r="2208" ht="15.75" customHeight="1">
      <c r="A2208" s="216"/>
      <c r="B2208" s="73"/>
      <c r="C2208" s="216"/>
      <c r="D2208" s="241"/>
      <c r="E2208" s="241"/>
      <c r="F2208" s="89"/>
      <c r="G2208" s="476"/>
      <c r="H2208" s="73"/>
      <c r="I2208" s="551"/>
      <c r="J2208" s="476"/>
      <c r="K2208" s="69"/>
      <c r="L2208" s="61"/>
      <c r="M2208" s="61"/>
      <c r="N2208" s="73"/>
      <c r="O2208" s="66"/>
      <c r="P2208" s="67"/>
      <c r="Q2208" s="67"/>
      <c r="R2208" s="67"/>
      <c r="S2208" s="67"/>
      <c r="T2208" s="161"/>
      <c r="U2208" s="69"/>
      <c r="V2208" s="73"/>
      <c r="W2208" s="71"/>
      <c r="X2208" s="194"/>
      <c r="Y2208" s="216"/>
      <c r="Z2208" s="73"/>
      <c r="AA2208" s="73"/>
      <c r="AB2208" s="73"/>
      <c r="AC2208" s="73"/>
      <c r="AD2208" s="73"/>
      <c r="AE2208" s="73"/>
      <c r="AF2208" s="73"/>
      <c r="AG2208" s="73"/>
      <c r="AH2208" s="73"/>
      <c r="AI2208" s="73"/>
      <c r="AJ2208" s="161"/>
      <c r="AK2208" s="236"/>
      <c r="AL2208" s="269"/>
      <c r="AM2208" s="161"/>
      <c r="AN2208" s="161"/>
      <c r="AO2208" s="161"/>
      <c r="AP2208" s="161"/>
      <c r="AQ2208" s="161"/>
      <c r="AR2208" s="161"/>
      <c r="AS2208" s="161"/>
      <c r="AT2208" s="161"/>
      <c r="AU2208" s="89"/>
      <c r="AV2208" s="162"/>
      <c r="AW2208" s="73"/>
    </row>
    <row r="2209" ht="15.75" customHeight="1">
      <c r="A2209" s="216"/>
      <c r="B2209" s="73"/>
      <c r="C2209" s="216"/>
      <c r="D2209" s="241"/>
      <c r="E2209" s="241"/>
      <c r="F2209" s="89"/>
      <c r="G2209" s="476"/>
      <c r="H2209" s="73"/>
      <c r="I2209" s="551"/>
      <c r="J2209" s="476"/>
      <c r="K2209" s="69"/>
      <c r="L2209" s="61"/>
      <c r="M2209" s="61"/>
      <c r="N2209" s="73"/>
      <c r="O2209" s="66"/>
      <c r="P2209" s="67"/>
      <c r="Q2209" s="67"/>
      <c r="R2209" s="67"/>
      <c r="S2209" s="67"/>
      <c r="T2209" s="161"/>
      <c r="U2209" s="69"/>
      <c r="V2209" s="73"/>
      <c r="W2209" s="71"/>
      <c r="X2209" s="194"/>
      <c r="Y2209" s="216"/>
      <c r="Z2209" s="73"/>
      <c r="AA2209" s="73"/>
      <c r="AB2209" s="73"/>
      <c r="AC2209" s="73"/>
      <c r="AD2209" s="73"/>
      <c r="AE2209" s="73"/>
      <c r="AF2209" s="73"/>
      <c r="AG2209" s="73"/>
      <c r="AH2209" s="73"/>
      <c r="AI2209" s="73"/>
      <c r="AJ2209" s="161"/>
      <c r="AK2209" s="236"/>
      <c r="AL2209" s="269"/>
      <c r="AM2209" s="161"/>
      <c r="AN2209" s="161"/>
      <c r="AO2209" s="161"/>
      <c r="AP2209" s="161"/>
      <c r="AQ2209" s="161"/>
      <c r="AR2209" s="161"/>
      <c r="AS2209" s="161"/>
      <c r="AT2209" s="161"/>
      <c r="AU2209" s="89"/>
      <c r="AV2209" s="162"/>
      <c r="AW2209" s="73"/>
    </row>
    <row r="2210" ht="15.75" customHeight="1">
      <c r="A2210" s="216"/>
      <c r="B2210" s="73"/>
      <c r="C2210" s="216"/>
      <c r="D2210" s="241"/>
      <c r="E2210" s="241"/>
      <c r="F2210" s="89"/>
      <c r="G2210" s="476"/>
      <c r="H2210" s="73"/>
      <c r="I2210" s="551"/>
      <c r="J2210" s="476"/>
      <c r="K2210" s="69"/>
      <c r="L2210" s="61"/>
      <c r="M2210" s="61"/>
      <c r="N2210" s="73"/>
      <c r="O2210" s="66"/>
      <c r="P2210" s="67"/>
      <c r="Q2210" s="67"/>
      <c r="R2210" s="67"/>
      <c r="S2210" s="67"/>
      <c r="T2210" s="161"/>
      <c r="U2210" s="69"/>
      <c r="V2210" s="73"/>
      <c r="W2210" s="71"/>
      <c r="X2210" s="194"/>
      <c r="Y2210" s="216"/>
      <c r="Z2210" s="73"/>
      <c r="AA2210" s="73"/>
      <c r="AB2210" s="73"/>
      <c r="AC2210" s="73"/>
      <c r="AD2210" s="73"/>
      <c r="AE2210" s="73"/>
      <c r="AF2210" s="73"/>
      <c r="AG2210" s="73"/>
      <c r="AH2210" s="73"/>
      <c r="AI2210" s="73"/>
      <c r="AJ2210" s="161"/>
      <c r="AK2210" s="236"/>
      <c r="AL2210" s="269"/>
      <c r="AM2210" s="161"/>
      <c r="AN2210" s="161"/>
      <c r="AO2210" s="161"/>
      <c r="AP2210" s="161"/>
      <c r="AQ2210" s="161"/>
      <c r="AR2210" s="161"/>
      <c r="AS2210" s="161"/>
      <c r="AT2210" s="161"/>
      <c r="AU2210" s="89"/>
      <c r="AV2210" s="162"/>
      <c r="AW2210" s="73"/>
    </row>
    <row r="2211" ht="15.75" customHeight="1">
      <c r="A2211" s="216"/>
      <c r="B2211" s="73"/>
      <c r="C2211" s="216"/>
      <c r="D2211" s="241"/>
      <c r="E2211" s="241"/>
      <c r="F2211" s="89"/>
      <c r="G2211" s="476"/>
      <c r="H2211" s="73"/>
      <c r="I2211" s="551"/>
      <c r="J2211" s="476"/>
      <c r="K2211" s="69"/>
      <c r="L2211" s="61"/>
      <c r="M2211" s="61"/>
      <c r="N2211" s="73"/>
      <c r="O2211" s="66"/>
      <c r="P2211" s="67"/>
      <c r="Q2211" s="67"/>
      <c r="R2211" s="67"/>
      <c r="S2211" s="67"/>
      <c r="T2211" s="161"/>
      <c r="U2211" s="69"/>
      <c r="V2211" s="73"/>
      <c r="W2211" s="71"/>
      <c r="X2211" s="194"/>
      <c r="Y2211" s="216"/>
      <c r="Z2211" s="73"/>
      <c r="AA2211" s="73"/>
      <c r="AB2211" s="73"/>
      <c r="AC2211" s="73"/>
      <c r="AD2211" s="73"/>
      <c r="AE2211" s="73"/>
      <c r="AF2211" s="73"/>
      <c r="AG2211" s="73"/>
      <c r="AH2211" s="73"/>
      <c r="AI2211" s="73"/>
      <c r="AJ2211" s="161"/>
      <c r="AK2211" s="236"/>
      <c r="AL2211" s="269"/>
      <c r="AM2211" s="161"/>
      <c r="AN2211" s="161"/>
      <c r="AO2211" s="161"/>
      <c r="AP2211" s="161"/>
      <c r="AQ2211" s="161"/>
      <c r="AR2211" s="161"/>
      <c r="AS2211" s="161"/>
      <c r="AT2211" s="161"/>
      <c r="AU2211" s="89"/>
      <c r="AV2211" s="162"/>
      <c r="AW2211" s="73"/>
    </row>
    <row r="2212" ht="15.75" customHeight="1">
      <c r="A2212" s="216"/>
      <c r="B2212" s="73"/>
      <c r="C2212" s="216"/>
      <c r="D2212" s="241"/>
      <c r="E2212" s="241"/>
      <c r="F2212" s="89"/>
      <c r="G2212" s="476"/>
      <c r="H2212" s="73"/>
      <c r="I2212" s="551"/>
      <c r="J2212" s="476"/>
      <c r="K2212" s="69"/>
      <c r="L2212" s="61"/>
      <c r="M2212" s="61"/>
      <c r="N2212" s="73"/>
      <c r="O2212" s="66"/>
      <c r="P2212" s="67"/>
      <c r="Q2212" s="67"/>
      <c r="R2212" s="67"/>
      <c r="S2212" s="67"/>
      <c r="T2212" s="161"/>
      <c r="U2212" s="69"/>
      <c r="V2212" s="73"/>
      <c r="W2212" s="71"/>
      <c r="X2212" s="194"/>
      <c r="Y2212" s="216"/>
      <c r="Z2212" s="73"/>
      <c r="AA2212" s="73"/>
      <c r="AB2212" s="73"/>
      <c r="AC2212" s="73"/>
      <c r="AD2212" s="73"/>
      <c r="AE2212" s="73"/>
      <c r="AF2212" s="73"/>
      <c r="AG2212" s="73"/>
      <c r="AH2212" s="73"/>
      <c r="AI2212" s="73"/>
      <c r="AJ2212" s="161"/>
      <c r="AK2212" s="236"/>
      <c r="AL2212" s="269"/>
      <c r="AM2212" s="161"/>
      <c r="AN2212" s="161"/>
      <c r="AO2212" s="161"/>
      <c r="AP2212" s="161"/>
      <c r="AQ2212" s="161"/>
      <c r="AR2212" s="161"/>
      <c r="AS2212" s="161"/>
      <c r="AT2212" s="161"/>
      <c r="AU2212" s="89"/>
      <c r="AV2212" s="162"/>
      <c r="AW2212" s="73"/>
    </row>
    <row r="2213" ht="15.75" customHeight="1">
      <c r="A2213" s="216"/>
      <c r="B2213" s="73"/>
      <c r="C2213" s="216"/>
      <c r="D2213" s="241"/>
      <c r="E2213" s="241"/>
      <c r="F2213" s="89"/>
      <c r="G2213" s="476"/>
      <c r="H2213" s="73"/>
      <c r="I2213" s="551"/>
      <c r="J2213" s="476"/>
      <c r="K2213" s="69"/>
      <c r="L2213" s="61"/>
      <c r="M2213" s="61"/>
      <c r="N2213" s="73"/>
      <c r="O2213" s="66"/>
      <c r="P2213" s="67"/>
      <c r="Q2213" s="67"/>
      <c r="R2213" s="67"/>
      <c r="S2213" s="67"/>
      <c r="T2213" s="161"/>
      <c r="U2213" s="69"/>
      <c r="V2213" s="73"/>
      <c r="W2213" s="71"/>
      <c r="X2213" s="194"/>
      <c r="Y2213" s="216"/>
      <c r="Z2213" s="73"/>
      <c r="AA2213" s="73"/>
      <c r="AB2213" s="73"/>
      <c r="AC2213" s="73"/>
      <c r="AD2213" s="73"/>
      <c r="AE2213" s="73"/>
      <c r="AF2213" s="73"/>
      <c r="AG2213" s="73"/>
      <c r="AH2213" s="73"/>
      <c r="AI2213" s="73"/>
      <c r="AJ2213" s="161"/>
      <c r="AK2213" s="236"/>
      <c r="AL2213" s="269"/>
      <c r="AM2213" s="161"/>
      <c r="AN2213" s="161"/>
      <c r="AO2213" s="161"/>
      <c r="AP2213" s="161"/>
      <c r="AQ2213" s="161"/>
      <c r="AR2213" s="161"/>
      <c r="AS2213" s="161"/>
      <c r="AT2213" s="161"/>
      <c r="AU2213" s="89"/>
      <c r="AV2213" s="162"/>
      <c r="AW2213" s="73"/>
    </row>
    <row r="2214" ht="15.75" customHeight="1">
      <c r="A2214" s="216"/>
      <c r="B2214" s="73"/>
      <c r="C2214" s="216"/>
      <c r="D2214" s="241"/>
      <c r="E2214" s="241"/>
      <c r="F2214" s="89"/>
      <c r="G2214" s="476"/>
      <c r="H2214" s="73"/>
      <c r="I2214" s="551"/>
      <c r="J2214" s="476"/>
      <c r="K2214" s="69"/>
      <c r="L2214" s="61"/>
      <c r="M2214" s="61"/>
      <c r="N2214" s="73"/>
      <c r="O2214" s="66"/>
      <c r="P2214" s="67"/>
      <c r="Q2214" s="67"/>
      <c r="R2214" s="67"/>
      <c r="S2214" s="67"/>
      <c r="T2214" s="161"/>
      <c r="U2214" s="69"/>
      <c r="V2214" s="73"/>
      <c r="W2214" s="71"/>
      <c r="X2214" s="194"/>
      <c r="Y2214" s="216"/>
      <c r="Z2214" s="73"/>
      <c r="AA2214" s="73"/>
      <c r="AB2214" s="73"/>
      <c r="AC2214" s="73"/>
      <c r="AD2214" s="73"/>
      <c r="AE2214" s="73"/>
      <c r="AF2214" s="73"/>
      <c r="AG2214" s="73"/>
      <c r="AH2214" s="73"/>
      <c r="AI2214" s="73"/>
      <c r="AJ2214" s="161"/>
      <c r="AK2214" s="236"/>
      <c r="AL2214" s="269"/>
      <c r="AM2214" s="161"/>
      <c r="AN2214" s="161"/>
      <c r="AO2214" s="161"/>
      <c r="AP2214" s="161"/>
      <c r="AQ2214" s="161"/>
      <c r="AR2214" s="161"/>
      <c r="AS2214" s="161"/>
      <c r="AT2214" s="161"/>
      <c r="AU2214" s="89"/>
      <c r="AV2214" s="162"/>
      <c r="AW2214" s="73"/>
    </row>
    <row r="2215" ht="15.75" customHeight="1">
      <c r="A2215" s="216"/>
      <c r="B2215" s="73"/>
      <c r="C2215" s="216"/>
      <c r="D2215" s="241"/>
      <c r="E2215" s="241"/>
      <c r="F2215" s="89"/>
      <c r="G2215" s="476"/>
      <c r="H2215" s="73"/>
      <c r="I2215" s="551"/>
      <c r="J2215" s="476"/>
      <c r="K2215" s="69"/>
      <c r="L2215" s="61"/>
      <c r="M2215" s="61"/>
      <c r="N2215" s="73"/>
      <c r="O2215" s="66"/>
      <c r="P2215" s="67"/>
      <c r="Q2215" s="67"/>
      <c r="R2215" s="67"/>
      <c r="S2215" s="67"/>
      <c r="T2215" s="161"/>
      <c r="U2215" s="69"/>
      <c r="V2215" s="73"/>
      <c r="W2215" s="71"/>
      <c r="X2215" s="194"/>
      <c r="Y2215" s="216"/>
      <c r="Z2215" s="73"/>
      <c r="AA2215" s="73"/>
      <c r="AB2215" s="73"/>
      <c r="AC2215" s="73"/>
      <c r="AD2215" s="73"/>
      <c r="AE2215" s="73"/>
      <c r="AF2215" s="73"/>
      <c r="AG2215" s="73"/>
      <c r="AH2215" s="73"/>
      <c r="AI2215" s="73"/>
      <c r="AJ2215" s="161"/>
      <c r="AK2215" s="236"/>
      <c r="AL2215" s="269"/>
      <c r="AM2215" s="161"/>
      <c r="AN2215" s="161"/>
      <c r="AO2215" s="161"/>
      <c r="AP2215" s="161"/>
      <c r="AQ2215" s="161"/>
      <c r="AR2215" s="161"/>
      <c r="AS2215" s="161"/>
      <c r="AT2215" s="161"/>
      <c r="AU2215" s="89"/>
      <c r="AV2215" s="162"/>
      <c r="AW2215" s="73"/>
    </row>
    <row r="2216" ht="15.75" customHeight="1">
      <c r="A2216" s="216"/>
      <c r="B2216" s="73"/>
      <c r="C2216" s="216"/>
      <c r="D2216" s="241"/>
      <c r="E2216" s="241"/>
      <c r="F2216" s="89"/>
      <c r="G2216" s="476"/>
      <c r="H2216" s="73"/>
      <c r="I2216" s="551"/>
      <c r="J2216" s="476"/>
      <c r="K2216" s="69"/>
      <c r="L2216" s="61"/>
      <c r="M2216" s="61"/>
      <c r="N2216" s="73"/>
      <c r="O2216" s="66"/>
      <c r="P2216" s="67"/>
      <c r="Q2216" s="67"/>
      <c r="R2216" s="67"/>
      <c r="S2216" s="67"/>
      <c r="T2216" s="161"/>
      <c r="U2216" s="69"/>
      <c r="V2216" s="73"/>
      <c r="W2216" s="71"/>
      <c r="X2216" s="194"/>
      <c r="Y2216" s="216"/>
      <c r="Z2216" s="73"/>
      <c r="AA2216" s="73"/>
      <c r="AB2216" s="73"/>
      <c r="AC2216" s="73"/>
      <c r="AD2216" s="73"/>
      <c r="AE2216" s="73"/>
      <c r="AF2216" s="73"/>
      <c r="AG2216" s="73"/>
      <c r="AH2216" s="73"/>
      <c r="AI2216" s="73"/>
      <c r="AJ2216" s="161"/>
      <c r="AK2216" s="236"/>
      <c r="AL2216" s="269"/>
      <c r="AM2216" s="161"/>
      <c r="AN2216" s="161"/>
      <c r="AO2216" s="161"/>
      <c r="AP2216" s="161"/>
      <c r="AQ2216" s="161"/>
      <c r="AR2216" s="161"/>
      <c r="AS2216" s="161"/>
      <c r="AT2216" s="161"/>
      <c r="AU2216" s="89"/>
      <c r="AV2216" s="162"/>
      <c r="AW2216" s="73"/>
    </row>
    <row r="2217" ht="15.75" customHeight="1">
      <c r="A2217" s="216"/>
      <c r="B2217" s="73"/>
      <c r="C2217" s="216"/>
      <c r="D2217" s="241"/>
      <c r="E2217" s="241"/>
      <c r="F2217" s="89"/>
      <c r="G2217" s="476"/>
      <c r="H2217" s="73"/>
      <c r="I2217" s="551"/>
      <c r="J2217" s="476"/>
      <c r="K2217" s="69"/>
      <c r="L2217" s="61"/>
      <c r="M2217" s="61"/>
      <c r="N2217" s="73"/>
      <c r="O2217" s="66"/>
      <c r="P2217" s="67"/>
      <c r="Q2217" s="67"/>
      <c r="R2217" s="67"/>
      <c r="S2217" s="67"/>
      <c r="T2217" s="161"/>
      <c r="U2217" s="69"/>
      <c r="V2217" s="73"/>
      <c r="W2217" s="71"/>
      <c r="X2217" s="194"/>
      <c r="Y2217" s="216"/>
      <c r="Z2217" s="73"/>
      <c r="AA2217" s="73"/>
      <c r="AB2217" s="73"/>
      <c r="AC2217" s="73"/>
      <c r="AD2217" s="73"/>
      <c r="AE2217" s="73"/>
      <c r="AF2217" s="73"/>
      <c r="AG2217" s="73"/>
      <c r="AH2217" s="73"/>
      <c r="AI2217" s="73"/>
      <c r="AJ2217" s="161"/>
      <c r="AK2217" s="236"/>
      <c r="AL2217" s="269"/>
      <c r="AM2217" s="161"/>
      <c r="AN2217" s="161"/>
      <c r="AO2217" s="161"/>
      <c r="AP2217" s="161"/>
      <c r="AQ2217" s="161"/>
      <c r="AR2217" s="161"/>
      <c r="AS2217" s="161"/>
      <c r="AT2217" s="161"/>
      <c r="AU2217" s="89"/>
      <c r="AV2217" s="162"/>
      <c r="AW2217" s="73"/>
    </row>
    <row r="2218" ht="15.75" customHeight="1">
      <c r="A2218" s="216"/>
      <c r="B2218" s="73"/>
      <c r="C2218" s="216"/>
      <c r="D2218" s="241"/>
      <c r="E2218" s="241"/>
      <c r="F2218" s="89"/>
      <c r="G2218" s="476"/>
      <c r="H2218" s="73"/>
      <c r="I2218" s="551"/>
      <c r="J2218" s="476"/>
      <c r="K2218" s="69"/>
      <c r="L2218" s="61"/>
      <c r="M2218" s="61"/>
      <c r="N2218" s="73"/>
      <c r="O2218" s="66"/>
      <c r="P2218" s="67"/>
      <c r="Q2218" s="67"/>
      <c r="R2218" s="67"/>
      <c r="S2218" s="67"/>
      <c r="T2218" s="161"/>
      <c r="U2218" s="69"/>
      <c r="V2218" s="73"/>
      <c r="W2218" s="71"/>
      <c r="X2218" s="194"/>
      <c r="Y2218" s="216"/>
      <c r="Z2218" s="73"/>
      <c r="AA2218" s="73"/>
      <c r="AB2218" s="73"/>
      <c r="AC2218" s="73"/>
      <c r="AD2218" s="73"/>
      <c r="AE2218" s="73"/>
      <c r="AF2218" s="73"/>
      <c r="AG2218" s="73"/>
      <c r="AH2218" s="73"/>
      <c r="AI2218" s="73"/>
      <c r="AJ2218" s="161"/>
      <c r="AK2218" s="236"/>
      <c r="AL2218" s="269"/>
      <c r="AM2218" s="161"/>
      <c r="AN2218" s="161"/>
      <c r="AO2218" s="161"/>
      <c r="AP2218" s="161"/>
      <c r="AQ2218" s="161"/>
      <c r="AR2218" s="161"/>
      <c r="AS2218" s="161"/>
      <c r="AT2218" s="161"/>
      <c r="AU2218" s="89"/>
      <c r="AV2218" s="162"/>
      <c r="AW2218" s="73"/>
    </row>
    <row r="2219" ht="15.75" customHeight="1">
      <c r="A2219" s="216"/>
      <c r="B2219" s="73"/>
      <c r="C2219" s="216"/>
      <c r="D2219" s="241"/>
      <c r="E2219" s="241"/>
      <c r="F2219" s="89"/>
      <c r="G2219" s="476"/>
      <c r="H2219" s="73"/>
      <c r="I2219" s="551"/>
      <c r="J2219" s="476"/>
      <c r="K2219" s="69"/>
      <c r="L2219" s="61"/>
      <c r="M2219" s="61"/>
      <c r="N2219" s="73"/>
      <c r="O2219" s="66"/>
      <c r="P2219" s="67"/>
      <c r="Q2219" s="67"/>
      <c r="R2219" s="67"/>
      <c r="S2219" s="67"/>
      <c r="T2219" s="161"/>
      <c r="U2219" s="69"/>
      <c r="V2219" s="73"/>
      <c r="W2219" s="71"/>
      <c r="X2219" s="194"/>
      <c r="Y2219" s="216"/>
      <c r="Z2219" s="73"/>
      <c r="AA2219" s="73"/>
      <c r="AB2219" s="73"/>
      <c r="AC2219" s="73"/>
      <c r="AD2219" s="73"/>
      <c r="AE2219" s="73"/>
      <c r="AF2219" s="73"/>
      <c r="AG2219" s="73"/>
      <c r="AH2219" s="73"/>
      <c r="AI2219" s="73"/>
      <c r="AJ2219" s="161"/>
      <c r="AK2219" s="236"/>
      <c r="AL2219" s="269"/>
      <c r="AM2219" s="161"/>
      <c r="AN2219" s="161"/>
      <c r="AO2219" s="161"/>
      <c r="AP2219" s="161"/>
      <c r="AQ2219" s="161"/>
      <c r="AR2219" s="161"/>
      <c r="AS2219" s="161"/>
      <c r="AT2219" s="161"/>
      <c r="AU2219" s="89"/>
      <c r="AV2219" s="162"/>
      <c r="AW2219" s="73"/>
    </row>
    <row r="2220" ht="15.75" customHeight="1">
      <c r="A2220" s="216"/>
      <c r="B2220" s="73"/>
      <c r="C2220" s="216"/>
      <c r="D2220" s="241"/>
      <c r="E2220" s="241"/>
      <c r="F2220" s="89"/>
      <c r="G2220" s="476"/>
      <c r="H2220" s="73"/>
      <c r="I2220" s="551"/>
      <c r="J2220" s="476"/>
      <c r="K2220" s="69"/>
      <c r="L2220" s="61"/>
      <c r="M2220" s="61"/>
      <c r="N2220" s="73"/>
      <c r="O2220" s="66"/>
      <c r="P2220" s="67"/>
      <c r="Q2220" s="67"/>
      <c r="R2220" s="67"/>
      <c r="S2220" s="67"/>
      <c r="T2220" s="161"/>
      <c r="U2220" s="69"/>
      <c r="V2220" s="73"/>
      <c r="W2220" s="71"/>
      <c r="X2220" s="194"/>
      <c r="Y2220" s="216"/>
      <c r="Z2220" s="73"/>
      <c r="AA2220" s="73"/>
      <c r="AB2220" s="73"/>
      <c r="AC2220" s="73"/>
      <c r="AD2220" s="73"/>
      <c r="AE2220" s="73"/>
      <c r="AF2220" s="73"/>
      <c r="AG2220" s="73"/>
      <c r="AH2220" s="73"/>
      <c r="AI2220" s="73"/>
      <c r="AJ2220" s="161"/>
      <c r="AK2220" s="236"/>
      <c r="AL2220" s="269"/>
      <c r="AM2220" s="161"/>
      <c r="AN2220" s="161"/>
      <c r="AO2220" s="161"/>
      <c r="AP2220" s="161"/>
      <c r="AQ2220" s="161"/>
      <c r="AR2220" s="161"/>
      <c r="AS2220" s="161"/>
      <c r="AT2220" s="161"/>
      <c r="AU2220" s="89"/>
      <c r="AV2220" s="162"/>
      <c r="AW2220" s="73"/>
    </row>
    <row r="2221" ht="15.75" customHeight="1">
      <c r="A2221" s="216"/>
      <c r="B2221" s="73"/>
      <c r="C2221" s="216"/>
      <c r="D2221" s="241"/>
      <c r="E2221" s="241"/>
      <c r="F2221" s="89"/>
      <c r="G2221" s="476"/>
      <c r="H2221" s="73"/>
      <c r="I2221" s="551"/>
      <c r="J2221" s="476"/>
      <c r="K2221" s="69"/>
      <c r="L2221" s="61"/>
      <c r="M2221" s="61"/>
      <c r="N2221" s="73"/>
      <c r="O2221" s="66"/>
      <c r="P2221" s="67"/>
      <c r="Q2221" s="67"/>
      <c r="R2221" s="67"/>
      <c r="S2221" s="67"/>
      <c r="T2221" s="161"/>
      <c r="U2221" s="69"/>
      <c r="V2221" s="73"/>
      <c r="W2221" s="71"/>
      <c r="X2221" s="194"/>
      <c r="Y2221" s="216"/>
      <c r="Z2221" s="73"/>
      <c r="AA2221" s="73"/>
      <c r="AB2221" s="73"/>
      <c r="AC2221" s="73"/>
      <c r="AD2221" s="73"/>
      <c r="AE2221" s="73"/>
      <c r="AF2221" s="73"/>
      <c r="AG2221" s="73"/>
      <c r="AH2221" s="73"/>
      <c r="AI2221" s="73"/>
      <c r="AJ2221" s="161"/>
      <c r="AK2221" s="236"/>
      <c r="AL2221" s="269"/>
      <c r="AM2221" s="161"/>
      <c r="AN2221" s="161"/>
      <c r="AO2221" s="161"/>
      <c r="AP2221" s="161"/>
      <c r="AQ2221" s="161"/>
      <c r="AR2221" s="161"/>
      <c r="AS2221" s="161"/>
      <c r="AT2221" s="161"/>
      <c r="AU2221" s="89"/>
      <c r="AV2221" s="162"/>
      <c r="AW2221" s="73"/>
    </row>
    <row r="2222" ht="15.75" customHeight="1">
      <c r="A2222" s="216"/>
      <c r="B2222" s="73"/>
      <c r="C2222" s="216"/>
      <c r="D2222" s="241"/>
      <c r="E2222" s="241"/>
      <c r="F2222" s="89"/>
      <c r="G2222" s="476"/>
      <c r="H2222" s="73"/>
      <c r="I2222" s="551"/>
      <c r="J2222" s="476"/>
      <c r="K2222" s="69"/>
      <c r="L2222" s="61"/>
      <c r="M2222" s="61"/>
      <c r="N2222" s="73"/>
      <c r="O2222" s="66"/>
      <c r="P2222" s="67"/>
      <c r="Q2222" s="67"/>
      <c r="R2222" s="67"/>
      <c r="S2222" s="67"/>
      <c r="T2222" s="161"/>
      <c r="U2222" s="69"/>
      <c r="V2222" s="73"/>
      <c r="W2222" s="71"/>
      <c r="X2222" s="194"/>
      <c r="Y2222" s="216"/>
      <c r="Z2222" s="73"/>
      <c r="AA2222" s="73"/>
      <c r="AB2222" s="73"/>
      <c r="AC2222" s="73"/>
      <c r="AD2222" s="73"/>
      <c r="AE2222" s="73"/>
      <c r="AF2222" s="73"/>
      <c r="AG2222" s="73"/>
      <c r="AH2222" s="73"/>
      <c r="AI2222" s="73"/>
      <c r="AJ2222" s="161"/>
      <c r="AK2222" s="236"/>
      <c r="AL2222" s="269"/>
      <c r="AM2222" s="161"/>
      <c r="AN2222" s="161"/>
      <c r="AO2222" s="161"/>
      <c r="AP2222" s="161"/>
      <c r="AQ2222" s="161"/>
      <c r="AR2222" s="161"/>
      <c r="AS2222" s="161"/>
      <c r="AT2222" s="161"/>
      <c r="AU2222" s="89"/>
      <c r="AV2222" s="162"/>
      <c r="AW2222" s="73"/>
    </row>
    <row r="2223" ht="15.75" customHeight="1">
      <c r="A2223" s="216"/>
      <c r="B2223" s="73"/>
      <c r="C2223" s="216"/>
      <c r="D2223" s="241"/>
      <c r="E2223" s="241"/>
      <c r="F2223" s="89"/>
      <c r="G2223" s="476"/>
      <c r="H2223" s="73"/>
      <c r="I2223" s="551"/>
      <c r="J2223" s="476"/>
      <c r="K2223" s="69"/>
      <c r="L2223" s="61"/>
      <c r="M2223" s="61"/>
      <c r="N2223" s="73"/>
      <c r="O2223" s="66"/>
      <c r="P2223" s="67"/>
      <c r="Q2223" s="67"/>
      <c r="R2223" s="67"/>
      <c r="S2223" s="67"/>
      <c r="T2223" s="161"/>
      <c r="U2223" s="69"/>
      <c r="V2223" s="73"/>
      <c r="W2223" s="71"/>
      <c r="X2223" s="194"/>
      <c r="Y2223" s="216"/>
      <c r="Z2223" s="73"/>
      <c r="AA2223" s="73"/>
      <c r="AB2223" s="73"/>
      <c r="AC2223" s="73"/>
      <c r="AD2223" s="73"/>
      <c r="AE2223" s="73"/>
      <c r="AF2223" s="73"/>
      <c r="AG2223" s="73"/>
      <c r="AH2223" s="73"/>
      <c r="AI2223" s="73"/>
      <c r="AJ2223" s="161"/>
      <c r="AK2223" s="236"/>
      <c r="AL2223" s="269"/>
      <c r="AM2223" s="161"/>
      <c r="AN2223" s="161"/>
      <c r="AO2223" s="161"/>
      <c r="AP2223" s="161"/>
      <c r="AQ2223" s="161"/>
      <c r="AR2223" s="161"/>
      <c r="AS2223" s="161"/>
      <c r="AT2223" s="161"/>
      <c r="AU2223" s="89"/>
      <c r="AV2223" s="162"/>
      <c r="AW2223" s="73"/>
    </row>
    <row r="2224" ht="15.75" customHeight="1">
      <c r="A2224" s="216"/>
      <c r="B2224" s="73"/>
      <c r="C2224" s="216"/>
      <c r="D2224" s="241"/>
      <c r="E2224" s="241"/>
      <c r="F2224" s="89"/>
      <c r="G2224" s="476"/>
      <c r="H2224" s="73"/>
      <c r="I2224" s="551"/>
      <c r="J2224" s="476"/>
      <c r="K2224" s="69"/>
      <c r="L2224" s="61"/>
      <c r="M2224" s="61"/>
      <c r="N2224" s="73"/>
      <c r="O2224" s="66"/>
      <c r="P2224" s="67"/>
      <c r="Q2224" s="67"/>
      <c r="R2224" s="67"/>
      <c r="S2224" s="67"/>
      <c r="T2224" s="161"/>
      <c r="U2224" s="69"/>
      <c r="V2224" s="73"/>
      <c r="W2224" s="71"/>
      <c r="X2224" s="194"/>
      <c r="Y2224" s="216"/>
      <c r="Z2224" s="73"/>
      <c r="AA2224" s="73"/>
      <c r="AB2224" s="73"/>
      <c r="AC2224" s="73"/>
      <c r="AD2224" s="73"/>
      <c r="AE2224" s="73"/>
      <c r="AF2224" s="73"/>
      <c r="AG2224" s="73"/>
      <c r="AH2224" s="73"/>
      <c r="AI2224" s="73"/>
      <c r="AJ2224" s="161"/>
      <c r="AK2224" s="236"/>
      <c r="AL2224" s="269"/>
      <c r="AM2224" s="161"/>
      <c r="AN2224" s="161"/>
      <c r="AO2224" s="161"/>
      <c r="AP2224" s="161"/>
      <c r="AQ2224" s="161"/>
      <c r="AR2224" s="161"/>
      <c r="AS2224" s="161"/>
      <c r="AT2224" s="161"/>
      <c r="AU2224" s="89"/>
      <c r="AV2224" s="162"/>
      <c r="AW2224" s="73"/>
    </row>
    <row r="2225" ht="15.75" customHeight="1">
      <c r="A2225" s="216"/>
      <c r="B2225" s="73"/>
      <c r="C2225" s="216"/>
      <c r="D2225" s="241"/>
      <c r="E2225" s="241"/>
      <c r="F2225" s="89"/>
      <c r="G2225" s="476"/>
      <c r="H2225" s="73"/>
      <c r="I2225" s="551"/>
      <c r="J2225" s="476"/>
      <c r="K2225" s="69"/>
      <c r="L2225" s="61"/>
      <c r="M2225" s="61"/>
      <c r="N2225" s="73"/>
      <c r="O2225" s="66"/>
      <c r="P2225" s="67"/>
      <c r="Q2225" s="67"/>
      <c r="R2225" s="67"/>
      <c r="S2225" s="67"/>
      <c r="T2225" s="161"/>
      <c r="U2225" s="69"/>
      <c r="V2225" s="73"/>
      <c r="W2225" s="71"/>
      <c r="X2225" s="194"/>
      <c r="Y2225" s="216"/>
      <c r="Z2225" s="73"/>
      <c r="AA2225" s="73"/>
      <c r="AB2225" s="73"/>
      <c r="AC2225" s="73"/>
      <c r="AD2225" s="73"/>
      <c r="AE2225" s="73"/>
      <c r="AF2225" s="73"/>
      <c r="AG2225" s="73"/>
      <c r="AH2225" s="73"/>
      <c r="AI2225" s="73"/>
      <c r="AJ2225" s="161"/>
      <c r="AK2225" s="236"/>
      <c r="AL2225" s="269"/>
      <c r="AM2225" s="161"/>
      <c r="AN2225" s="161"/>
      <c r="AO2225" s="161"/>
      <c r="AP2225" s="161"/>
      <c r="AQ2225" s="161"/>
      <c r="AR2225" s="161"/>
      <c r="AS2225" s="161"/>
      <c r="AT2225" s="161"/>
      <c r="AU2225" s="89"/>
      <c r="AV2225" s="162"/>
      <c r="AW2225" s="73"/>
    </row>
    <row r="2226" ht="15.75" customHeight="1">
      <c r="A2226" s="216"/>
      <c r="B2226" s="73"/>
      <c r="C2226" s="216"/>
      <c r="D2226" s="241"/>
      <c r="E2226" s="241"/>
      <c r="F2226" s="89"/>
      <c r="G2226" s="476"/>
      <c r="H2226" s="73"/>
      <c r="I2226" s="551"/>
      <c r="J2226" s="476"/>
      <c r="K2226" s="69"/>
      <c r="L2226" s="61"/>
      <c r="M2226" s="61"/>
      <c r="N2226" s="73"/>
      <c r="O2226" s="66"/>
      <c r="P2226" s="67"/>
      <c r="Q2226" s="67"/>
      <c r="R2226" s="67"/>
      <c r="S2226" s="67"/>
      <c r="T2226" s="161"/>
      <c r="U2226" s="69"/>
      <c r="V2226" s="73"/>
      <c r="W2226" s="71"/>
      <c r="X2226" s="194"/>
      <c r="Y2226" s="216"/>
      <c r="Z2226" s="73"/>
      <c r="AA2226" s="73"/>
      <c r="AB2226" s="73"/>
      <c r="AC2226" s="73"/>
      <c r="AD2226" s="73"/>
      <c r="AE2226" s="73"/>
      <c r="AF2226" s="73"/>
      <c r="AG2226" s="73"/>
      <c r="AH2226" s="73"/>
      <c r="AI2226" s="73"/>
      <c r="AJ2226" s="161"/>
      <c r="AK2226" s="236"/>
      <c r="AL2226" s="269"/>
      <c r="AM2226" s="161"/>
      <c r="AN2226" s="161"/>
      <c r="AO2226" s="161"/>
      <c r="AP2226" s="161"/>
      <c r="AQ2226" s="161"/>
      <c r="AR2226" s="161"/>
      <c r="AS2226" s="161"/>
      <c r="AT2226" s="161"/>
      <c r="AU2226" s="89"/>
      <c r="AV2226" s="162"/>
      <c r="AW2226" s="73"/>
    </row>
    <row r="2227" ht="15.75" customHeight="1">
      <c r="A2227" s="216"/>
      <c r="B2227" s="73"/>
      <c r="C2227" s="216"/>
      <c r="D2227" s="241"/>
      <c r="E2227" s="241"/>
      <c r="F2227" s="89"/>
      <c r="G2227" s="476"/>
      <c r="H2227" s="73"/>
      <c r="I2227" s="551"/>
      <c r="J2227" s="476"/>
      <c r="K2227" s="69"/>
      <c r="L2227" s="61"/>
      <c r="M2227" s="61"/>
      <c r="N2227" s="73"/>
      <c r="O2227" s="66"/>
      <c r="P2227" s="67"/>
      <c r="Q2227" s="67"/>
      <c r="R2227" s="67"/>
      <c r="S2227" s="67"/>
      <c r="T2227" s="161"/>
      <c r="U2227" s="69"/>
      <c r="V2227" s="73"/>
      <c r="W2227" s="71"/>
      <c r="X2227" s="194"/>
      <c r="Y2227" s="216"/>
      <c r="Z2227" s="73"/>
      <c r="AA2227" s="73"/>
      <c r="AB2227" s="73"/>
      <c r="AC2227" s="73"/>
      <c r="AD2227" s="73"/>
      <c r="AE2227" s="73"/>
      <c r="AF2227" s="73"/>
      <c r="AG2227" s="73"/>
      <c r="AH2227" s="73"/>
      <c r="AI2227" s="73"/>
      <c r="AJ2227" s="161"/>
      <c r="AK2227" s="236"/>
      <c r="AL2227" s="269"/>
      <c r="AM2227" s="161"/>
      <c r="AN2227" s="161"/>
      <c r="AO2227" s="161"/>
      <c r="AP2227" s="161"/>
      <c r="AQ2227" s="161"/>
      <c r="AR2227" s="161"/>
      <c r="AS2227" s="161"/>
      <c r="AT2227" s="161"/>
      <c r="AU2227" s="89"/>
      <c r="AV2227" s="162"/>
      <c r="AW2227" s="73"/>
    </row>
    <row r="2228" ht="15.75" customHeight="1">
      <c r="A2228" s="216"/>
      <c r="B2228" s="73"/>
      <c r="C2228" s="216"/>
      <c r="D2228" s="241"/>
      <c r="E2228" s="241"/>
      <c r="F2228" s="89"/>
      <c r="G2228" s="476"/>
      <c r="H2228" s="73"/>
      <c r="I2228" s="551"/>
      <c r="J2228" s="476"/>
      <c r="K2228" s="69"/>
      <c r="L2228" s="61"/>
      <c r="M2228" s="61"/>
      <c r="N2228" s="73"/>
      <c r="O2228" s="66"/>
      <c r="P2228" s="67"/>
      <c r="Q2228" s="67"/>
      <c r="R2228" s="67"/>
      <c r="S2228" s="67"/>
      <c r="T2228" s="161"/>
      <c r="U2228" s="69"/>
      <c r="V2228" s="73"/>
      <c r="W2228" s="71"/>
      <c r="X2228" s="194"/>
      <c r="Y2228" s="216"/>
      <c r="Z2228" s="73"/>
      <c r="AA2228" s="73"/>
      <c r="AB2228" s="73"/>
      <c r="AC2228" s="73"/>
      <c r="AD2228" s="73"/>
      <c r="AE2228" s="73"/>
      <c r="AF2228" s="73"/>
      <c r="AG2228" s="73"/>
      <c r="AH2228" s="73"/>
      <c r="AI2228" s="73"/>
      <c r="AJ2228" s="161"/>
      <c r="AK2228" s="236"/>
      <c r="AL2228" s="269"/>
      <c r="AM2228" s="161"/>
      <c r="AN2228" s="161"/>
      <c r="AO2228" s="161"/>
      <c r="AP2228" s="161"/>
      <c r="AQ2228" s="161"/>
      <c r="AR2228" s="161"/>
      <c r="AS2228" s="161"/>
      <c r="AT2228" s="161"/>
      <c r="AU2228" s="89"/>
      <c r="AV2228" s="162"/>
      <c r="AW2228" s="73"/>
    </row>
    <row r="2229" ht="15.75" customHeight="1">
      <c r="A2229" s="216"/>
      <c r="B2229" s="73"/>
      <c r="C2229" s="216"/>
      <c r="D2229" s="241"/>
      <c r="E2229" s="241"/>
      <c r="F2229" s="89"/>
      <c r="G2229" s="476"/>
      <c r="H2229" s="73"/>
      <c r="I2229" s="551"/>
      <c r="J2229" s="476"/>
      <c r="K2229" s="69"/>
      <c r="L2229" s="61"/>
      <c r="M2229" s="61"/>
      <c r="N2229" s="73"/>
      <c r="O2229" s="66"/>
      <c r="P2229" s="67"/>
      <c r="Q2229" s="67"/>
      <c r="R2229" s="67"/>
      <c r="S2229" s="67"/>
      <c r="T2229" s="161"/>
      <c r="U2229" s="69"/>
      <c r="V2229" s="73"/>
      <c r="W2229" s="71"/>
      <c r="X2229" s="194"/>
      <c r="Y2229" s="216"/>
      <c r="Z2229" s="73"/>
      <c r="AA2229" s="73"/>
      <c r="AB2229" s="73"/>
      <c r="AC2229" s="73"/>
      <c r="AD2229" s="73"/>
      <c r="AE2229" s="73"/>
      <c r="AF2229" s="73"/>
      <c r="AG2229" s="73"/>
      <c r="AH2229" s="73"/>
      <c r="AI2229" s="73"/>
      <c r="AJ2229" s="161"/>
      <c r="AK2229" s="236"/>
      <c r="AL2229" s="269"/>
      <c r="AM2229" s="161"/>
      <c r="AN2229" s="161"/>
      <c r="AO2229" s="161"/>
      <c r="AP2229" s="161"/>
      <c r="AQ2229" s="161"/>
      <c r="AR2229" s="161"/>
      <c r="AS2229" s="161"/>
      <c r="AT2229" s="161"/>
      <c r="AU2229" s="89"/>
      <c r="AV2229" s="162"/>
      <c r="AW2229" s="73"/>
    </row>
    <row r="2230" ht="15.75" customHeight="1">
      <c r="A2230" s="216"/>
      <c r="B2230" s="73"/>
      <c r="C2230" s="216"/>
      <c r="D2230" s="241"/>
      <c r="E2230" s="241"/>
      <c r="F2230" s="89"/>
      <c r="G2230" s="476"/>
      <c r="H2230" s="73"/>
      <c r="I2230" s="551"/>
      <c r="J2230" s="476"/>
      <c r="K2230" s="69"/>
      <c r="L2230" s="61"/>
      <c r="M2230" s="61"/>
      <c r="N2230" s="73"/>
      <c r="O2230" s="66"/>
      <c r="P2230" s="67"/>
      <c r="Q2230" s="67"/>
      <c r="R2230" s="67"/>
      <c r="S2230" s="67"/>
      <c r="T2230" s="161"/>
      <c r="U2230" s="69"/>
      <c r="V2230" s="73"/>
      <c r="W2230" s="71"/>
      <c r="X2230" s="194"/>
      <c r="Y2230" s="216"/>
      <c r="Z2230" s="73"/>
      <c r="AA2230" s="73"/>
      <c r="AB2230" s="73"/>
      <c r="AC2230" s="73"/>
      <c r="AD2230" s="73"/>
      <c r="AE2230" s="73"/>
      <c r="AF2230" s="73"/>
      <c r="AG2230" s="73"/>
      <c r="AH2230" s="73"/>
      <c r="AI2230" s="73"/>
      <c r="AJ2230" s="161"/>
      <c r="AK2230" s="236"/>
      <c r="AL2230" s="269"/>
      <c r="AM2230" s="161"/>
      <c r="AN2230" s="161"/>
      <c r="AO2230" s="161"/>
      <c r="AP2230" s="161"/>
      <c r="AQ2230" s="161"/>
      <c r="AR2230" s="161"/>
      <c r="AS2230" s="161"/>
      <c r="AT2230" s="161"/>
      <c r="AU2230" s="89"/>
      <c r="AV2230" s="162"/>
      <c r="AW2230" s="73"/>
    </row>
    <row r="2231" ht="15.75" customHeight="1">
      <c r="A2231" s="216"/>
      <c r="B2231" s="73"/>
      <c r="C2231" s="216"/>
      <c r="D2231" s="241"/>
      <c r="E2231" s="241"/>
      <c r="F2231" s="89"/>
      <c r="G2231" s="476"/>
      <c r="H2231" s="73"/>
      <c r="I2231" s="551"/>
      <c r="J2231" s="476"/>
      <c r="K2231" s="69"/>
      <c r="L2231" s="61"/>
      <c r="M2231" s="61"/>
      <c r="N2231" s="73"/>
      <c r="O2231" s="66"/>
      <c r="P2231" s="67"/>
      <c r="Q2231" s="67"/>
      <c r="R2231" s="67"/>
      <c r="S2231" s="67"/>
      <c r="T2231" s="161"/>
      <c r="U2231" s="69"/>
      <c r="V2231" s="73"/>
      <c r="W2231" s="71"/>
      <c r="X2231" s="194"/>
      <c r="Y2231" s="216"/>
      <c r="Z2231" s="73"/>
      <c r="AA2231" s="73"/>
      <c r="AB2231" s="73"/>
      <c r="AC2231" s="73"/>
      <c r="AD2231" s="73"/>
      <c r="AE2231" s="73"/>
      <c r="AF2231" s="73"/>
      <c r="AG2231" s="73"/>
      <c r="AH2231" s="73"/>
      <c r="AI2231" s="73"/>
      <c r="AJ2231" s="161"/>
      <c r="AK2231" s="236"/>
      <c r="AL2231" s="269"/>
      <c r="AM2231" s="161"/>
      <c r="AN2231" s="161"/>
      <c r="AO2231" s="161"/>
      <c r="AP2231" s="161"/>
      <c r="AQ2231" s="161"/>
      <c r="AR2231" s="161"/>
      <c r="AS2231" s="161"/>
      <c r="AT2231" s="161"/>
      <c r="AU2231" s="89"/>
      <c r="AV2231" s="162"/>
      <c r="AW2231" s="73"/>
    </row>
    <row r="2232" ht="15.75" customHeight="1">
      <c r="A2232" s="216"/>
      <c r="B2232" s="73"/>
      <c r="C2232" s="216"/>
      <c r="D2232" s="241"/>
      <c r="E2232" s="241"/>
      <c r="F2232" s="89"/>
      <c r="G2232" s="476"/>
      <c r="H2232" s="73"/>
      <c r="I2232" s="551"/>
      <c r="J2232" s="476"/>
      <c r="K2232" s="69"/>
      <c r="L2232" s="61"/>
      <c r="M2232" s="61"/>
      <c r="N2232" s="73"/>
      <c r="O2232" s="66"/>
      <c r="P2232" s="67"/>
      <c r="Q2232" s="67"/>
      <c r="R2232" s="67"/>
      <c r="S2232" s="67"/>
      <c r="T2232" s="161"/>
      <c r="U2232" s="69"/>
      <c r="V2232" s="73"/>
      <c r="W2232" s="71"/>
      <c r="X2232" s="194"/>
      <c r="Y2232" s="216"/>
      <c r="Z2232" s="73"/>
      <c r="AA2232" s="73"/>
      <c r="AB2232" s="73"/>
      <c r="AC2232" s="73"/>
      <c r="AD2232" s="73"/>
      <c r="AE2232" s="73"/>
      <c r="AF2232" s="73"/>
      <c r="AG2232" s="73"/>
      <c r="AH2232" s="73"/>
      <c r="AI2232" s="73"/>
      <c r="AJ2232" s="161"/>
      <c r="AK2232" s="236"/>
      <c r="AL2232" s="269"/>
      <c r="AM2232" s="161"/>
      <c r="AN2232" s="161"/>
      <c r="AO2232" s="161"/>
      <c r="AP2232" s="161"/>
      <c r="AQ2232" s="161"/>
      <c r="AR2232" s="161"/>
      <c r="AS2232" s="161"/>
      <c r="AT2232" s="161"/>
      <c r="AU2232" s="89"/>
      <c r="AV2232" s="162"/>
      <c r="AW2232" s="73"/>
    </row>
    <row r="2233" ht="15.75" customHeight="1">
      <c r="A2233" s="216"/>
      <c r="B2233" s="73"/>
      <c r="C2233" s="216"/>
      <c r="D2233" s="241"/>
      <c r="E2233" s="241"/>
      <c r="F2233" s="89"/>
      <c r="G2233" s="476"/>
      <c r="H2233" s="73"/>
      <c r="I2233" s="551"/>
      <c r="J2233" s="476"/>
      <c r="K2233" s="69"/>
      <c r="L2233" s="61"/>
      <c r="M2233" s="61"/>
      <c r="N2233" s="73"/>
      <c r="O2233" s="66"/>
      <c r="P2233" s="67"/>
      <c r="Q2233" s="67"/>
      <c r="R2233" s="67"/>
      <c r="S2233" s="67"/>
      <c r="T2233" s="161"/>
      <c r="U2233" s="69"/>
      <c r="V2233" s="73"/>
      <c r="W2233" s="71"/>
      <c r="X2233" s="194"/>
      <c r="Y2233" s="216"/>
      <c r="Z2233" s="73"/>
      <c r="AA2233" s="73"/>
      <c r="AB2233" s="73"/>
      <c r="AC2233" s="73"/>
      <c r="AD2233" s="73"/>
      <c r="AE2233" s="73"/>
      <c r="AF2233" s="73"/>
      <c r="AG2233" s="73"/>
      <c r="AH2233" s="73"/>
      <c r="AI2233" s="73"/>
      <c r="AJ2233" s="161"/>
      <c r="AK2233" s="236"/>
      <c r="AL2233" s="269"/>
      <c r="AM2233" s="161"/>
      <c r="AN2233" s="161"/>
      <c r="AO2233" s="161"/>
      <c r="AP2233" s="161"/>
      <c r="AQ2233" s="161"/>
      <c r="AR2233" s="161"/>
      <c r="AS2233" s="161"/>
      <c r="AT2233" s="161"/>
      <c r="AU2233" s="89"/>
      <c r="AV2233" s="162"/>
      <c r="AW2233" s="73"/>
    </row>
    <row r="2234" ht="15.75" customHeight="1">
      <c r="A2234" s="216"/>
      <c r="B2234" s="73"/>
      <c r="C2234" s="216"/>
      <c r="D2234" s="241"/>
      <c r="E2234" s="241"/>
      <c r="F2234" s="89"/>
      <c r="G2234" s="476"/>
      <c r="H2234" s="73"/>
      <c r="I2234" s="551"/>
      <c r="J2234" s="476"/>
      <c r="K2234" s="69"/>
      <c r="L2234" s="61"/>
      <c r="M2234" s="61"/>
      <c r="N2234" s="73"/>
      <c r="O2234" s="66"/>
      <c r="P2234" s="67"/>
      <c r="Q2234" s="67"/>
      <c r="R2234" s="67"/>
      <c r="S2234" s="67"/>
      <c r="T2234" s="161"/>
      <c r="U2234" s="69"/>
      <c r="V2234" s="73"/>
      <c r="W2234" s="71"/>
      <c r="X2234" s="194"/>
      <c r="Y2234" s="216"/>
      <c r="Z2234" s="73"/>
      <c r="AA2234" s="73"/>
      <c r="AB2234" s="73"/>
      <c r="AC2234" s="73"/>
      <c r="AD2234" s="73"/>
      <c r="AE2234" s="73"/>
      <c r="AF2234" s="73"/>
      <c r="AG2234" s="73"/>
      <c r="AH2234" s="73"/>
      <c r="AI2234" s="73"/>
      <c r="AJ2234" s="161"/>
      <c r="AK2234" s="236"/>
      <c r="AL2234" s="269"/>
      <c r="AM2234" s="161"/>
      <c r="AN2234" s="161"/>
      <c r="AO2234" s="161"/>
      <c r="AP2234" s="161"/>
      <c r="AQ2234" s="161"/>
      <c r="AR2234" s="161"/>
      <c r="AS2234" s="161"/>
      <c r="AT2234" s="161"/>
      <c r="AU2234" s="89"/>
      <c r="AV2234" s="162"/>
      <c r="AW2234" s="73"/>
    </row>
    <row r="2235" ht="15.75" customHeight="1">
      <c r="A2235" s="216"/>
      <c r="B2235" s="73"/>
      <c r="C2235" s="216"/>
      <c r="D2235" s="241"/>
      <c r="E2235" s="241"/>
      <c r="F2235" s="89"/>
      <c r="G2235" s="476"/>
      <c r="H2235" s="73"/>
      <c r="I2235" s="551"/>
      <c r="J2235" s="476"/>
      <c r="K2235" s="69"/>
      <c r="L2235" s="61"/>
      <c r="M2235" s="61"/>
      <c r="N2235" s="73"/>
      <c r="O2235" s="66"/>
      <c r="P2235" s="67"/>
      <c r="Q2235" s="67"/>
      <c r="R2235" s="67"/>
      <c r="S2235" s="67"/>
      <c r="T2235" s="161"/>
      <c r="U2235" s="69"/>
      <c r="V2235" s="73"/>
      <c r="W2235" s="71"/>
      <c r="X2235" s="194"/>
      <c r="Y2235" s="216"/>
      <c r="Z2235" s="73"/>
      <c r="AA2235" s="73"/>
      <c r="AB2235" s="73"/>
      <c r="AC2235" s="73"/>
      <c r="AD2235" s="73"/>
      <c r="AE2235" s="73"/>
      <c r="AF2235" s="73"/>
      <c r="AG2235" s="73"/>
      <c r="AH2235" s="73"/>
      <c r="AI2235" s="73"/>
      <c r="AJ2235" s="161"/>
      <c r="AK2235" s="236"/>
      <c r="AL2235" s="269"/>
      <c r="AM2235" s="161"/>
      <c r="AN2235" s="161"/>
      <c r="AO2235" s="161"/>
      <c r="AP2235" s="161"/>
      <c r="AQ2235" s="161"/>
      <c r="AR2235" s="161"/>
      <c r="AS2235" s="161"/>
      <c r="AT2235" s="161"/>
      <c r="AU2235" s="89"/>
      <c r="AV2235" s="162"/>
      <c r="AW2235" s="73"/>
    </row>
    <row r="2236" ht="15.75" customHeight="1">
      <c r="A2236" s="216"/>
      <c r="B2236" s="73"/>
      <c r="C2236" s="216"/>
      <c r="D2236" s="241"/>
      <c r="E2236" s="241"/>
      <c r="F2236" s="89"/>
      <c r="G2236" s="476"/>
      <c r="H2236" s="73"/>
      <c r="I2236" s="551"/>
      <c r="J2236" s="476"/>
      <c r="K2236" s="69"/>
      <c r="L2236" s="61"/>
      <c r="M2236" s="61"/>
      <c r="N2236" s="73"/>
      <c r="O2236" s="66"/>
      <c r="P2236" s="67"/>
      <c r="Q2236" s="67"/>
      <c r="R2236" s="67"/>
      <c r="S2236" s="67"/>
      <c r="T2236" s="161"/>
      <c r="U2236" s="69"/>
      <c r="V2236" s="73"/>
      <c r="W2236" s="71"/>
      <c r="X2236" s="194"/>
      <c r="Y2236" s="216"/>
      <c r="Z2236" s="73"/>
      <c r="AA2236" s="73"/>
      <c r="AB2236" s="73"/>
      <c r="AC2236" s="73"/>
      <c r="AD2236" s="73"/>
      <c r="AE2236" s="73"/>
      <c r="AF2236" s="73"/>
      <c r="AG2236" s="73"/>
      <c r="AH2236" s="73"/>
      <c r="AI2236" s="73"/>
      <c r="AJ2236" s="161"/>
      <c r="AK2236" s="236"/>
      <c r="AL2236" s="269"/>
      <c r="AM2236" s="161"/>
      <c r="AN2236" s="161"/>
      <c r="AO2236" s="161"/>
      <c r="AP2236" s="161"/>
      <c r="AQ2236" s="161"/>
      <c r="AR2236" s="161"/>
      <c r="AS2236" s="161"/>
      <c r="AT2236" s="161"/>
      <c r="AU2236" s="89"/>
      <c r="AV2236" s="162"/>
      <c r="AW2236" s="73"/>
    </row>
    <row r="2237" ht="15.75" customHeight="1">
      <c r="A2237" s="216"/>
      <c r="B2237" s="73"/>
      <c r="C2237" s="216"/>
      <c r="D2237" s="241"/>
      <c r="E2237" s="241"/>
      <c r="F2237" s="89"/>
      <c r="G2237" s="476"/>
      <c r="H2237" s="73"/>
      <c r="I2237" s="551"/>
      <c r="J2237" s="476"/>
      <c r="K2237" s="69"/>
      <c r="L2237" s="61"/>
      <c r="M2237" s="61"/>
      <c r="N2237" s="73"/>
      <c r="O2237" s="66"/>
      <c r="P2237" s="67"/>
      <c r="Q2237" s="67"/>
      <c r="R2237" s="67"/>
      <c r="S2237" s="67"/>
      <c r="T2237" s="161"/>
      <c r="U2237" s="69"/>
      <c r="V2237" s="73"/>
      <c r="W2237" s="71"/>
      <c r="X2237" s="194"/>
      <c r="Y2237" s="216"/>
      <c r="Z2237" s="73"/>
      <c r="AA2237" s="73"/>
      <c r="AB2237" s="73"/>
      <c r="AC2237" s="73"/>
      <c r="AD2237" s="73"/>
      <c r="AE2237" s="73"/>
      <c r="AF2237" s="73"/>
      <c r="AG2237" s="73"/>
      <c r="AH2237" s="73"/>
      <c r="AI2237" s="73"/>
      <c r="AJ2237" s="161"/>
      <c r="AK2237" s="236"/>
      <c r="AL2237" s="269"/>
      <c r="AM2237" s="161"/>
      <c r="AN2237" s="161"/>
      <c r="AO2237" s="161"/>
      <c r="AP2237" s="161"/>
      <c r="AQ2237" s="161"/>
      <c r="AR2237" s="161"/>
      <c r="AS2237" s="161"/>
      <c r="AT2237" s="161"/>
      <c r="AU2237" s="89"/>
      <c r="AV2237" s="162"/>
      <c r="AW2237" s="73"/>
    </row>
    <row r="2238" ht="15.75" customHeight="1">
      <c r="A2238" s="216"/>
      <c r="B2238" s="73"/>
      <c r="C2238" s="216"/>
      <c r="D2238" s="241"/>
      <c r="E2238" s="241"/>
      <c r="F2238" s="89"/>
      <c r="G2238" s="476"/>
      <c r="H2238" s="73"/>
      <c r="I2238" s="551"/>
      <c r="J2238" s="476"/>
      <c r="K2238" s="69"/>
      <c r="L2238" s="61"/>
      <c r="M2238" s="61"/>
      <c r="N2238" s="73"/>
      <c r="O2238" s="66"/>
      <c r="P2238" s="67"/>
      <c r="Q2238" s="67"/>
      <c r="R2238" s="67"/>
      <c r="S2238" s="67"/>
      <c r="T2238" s="161"/>
      <c r="U2238" s="69"/>
      <c r="V2238" s="73"/>
      <c r="W2238" s="71"/>
      <c r="X2238" s="194"/>
      <c r="Y2238" s="216"/>
      <c r="Z2238" s="73"/>
      <c r="AA2238" s="73"/>
      <c r="AB2238" s="73"/>
      <c r="AC2238" s="73"/>
      <c r="AD2238" s="73"/>
      <c r="AE2238" s="73"/>
      <c r="AF2238" s="73"/>
      <c r="AG2238" s="73"/>
      <c r="AH2238" s="73"/>
      <c r="AI2238" s="73"/>
      <c r="AJ2238" s="161"/>
      <c r="AK2238" s="236"/>
      <c r="AL2238" s="269"/>
      <c r="AM2238" s="161"/>
      <c r="AN2238" s="161"/>
      <c r="AO2238" s="161"/>
      <c r="AP2238" s="161"/>
      <c r="AQ2238" s="161"/>
      <c r="AR2238" s="161"/>
      <c r="AS2238" s="161"/>
      <c r="AT2238" s="161"/>
      <c r="AU2238" s="89"/>
      <c r="AV2238" s="162"/>
      <c r="AW2238" s="73"/>
    </row>
    <row r="2239" ht="15.75" customHeight="1">
      <c r="A2239" s="216"/>
      <c r="B2239" s="73"/>
      <c r="C2239" s="216"/>
      <c r="D2239" s="241"/>
      <c r="E2239" s="241"/>
      <c r="F2239" s="89"/>
      <c r="G2239" s="476"/>
      <c r="H2239" s="73"/>
      <c r="I2239" s="551"/>
      <c r="J2239" s="476"/>
      <c r="K2239" s="69"/>
      <c r="L2239" s="61"/>
      <c r="M2239" s="61"/>
      <c r="N2239" s="73"/>
      <c r="O2239" s="66"/>
      <c r="P2239" s="67"/>
      <c r="Q2239" s="67"/>
      <c r="R2239" s="67"/>
      <c r="S2239" s="67"/>
      <c r="T2239" s="161"/>
      <c r="U2239" s="69"/>
      <c r="V2239" s="73"/>
      <c r="W2239" s="71"/>
      <c r="X2239" s="194"/>
      <c r="Y2239" s="216"/>
      <c r="Z2239" s="73"/>
      <c r="AA2239" s="73"/>
      <c r="AB2239" s="73"/>
      <c r="AC2239" s="73"/>
      <c r="AD2239" s="73"/>
      <c r="AE2239" s="73"/>
      <c r="AF2239" s="73"/>
      <c r="AG2239" s="73"/>
      <c r="AH2239" s="73"/>
      <c r="AI2239" s="73"/>
      <c r="AJ2239" s="161"/>
      <c r="AK2239" s="236"/>
      <c r="AL2239" s="269"/>
      <c r="AM2239" s="161"/>
      <c r="AN2239" s="161"/>
      <c r="AO2239" s="161"/>
      <c r="AP2239" s="161"/>
      <c r="AQ2239" s="161"/>
      <c r="AR2239" s="161"/>
      <c r="AS2239" s="161"/>
      <c r="AT2239" s="161"/>
      <c r="AU2239" s="89"/>
      <c r="AV2239" s="162"/>
      <c r="AW2239" s="73"/>
    </row>
    <row r="2240" ht="15.75" customHeight="1">
      <c r="A2240" s="216"/>
      <c r="B2240" s="73"/>
      <c r="C2240" s="216"/>
      <c r="D2240" s="241"/>
      <c r="E2240" s="241"/>
      <c r="F2240" s="89"/>
      <c r="G2240" s="476"/>
      <c r="H2240" s="73"/>
      <c r="I2240" s="551"/>
      <c r="J2240" s="476"/>
      <c r="K2240" s="69"/>
      <c r="L2240" s="61"/>
      <c r="M2240" s="61"/>
      <c r="N2240" s="73"/>
      <c r="O2240" s="66"/>
      <c r="P2240" s="67"/>
      <c r="Q2240" s="67"/>
      <c r="R2240" s="67"/>
      <c r="S2240" s="67"/>
      <c r="T2240" s="161"/>
      <c r="U2240" s="69"/>
      <c r="V2240" s="73"/>
      <c r="W2240" s="71"/>
      <c r="X2240" s="194"/>
      <c r="Y2240" s="216"/>
      <c r="Z2240" s="73"/>
      <c r="AA2240" s="73"/>
      <c r="AB2240" s="73"/>
      <c r="AC2240" s="73"/>
      <c r="AD2240" s="73"/>
      <c r="AE2240" s="73"/>
      <c r="AF2240" s="73"/>
      <c r="AG2240" s="73"/>
      <c r="AH2240" s="73"/>
      <c r="AI2240" s="73"/>
      <c r="AJ2240" s="161"/>
      <c r="AK2240" s="236"/>
      <c r="AL2240" s="269"/>
      <c r="AM2240" s="161"/>
      <c r="AN2240" s="161"/>
      <c r="AO2240" s="161"/>
      <c r="AP2240" s="161"/>
      <c r="AQ2240" s="161"/>
      <c r="AR2240" s="161"/>
      <c r="AS2240" s="161"/>
      <c r="AT2240" s="161"/>
      <c r="AU2240" s="89"/>
      <c r="AV2240" s="162"/>
      <c r="AW2240" s="73"/>
    </row>
    <row r="2241" ht="15.75" customHeight="1">
      <c r="A2241" s="216"/>
      <c r="B2241" s="73"/>
      <c r="C2241" s="216"/>
      <c r="D2241" s="241"/>
      <c r="E2241" s="241"/>
      <c r="F2241" s="89"/>
      <c r="G2241" s="476"/>
      <c r="H2241" s="73"/>
      <c r="I2241" s="551"/>
      <c r="J2241" s="476"/>
      <c r="K2241" s="69"/>
      <c r="L2241" s="61"/>
      <c r="M2241" s="61"/>
      <c r="N2241" s="73"/>
      <c r="O2241" s="66"/>
      <c r="P2241" s="67"/>
      <c r="Q2241" s="67"/>
      <c r="R2241" s="67"/>
      <c r="S2241" s="67"/>
      <c r="T2241" s="161"/>
      <c r="U2241" s="69"/>
      <c r="V2241" s="73"/>
      <c r="W2241" s="71"/>
      <c r="X2241" s="194"/>
      <c r="Y2241" s="216"/>
      <c r="Z2241" s="73"/>
      <c r="AA2241" s="73"/>
      <c r="AB2241" s="73"/>
      <c r="AC2241" s="73"/>
      <c r="AD2241" s="73"/>
      <c r="AE2241" s="73"/>
      <c r="AF2241" s="73"/>
      <c r="AG2241" s="73"/>
      <c r="AH2241" s="73"/>
      <c r="AI2241" s="73"/>
      <c r="AJ2241" s="161"/>
      <c r="AK2241" s="236"/>
      <c r="AL2241" s="269"/>
      <c r="AM2241" s="161"/>
      <c r="AN2241" s="161"/>
      <c r="AO2241" s="161"/>
      <c r="AP2241" s="161"/>
      <c r="AQ2241" s="161"/>
      <c r="AR2241" s="161"/>
      <c r="AS2241" s="161"/>
      <c r="AT2241" s="161"/>
      <c r="AU2241" s="89"/>
      <c r="AV2241" s="162"/>
      <c r="AW2241" s="73"/>
    </row>
    <row r="2242" ht="15.75" customHeight="1">
      <c r="A2242" s="216"/>
      <c r="B2242" s="73"/>
      <c r="C2242" s="216"/>
      <c r="D2242" s="241"/>
      <c r="E2242" s="241"/>
      <c r="F2242" s="89"/>
      <c r="G2242" s="476"/>
      <c r="H2242" s="73"/>
      <c r="I2242" s="551"/>
      <c r="J2242" s="476"/>
      <c r="K2242" s="69"/>
      <c r="L2242" s="61"/>
      <c r="M2242" s="61"/>
      <c r="N2242" s="73"/>
      <c r="O2242" s="66"/>
      <c r="P2242" s="67"/>
      <c r="Q2242" s="67"/>
      <c r="R2242" s="67"/>
      <c r="S2242" s="67"/>
      <c r="T2242" s="161"/>
      <c r="U2242" s="69"/>
      <c r="V2242" s="73"/>
      <c r="W2242" s="71"/>
      <c r="X2242" s="194"/>
      <c r="Y2242" s="216"/>
      <c r="Z2242" s="73"/>
      <c r="AA2242" s="73"/>
      <c r="AB2242" s="73"/>
      <c r="AC2242" s="73"/>
      <c r="AD2242" s="73"/>
      <c r="AE2242" s="73"/>
      <c r="AF2242" s="73"/>
      <c r="AG2242" s="73"/>
      <c r="AH2242" s="73"/>
      <c r="AI2242" s="73"/>
      <c r="AJ2242" s="161"/>
      <c r="AK2242" s="236"/>
      <c r="AL2242" s="269"/>
      <c r="AM2242" s="161"/>
      <c r="AN2242" s="161"/>
      <c r="AO2242" s="161"/>
      <c r="AP2242" s="161"/>
      <c r="AQ2242" s="161"/>
      <c r="AR2242" s="161"/>
      <c r="AS2242" s="161"/>
      <c r="AT2242" s="161"/>
      <c r="AU2242" s="89"/>
      <c r="AV2242" s="162"/>
      <c r="AW2242" s="73"/>
    </row>
    <row r="2243" ht="15.75" customHeight="1">
      <c r="A2243" s="216"/>
      <c r="B2243" s="73"/>
      <c r="C2243" s="216"/>
      <c r="D2243" s="241"/>
      <c r="E2243" s="241"/>
      <c r="F2243" s="89"/>
      <c r="G2243" s="476"/>
      <c r="H2243" s="73"/>
      <c r="I2243" s="551"/>
      <c r="J2243" s="476"/>
      <c r="K2243" s="69"/>
      <c r="L2243" s="61"/>
      <c r="M2243" s="61"/>
      <c r="N2243" s="73"/>
      <c r="O2243" s="66"/>
      <c r="P2243" s="67"/>
      <c r="Q2243" s="67"/>
      <c r="R2243" s="67"/>
      <c r="S2243" s="67"/>
      <c r="T2243" s="161"/>
      <c r="U2243" s="69"/>
      <c r="V2243" s="73"/>
      <c r="W2243" s="71"/>
      <c r="X2243" s="194"/>
      <c r="Y2243" s="216"/>
      <c r="Z2243" s="73"/>
      <c r="AA2243" s="73"/>
      <c r="AB2243" s="73"/>
      <c r="AC2243" s="73"/>
      <c r="AD2243" s="73"/>
      <c r="AE2243" s="73"/>
      <c r="AF2243" s="73"/>
      <c r="AG2243" s="73"/>
      <c r="AH2243" s="73"/>
      <c r="AI2243" s="73"/>
      <c r="AJ2243" s="161"/>
      <c r="AK2243" s="236"/>
      <c r="AL2243" s="269"/>
      <c r="AM2243" s="161"/>
      <c r="AN2243" s="161"/>
      <c r="AO2243" s="161"/>
      <c r="AP2243" s="161"/>
      <c r="AQ2243" s="161"/>
      <c r="AR2243" s="161"/>
      <c r="AS2243" s="161"/>
      <c r="AT2243" s="161"/>
      <c r="AU2243" s="89"/>
      <c r="AV2243" s="162"/>
      <c r="AW2243" s="73"/>
    </row>
    <row r="2244" ht="15.75" customHeight="1">
      <c r="A2244" s="216"/>
      <c r="B2244" s="73"/>
      <c r="C2244" s="216"/>
      <c r="D2244" s="241"/>
      <c r="E2244" s="241"/>
      <c r="F2244" s="89"/>
      <c r="G2244" s="476"/>
      <c r="H2244" s="73"/>
      <c r="I2244" s="551"/>
      <c r="J2244" s="476"/>
      <c r="K2244" s="69"/>
      <c r="L2244" s="61"/>
      <c r="M2244" s="61"/>
      <c r="N2244" s="73"/>
      <c r="O2244" s="66"/>
      <c r="P2244" s="67"/>
      <c r="Q2244" s="67"/>
      <c r="R2244" s="67"/>
      <c r="S2244" s="67"/>
      <c r="T2244" s="161"/>
      <c r="U2244" s="69"/>
      <c r="V2244" s="73"/>
      <c r="W2244" s="71"/>
      <c r="X2244" s="194"/>
      <c r="Y2244" s="216"/>
      <c r="Z2244" s="73"/>
      <c r="AA2244" s="73"/>
      <c r="AB2244" s="73"/>
      <c r="AC2244" s="73"/>
      <c r="AD2244" s="73"/>
      <c r="AE2244" s="73"/>
      <c r="AF2244" s="73"/>
      <c r="AG2244" s="73"/>
      <c r="AH2244" s="73"/>
      <c r="AI2244" s="73"/>
      <c r="AJ2244" s="161"/>
      <c r="AK2244" s="236"/>
      <c r="AL2244" s="269"/>
      <c r="AM2244" s="161"/>
      <c r="AN2244" s="161"/>
      <c r="AO2244" s="161"/>
      <c r="AP2244" s="161"/>
      <c r="AQ2244" s="161"/>
      <c r="AR2244" s="161"/>
      <c r="AS2244" s="161"/>
      <c r="AT2244" s="161"/>
      <c r="AU2244" s="89"/>
      <c r="AV2244" s="162"/>
      <c r="AW2244" s="73"/>
    </row>
    <row r="2245" ht="15.75" customHeight="1">
      <c r="A2245" s="216"/>
      <c r="B2245" s="73"/>
      <c r="C2245" s="216"/>
      <c r="D2245" s="241"/>
      <c r="E2245" s="241"/>
      <c r="F2245" s="89"/>
      <c r="G2245" s="476"/>
      <c r="H2245" s="73"/>
      <c r="I2245" s="551"/>
      <c r="J2245" s="476"/>
      <c r="K2245" s="69"/>
      <c r="L2245" s="61"/>
      <c r="M2245" s="61"/>
      <c r="N2245" s="73"/>
      <c r="O2245" s="66"/>
      <c r="P2245" s="67"/>
      <c r="Q2245" s="67"/>
      <c r="R2245" s="67"/>
      <c r="S2245" s="67"/>
      <c r="T2245" s="161"/>
      <c r="U2245" s="69"/>
      <c r="V2245" s="73"/>
      <c r="W2245" s="71"/>
      <c r="X2245" s="194"/>
      <c r="Y2245" s="216"/>
      <c r="Z2245" s="73"/>
      <c r="AA2245" s="73"/>
      <c r="AB2245" s="73"/>
      <c r="AC2245" s="73"/>
      <c r="AD2245" s="73"/>
      <c r="AE2245" s="73"/>
      <c r="AF2245" s="73"/>
      <c r="AG2245" s="73"/>
      <c r="AH2245" s="73"/>
      <c r="AI2245" s="73"/>
      <c r="AJ2245" s="161"/>
      <c r="AK2245" s="236"/>
      <c r="AL2245" s="269"/>
      <c r="AM2245" s="161"/>
      <c r="AN2245" s="161"/>
      <c r="AO2245" s="161"/>
      <c r="AP2245" s="161"/>
      <c r="AQ2245" s="161"/>
      <c r="AR2245" s="161"/>
      <c r="AS2245" s="161"/>
      <c r="AT2245" s="161"/>
      <c r="AU2245" s="89"/>
      <c r="AV2245" s="162"/>
      <c r="AW2245" s="73"/>
    </row>
    <row r="2246" ht="15.75" customHeight="1">
      <c r="A2246" s="216"/>
      <c r="B2246" s="73"/>
      <c r="C2246" s="216"/>
      <c r="D2246" s="241"/>
      <c r="E2246" s="241"/>
      <c r="F2246" s="89"/>
      <c r="G2246" s="476"/>
      <c r="H2246" s="73"/>
      <c r="I2246" s="551"/>
      <c r="J2246" s="476"/>
      <c r="K2246" s="69"/>
      <c r="L2246" s="61"/>
      <c r="M2246" s="61"/>
      <c r="N2246" s="73"/>
      <c r="O2246" s="66"/>
      <c r="P2246" s="67"/>
      <c r="Q2246" s="67"/>
      <c r="R2246" s="67"/>
      <c r="S2246" s="67"/>
      <c r="T2246" s="161"/>
      <c r="U2246" s="69"/>
      <c r="V2246" s="73"/>
      <c r="W2246" s="71"/>
      <c r="X2246" s="194"/>
      <c r="Y2246" s="216"/>
      <c r="Z2246" s="73"/>
      <c r="AA2246" s="73"/>
      <c r="AB2246" s="73"/>
      <c r="AC2246" s="73"/>
      <c r="AD2246" s="73"/>
      <c r="AE2246" s="73"/>
      <c r="AF2246" s="73"/>
      <c r="AG2246" s="73"/>
      <c r="AH2246" s="73"/>
      <c r="AI2246" s="73"/>
      <c r="AJ2246" s="161"/>
      <c r="AK2246" s="236"/>
      <c r="AL2246" s="269"/>
      <c r="AM2246" s="161"/>
      <c r="AN2246" s="161"/>
      <c r="AO2246" s="161"/>
      <c r="AP2246" s="161"/>
      <c r="AQ2246" s="161"/>
      <c r="AR2246" s="161"/>
      <c r="AS2246" s="161"/>
      <c r="AT2246" s="161"/>
      <c r="AU2246" s="89"/>
      <c r="AV2246" s="162"/>
      <c r="AW2246" s="73"/>
    </row>
    <row r="2247" ht="15.75" customHeight="1">
      <c r="A2247" s="216"/>
      <c r="B2247" s="73"/>
      <c r="C2247" s="216"/>
      <c r="D2247" s="241"/>
      <c r="E2247" s="241"/>
      <c r="F2247" s="89"/>
      <c r="G2247" s="476"/>
      <c r="H2247" s="73"/>
      <c r="I2247" s="551"/>
      <c r="J2247" s="476"/>
      <c r="K2247" s="69"/>
      <c r="L2247" s="61"/>
      <c r="M2247" s="61"/>
      <c r="N2247" s="73"/>
      <c r="O2247" s="66"/>
      <c r="P2247" s="67"/>
      <c r="Q2247" s="67"/>
      <c r="R2247" s="67"/>
      <c r="S2247" s="67"/>
      <c r="T2247" s="161"/>
      <c r="U2247" s="69"/>
      <c r="V2247" s="73"/>
      <c r="W2247" s="71"/>
      <c r="X2247" s="194"/>
      <c r="Y2247" s="216"/>
      <c r="Z2247" s="73"/>
      <c r="AA2247" s="73"/>
      <c r="AB2247" s="73"/>
      <c r="AC2247" s="73"/>
      <c r="AD2247" s="73"/>
      <c r="AE2247" s="73"/>
      <c r="AF2247" s="73"/>
      <c r="AG2247" s="73"/>
      <c r="AH2247" s="73"/>
      <c r="AI2247" s="73"/>
      <c r="AJ2247" s="161"/>
      <c r="AK2247" s="236"/>
      <c r="AL2247" s="269"/>
      <c r="AM2247" s="161"/>
      <c r="AN2247" s="161"/>
      <c r="AO2247" s="161"/>
      <c r="AP2247" s="161"/>
      <c r="AQ2247" s="161"/>
      <c r="AR2247" s="161"/>
      <c r="AS2247" s="161"/>
      <c r="AT2247" s="161"/>
      <c r="AU2247" s="89"/>
      <c r="AV2247" s="162"/>
      <c r="AW2247" s="73"/>
    </row>
    <row r="2248" ht="15.75" customHeight="1">
      <c r="A2248" s="216"/>
      <c r="B2248" s="73"/>
      <c r="C2248" s="216"/>
      <c r="D2248" s="241"/>
      <c r="E2248" s="241"/>
      <c r="F2248" s="89"/>
      <c r="G2248" s="476"/>
      <c r="H2248" s="73"/>
      <c r="I2248" s="551"/>
      <c r="J2248" s="476"/>
      <c r="K2248" s="69"/>
      <c r="L2248" s="61"/>
      <c r="M2248" s="61"/>
      <c r="N2248" s="73"/>
      <c r="O2248" s="66"/>
      <c r="P2248" s="67"/>
      <c r="Q2248" s="67"/>
      <c r="R2248" s="67"/>
      <c r="S2248" s="67"/>
      <c r="T2248" s="161"/>
      <c r="U2248" s="69"/>
      <c r="V2248" s="73"/>
      <c r="W2248" s="71"/>
      <c r="X2248" s="194"/>
      <c r="Y2248" s="216"/>
      <c r="Z2248" s="73"/>
      <c r="AA2248" s="73"/>
      <c r="AB2248" s="73"/>
      <c r="AC2248" s="73"/>
      <c r="AD2248" s="73"/>
      <c r="AE2248" s="73"/>
      <c r="AF2248" s="73"/>
      <c r="AG2248" s="73"/>
      <c r="AH2248" s="73"/>
      <c r="AI2248" s="73"/>
      <c r="AJ2248" s="161"/>
      <c r="AK2248" s="236"/>
      <c r="AL2248" s="269"/>
      <c r="AM2248" s="161"/>
      <c r="AN2248" s="161"/>
      <c r="AO2248" s="161"/>
      <c r="AP2248" s="161"/>
      <c r="AQ2248" s="161"/>
      <c r="AR2248" s="161"/>
      <c r="AS2248" s="161"/>
      <c r="AT2248" s="161"/>
      <c r="AU2248" s="89"/>
      <c r="AV2248" s="162"/>
      <c r="AW2248" s="73"/>
    </row>
    <row r="2249" ht="15.75" customHeight="1">
      <c r="A2249" s="216"/>
      <c r="B2249" s="73"/>
      <c r="C2249" s="216"/>
      <c r="D2249" s="241"/>
      <c r="E2249" s="241"/>
      <c r="F2249" s="89"/>
      <c r="G2249" s="476"/>
      <c r="H2249" s="73"/>
      <c r="I2249" s="551"/>
      <c r="J2249" s="476"/>
      <c r="K2249" s="69"/>
      <c r="L2249" s="61"/>
      <c r="M2249" s="61"/>
      <c r="N2249" s="73"/>
      <c r="O2249" s="66"/>
      <c r="P2249" s="67"/>
      <c r="Q2249" s="67"/>
      <c r="R2249" s="67"/>
      <c r="S2249" s="67"/>
      <c r="T2249" s="161"/>
      <c r="U2249" s="69"/>
      <c r="V2249" s="73"/>
      <c r="W2249" s="71"/>
      <c r="X2249" s="194"/>
      <c r="Y2249" s="216"/>
      <c r="Z2249" s="73"/>
      <c r="AA2249" s="73"/>
      <c r="AB2249" s="73"/>
      <c r="AC2249" s="73"/>
      <c r="AD2249" s="73"/>
      <c r="AE2249" s="73"/>
      <c r="AF2249" s="73"/>
      <c r="AG2249" s="73"/>
      <c r="AH2249" s="73"/>
      <c r="AI2249" s="73"/>
      <c r="AJ2249" s="161"/>
      <c r="AK2249" s="236"/>
      <c r="AL2249" s="269"/>
      <c r="AM2249" s="161"/>
      <c r="AN2249" s="161"/>
      <c r="AO2249" s="161"/>
      <c r="AP2249" s="161"/>
      <c r="AQ2249" s="161"/>
      <c r="AR2249" s="161"/>
      <c r="AS2249" s="161"/>
      <c r="AT2249" s="161"/>
      <c r="AU2249" s="89"/>
      <c r="AV2249" s="162"/>
      <c r="AW2249" s="73"/>
    </row>
    <row r="2250" ht="15.75" customHeight="1">
      <c r="A2250" s="216"/>
      <c r="B2250" s="73"/>
      <c r="C2250" s="216"/>
      <c r="D2250" s="241"/>
      <c r="E2250" s="241"/>
      <c r="F2250" s="89"/>
      <c r="G2250" s="476"/>
      <c r="H2250" s="73"/>
      <c r="I2250" s="551"/>
      <c r="J2250" s="476"/>
      <c r="K2250" s="69"/>
      <c r="L2250" s="61"/>
      <c r="M2250" s="61"/>
      <c r="N2250" s="73"/>
      <c r="O2250" s="66"/>
      <c r="P2250" s="67"/>
      <c r="Q2250" s="67"/>
      <c r="R2250" s="67"/>
      <c r="S2250" s="67"/>
      <c r="T2250" s="161"/>
      <c r="U2250" s="69"/>
      <c r="V2250" s="73"/>
      <c r="W2250" s="71"/>
      <c r="X2250" s="194"/>
      <c r="Y2250" s="216"/>
      <c r="Z2250" s="73"/>
      <c r="AA2250" s="73"/>
      <c r="AB2250" s="73"/>
      <c r="AC2250" s="73"/>
      <c r="AD2250" s="73"/>
      <c r="AE2250" s="73"/>
      <c r="AF2250" s="73"/>
      <c r="AG2250" s="73"/>
      <c r="AH2250" s="73"/>
      <c r="AI2250" s="73"/>
      <c r="AJ2250" s="161"/>
      <c r="AK2250" s="236"/>
      <c r="AL2250" s="269"/>
      <c r="AM2250" s="161"/>
      <c r="AN2250" s="161"/>
      <c r="AO2250" s="161"/>
      <c r="AP2250" s="161"/>
      <c r="AQ2250" s="161"/>
      <c r="AR2250" s="161"/>
      <c r="AS2250" s="161"/>
      <c r="AT2250" s="161"/>
      <c r="AU2250" s="89"/>
      <c r="AV2250" s="162"/>
      <c r="AW2250" s="73"/>
    </row>
    <row r="2251" ht="15.75" customHeight="1">
      <c r="A2251" s="216"/>
      <c r="B2251" s="73"/>
      <c r="C2251" s="216"/>
      <c r="D2251" s="241"/>
      <c r="E2251" s="241"/>
      <c r="F2251" s="89"/>
      <c r="G2251" s="476"/>
      <c r="H2251" s="73"/>
      <c r="I2251" s="551"/>
      <c r="J2251" s="476"/>
      <c r="K2251" s="69"/>
      <c r="L2251" s="61"/>
      <c r="M2251" s="61"/>
      <c r="N2251" s="73"/>
      <c r="O2251" s="66"/>
      <c r="P2251" s="67"/>
      <c r="Q2251" s="67"/>
      <c r="R2251" s="67"/>
      <c r="S2251" s="67"/>
      <c r="T2251" s="161"/>
      <c r="U2251" s="69"/>
      <c r="V2251" s="73"/>
      <c r="W2251" s="71"/>
      <c r="X2251" s="194"/>
      <c r="Y2251" s="216"/>
      <c r="Z2251" s="73"/>
      <c r="AA2251" s="73"/>
      <c r="AB2251" s="73"/>
      <c r="AC2251" s="73"/>
      <c r="AD2251" s="73"/>
      <c r="AE2251" s="73"/>
      <c r="AF2251" s="73"/>
      <c r="AG2251" s="73"/>
      <c r="AH2251" s="73"/>
      <c r="AI2251" s="73"/>
      <c r="AJ2251" s="161"/>
      <c r="AK2251" s="236"/>
      <c r="AL2251" s="269"/>
      <c r="AM2251" s="161"/>
      <c r="AN2251" s="161"/>
      <c r="AO2251" s="161"/>
      <c r="AP2251" s="161"/>
      <c r="AQ2251" s="161"/>
      <c r="AR2251" s="161"/>
      <c r="AS2251" s="161"/>
      <c r="AT2251" s="161"/>
      <c r="AU2251" s="89"/>
      <c r="AV2251" s="162"/>
      <c r="AW2251" s="73"/>
    </row>
    <row r="2252" ht="15.75" customHeight="1">
      <c r="A2252" s="216"/>
      <c r="B2252" s="73"/>
      <c r="C2252" s="216"/>
      <c r="D2252" s="241"/>
      <c r="E2252" s="241"/>
      <c r="F2252" s="89"/>
      <c r="G2252" s="476"/>
      <c r="H2252" s="73"/>
      <c r="I2252" s="551"/>
      <c r="J2252" s="476"/>
      <c r="K2252" s="69"/>
      <c r="L2252" s="61"/>
      <c r="M2252" s="61"/>
      <c r="N2252" s="73"/>
      <c r="O2252" s="66"/>
      <c r="P2252" s="67"/>
      <c r="Q2252" s="67"/>
      <c r="R2252" s="67"/>
      <c r="S2252" s="67"/>
      <c r="T2252" s="161"/>
      <c r="U2252" s="69"/>
      <c r="V2252" s="73"/>
      <c r="W2252" s="71"/>
      <c r="X2252" s="194"/>
      <c r="Y2252" s="216"/>
      <c r="Z2252" s="73"/>
      <c r="AA2252" s="73"/>
      <c r="AB2252" s="73"/>
      <c r="AC2252" s="73"/>
      <c r="AD2252" s="73"/>
      <c r="AE2252" s="73"/>
      <c r="AF2252" s="73"/>
      <c r="AG2252" s="73"/>
      <c r="AH2252" s="73"/>
      <c r="AI2252" s="73"/>
      <c r="AJ2252" s="161"/>
      <c r="AK2252" s="236"/>
      <c r="AL2252" s="269"/>
      <c r="AM2252" s="161"/>
      <c r="AN2252" s="161"/>
      <c r="AO2252" s="161"/>
      <c r="AP2252" s="161"/>
      <c r="AQ2252" s="161"/>
      <c r="AR2252" s="161"/>
      <c r="AS2252" s="161"/>
      <c r="AT2252" s="161"/>
      <c r="AU2252" s="89"/>
      <c r="AV2252" s="162"/>
      <c r="AW2252" s="73"/>
    </row>
    <row r="2253" ht="15.75" customHeight="1">
      <c r="A2253" s="216"/>
      <c r="B2253" s="73"/>
      <c r="C2253" s="216"/>
      <c r="D2253" s="241"/>
      <c r="E2253" s="241"/>
      <c r="F2253" s="89"/>
      <c r="G2253" s="476"/>
      <c r="H2253" s="73"/>
      <c r="I2253" s="551"/>
      <c r="J2253" s="476"/>
      <c r="K2253" s="69"/>
      <c r="L2253" s="61"/>
      <c r="M2253" s="61"/>
      <c r="N2253" s="73"/>
      <c r="O2253" s="66"/>
      <c r="P2253" s="67"/>
      <c r="Q2253" s="67"/>
      <c r="R2253" s="67"/>
      <c r="S2253" s="67"/>
      <c r="T2253" s="161"/>
      <c r="U2253" s="69"/>
      <c r="V2253" s="73"/>
      <c r="W2253" s="71"/>
      <c r="X2253" s="194"/>
      <c r="Y2253" s="216"/>
      <c r="Z2253" s="73"/>
      <c r="AA2253" s="73"/>
      <c r="AB2253" s="73"/>
      <c r="AC2253" s="73"/>
      <c r="AD2253" s="73"/>
      <c r="AE2253" s="73"/>
      <c r="AF2253" s="73"/>
      <c r="AG2253" s="73"/>
      <c r="AH2253" s="73"/>
      <c r="AI2253" s="73"/>
      <c r="AJ2253" s="161"/>
      <c r="AK2253" s="236"/>
      <c r="AL2253" s="269"/>
      <c r="AM2253" s="161"/>
      <c r="AN2253" s="161"/>
      <c r="AO2253" s="161"/>
      <c r="AP2253" s="161"/>
      <c r="AQ2253" s="161"/>
      <c r="AR2253" s="161"/>
      <c r="AS2253" s="161"/>
      <c r="AT2253" s="161"/>
      <c r="AU2253" s="89"/>
      <c r="AV2253" s="162"/>
      <c r="AW2253" s="73"/>
    </row>
    <row r="2254" ht="15.75" customHeight="1">
      <c r="A2254" s="216"/>
      <c r="B2254" s="73"/>
      <c r="C2254" s="216"/>
      <c r="D2254" s="241"/>
      <c r="E2254" s="241"/>
      <c r="F2254" s="89"/>
      <c r="G2254" s="476"/>
      <c r="H2254" s="73"/>
      <c r="I2254" s="551"/>
      <c r="J2254" s="476"/>
      <c r="K2254" s="69"/>
      <c r="L2254" s="61"/>
      <c r="M2254" s="61"/>
      <c r="N2254" s="73"/>
      <c r="O2254" s="66"/>
      <c r="P2254" s="67"/>
      <c r="Q2254" s="67"/>
      <c r="R2254" s="67"/>
      <c r="S2254" s="67"/>
      <c r="T2254" s="161"/>
      <c r="U2254" s="69"/>
      <c r="V2254" s="73"/>
      <c r="W2254" s="71"/>
      <c r="X2254" s="194"/>
      <c r="Y2254" s="216"/>
      <c r="Z2254" s="73"/>
      <c r="AA2254" s="73"/>
      <c r="AB2254" s="73"/>
      <c r="AC2254" s="73"/>
      <c r="AD2254" s="73"/>
      <c r="AE2254" s="73"/>
      <c r="AF2254" s="73"/>
      <c r="AG2254" s="73"/>
      <c r="AH2254" s="73"/>
      <c r="AI2254" s="73"/>
      <c r="AJ2254" s="161"/>
      <c r="AK2254" s="236"/>
      <c r="AL2254" s="269"/>
      <c r="AM2254" s="161"/>
      <c r="AN2254" s="161"/>
      <c r="AO2254" s="161"/>
      <c r="AP2254" s="161"/>
      <c r="AQ2254" s="161"/>
      <c r="AR2254" s="161"/>
      <c r="AS2254" s="161"/>
      <c r="AT2254" s="161"/>
      <c r="AU2254" s="89"/>
      <c r="AV2254" s="162"/>
      <c r="AW2254" s="73"/>
    </row>
    <row r="2255" ht="15.75" customHeight="1">
      <c r="A2255" s="216"/>
      <c r="B2255" s="73"/>
      <c r="C2255" s="216"/>
      <c r="D2255" s="241"/>
      <c r="E2255" s="241"/>
      <c r="F2255" s="89"/>
      <c r="G2255" s="476"/>
      <c r="H2255" s="73"/>
      <c r="I2255" s="551"/>
      <c r="J2255" s="476"/>
      <c r="K2255" s="69"/>
      <c r="L2255" s="61"/>
      <c r="M2255" s="61"/>
      <c r="N2255" s="73"/>
      <c r="O2255" s="66"/>
      <c r="P2255" s="67"/>
      <c r="Q2255" s="67"/>
      <c r="R2255" s="67"/>
      <c r="S2255" s="67"/>
      <c r="T2255" s="161"/>
      <c r="U2255" s="69"/>
      <c r="V2255" s="73"/>
      <c r="W2255" s="71"/>
      <c r="X2255" s="194"/>
      <c r="Y2255" s="216"/>
      <c r="Z2255" s="73"/>
      <c r="AA2255" s="73"/>
      <c r="AB2255" s="73"/>
      <c r="AC2255" s="73"/>
      <c r="AD2255" s="73"/>
      <c r="AE2255" s="73"/>
      <c r="AF2255" s="73"/>
      <c r="AG2255" s="73"/>
      <c r="AH2255" s="73"/>
      <c r="AI2255" s="73"/>
      <c r="AJ2255" s="161"/>
      <c r="AK2255" s="236"/>
      <c r="AL2255" s="269"/>
      <c r="AM2255" s="161"/>
      <c r="AN2255" s="161"/>
      <c r="AO2255" s="161"/>
      <c r="AP2255" s="161"/>
      <c r="AQ2255" s="161"/>
      <c r="AR2255" s="161"/>
      <c r="AS2255" s="161"/>
      <c r="AT2255" s="161"/>
      <c r="AU2255" s="89"/>
      <c r="AV2255" s="162"/>
      <c r="AW2255" s="73"/>
    </row>
    <row r="2256" ht="15.75" customHeight="1">
      <c r="A2256" s="216"/>
      <c r="B2256" s="73"/>
      <c r="C2256" s="216"/>
      <c r="D2256" s="241"/>
      <c r="E2256" s="241"/>
      <c r="F2256" s="89"/>
      <c r="G2256" s="476"/>
      <c r="H2256" s="73"/>
      <c r="I2256" s="551"/>
      <c r="J2256" s="476"/>
      <c r="K2256" s="69"/>
      <c r="L2256" s="61"/>
      <c r="M2256" s="61"/>
      <c r="N2256" s="73"/>
      <c r="O2256" s="66"/>
      <c r="P2256" s="67"/>
      <c r="Q2256" s="67"/>
      <c r="R2256" s="67"/>
      <c r="S2256" s="67"/>
      <c r="T2256" s="161"/>
      <c r="U2256" s="69"/>
      <c r="V2256" s="73"/>
      <c r="W2256" s="71"/>
      <c r="X2256" s="194"/>
      <c r="Y2256" s="216"/>
      <c r="Z2256" s="73"/>
      <c r="AA2256" s="73"/>
      <c r="AB2256" s="73"/>
      <c r="AC2256" s="73"/>
      <c r="AD2256" s="73"/>
      <c r="AE2256" s="73"/>
      <c r="AF2256" s="73"/>
      <c r="AG2256" s="73"/>
      <c r="AH2256" s="73"/>
      <c r="AI2256" s="73"/>
      <c r="AJ2256" s="161"/>
      <c r="AK2256" s="236"/>
      <c r="AL2256" s="269"/>
      <c r="AM2256" s="161"/>
      <c r="AN2256" s="161"/>
      <c r="AO2256" s="161"/>
      <c r="AP2256" s="161"/>
      <c r="AQ2256" s="161"/>
      <c r="AR2256" s="161"/>
      <c r="AS2256" s="161"/>
      <c r="AT2256" s="161"/>
      <c r="AU2256" s="89"/>
      <c r="AV2256" s="162"/>
      <c r="AW2256" s="73"/>
    </row>
    <row r="2257" ht="15.75" customHeight="1">
      <c r="A2257" s="216"/>
      <c r="B2257" s="73"/>
      <c r="C2257" s="216"/>
      <c r="D2257" s="241"/>
      <c r="E2257" s="241"/>
      <c r="F2257" s="89"/>
      <c r="G2257" s="476"/>
      <c r="H2257" s="73"/>
      <c r="I2257" s="551"/>
      <c r="J2257" s="476"/>
      <c r="K2257" s="69"/>
      <c r="L2257" s="61"/>
      <c r="M2257" s="61"/>
      <c r="N2257" s="73"/>
      <c r="O2257" s="66"/>
      <c r="P2257" s="67"/>
      <c r="Q2257" s="67"/>
      <c r="R2257" s="67"/>
      <c r="S2257" s="67"/>
      <c r="T2257" s="161"/>
      <c r="U2257" s="69"/>
      <c r="V2257" s="73"/>
      <c r="W2257" s="71"/>
      <c r="X2257" s="194"/>
      <c r="Y2257" s="216"/>
      <c r="Z2257" s="73"/>
      <c r="AA2257" s="73"/>
      <c r="AB2257" s="73"/>
      <c r="AC2257" s="73"/>
      <c r="AD2257" s="73"/>
      <c r="AE2257" s="73"/>
      <c r="AF2257" s="73"/>
      <c r="AG2257" s="73"/>
      <c r="AH2257" s="73"/>
      <c r="AI2257" s="73"/>
      <c r="AJ2257" s="161"/>
      <c r="AK2257" s="236"/>
      <c r="AL2257" s="269"/>
      <c r="AM2257" s="161"/>
      <c r="AN2257" s="161"/>
      <c r="AO2257" s="161"/>
      <c r="AP2257" s="161"/>
      <c r="AQ2257" s="161"/>
      <c r="AR2257" s="161"/>
      <c r="AS2257" s="161"/>
      <c r="AT2257" s="161"/>
      <c r="AU2257" s="89"/>
      <c r="AV2257" s="162"/>
      <c r="AW2257" s="73"/>
    </row>
    <row r="2258" ht="15.75" customHeight="1">
      <c r="A2258" s="216"/>
      <c r="B2258" s="73"/>
      <c r="C2258" s="216"/>
      <c r="D2258" s="241"/>
      <c r="E2258" s="241"/>
      <c r="F2258" s="89"/>
      <c r="G2258" s="476"/>
      <c r="H2258" s="73"/>
      <c r="I2258" s="551"/>
      <c r="J2258" s="476"/>
      <c r="K2258" s="69"/>
      <c r="L2258" s="61"/>
      <c r="M2258" s="61"/>
      <c r="N2258" s="73"/>
      <c r="O2258" s="66"/>
      <c r="P2258" s="67"/>
      <c r="Q2258" s="67"/>
      <c r="R2258" s="67"/>
      <c r="S2258" s="67"/>
      <c r="T2258" s="161"/>
      <c r="U2258" s="69"/>
      <c r="V2258" s="73"/>
      <c r="W2258" s="71"/>
      <c r="X2258" s="194"/>
      <c r="Y2258" s="216"/>
      <c r="Z2258" s="73"/>
      <c r="AA2258" s="73"/>
      <c r="AB2258" s="73"/>
      <c r="AC2258" s="73"/>
      <c r="AD2258" s="73"/>
      <c r="AE2258" s="73"/>
      <c r="AF2258" s="73"/>
      <c r="AG2258" s="73"/>
      <c r="AH2258" s="73"/>
      <c r="AI2258" s="73"/>
      <c r="AJ2258" s="161"/>
      <c r="AK2258" s="236"/>
      <c r="AL2258" s="269"/>
      <c r="AM2258" s="161"/>
      <c r="AN2258" s="161"/>
      <c r="AO2258" s="161"/>
      <c r="AP2258" s="161"/>
      <c r="AQ2258" s="161"/>
      <c r="AR2258" s="161"/>
      <c r="AS2258" s="161"/>
      <c r="AT2258" s="161"/>
      <c r="AU2258" s="89"/>
      <c r="AV2258" s="162"/>
      <c r="AW2258" s="73"/>
    </row>
    <row r="2259" ht="15.75" customHeight="1">
      <c r="A2259" s="216"/>
      <c r="B2259" s="73"/>
      <c r="C2259" s="216"/>
      <c r="D2259" s="241"/>
      <c r="E2259" s="241"/>
      <c r="F2259" s="89"/>
      <c r="G2259" s="476"/>
      <c r="H2259" s="73"/>
      <c r="I2259" s="551"/>
      <c r="J2259" s="476"/>
      <c r="K2259" s="69"/>
      <c r="L2259" s="61"/>
      <c r="M2259" s="61"/>
      <c r="N2259" s="73"/>
      <c r="O2259" s="66"/>
      <c r="P2259" s="67"/>
      <c r="Q2259" s="67"/>
      <c r="R2259" s="67"/>
      <c r="S2259" s="67"/>
      <c r="T2259" s="161"/>
      <c r="U2259" s="69"/>
      <c r="V2259" s="73"/>
      <c r="W2259" s="71"/>
      <c r="X2259" s="194"/>
      <c r="Y2259" s="216"/>
      <c r="Z2259" s="73"/>
      <c r="AA2259" s="73"/>
      <c r="AB2259" s="73"/>
      <c r="AC2259" s="73"/>
      <c r="AD2259" s="73"/>
      <c r="AE2259" s="73"/>
      <c r="AF2259" s="73"/>
      <c r="AG2259" s="73"/>
      <c r="AH2259" s="73"/>
      <c r="AI2259" s="73"/>
      <c r="AJ2259" s="161"/>
      <c r="AK2259" s="236"/>
      <c r="AL2259" s="269"/>
      <c r="AM2259" s="161"/>
      <c r="AN2259" s="161"/>
      <c r="AO2259" s="161"/>
      <c r="AP2259" s="161"/>
      <c r="AQ2259" s="161"/>
      <c r="AR2259" s="161"/>
      <c r="AS2259" s="161"/>
      <c r="AT2259" s="161"/>
      <c r="AU2259" s="89"/>
      <c r="AV2259" s="162"/>
      <c r="AW2259" s="73"/>
    </row>
    <row r="2260" ht="15.75" customHeight="1">
      <c r="A2260" s="216"/>
      <c r="B2260" s="73"/>
      <c r="C2260" s="216"/>
      <c r="D2260" s="241"/>
      <c r="E2260" s="241"/>
      <c r="F2260" s="89"/>
      <c r="G2260" s="476"/>
      <c r="H2260" s="73"/>
      <c r="I2260" s="551"/>
      <c r="J2260" s="476"/>
      <c r="K2260" s="69"/>
      <c r="L2260" s="61"/>
      <c r="M2260" s="61"/>
      <c r="N2260" s="73"/>
      <c r="O2260" s="66"/>
      <c r="P2260" s="67"/>
      <c r="Q2260" s="67"/>
      <c r="R2260" s="67"/>
      <c r="S2260" s="67"/>
      <c r="T2260" s="161"/>
      <c r="U2260" s="69"/>
      <c r="V2260" s="73"/>
      <c r="W2260" s="71"/>
      <c r="X2260" s="194"/>
      <c r="Y2260" s="216"/>
      <c r="Z2260" s="73"/>
      <c r="AA2260" s="73"/>
      <c r="AB2260" s="73"/>
      <c r="AC2260" s="73"/>
      <c r="AD2260" s="73"/>
      <c r="AE2260" s="73"/>
      <c r="AF2260" s="73"/>
      <c r="AG2260" s="73"/>
      <c r="AH2260" s="73"/>
      <c r="AI2260" s="73"/>
      <c r="AJ2260" s="161"/>
      <c r="AK2260" s="236"/>
      <c r="AL2260" s="269"/>
      <c r="AM2260" s="161"/>
      <c r="AN2260" s="161"/>
      <c r="AO2260" s="161"/>
      <c r="AP2260" s="161"/>
      <c r="AQ2260" s="161"/>
      <c r="AR2260" s="161"/>
      <c r="AS2260" s="161"/>
      <c r="AT2260" s="161"/>
      <c r="AU2260" s="89"/>
      <c r="AV2260" s="162"/>
      <c r="AW2260" s="73"/>
    </row>
    <row r="2261" ht="15.75" customHeight="1">
      <c r="A2261" s="216"/>
      <c r="B2261" s="73"/>
      <c r="C2261" s="216"/>
      <c r="D2261" s="241"/>
      <c r="E2261" s="241"/>
      <c r="F2261" s="89"/>
      <c r="G2261" s="476"/>
      <c r="H2261" s="73"/>
      <c r="I2261" s="551"/>
      <c r="J2261" s="476"/>
      <c r="K2261" s="69"/>
      <c r="L2261" s="61"/>
      <c r="M2261" s="61"/>
      <c r="N2261" s="73"/>
      <c r="O2261" s="66"/>
      <c r="P2261" s="67"/>
      <c r="Q2261" s="67"/>
      <c r="R2261" s="67"/>
      <c r="S2261" s="67"/>
      <c r="T2261" s="161"/>
      <c r="U2261" s="69"/>
      <c r="V2261" s="73"/>
      <c r="W2261" s="71"/>
      <c r="X2261" s="194"/>
      <c r="Y2261" s="216"/>
      <c r="Z2261" s="73"/>
      <c r="AA2261" s="73"/>
      <c r="AB2261" s="73"/>
      <c r="AC2261" s="73"/>
      <c r="AD2261" s="73"/>
      <c r="AE2261" s="73"/>
      <c r="AF2261" s="73"/>
      <c r="AG2261" s="73"/>
      <c r="AH2261" s="73"/>
      <c r="AI2261" s="73"/>
      <c r="AJ2261" s="161"/>
      <c r="AK2261" s="236"/>
      <c r="AL2261" s="269"/>
      <c r="AM2261" s="161"/>
      <c r="AN2261" s="161"/>
      <c r="AO2261" s="161"/>
      <c r="AP2261" s="161"/>
      <c r="AQ2261" s="161"/>
      <c r="AR2261" s="161"/>
      <c r="AS2261" s="161"/>
      <c r="AT2261" s="161"/>
      <c r="AU2261" s="89"/>
      <c r="AV2261" s="162"/>
      <c r="AW2261" s="73"/>
    </row>
    <row r="2262" ht="15.75" customHeight="1">
      <c r="A2262" s="216"/>
      <c r="B2262" s="73"/>
      <c r="C2262" s="216"/>
      <c r="D2262" s="241"/>
      <c r="E2262" s="241"/>
      <c r="F2262" s="89"/>
      <c r="G2262" s="476"/>
      <c r="H2262" s="73"/>
      <c r="I2262" s="551"/>
      <c r="J2262" s="476"/>
      <c r="K2262" s="69"/>
      <c r="L2262" s="61"/>
      <c r="M2262" s="61"/>
      <c r="N2262" s="73"/>
      <c r="O2262" s="66"/>
      <c r="P2262" s="67"/>
      <c r="Q2262" s="67"/>
      <c r="R2262" s="67"/>
      <c r="S2262" s="67"/>
      <c r="T2262" s="161"/>
      <c r="U2262" s="69"/>
      <c r="V2262" s="73"/>
      <c r="W2262" s="71"/>
      <c r="X2262" s="194"/>
      <c r="Y2262" s="216"/>
      <c r="Z2262" s="73"/>
      <c r="AA2262" s="73"/>
      <c r="AB2262" s="73"/>
      <c r="AC2262" s="73"/>
      <c r="AD2262" s="73"/>
      <c r="AE2262" s="73"/>
      <c r="AF2262" s="73"/>
      <c r="AG2262" s="73"/>
      <c r="AH2262" s="73"/>
      <c r="AI2262" s="73"/>
      <c r="AJ2262" s="161"/>
      <c r="AK2262" s="236"/>
      <c r="AL2262" s="269"/>
      <c r="AM2262" s="161"/>
      <c r="AN2262" s="161"/>
      <c r="AO2262" s="161"/>
      <c r="AP2262" s="161"/>
      <c r="AQ2262" s="161"/>
      <c r="AR2262" s="161"/>
      <c r="AS2262" s="161"/>
      <c r="AT2262" s="161"/>
      <c r="AU2262" s="89"/>
      <c r="AV2262" s="162"/>
      <c r="AW2262" s="73"/>
    </row>
    <row r="2263" ht="15.75" customHeight="1">
      <c r="A2263" s="216"/>
      <c r="B2263" s="73"/>
      <c r="C2263" s="216"/>
      <c r="D2263" s="241"/>
      <c r="E2263" s="241"/>
      <c r="F2263" s="89"/>
      <c r="G2263" s="476"/>
      <c r="H2263" s="73"/>
      <c r="I2263" s="551"/>
      <c r="J2263" s="476"/>
      <c r="K2263" s="69"/>
      <c r="L2263" s="61"/>
      <c r="M2263" s="61"/>
      <c r="N2263" s="73"/>
      <c r="O2263" s="66"/>
      <c r="P2263" s="67"/>
      <c r="Q2263" s="67"/>
      <c r="R2263" s="67"/>
      <c r="S2263" s="67"/>
      <c r="T2263" s="161"/>
      <c r="U2263" s="69"/>
      <c r="V2263" s="73"/>
      <c r="W2263" s="71"/>
      <c r="X2263" s="194"/>
      <c r="Y2263" s="216"/>
      <c r="Z2263" s="73"/>
      <c r="AA2263" s="73"/>
      <c r="AB2263" s="73"/>
      <c r="AC2263" s="73"/>
      <c r="AD2263" s="73"/>
      <c r="AE2263" s="73"/>
      <c r="AF2263" s="73"/>
      <c r="AG2263" s="73"/>
      <c r="AH2263" s="73"/>
      <c r="AI2263" s="73"/>
      <c r="AJ2263" s="161"/>
      <c r="AK2263" s="236"/>
      <c r="AL2263" s="269"/>
      <c r="AM2263" s="161"/>
      <c r="AN2263" s="161"/>
      <c r="AO2263" s="161"/>
      <c r="AP2263" s="161"/>
      <c r="AQ2263" s="161"/>
      <c r="AR2263" s="161"/>
      <c r="AS2263" s="161"/>
      <c r="AT2263" s="161"/>
      <c r="AU2263" s="89"/>
      <c r="AV2263" s="162"/>
      <c r="AW2263" s="73"/>
    </row>
    <row r="2264" ht="15.75" customHeight="1">
      <c r="A2264" s="216"/>
      <c r="B2264" s="73"/>
      <c r="C2264" s="216"/>
      <c r="D2264" s="241"/>
      <c r="E2264" s="241"/>
      <c r="F2264" s="89"/>
      <c r="G2264" s="476"/>
      <c r="H2264" s="73"/>
      <c r="I2264" s="551"/>
      <c r="J2264" s="476"/>
      <c r="K2264" s="69"/>
      <c r="L2264" s="61"/>
      <c r="M2264" s="61"/>
      <c r="N2264" s="73"/>
      <c r="O2264" s="66"/>
      <c r="P2264" s="67"/>
      <c r="Q2264" s="67"/>
      <c r="R2264" s="67"/>
      <c r="S2264" s="67"/>
      <c r="T2264" s="161"/>
      <c r="U2264" s="69"/>
      <c r="V2264" s="73"/>
      <c r="W2264" s="71"/>
      <c r="X2264" s="194"/>
      <c r="Y2264" s="216"/>
      <c r="Z2264" s="73"/>
      <c r="AA2264" s="73"/>
      <c r="AB2264" s="73"/>
      <c r="AC2264" s="73"/>
      <c r="AD2264" s="73"/>
      <c r="AE2264" s="73"/>
      <c r="AF2264" s="73"/>
      <c r="AG2264" s="73"/>
      <c r="AH2264" s="73"/>
      <c r="AI2264" s="73"/>
      <c r="AJ2264" s="161"/>
      <c r="AK2264" s="236"/>
      <c r="AL2264" s="269"/>
      <c r="AM2264" s="161"/>
      <c r="AN2264" s="161"/>
      <c r="AO2264" s="161"/>
      <c r="AP2264" s="161"/>
      <c r="AQ2264" s="161"/>
      <c r="AR2264" s="161"/>
      <c r="AS2264" s="161"/>
      <c r="AT2264" s="161"/>
      <c r="AU2264" s="89"/>
      <c r="AV2264" s="162"/>
      <c r="AW2264" s="73"/>
    </row>
    <row r="2265" ht="15.75" customHeight="1">
      <c r="A2265" s="216"/>
      <c r="B2265" s="73"/>
      <c r="C2265" s="216"/>
      <c r="D2265" s="241"/>
      <c r="E2265" s="241"/>
      <c r="F2265" s="89"/>
      <c r="G2265" s="476"/>
      <c r="H2265" s="73"/>
      <c r="I2265" s="551"/>
      <c r="J2265" s="476"/>
      <c r="K2265" s="69"/>
      <c r="L2265" s="61"/>
      <c r="M2265" s="61"/>
      <c r="N2265" s="73"/>
      <c r="O2265" s="66"/>
      <c r="P2265" s="67"/>
      <c r="Q2265" s="67"/>
      <c r="R2265" s="67"/>
      <c r="S2265" s="67"/>
      <c r="T2265" s="161"/>
      <c r="U2265" s="69"/>
      <c r="V2265" s="73"/>
      <c r="W2265" s="71"/>
      <c r="X2265" s="194"/>
      <c r="Y2265" s="216"/>
      <c r="Z2265" s="73"/>
      <c r="AA2265" s="73"/>
      <c r="AB2265" s="73"/>
      <c r="AC2265" s="73"/>
      <c r="AD2265" s="73"/>
      <c r="AE2265" s="73"/>
      <c r="AF2265" s="73"/>
      <c r="AG2265" s="73"/>
      <c r="AH2265" s="73"/>
      <c r="AI2265" s="73"/>
      <c r="AJ2265" s="161"/>
      <c r="AK2265" s="236"/>
      <c r="AL2265" s="269"/>
      <c r="AM2265" s="161"/>
      <c r="AN2265" s="161"/>
      <c r="AO2265" s="161"/>
      <c r="AP2265" s="161"/>
      <c r="AQ2265" s="161"/>
      <c r="AR2265" s="161"/>
      <c r="AS2265" s="161"/>
      <c r="AT2265" s="161"/>
      <c r="AU2265" s="89"/>
      <c r="AV2265" s="162"/>
      <c r="AW2265" s="73"/>
    </row>
    <row r="2266" ht="15.75" customHeight="1">
      <c r="A2266" s="216"/>
      <c r="B2266" s="73"/>
      <c r="C2266" s="216"/>
      <c r="D2266" s="241"/>
      <c r="E2266" s="241"/>
      <c r="F2266" s="89"/>
      <c r="G2266" s="476"/>
      <c r="H2266" s="73"/>
      <c r="I2266" s="551"/>
      <c r="J2266" s="476"/>
      <c r="K2266" s="69"/>
      <c r="L2266" s="61"/>
      <c r="M2266" s="61"/>
      <c r="N2266" s="73"/>
      <c r="O2266" s="66"/>
      <c r="P2266" s="67"/>
      <c r="Q2266" s="67"/>
      <c r="R2266" s="67"/>
      <c r="S2266" s="67"/>
      <c r="T2266" s="161"/>
      <c r="U2266" s="69"/>
      <c r="V2266" s="73"/>
      <c r="W2266" s="71"/>
      <c r="X2266" s="194"/>
      <c r="Y2266" s="216"/>
      <c r="Z2266" s="73"/>
      <c r="AA2266" s="73"/>
      <c r="AB2266" s="73"/>
      <c r="AC2266" s="73"/>
      <c r="AD2266" s="73"/>
      <c r="AE2266" s="73"/>
      <c r="AF2266" s="73"/>
      <c r="AG2266" s="73"/>
      <c r="AH2266" s="73"/>
      <c r="AI2266" s="73"/>
      <c r="AJ2266" s="161"/>
      <c r="AK2266" s="236"/>
      <c r="AL2266" s="269"/>
      <c r="AM2266" s="161"/>
      <c r="AN2266" s="161"/>
      <c r="AO2266" s="161"/>
      <c r="AP2266" s="161"/>
      <c r="AQ2266" s="161"/>
      <c r="AR2266" s="161"/>
      <c r="AS2266" s="161"/>
      <c r="AT2266" s="161"/>
      <c r="AU2266" s="89"/>
      <c r="AV2266" s="162"/>
      <c r="AW2266" s="73"/>
    </row>
    <row r="2267" ht="15.75" customHeight="1">
      <c r="A2267" s="216"/>
      <c r="B2267" s="73"/>
      <c r="C2267" s="216"/>
      <c r="D2267" s="241"/>
      <c r="E2267" s="241"/>
      <c r="F2267" s="89"/>
      <c r="G2267" s="476"/>
      <c r="H2267" s="73"/>
      <c r="I2267" s="551"/>
      <c r="J2267" s="476"/>
      <c r="K2267" s="69"/>
      <c r="L2267" s="61"/>
      <c r="M2267" s="61"/>
      <c r="N2267" s="73"/>
      <c r="O2267" s="66"/>
      <c r="P2267" s="67"/>
      <c r="Q2267" s="67"/>
      <c r="R2267" s="67"/>
      <c r="S2267" s="67"/>
      <c r="T2267" s="161"/>
      <c r="U2267" s="69"/>
      <c r="V2267" s="73"/>
      <c r="W2267" s="71"/>
      <c r="X2267" s="194"/>
      <c r="Y2267" s="216"/>
      <c r="Z2267" s="73"/>
      <c r="AA2267" s="73"/>
      <c r="AB2267" s="73"/>
      <c r="AC2267" s="73"/>
      <c r="AD2267" s="73"/>
      <c r="AE2267" s="73"/>
      <c r="AF2267" s="73"/>
      <c r="AG2267" s="73"/>
      <c r="AH2267" s="73"/>
      <c r="AI2267" s="73"/>
      <c r="AJ2267" s="161"/>
      <c r="AK2267" s="236"/>
      <c r="AL2267" s="269"/>
      <c r="AM2267" s="161"/>
      <c r="AN2267" s="161"/>
      <c r="AO2267" s="161"/>
      <c r="AP2267" s="161"/>
      <c r="AQ2267" s="161"/>
      <c r="AR2267" s="161"/>
      <c r="AS2267" s="161"/>
      <c r="AT2267" s="161"/>
      <c r="AU2267" s="89"/>
      <c r="AV2267" s="162"/>
      <c r="AW2267" s="73"/>
    </row>
    <row r="2268" ht="15.75" customHeight="1">
      <c r="A2268" s="216"/>
      <c r="B2268" s="73"/>
      <c r="C2268" s="216"/>
      <c r="D2268" s="241"/>
      <c r="E2268" s="241"/>
      <c r="F2268" s="89"/>
      <c r="G2268" s="476"/>
      <c r="H2268" s="73"/>
      <c r="I2268" s="551"/>
      <c r="J2268" s="476"/>
      <c r="K2268" s="69"/>
      <c r="L2268" s="61"/>
      <c r="M2268" s="61"/>
      <c r="N2268" s="73"/>
      <c r="O2268" s="66"/>
      <c r="P2268" s="67"/>
      <c r="Q2268" s="67"/>
      <c r="R2268" s="67"/>
      <c r="S2268" s="67"/>
      <c r="T2268" s="161"/>
      <c r="U2268" s="69"/>
      <c r="V2268" s="73"/>
      <c r="W2268" s="71"/>
      <c r="X2268" s="194"/>
      <c r="Y2268" s="216"/>
      <c r="Z2268" s="73"/>
      <c r="AA2268" s="73"/>
      <c r="AB2268" s="73"/>
      <c r="AC2268" s="73"/>
      <c r="AD2268" s="73"/>
      <c r="AE2268" s="73"/>
      <c r="AF2268" s="73"/>
      <c r="AG2268" s="73"/>
      <c r="AH2268" s="73"/>
      <c r="AI2268" s="73"/>
      <c r="AJ2268" s="161"/>
      <c r="AK2268" s="236"/>
      <c r="AL2268" s="269"/>
      <c r="AM2268" s="161"/>
      <c r="AN2268" s="161"/>
      <c r="AO2268" s="161"/>
      <c r="AP2268" s="161"/>
      <c r="AQ2268" s="161"/>
      <c r="AR2268" s="161"/>
      <c r="AS2268" s="161"/>
      <c r="AT2268" s="161"/>
      <c r="AU2268" s="89"/>
      <c r="AV2268" s="162"/>
      <c r="AW2268" s="73"/>
    </row>
    <row r="2269" ht="15.75" customHeight="1">
      <c r="A2269" s="216"/>
      <c r="B2269" s="73"/>
      <c r="C2269" s="216"/>
      <c r="D2269" s="241"/>
      <c r="E2269" s="241"/>
      <c r="F2269" s="89"/>
      <c r="G2269" s="476"/>
      <c r="H2269" s="73"/>
      <c r="I2269" s="551"/>
      <c r="J2269" s="476"/>
      <c r="K2269" s="69"/>
      <c r="L2269" s="61"/>
      <c r="M2269" s="61"/>
      <c r="N2269" s="73"/>
      <c r="O2269" s="66"/>
      <c r="P2269" s="67"/>
      <c r="Q2269" s="67"/>
      <c r="R2269" s="67"/>
      <c r="S2269" s="67"/>
      <c r="T2269" s="161"/>
      <c r="U2269" s="69"/>
      <c r="V2269" s="73"/>
      <c r="W2269" s="71"/>
      <c r="X2269" s="194"/>
      <c r="Y2269" s="216"/>
      <c r="Z2269" s="73"/>
      <c r="AA2269" s="73"/>
      <c r="AB2269" s="73"/>
      <c r="AC2269" s="73"/>
      <c r="AD2269" s="73"/>
      <c r="AE2269" s="73"/>
      <c r="AF2269" s="73"/>
      <c r="AG2269" s="73"/>
      <c r="AH2269" s="73"/>
      <c r="AI2269" s="73"/>
      <c r="AJ2269" s="161"/>
      <c r="AK2269" s="236"/>
      <c r="AL2269" s="269"/>
      <c r="AM2269" s="161"/>
      <c r="AN2269" s="161"/>
      <c r="AO2269" s="161"/>
      <c r="AP2269" s="161"/>
      <c r="AQ2269" s="161"/>
      <c r="AR2269" s="161"/>
      <c r="AS2269" s="161"/>
      <c r="AT2269" s="161"/>
      <c r="AU2269" s="89"/>
      <c r="AV2269" s="162"/>
      <c r="AW2269" s="73"/>
    </row>
    <row r="2270" ht="15.75" customHeight="1">
      <c r="A2270" s="216"/>
      <c r="B2270" s="73"/>
      <c r="C2270" s="216"/>
      <c r="D2270" s="241"/>
      <c r="E2270" s="241"/>
      <c r="F2270" s="89"/>
      <c r="G2270" s="476"/>
      <c r="H2270" s="73"/>
      <c r="I2270" s="551"/>
      <c r="J2270" s="476"/>
      <c r="K2270" s="69"/>
      <c r="L2270" s="61"/>
      <c r="M2270" s="61"/>
      <c r="N2270" s="73"/>
      <c r="O2270" s="66"/>
      <c r="P2270" s="67"/>
      <c r="Q2270" s="67"/>
      <c r="R2270" s="67"/>
      <c r="S2270" s="67"/>
      <c r="T2270" s="161"/>
      <c r="U2270" s="69"/>
      <c r="V2270" s="73"/>
      <c r="W2270" s="71"/>
      <c r="X2270" s="194"/>
      <c r="Y2270" s="216"/>
      <c r="Z2270" s="73"/>
      <c r="AA2270" s="73"/>
      <c r="AB2270" s="73"/>
      <c r="AC2270" s="73"/>
      <c r="AD2270" s="73"/>
      <c r="AE2270" s="73"/>
      <c r="AF2270" s="73"/>
      <c r="AG2270" s="73"/>
      <c r="AH2270" s="73"/>
      <c r="AI2270" s="73"/>
      <c r="AJ2270" s="161"/>
      <c r="AK2270" s="236"/>
      <c r="AL2270" s="269"/>
      <c r="AM2270" s="161"/>
      <c r="AN2270" s="161"/>
      <c r="AO2270" s="161"/>
      <c r="AP2270" s="161"/>
      <c r="AQ2270" s="161"/>
      <c r="AR2270" s="161"/>
      <c r="AS2270" s="161"/>
      <c r="AT2270" s="161"/>
      <c r="AU2270" s="89"/>
      <c r="AV2270" s="162"/>
      <c r="AW2270" s="73"/>
    </row>
    <row r="2271" ht="15.75" customHeight="1">
      <c r="A2271" s="216"/>
      <c r="B2271" s="73"/>
      <c r="C2271" s="216"/>
      <c r="D2271" s="241"/>
      <c r="E2271" s="241"/>
      <c r="F2271" s="89"/>
      <c r="G2271" s="476"/>
      <c r="H2271" s="73"/>
      <c r="I2271" s="551"/>
      <c r="J2271" s="476"/>
      <c r="K2271" s="69"/>
      <c r="L2271" s="61"/>
      <c r="M2271" s="61"/>
      <c r="N2271" s="73"/>
      <c r="O2271" s="66"/>
      <c r="P2271" s="67"/>
      <c r="Q2271" s="67"/>
      <c r="R2271" s="67"/>
      <c r="S2271" s="67"/>
      <c r="T2271" s="161"/>
      <c r="U2271" s="69"/>
      <c r="V2271" s="73"/>
      <c r="W2271" s="71"/>
      <c r="X2271" s="194"/>
      <c r="Y2271" s="216"/>
      <c r="Z2271" s="73"/>
      <c r="AA2271" s="73"/>
      <c r="AB2271" s="73"/>
      <c r="AC2271" s="73"/>
      <c r="AD2271" s="73"/>
      <c r="AE2271" s="73"/>
      <c r="AF2271" s="73"/>
      <c r="AG2271" s="73"/>
      <c r="AH2271" s="73"/>
      <c r="AI2271" s="73"/>
      <c r="AJ2271" s="161"/>
      <c r="AK2271" s="236"/>
      <c r="AL2271" s="269"/>
      <c r="AM2271" s="161"/>
      <c r="AN2271" s="161"/>
      <c r="AO2271" s="161"/>
      <c r="AP2271" s="161"/>
      <c r="AQ2271" s="161"/>
      <c r="AR2271" s="161"/>
      <c r="AS2271" s="161"/>
      <c r="AT2271" s="161"/>
      <c r="AU2271" s="89"/>
      <c r="AV2271" s="162"/>
      <c r="AW2271" s="73"/>
    </row>
    <row r="2272" ht="15.75" customHeight="1">
      <c r="A2272" s="216"/>
      <c r="B2272" s="73"/>
      <c r="C2272" s="216"/>
      <c r="D2272" s="241"/>
      <c r="E2272" s="241"/>
      <c r="F2272" s="89"/>
      <c r="G2272" s="476"/>
      <c r="H2272" s="73"/>
      <c r="I2272" s="551"/>
      <c r="J2272" s="476"/>
      <c r="K2272" s="69"/>
      <c r="L2272" s="61"/>
      <c r="M2272" s="61"/>
      <c r="N2272" s="73"/>
      <c r="O2272" s="66"/>
      <c r="P2272" s="67"/>
      <c r="Q2272" s="67"/>
      <c r="R2272" s="67"/>
      <c r="S2272" s="67"/>
      <c r="T2272" s="161"/>
      <c r="U2272" s="69"/>
      <c r="V2272" s="73"/>
      <c r="W2272" s="71"/>
      <c r="X2272" s="194"/>
      <c r="Y2272" s="216"/>
      <c r="Z2272" s="73"/>
      <c r="AA2272" s="73"/>
      <c r="AB2272" s="73"/>
      <c r="AC2272" s="73"/>
      <c r="AD2272" s="73"/>
      <c r="AE2272" s="73"/>
      <c r="AF2272" s="73"/>
      <c r="AG2272" s="73"/>
      <c r="AH2272" s="73"/>
      <c r="AI2272" s="73"/>
      <c r="AJ2272" s="161"/>
      <c r="AK2272" s="236"/>
      <c r="AL2272" s="269"/>
      <c r="AM2272" s="161"/>
      <c r="AN2272" s="161"/>
      <c r="AO2272" s="161"/>
      <c r="AP2272" s="161"/>
      <c r="AQ2272" s="161"/>
      <c r="AR2272" s="161"/>
      <c r="AS2272" s="161"/>
      <c r="AT2272" s="161"/>
      <c r="AU2272" s="89"/>
      <c r="AV2272" s="162"/>
      <c r="AW2272" s="73"/>
    </row>
    <row r="2273" ht="15.75" customHeight="1">
      <c r="A2273" s="216"/>
      <c r="B2273" s="73"/>
      <c r="C2273" s="216"/>
      <c r="D2273" s="241"/>
      <c r="E2273" s="241"/>
      <c r="F2273" s="89"/>
      <c r="G2273" s="476"/>
      <c r="H2273" s="73"/>
      <c r="I2273" s="551"/>
      <c r="J2273" s="476"/>
      <c r="K2273" s="69"/>
      <c r="L2273" s="61"/>
      <c r="M2273" s="61"/>
      <c r="N2273" s="73"/>
      <c r="O2273" s="66"/>
      <c r="P2273" s="67"/>
      <c r="Q2273" s="67"/>
      <c r="R2273" s="67"/>
      <c r="S2273" s="67"/>
      <c r="T2273" s="161"/>
      <c r="U2273" s="69"/>
      <c r="V2273" s="73"/>
      <c r="W2273" s="71"/>
      <c r="X2273" s="194"/>
      <c r="Y2273" s="216"/>
      <c r="Z2273" s="73"/>
      <c r="AA2273" s="73"/>
      <c r="AB2273" s="73"/>
      <c r="AC2273" s="73"/>
      <c r="AD2273" s="73"/>
      <c r="AE2273" s="73"/>
      <c r="AF2273" s="73"/>
      <c r="AG2273" s="73"/>
      <c r="AH2273" s="73"/>
      <c r="AI2273" s="73"/>
      <c r="AJ2273" s="161"/>
      <c r="AK2273" s="236"/>
      <c r="AL2273" s="269"/>
      <c r="AM2273" s="161"/>
      <c r="AN2273" s="161"/>
      <c r="AO2273" s="161"/>
      <c r="AP2273" s="161"/>
      <c r="AQ2273" s="161"/>
      <c r="AR2273" s="161"/>
      <c r="AS2273" s="161"/>
      <c r="AT2273" s="161"/>
      <c r="AU2273" s="89"/>
      <c r="AV2273" s="162"/>
      <c r="AW2273" s="73"/>
    </row>
    <row r="2274" ht="15.75" customHeight="1">
      <c r="A2274" s="216"/>
      <c r="B2274" s="73"/>
      <c r="C2274" s="216"/>
      <c r="D2274" s="241"/>
      <c r="E2274" s="241"/>
      <c r="F2274" s="89"/>
      <c r="G2274" s="476"/>
      <c r="H2274" s="73"/>
      <c r="I2274" s="551"/>
      <c r="J2274" s="476"/>
      <c r="K2274" s="69"/>
      <c r="L2274" s="61"/>
      <c r="M2274" s="61"/>
      <c r="N2274" s="73"/>
      <c r="O2274" s="66"/>
      <c r="P2274" s="67"/>
      <c r="Q2274" s="67"/>
      <c r="R2274" s="67"/>
      <c r="S2274" s="67"/>
      <c r="T2274" s="161"/>
      <c r="U2274" s="69"/>
      <c r="V2274" s="73"/>
      <c r="W2274" s="71"/>
      <c r="X2274" s="194"/>
      <c r="Y2274" s="216"/>
      <c r="Z2274" s="73"/>
      <c r="AA2274" s="73"/>
      <c r="AB2274" s="73"/>
      <c r="AC2274" s="73"/>
      <c r="AD2274" s="73"/>
      <c r="AE2274" s="73"/>
      <c r="AF2274" s="73"/>
      <c r="AG2274" s="73"/>
      <c r="AH2274" s="73"/>
      <c r="AI2274" s="73"/>
      <c r="AJ2274" s="161"/>
      <c r="AK2274" s="236"/>
      <c r="AL2274" s="269"/>
      <c r="AM2274" s="161"/>
      <c r="AN2274" s="161"/>
      <c r="AO2274" s="161"/>
      <c r="AP2274" s="161"/>
      <c r="AQ2274" s="161"/>
      <c r="AR2274" s="161"/>
      <c r="AS2274" s="161"/>
      <c r="AT2274" s="161"/>
      <c r="AU2274" s="89"/>
      <c r="AV2274" s="162"/>
      <c r="AW2274" s="73"/>
    </row>
    <row r="2275" ht="15.75" customHeight="1">
      <c r="A2275" s="216"/>
      <c r="B2275" s="73"/>
      <c r="C2275" s="216"/>
      <c r="D2275" s="241"/>
      <c r="E2275" s="241"/>
      <c r="F2275" s="89"/>
      <c r="G2275" s="476"/>
      <c r="H2275" s="73"/>
      <c r="I2275" s="551"/>
      <c r="J2275" s="476"/>
      <c r="K2275" s="69"/>
      <c r="L2275" s="61"/>
      <c r="M2275" s="61"/>
      <c r="N2275" s="73"/>
      <c r="O2275" s="66"/>
      <c r="P2275" s="67"/>
      <c r="Q2275" s="67"/>
      <c r="R2275" s="67"/>
      <c r="S2275" s="67"/>
      <c r="T2275" s="161"/>
      <c r="U2275" s="69"/>
      <c r="V2275" s="73"/>
      <c r="W2275" s="71"/>
      <c r="X2275" s="194"/>
      <c r="Y2275" s="216"/>
      <c r="Z2275" s="73"/>
      <c r="AA2275" s="73"/>
      <c r="AB2275" s="73"/>
      <c r="AC2275" s="73"/>
      <c r="AD2275" s="73"/>
      <c r="AE2275" s="73"/>
      <c r="AF2275" s="73"/>
      <c r="AG2275" s="73"/>
      <c r="AH2275" s="73"/>
      <c r="AI2275" s="73"/>
      <c r="AJ2275" s="161"/>
      <c r="AK2275" s="236"/>
      <c r="AL2275" s="269"/>
      <c r="AM2275" s="161"/>
      <c r="AN2275" s="161"/>
      <c r="AO2275" s="161"/>
      <c r="AP2275" s="161"/>
      <c r="AQ2275" s="161"/>
      <c r="AR2275" s="161"/>
      <c r="AS2275" s="161"/>
      <c r="AT2275" s="161"/>
      <c r="AU2275" s="89"/>
      <c r="AV2275" s="162"/>
      <c r="AW2275" s="73"/>
    </row>
    <row r="2276" ht="15.75" customHeight="1">
      <c r="A2276" s="216"/>
      <c r="B2276" s="73"/>
      <c r="C2276" s="216"/>
      <c r="D2276" s="241"/>
      <c r="E2276" s="241"/>
      <c r="F2276" s="89"/>
      <c r="G2276" s="476"/>
      <c r="H2276" s="73"/>
      <c r="I2276" s="551"/>
      <c r="J2276" s="476"/>
      <c r="K2276" s="69"/>
      <c r="L2276" s="61"/>
      <c r="M2276" s="61"/>
      <c r="N2276" s="73"/>
      <c r="O2276" s="66"/>
      <c r="P2276" s="67"/>
      <c r="Q2276" s="67"/>
      <c r="R2276" s="67"/>
      <c r="S2276" s="67"/>
      <c r="T2276" s="161"/>
      <c r="U2276" s="69"/>
      <c r="V2276" s="73"/>
      <c r="W2276" s="71"/>
      <c r="X2276" s="194"/>
      <c r="Y2276" s="216"/>
      <c r="Z2276" s="73"/>
      <c r="AA2276" s="73"/>
      <c r="AB2276" s="73"/>
      <c r="AC2276" s="73"/>
      <c r="AD2276" s="73"/>
      <c r="AE2276" s="73"/>
      <c r="AF2276" s="73"/>
      <c r="AG2276" s="73"/>
      <c r="AH2276" s="73"/>
      <c r="AI2276" s="73"/>
      <c r="AJ2276" s="161"/>
      <c r="AK2276" s="236"/>
      <c r="AL2276" s="269"/>
      <c r="AM2276" s="161"/>
      <c r="AN2276" s="161"/>
      <c r="AO2276" s="161"/>
      <c r="AP2276" s="161"/>
      <c r="AQ2276" s="161"/>
      <c r="AR2276" s="161"/>
      <c r="AS2276" s="161"/>
      <c r="AT2276" s="161"/>
      <c r="AU2276" s="89"/>
      <c r="AV2276" s="162"/>
      <c r="AW2276" s="73"/>
    </row>
    <row r="2277" ht="15.75" customHeight="1">
      <c r="A2277" s="216"/>
      <c r="B2277" s="73"/>
      <c r="C2277" s="216"/>
      <c r="D2277" s="241"/>
      <c r="E2277" s="241"/>
      <c r="F2277" s="89"/>
      <c r="G2277" s="476"/>
      <c r="H2277" s="73"/>
      <c r="I2277" s="551"/>
      <c r="J2277" s="476"/>
      <c r="K2277" s="69"/>
      <c r="L2277" s="61"/>
      <c r="M2277" s="61"/>
      <c r="N2277" s="73"/>
      <c r="O2277" s="66"/>
      <c r="P2277" s="67"/>
      <c r="Q2277" s="67"/>
      <c r="R2277" s="67"/>
      <c r="S2277" s="67"/>
      <c r="T2277" s="161"/>
      <c r="U2277" s="69"/>
      <c r="V2277" s="73"/>
      <c r="W2277" s="71"/>
      <c r="X2277" s="194"/>
      <c r="Y2277" s="216"/>
      <c r="Z2277" s="73"/>
      <c r="AA2277" s="73"/>
      <c r="AB2277" s="73"/>
      <c r="AC2277" s="73"/>
      <c r="AD2277" s="73"/>
      <c r="AE2277" s="73"/>
      <c r="AF2277" s="73"/>
      <c r="AG2277" s="73"/>
      <c r="AH2277" s="73"/>
      <c r="AI2277" s="73"/>
      <c r="AJ2277" s="161"/>
      <c r="AK2277" s="236"/>
      <c r="AL2277" s="269"/>
      <c r="AM2277" s="161"/>
      <c r="AN2277" s="161"/>
      <c r="AO2277" s="161"/>
      <c r="AP2277" s="161"/>
      <c r="AQ2277" s="161"/>
      <c r="AR2277" s="161"/>
      <c r="AS2277" s="161"/>
      <c r="AT2277" s="161"/>
      <c r="AU2277" s="89"/>
      <c r="AV2277" s="162"/>
      <c r="AW2277" s="73"/>
    </row>
    <row r="2278" ht="15.75" customHeight="1">
      <c r="A2278" s="216"/>
      <c r="B2278" s="73"/>
      <c r="C2278" s="216"/>
      <c r="D2278" s="241"/>
      <c r="E2278" s="241"/>
      <c r="F2278" s="89"/>
      <c r="G2278" s="476"/>
      <c r="H2278" s="73"/>
      <c r="I2278" s="551"/>
      <c r="J2278" s="476"/>
      <c r="K2278" s="69"/>
      <c r="L2278" s="61"/>
      <c r="M2278" s="61"/>
      <c r="N2278" s="73"/>
      <c r="O2278" s="66"/>
      <c r="P2278" s="67"/>
      <c r="Q2278" s="67"/>
      <c r="R2278" s="67"/>
      <c r="S2278" s="67"/>
      <c r="T2278" s="161"/>
      <c r="U2278" s="69"/>
      <c r="V2278" s="73"/>
      <c r="W2278" s="71"/>
      <c r="X2278" s="194"/>
      <c r="Y2278" s="216"/>
      <c r="Z2278" s="73"/>
      <c r="AA2278" s="73"/>
      <c r="AB2278" s="73"/>
      <c r="AC2278" s="73"/>
      <c r="AD2278" s="73"/>
      <c r="AE2278" s="73"/>
      <c r="AF2278" s="73"/>
      <c r="AG2278" s="73"/>
      <c r="AH2278" s="73"/>
      <c r="AI2278" s="73"/>
      <c r="AJ2278" s="161"/>
      <c r="AK2278" s="236"/>
      <c r="AL2278" s="269"/>
      <c r="AM2278" s="161"/>
      <c r="AN2278" s="161"/>
      <c r="AO2278" s="161"/>
      <c r="AP2278" s="161"/>
      <c r="AQ2278" s="161"/>
      <c r="AR2278" s="161"/>
      <c r="AS2278" s="161"/>
      <c r="AT2278" s="161"/>
      <c r="AU2278" s="89"/>
      <c r="AV2278" s="162"/>
      <c r="AW2278" s="73"/>
    </row>
    <row r="2279" ht="15.75" customHeight="1">
      <c r="A2279" s="216"/>
      <c r="B2279" s="73"/>
      <c r="C2279" s="216"/>
      <c r="D2279" s="241"/>
      <c r="E2279" s="241"/>
      <c r="F2279" s="89"/>
      <c r="G2279" s="476"/>
      <c r="H2279" s="73"/>
      <c r="I2279" s="551"/>
      <c r="J2279" s="476"/>
      <c r="K2279" s="69"/>
      <c r="L2279" s="61"/>
      <c r="M2279" s="61"/>
      <c r="N2279" s="73"/>
      <c r="O2279" s="66"/>
      <c r="P2279" s="67"/>
      <c r="Q2279" s="67"/>
      <c r="R2279" s="67"/>
      <c r="S2279" s="67"/>
      <c r="T2279" s="161"/>
      <c r="U2279" s="69"/>
      <c r="V2279" s="73"/>
      <c r="W2279" s="71"/>
      <c r="X2279" s="194"/>
      <c r="Y2279" s="216"/>
      <c r="Z2279" s="73"/>
      <c r="AA2279" s="73"/>
      <c r="AB2279" s="73"/>
      <c r="AC2279" s="73"/>
      <c r="AD2279" s="73"/>
      <c r="AE2279" s="73"/>
      <c r="AF2279" s="73"/>
      <c r="AG2279" s="73"/>
      <c r="AH2279" s="73"/>
      <c r="AI2279" s="73"/>
      <c r="AJ2279" s="161"/>
      <c r="AK2279" s="236"/>
      <c r="AL2279" s="269"/>
      <c r="AM2279" s="161"/>
      <c r="AN2279" s="161"/>
      <c r="AO2279" s="161"/>
      <c r="AP2279" s="161"/>
      <c r="AQ2279" s="161"/>
      <c r="AR2279" s="161"/>
      <c r="AS2279" s="161"/>
      <c r="AT2279" s="161"/>
      <c r="AU2279" s="89"/>
      <c r="AV2279" s="162"/>
      <c r="AW2279" s="73"/>
    </row>
    <row r="2280" ht="15.75" customHeight="1">
      <c r="A2280" s="216"/>
      <c r="B2280" s="73"/>
      <c r="C2280" s="216"/>
      <c r="D2280" s="241"/>
      <c r="E2280" s="241"/>
      <c r="F2280" s="89"/>
      <c r="G2280" s="476"/>
      <c r="H2280" s="73"/>
      <c r="I2280" s="551"/>
      <c r="J2280" s="476"/>
      <c r="K2280" s="69"/>
      <c r="L2280" s="61"/>
      <c r="M2280" s="61"/>
      <c r="N2280" s="73"/>
      <c r="O2280" s="66"/>
      <c r="P2280" s="67"/>
      <c r="Q2280" s="67"/>
      <c r="R2280" s="67"/>
      <c r="S2280" s="67"/>
      <c r="T2280" s="161"/>
      <c r="U2280" s="69"/>
      <c r="V2280" s="73"/>
      <c r="W2280" s="71"/>
      <c r="X2280" s="194"/>
      <c r="Y2280" s="216"/>
      <c r="Z2280" s="73"/>
      <c r="AA2280" s="73"/>
      <c r="AB2280" s="73"/>
      <c r="AC2280" s="73"/>
      <c r="AD2280" s="73"/>
      <c r="AE2280" s="73"/>
      <c r="AF2280" s="73"/>
      <c r="AG2280" s="73"/>
      <c r="AH2280" s="73"/>
      <c r="AI2280" s="73"/>
      <c r="AJ2280" s="161"/>
      <c r="AK2280" s="236"/>
      <c r="AL2280" s="269"/>
      <c r="AM2280" s="161"/>
      <c r="AN2280" s="161"/>
      <c r="AO2280" s="161"/>
      <c r="AP2280" s="161"/>
      <c r="AQ2280" s="161"/>
      <c r="AR2280" s="161"/>
      <c r="AS2280" s="161"/>
      <c r="AT2280" s="161"/>
      <c r="AU2280" s="89"/>
      <c r="AV2280" s="162"/>
      <c r="AW2280" s="73"/>
    </row>
    <row r="2281" ht="15.75" customHeight="1">
      <c r="A2281" s="216"/>
      <c r="B2281" s="73"/>
      <c r="C2281" s="216"/>
      <c r="D2281" s="241"/>
      <c r="E2281" s="241"/>
      <c r="F2281" s="89"/>
      <c r="G2281" s="476"/>
      <c r="H2281" s="73"/>
      <c r="I2281" s="551"/>
      <c r="J2281" s="476"/>
      <c r="K2281" s="69"/>
      <c r="L2281" s="61"/>
      <c r="M2281" s="61"/>
      <c r="N2281" s="73"/>
      <c r="O2281" s="66"/>
      <c r="P2281" s="67"/>
      <c r="Q2281" s="67"/>
      <c r="R2281" s="67"/>
      <c r="S2281" s="67"/>
      <c r="T2281" s="161"/>
      <c r="U2281" s="69"/>
      <c r="V2281" s="73"/>
      <c r="W2281" s="71"/>
      <c r="X2281" s="194"/>
      <c r="Y2281" s="216"/>
      <c r="Z2281" s="73"/>
      <c r="AA2281" s="73"/>
      <c r="AB2281" s="73"/>
      <c r="AC2281" s="73"/>
      <c r="AD2281" s="73"/>
      <c r="AE2281" s="73"/>
      <c r="AF2281" s="73"/>
      <c r="AG2281" s="73"/>
      <c r="AH2281" s="73"/>
      <c r="AI2281" s="73"/>
      <c r="AJ2281" s="161"/>
      <c r="AK2281" s="236"/>
      <c r="AL2281" s="269"/>
      <c r="AM2281" s="161"/>
      <c r="AN2281" s="161"/>
      <c r="AO2281" s="161"/>
      <c r="AP2281" s="161"/>
      <c r="AQ2281" s="161"/>
      <c r="AR2281" s="161"/>
      <c r="AS2281" s="161"/>
      <c r="AT2281" s="161"/>
      <c r="AU2281" s="89"/>
      <c r="AV2281" s="162"/>
      <c r="AW2281" s="73"/>
    </row>
    <row r="2282" ht="15.75" customHeight="1">
      <c r="A2282" s="216"/>
      <c r="B2282" s="73"/>
      <c r="C2282" s="216"/>
      <c r="D2282" s="241"/>
      <c r="E2282" s="241"/>
      <c r="F2282" s="89"/>
      <c r="G2282" s="476"/>
      <c r="H2282" s="73"/>
      <c r="I2282" s="551"/>
      <c r="J2282" s="476"/>
      <c r="K2282" s="69"/>
      <c r="L2282" s="61"/>
      <c r="M2282" s="61"/>
      <c r="N2282" s="73"/>
      <c r="O2282" s="66"/>
      <c r="P2282" s="67"/>
      <c r="Q2282" s="67"/>
      <c r="R2282" s="67"/>
      <c r="S2282" s="67"/>
      <c r="T2282" s="161"/>
      <c r="U2282" s="69"/>
      <c r="V2282" s="73"/>
      <c r="W2282" s="71"/>
      <c r="X2282" s="194"/>
      <c r="Y2282" s="216"/>
      <c r="Z2282" s="73"/>
      <c r="AA2282" s="73"/>
      <c r="AB2282" s="73"/>
      <c r="AC2282" s="73"/>
      <c r="AD2282" s="73"/>
      <c r="AE2282" s="73"/>
      <c r="AF2282" s="73"/>
      <c r="AG2282" s="73"/>
      <c r="AH2282" s="73"/>
      <c r="AI2282" s="73"/>
      <c r="AJ2282" s="161"/>
      <c r="AK2282" s="236"/>
      <c r="AL2282" s="269"/>
      <c r="AM2282" s="161"/>
      <c r="AN2282" s="161"/>
      <c r="AO2282" s="161"/>
      <c r="AP2282" s="161"/>
      <c r="AQ2282" s="161"/>
      <c r="AR2282" s="161"/>
      <c r="AS2282" s="161"/>
      <c r="AT2282" s="161"/>
      <c r="AU2282" s="89"/>
      <c r="AV2282" s="162"/>
      <c r="AW2282" s="73"/>
    </row>
    <row r="2283" ht="15.75" customHeight="1">
      <c r="A2283" s="216"/>
      <c r="B2283" s="73"/>
      <c r="C2283" s="216"/>
      <c r="D2283" s="241"/>
      <c r="E2283" s="241"/>
      <c r="F2283" s="89"/>
      <c r="G2283" s="476"/>
      <c r="H2283" s="73"/>
      <c r="I2283" s="551"/>
      <c r="J2283" s="476"/>
      <c r="K2283" s="69"/>
      <c r="L2283" s="61"/>
      <c r="M2283" s="61"/>
      <c r="N2283" s="73"/>
      <c r="O2283" s="66"/>
      <c r="P2283" s="67"/>
      <c r="Q2283" s="67"/>
      <c r="R2283" s="67"/>
      <c r="S2283" s="67"/>
      <c r="T2283" s="161"/>
      <c r="U2283" s="69"/>
      <c r="V2283" s="73"/>
      <c r="W2283" s="71"/>
      <c r="X2283" s="194"/>
      <c r="Y2283" s="216"/>
      <c r="Z2283" s="73"/>
      <c r="AA2283" s="73"/>
      <c r="AB2283" s="73"/>
      <c r="AC2283" s="73"/>
      <c r="AD2283" s="73"/>
      <c r="AE2283" s="73"/>
      <c r="AF2283" s="73"/>
      <c r="AG2283" s="73"/>
      <c r="AH2283" s="73"/>
      <c r="AI2283" s="73"/>
      <c r="AJ2283" s="161"/>
      <c r="AK2283" s="236"/>
      <c r="AL2283" s="269"/>
      <c r="AM2283" s="161"/>
      <c r="AN2283" s="161"/>
      <c r="AO2283" s="161"/>
      <c r="AP2283" s="161"/>
      <c r="AQ2283" s="161"/>
      <c r="AR2283" s="161"/>
      <c r="AS2283" s="161"/>
      <c r="AT2283" s="161"/>
      <c r="AU2283" s="89"/>
      <c r="AV2283" s="162"/>
      <c r="AW2283" s="73"/>
    </row>
    <row r="2284" ht="15.75" customHeight="1">
      <c r="A2284" s="216"/>
      <c r="B2284" s="73"/>
      <c r="C2284" s="216"/>
      <c r="D2284" s="241"/>
      <c r="E2284" s="241"/>
      <c r="F2284" s="89"/>
      <c r="G2284" s="476"/>
      <c r="H2284" s="73"/>
      <c r="I2284" s="551"/>
      <c r="J2284" s="476"/>
      <c r="K2284" s="69"/>
      <c r="L2284" s="61"/>
      <c r="M2284" s="61"/>
      <c r="N2284" s="73"/>
      <c r="O2284" s="66"/>
      <c r="P2284" s="67"/>
      <c r="Q2284" s="67"/>
      <c r="R2284" s="67"/>
      <c r="S2284" s="67"/>
      <c r="T2284" s="161"/>
      <c r="U2284" s="69"/>
      <c r="V2284" s="73"/>
      <c r="W2284" s="71"/>
      <c r="X2284" s="194"/>
      <c r="Y2284" s="216"/>
      <c r="Z2284" s="73"/>
      <c r="AA2284" s="73"/>
      <c r="AB2284" s="73"/>
      <c r="AC2284" s="73"/>
      <c r="AD2284" s="73"/>
      <c r="AE2284" s="73"/>
      <c r="AF2284" s="73"/>
      <c r="AG2284" s="73"/>
      <c r="AH2284" s="73"/>
      <c r="AI2284" s="73"/>
      <c r="AJ2284" s="161"/>
      <c r="AK2284" s="236"/>
      <c r="AL2284" s="269"/>
      <c r="AM2284" s="161"/>
      <c r="AN2284" s="161"/>
      <c r="AO2284" s="161"/>
      <c r="AP2284" s="161"/>
      <c r="AQ2284" s="161"/>
      <c r="AR2284" s="161"/>
      <c r="AS2284" s="161"/>
      <c r="AT2284" s="161"/>
      <c r="AU2284" s="89"/>
      <c r="AV2284" s="162"/>
      <c r="AW2284" s="73"/>
    </row>
    <row r="2285" ht="15.75" customHeight="1">
      <c r="A2285" s="216"/>
      <c r="B2285" s="73"/>
      <c r="C2285" s="216"/>
      <c r="D2285" s="241"/>
      <c r="E2285" s="241"/>
      <c r="F2285" s="89"/>
      <c r="G2285" s="476"/>
      <c r="H2285" s="73"/>
      <c r="I2285" s="551"/>
      <c r="J2285" s="476"/>
      <c r="K2285" s="69"/>
      <c r="L2285" s="61"/>
      <c r="M2285" s="61"/>
      <c r="N2285" s="73"/>
      <c r="O2285" s="66"/>
      <c r="P2285" s="67"/>
      <c r="Q2285" s="67"/>
      <c r="R2285" s="67"/>
      <c r="S2285" s="67"/>
      <c r="T2285" s="161"/>
      <c r="U2285" s="69"/>
      <c r="V2285" s="73"/>
      <c r="W2285" s="71"/>
      <c r="X2285" s="194"/>
      <c r="Y2285" s="216"/>
      <c r="Z2285" s="73"/>
      <c r="AA2285" s="73"/>
      <c r="AB2285" s="73"/>
      <c r="AC2285" s="73"/>
      <c r="AD2285" s="73"/>
      <c r="AE2285" s="73"/>
      <c r="AF2285" s="73"/>
      <c r="AG2285" s="73"/>
      <c r="AH2285" s="73"/>
      <c r="AI2285" s="73"/>
      <c r="AJ2285" s="161"/>
      <c r="AK2285" s="236"/>
      <c r="AL2285" s="269"/>
      <c r="AM2285" s="161"/>
      <c r="AN2285" s="161"/>
      <c r="AO2285" s="161"/>
      <c r="AP2285" s="161"/>
      <c r="AQ2285" s="161"/>
      <c r="AR2285" s="161"/>
      <c r="AS2285" s="161"/>
      <c r="AT2285" s="161"/>
      <c r="AU2285" s="89"/>
      <c r="AV2285" s="162"/>
      <c r="AW2285" s="73"/>
    </row>
    <row r="2286" ht="15.75" customHeight="1">
      <c r="A2286" s="216"/>
      <c r="B2286" s="73"/>
      <c r="C2286" s="216"/>
      <c r="D2286" s="241"/>
      <c r="E2286" s="241"/>
      <c r="F2286" s="89"/>
      <c r="G2286" s="476"/>
      <c r="H2286" s="73"/>
      <c r="I2286" s="551"/>
      <c r="J2286" s="476"/>
      <c r="K2286" s="69"/>
      <c r="L2286" s="61"/>
      <c r="M2286" s="61"/>
      <c r="N2286" s="73"/>
      <c r="O2286" s="66"/>
      <c r="P2286" s="67"/>
      <c r="Q2286" s="67"/>
      <c r="R2286" s="67"/>
      <c r="S2286" s="67"/>
      <c r="T2286" s="161"/>
      <c r="U2286" s="69"/>
      <c r="V2286" s="73"/>
      <c r="W2286" s="71"/>
      <c r="X2286" s="194"/>
      <c r="Y2286" s="216"/>
      <c r="Z2286" s="73"/>
      <c r="AA2286" s="73"/>
      <c r="AB2286" s="73"/>
      <c r="AC2286" s="73"/>
      <c r="AD2286" s="73"/>
      <c r="AE2286" s="73"/>
      <c r="AF2286" s="73"/>
      <c r="AG2286" s="73"/>
      <c r="AH2286" s="73"/>
      <c r="AI2286" s="73"/>
      <c r="AJ2286" s="161"/>
      <c r="AK2286" s="236"/>
      <c r="AL2286" s="269"/>
      <c r="AM2286" s="161"/>
      <c r="AN2286" s="161"/>
      <c r="AO2286" s="161"/>
      <c r="AP2286" s="161"/>
      <c r="AQ2286" s="161"/>
      <c r="AR2286" s="161"/>
      <c r="AS2286" s="161"/>
      <c r="AT2286" s="161"/>
      <c r="AU2286" s="89"/>
      <c r="AV2286" s="162"/>
      <c r="AW2286" s="73"/>
    </row>
    <row r="2287" ht="15.75" customHeight="1">
      <c r="A2287" s="216"/>
      <c r="B2287" s="73"/>
      <c r="C2287" s="216"/>
      <c r="D2287" s="241"/>
      <c r="E2287" s="241"/>
      <c r="F2287" s="89"/>
      <c r="G2287" s="476"/>
      <c r="H2287" s="73"/>
      <c r="I2287" s="551"/>
      <c r="J2287" s="476"/>
      <c r="K2287" s="69"/>
      <c r="L2287" s="61"/>
      <c r="M2287" s="61"/>
      <c r="N2287" s="73"/>
      <c r="O2287" s="66"/>
      <c r="P2287" s="67"/>
      <c r="Q2287" s="67"/>
      <c r="R2287" s="67"/>
      <c r="S2287" s="67"/>
      <c r="T2287" s="161"/>
      <c r="U2287" s="69"/>
      <c r="V2287" s="73"/>
      <c r="W2287" s="71"/>
      <c r="X2287" s="194"/>
      <c r="Y2287" s="216"/>
      <c r="Z2287" s="73"/>
      <c r="AA2287" s="73"/>
      <c r="AB2287" s="73"/>
      <c r="AC2287" s="73"/>
      <c r="AD2287" s="73"/>
      <c r="AE2287" s="73"/>
      <c r="AF2287" s="73"/>
      <c r="AG2287" s="73"/>
      <c r="AH2287" s="73"/>
      <c r="AI2287" s="73"/>
      <c r="AJ2287" s="161"/>
      <c r="AK2287" s="236"/>
      <c r="AL2287" s="269"/>
      <c r="AM2287" s="161"/>
      <c r="AN2287" s="161"/>
      <c r="AO2287" s="161"/>
      <c r="AP2287" s="161"/>
      <c r="AQ2287" s="161"/>
      <c r="AR2287" s="161"/>
      <c r="AS2287" s="161"/>
      <c r="AT2287" s="161"/>
      <c r="AU2287" s="89"/>
      <c r="AV2287" s="162"/>
      <c r="AW2287" s="73"/>
    </row>
    <row r="2288" ht="15.75" customHeight="1">
      <c r="A2288" s="216"/>
      <c r="B2288" s="73"/>
      <c r="C2288" s="216"/>
      <c r="D2288" s="241"/>
      <c r="E2288" s="241"/>
      <c r="F2288" s="89"/>
      <c r="G2288" s="476"/>
      <c r="H2288" s="73"/>
      <c r="I2288" s="551"/>
      <c r="J2288" s="476"/>
      <c r="K2288" s="69"/>
      <c r="L2288" s="61"/>
      <c r="M2288" s="61"/>
      <c r="N2288" s="73"/>
      <c r="O2288" s="66"/>
      <c r="P2288" s="67"/>
      <c r="Q2288" s="67"/>
      <c r="R2288" s="67"/>
      <c r="S2288" s="67"/>
      <c r="T2288" s="161"/>
      <c r="U2288" s="69"/>
      <c r="V2288" s="73"/>
      <c r="W2288" s="71"/>
      <c r="X2288" s="194"/>
      <c r="Y2288" s="216"/>
      <c r="Z2288" s="73"/>
      <c r="AA2288" s="73"/>
      <c r="AB2288" s="73"/>
      <c r="AC2288" s="73"/>
      <c r="AD2288" s="73"/>
      <c r="AE2288" s="73"/>
      <c r="AF2288" s="73"/>
      <c r="AG2288" s="73"/>
      <c r="AH2288" s="73"/>
      <c r="AI2288" s="73"/>
      <c r="AJ2288" s="161"/>
      <c r="AK2288" s="236"/>
      <c r="AL2288" s="269"/>
      <c r="AM2288" s="161"/>
      <c r="AN2288" s="161"/>
      <c r="AO2288" s="161"/>
      <c r="AP2288" s="161"/>
      <c r="AQ2288" s="161"/>
      <c r="AR2288" s="161"/>
      <c r="AS2288" s="161"/>
      <c r="AT2288" s="161"/>
      <c r="AU2288" s="89"/>
      <c r="AV2288" s="162"/>
      <c r="AW2288" s="73"/>
    </row>
    <row r="2289" ht="15.75" customHeight="1">
      <c r="A2289" s="216"/>
      <c r="B2289" s="73"/>
      <c r="C2289" s="216"/>
      <c r="D2289" s="241"/>
      <c r="E2289" s="241"/>
      <c r="F2289" s="89"/>
      <c r="G2289" s="476"/>
      <c r="H2289" s="73"/>
      <c r="I2289" s="551"/>
      <c r="J2289" s="476"/>
      <c r="K2289" s="69"/>
      <c r="L2289" s="61"/>
      <c r="M2289" s="61"/>
      <c r="N2289" s="73"/>
      <c r="O2289" s="66"/>
      <c r="P2289" s="67"/>
      <c r="Q2289" s="67"/>
      <c r="R2289" s="67"/>
      <c r="S2289" s="67"/>
      <c r="T2289" s="161"/>
      <c r="U2289" s="69"/>
      <c r="V2289" s="73"/>
      <c r="W2289" s="71"/>
      <c r="X2289" s="194"/>
      <c r="Y2289" s="216"/>
      <c r="Z2289" s="73"/>
      <c r="AA2289" s="73"/>
      <c r="AB2289" s="73"/>
      <c r="AC2289" s="73"/>
      <c r="AD2289" s="73"/>
      <c r="AE2289" s="73"/>
      <c r="AF2289" s="73"/>
      <c r="AG2289" s="73"/>
      <c r="AH2289" s="73"/>
      <c r="AI2289" s="73"/>
      <c r="AJ2289" s="161"/>
      <c r="AK2289" s="236"/>
      <c r="AL2289" s="269"/>
      <c r="AM2289" s="161"/>
      <c r="AN2289" s="161"/>
      <c r="AO2289" s="161"/>
      <c r="AP2289" s="161"/>
      <c r="AQ2289" s="161"/>
      <c r="AR2289" s="161"/>
      <c r="AS2289" s="161"/>
      <c r="AT2289" s="161"/>
      <c r="AU2289" s="89"/>
      <c r="AV2289" s="162"/>
      <c r="AW2289" s="73"/>
    </row>
    <row r="2290" ht="15.75" customHeight="1">
      <c r="A2290" s="216"/>
      <c r="B2290" s="73"/>
      <c r="C2290" s="216"/>
      <c r="D2290" s="241"/>
      <c r="E2290" s="241"/>
      <c r="F2290" s="89"/>
      <c r="G2290" s="476"/>
      <c r="H2290" s="73"/>
      <c r="I2290" s="551"/>
      <c r="J2290" s="476"/>
      <c r="K2290" s="69"/>
      <c r="L2290" s="61"/>
      <c r="M2290" s="61"/>
      <c r="N2290" s="73"/>
      <c r="O2290" s="66"/>
      <c r="P2290" s="67"/>
      <c r="Q2290" s="67"/>
      <c r="R2290" s="67"/>
      <c r="S2290" s="67"/>
      <c r="T2290" s="161"/>
      <c r="U2290" s="69"/>
      <c r="V2290" s="73"/>
      <c r="W2290" s="71"/>
      <c r="X2290" s="194"/>
      <c r="Y2290" s="216"/>
      <c r="Z2290" s="73"/>
      <c r="AA2290" s="73"/>
      <c r="AB2290" s="73"/>
      <c r="AC2290" s="73"/>
      <c r="AD2290" s="73"/>
      <c r="AE2290" s="73"/>
      <c r="AF2290" s="73"/>
      <c r="AG2290" s="73"/>
      <c r="AH2290" s="73"/>
      <c r="AI2290" s="73"/>
      <c r="AJ2290" s="161"/>
      <c r="AK2290" s="236"/>
      <c r="AL2290" s="269"/>
      <c r="AM2290" s="161"/>
      <c r="AN2290" s="161"/>
      <c r="AO2290" s="161"/>
      <c r="AP2290" s="161"/>
      <c r="AQ2290" s="161"/>
      <c r="AR2290" s="161"/>
      <c r="AS2290" s="161"/>
      <c r="AT2290" s="161"/>
      <c r="AU2290" s="89"/>
      <c r="AV2290" s="162"/>
      <c r="AW2290" s="73"/>
    </row>
    <row r="2291" ht="15.75" customHeight="1">
      <c r="A2291" s="216"/>
      <c r="B2291" s="73"/>
      <c r="C2291" s="216"/>
      <c r="D2291" s="241"/>
      <c r="E2291" s="241"/>
      <c r="F2291" s="89"/>
      <c r="G2291" s="476"/>
      <c r="H2291" s="73"/>
      <c r="I2291" s="551"/>
      <c r="J2291" s="476"/>
      <c r="K2291" s="69"/>
      <c r="L2291" s="61"/>
      <c r="M2291" s="61"/>
      <c r="N2291" s="73"/>
      <c r="O2291" s="66"/>
      <c r="P2291" s="67"/>
      <c r="Q2291" s="67"/>
      <c r="R2291" s="67"/>
      <c r="S2291" s="67"/>
      <c r="T2291" s="161"/>
      <c r="U2291" s="69"/>
      <c r="V2291" s="73"/>
      <c r="W2291" s="71"/>
      <c r="X2291" s="194"/>
      <c r="Y2291" s="216"/>
      <c r="Z2291" s="73"/>
      <c r="AA2291" s="73"/>
      <c r="AB2291" s="73"/>
      <c r="AC2291" s="73"/>
      <c r="AD2291" s="73"/>
      <c r="AE2291" s="73"/>
      <c r="AF2291" s="73"/>
      <c r="AG2291" s="73"/>
      <c r="AH2291" s="73"/>
      <c r="AI2291" s="73"/>
      <c r="AJ2291" s="161"/>
      <c r="AK2291" s="236"/>
      <c r="AL2291" s="269"/>
      <c r="AM2291" s="161"/>
      <c r="AN2291" s="161"/>
      <c r="AO2291" s="161"/>
      <c r="AP2291" s="161"/>
      <c r="AQ2291" s="161"/>
      <c r="AR2291" s="161"/>
      <c r="AS2291" s="161"/>
      <c r="AT2291" s="161"/>
      <c r="AU2291" s="89"/>
      <c r="AV2291" s="162"/>
      <c r="AW2291" s="73"/>
    </row>
    <row r="2292" ht="15.75" customHeight="1">
      <c r="A2292" s="216"/>
      <c r="B2292" s="73"/>
      <c r="C2292" s="216"/>
      <c r="D2292" s="241"/>
      <c r="E2292" s="241"/>
      <c r="F2292" s="89"/>
      <c r="G2292" s="476"/>
      <c r="H2292" s="73"/>
      <c r="I2292" s="551"/>
      <c r="J2292" s="476"/>
      <c r="K2292" s="69"/>
      <c r="L2292" s="61"/>
      <c r="M2292" s="61"/>
      <c r="N2292" s="73"/>
      <c r="O2292" s="66"/>
      <c r="P2292" s="67"/>
      <c r="Q2292" s="67"/>
      <c r="R2292" s="67"/>
      <c r="S2292" s="67"/>
      <c r="T2292" s="161"/>
      <c r="U2292" s="69"/>
      <c r="V2292" s="73"/>
      <c r="W2292" s="71"/>
      <c r="X2292" s="194"/>
      <c r="Y2292" s="216"/>
      <c r="Z2292" s="73"/>
      <c r="AA2292" s="73"/>
      <c r="AB2292" s="73"/>
      <c r="AC2292" s="73"/>
      <c r="AD2292" s="73"/>
      <c r="AE2292" s="73"/>
      <c r="AF2292" s="73"/>
      <c r="AG2292" s="73"/>
      <c r="AH2292" s="73"/>
      <c r="AI2292" s="73"/>
      <c r="AJ2292" s="161"/>
      <c r="AK2292" s="236"/>
      <c r="AL2292" s="269"/>
      <c r="AM2292" s="161"/>
      <c r="AN2292" s="161"/>
      <c r="AO2292" s="161"/>
      <c r="AP2292" s="161"/>
      <c r="AQ2292" s="161"/>
      <c r="AR2292" s="161"/>
      <c r="AS2292" s="161"/>
      <c r="AT2292" s="161"/>
      <c r="AU2292" s="89"/>
      <c r="AV2292" s="162"/>
      <c r="AW2292" s="73"/>
    </row>
    <row r="2293" ht="15.75" customHeight="1">
      <c r="A2293" s="216"/>
      <c r="B2293" s="73"/>
      <c r="C2293" s="216"/>
      <c r="D2293" s="241"/>
      <c r="E2293" s="241"/>
      <c r="F2293" s="89"/>
      <c r="G2293" s="476"/>
      <c r="H2293" s="73"/>
      <c r="I2293" s="551"/>
      <c r="J2293" s="476"/>
      <c r="K2293" s="69"/>
      <c r="L2293" s="61"/>
      <c r="M2293" s="61"/>
      <c r="N2293" s="73"/>
      <c r="O2293" s="66"/>
      <c r="P2293" s="67"/>
      <c r="Q2293" s="67"/>
      <c r="R2293" s="67"/>
      <c r="S2293" s="67"/>
      <c r="T2293" s="161"/>
      <c r="U2293" s="69"/>
      <c r="V2293" s="73"/>
      <c r="W2293" s="71"/>
      <c r="X2293" s="194"/>
      <c r="Y2293" s="216"/>
      <c r="Z2293" s="73"/>
      <c r="AA2293" s="73"/>
      <c r="AB2293" s="73"/>
      <c r="AC2293" s="73"/>
      <c r="AD2293" s="73"/>
      <c r="AE2293" s="73"/>
      <c r="AF2293" s="73"/>
      <c r="AG2293" s="73"/>
      <c r="AH2293" s="73"/>
      <c r="AI2293" s="73"/>
      <c r="AJ2293" s="161"/>
      <c r="AK2293" s="236"/>
      <c r="AL2293" s="269"/>
      <c r="AM2293" s="161"/>
      <c r="AN2293" s="161"/>
      <c r="AO2293" s="161"/>
      <c r="AP2293" s="161"/>
      <c r="AQ2293" s="161"/>
      <c r="AR2293" s="161"/>
      <c r="AS2293" s="161"/>
      <c r="AT2293" s="161"/>
      <c r="AU2293" s="89"/>
      <c r="AV2293" s="162"/>
      <c r="AW2293" s="73"/>
    </row>
    <row r="2294" ht="15.75" customHeight="1">
      <c r="A2294" s="216"/>
      <c r="B2294" s="73"/>
      <c r="C2294" s="216"/>
      <c r="D2294" s="241"/>
      <c r="E2294" s="241"/>
      <c r="F2294" s="89"/>
      <c r="G2294" s="476"/>
      <c r="H2294" s="73"/>
      <c r="I2294" s="551"/>
      <c r="J2294" s="476"/>
      <c r="K2294" s="69"/>
      <c r="L2294" s="61"/>
      <c r="M2294" s="61"/>
      <c r="N2294" s="73"/>
      <c r="O2294" s="66"/>
      <c r="P2294" s="67"/>
      <c r="Q2294" s="67"/>
      <c r="R2294" s="67"/>
      <c r="S2294" s="67"/>
      <c r="T2294" s="161"/>
      <c r="U2294" s="69"/>
      <c r="V2294" s="73"/>
      <c r="W2294" s="71"/>
      <c r="X2294" s="194"/>
      <c r="Y2294" s="216"/>
      <c r="Z2294" s="73"/>
      <c r="AA2294" s="73"/>
      <c r="AB2294" s="73"/>
      <c r="AC2294" s="73"/>
      <c r="AD2294" s="73"/>
      <c r="AE2294" s="73"/>
      <c r="AF2294" s="73"/>
      <c r="AG2294" s="73"/>
      <c r="AH2294" s="73"/>
      <c r="AI2294" s="73"/>
      <c r="AJ2294" s="161"/>
      <c r="AK2294" s="236"/>
      <c r="AL2294" s="269"/>
      <c r="AM2294" s="161"/>
      <c r="AN2294" s="161"/>
      <c r="AO2294" s="161"/>
      <c r="AP2294" s="161"/>
      <c r="AQ2294" s="161"/>
      <c r="AR2294" s="161"/>
      <c r="AS2294" s="161"/>
      <c r="AT2294" s="161"/>
      <c r="AU2294" s="89"/>
      <c r="AV2294" s="162"/>
      <c r="AW2294" s="73"/>
    </row>
    <row r="2295" ht="15.75" customHeight="1">
      <c r="A2295" s="216"/>
      <c r="B2295" s="73"/>
      <c r="C2295" s="216"/>
      <c r="D2295" s="241"/>
      <c r="E2295" s="241"/>
      <c r="F2295" s="89"/>
      <c r="G2295" s="476"/>
      <c r="H2295" s="73"/>
      <c r="I2295" s="551"/>
      <c r="J2295" s="476"/>
      <c r="K2295" s="69"/>
      <c r="L2295" s="61"/>
      <c r="M2295" s="61"/>
      <c r="N2295" s="73"/>
      <c r="O2295" s="66"/>
      <c r="P2295" s="67"/>
      <c r="Q2295" s="67"/>
      <c r="R2295" s="67"/>
      <c r="S2295" s="67"/>
      <c r="T2295" s="161"/>
      <c r="U2295" s="69"/>
      <c r="V2295" s="73"/>
      <c r="W2295" s="71"/>
      <c r="X2295" s="194"/>
      <c r="Y2295" s="216"/>
      <c r="Z2295" s="73"/>
      <c r="AA2295" s="73"/>
      <c r="AB2295" s="73"/>
      <c r="AC2295" s="73"/>
      <c r="AD2295" s="73"/>
      <c r="AE2295" s="73"/>
      <c r="AF2295" s="73"/>
      <c r="AG2295" s="73"/>
      <c r="AH2295" s="73"/>
      <c r="AI2295" s="73"/>
      <c r="AJ2295" s="161"/>
      <c r="AK2295" s="236"/>
      <c r="AL2295" s="269"/>
      <c r="AM2295" s="161"/>
      <c r="AN2295" s="161"/>
      <c r="AO2295" s="161"/>
      <c r="AP2295" s="161"/>
      <c r="AQ2295" s="161"/>
      <c r="AR2295" s="161"/>
      <c r="AS2295" s="161"/>
      <c r="AT2295" s="161"/>
      <c r="AU2295" s="89"/>
      <c r="AV2295" s="162"/>
      <c r="AW2295" s="73"/>
    </row>
    <row r="2296" ht="15.75" customHeight="1">
      <c r="A2296" s="216"/>
      <c r="B2296" s="73"/>
      <c r="C2296" s="216"/>
      <c r="D2296" s="241"/>
      <c r="E2296" s="241"/>
      <c r="F2296" s="89"/>
      <c r="G2296" s="476"/>
      <c r="H2296" s="73"/>
      <c r="I2296" s="551"/>
      <c r="J2296" s="476"/>
      <c r="K2296" s="69"/>
      <c r="L2296" s="61"/>
      <c r="M2296" s="61"/>
      <c r="N2296" s="73"/>
      <c r="O2296" s="66"/>
      <c r="P2296" s="67"/>
      <c r="Q2296" s="67"/>
      <c r="R2296" s="67"/>
      <c r="S2296" s="67"/>
      <c r="T2296" s="161"/>
      <c r="U2296" s="69"/>
      <c r="V2296" s="73"/>
      <c r="W2296" s="71"/>
      <c r="X2296" s="194"/>
      <c r="Y2296" s="216"/>
      <c r="Z2296" s="73"/>
      <c r="AA2296" s="73"/>
      <c r="AB2296" s="73"/>
      <c r="AC2296" s="73"/>
      <c r="AD2296" s="73"/>
      <c r="AE2296" s="73"/>
      <c r="AF2296" s="73"/>
      <c r="AG2296" s="73"/>
      <c r="AH2296" s="73"/>
      <c r="AI2296" s="73"/>
      <c r="AJ2296" s="161"/>
      <c r="AK2296" s="236"/>
      <c r="AL2296" s="269"/>
      <c r="AM2296" s="161"/>
      <c r="AN2296" s="161"/>
      <c r="AO2296" s="161"/>
      <c r="AP2296" s="161"/>
      <c r="AQ2296" s="161"/>
      <c r="AR2296" s="161"/>
      <c r="AS2296" s="161"/>
      <c r="AT2296" s="161"/>
      <c r="AU2296" s="89"/>
      <c r="AV2296" s="162"/>
      <c r="AW2296" s="73"/>
    </row>
    <row r="2297" ht="15.75" customHeight="1">
      <c r="A2297" s="216"/>
      <c r="B2297" s="73"/>
      <c r="C2297" s="216"/>
      <c r="D2297" s="241"/>
      <c r="E2297" s="241"/>
      <c r="F2297" s="89"/>
      <c r="G2297" s="476"/>
      <c r="H2297" s="73"/>
      <c r="I2297" s="551"/>
      <c r="J2297" s="476"/>
      <c r="K2297" s="69"/>
      <c r="L2297" s="61"/>
      <c r="M2297" s="61"/>
      <c r="N2297" s="73"/>
      <c r="O2297" s="66"/>
      <c r="P2297" s="67"/>
      <c r="Q2297" s="67"/>
      <c r="R2297" s="67"/>
      <c r="S2297" s="67"/>
      <c r="T2297" s="161"/>
      <c r="U2297" s="69"/>
      <c r="V2297" s="73"/>
      <c r="W2297" s="71"/>
      <c r="X2297" s="194"/>
      <c r="Y2297" s="216"/>
      <c r="Z2297" s="73"/>
      <c r="AA2297" s="73"/>
      <c r="AB2297" s="73"/>
      <c r="AC2297" s="73"/>
      <c r="AD2297" s="73"/>
      <c r="AE2297" s="73"/>
      <c r="AF2297" s="73"/>
      <c r="AG2297" s="73"/>
      <c r="AH2297" s="73"/>
      <c r="AI2297" s="73"/>
      <c r="AJ2297" s="161"/>
      <c r="AK2297" s="236"/>
      <c r="AL2297" s="269"/>
      <c r="AM2297" s="161"/>
      <c r="AN2297" s="161"/>
      <c r="AO2297" s="161"/>
      <c r="AP2297" s="161"/>
      <c r="AQ2297" s="161"/>
      <c r="AR2297" s="161"/>
      <c r="AS2297" s="161"/>
      <c r="AT2297" s="161"/>
      <c r="AU2297" s="89"/>
      <c r="AV2297" s="162"/>
      <c r="AW2297" s="73"/>
    </row>
    <row r="2298" ht="15.75" customHeight="1">
      <c r="A2298" s="216"/>
      <c r="B2298" s="73"/>
      <c r="C2298" s="216"/>
      <c r="D2298" s="241"/>
      <c r="E2298" s="241"/>
      <c r="F2298" s="89"/>
      <c r="G2298" s="476"/>
      <c r="H2298" s="73"/>
      <c r="I2298" s="551"/>
      <c r="J2298" s="476"/>
      <c r="K2298" s="69"/>
      <c r="L2298" s="61"/>
      <c r="M2298" s="61"/>
      <c r="N2298" s="73"/>
      <c r="O2298" s="66"/>
      <c r="P2298" s="67"/>
      <c r="Q2298" s="67"/>
      <c r="R2298" s="67"/>
      <c r="S2298" s="67"/>
      <c r="T2298" s="161"/>
      <c r="U2298" s="69"/>
      <c r="V2298" s="73"/>
      <c r="W2298" s="71"/>
      <c r="X2298" s="194"/>
      <c r="Y2298" s="216"/>
      <c r="Z2298" s="73"/>
      <c r="AA2298" s="73"/>
      <c r="AB2298" s="73"/>
      <c r="AC2298" s="73"/>
      <c r="AD2298" s="73"/>
      <c r="AE2298" s="73"/>
      <c r="AF2298" s="73"/>
      <c r="AG2298" s="73"/>
      <c r="AH2298" s="73"/>
      <c r="AI2298" s="73"/>
      <c r="AJ2298" s="161"/>
      <c r="AK2298" s="236"/>
      <c r="AL2298" s="269"/>
      <c r="AM2298" s="161"/>
      <c r="AN2298" s="161"/>
      <c r="AO2298" s="161"/>
      <c r="AP2298" s="161"/>
      <c r="AQ2298" s="161"/>
      <c r="AR2298" s="161"/>
      <c r="AS2298" s="161"/>
      <c r="AT2298" s="161"/>
      <c r="AU2298" s="89"/>
      <c r="AV2298" s="162"/>
      <c r="AW2298" s="73"/>
    </row>
    <row r="2299" ht="15.75" customHeight="1">
      <c r="A2299" s="216"/>
      <c r="B2299" s="73"/>
      <c r="C2299" s="216"/>
      <c r="D2299" s="241"/>
      <c r="E2299" s="241"/>
      <c r="F2299" s="89"/>
      <c r="G2299" s="476"/>
      <c r="H2299" s="73"/>
      <c r="I2299" s="551"/>
      <c r="J2299" s="476"/>
      <c r="K2299" s="69"/>
      <c r="L2299" s="61"/>
      <c r="M2299" s="61"/>
      <c r="N2299" s="73"/>
      <c r="O2299" s="66"/>
      <c r="P2299" s="67"/>
      <c r="Q2299" s="67"/>
      <c r="R2299" s="67"/>
      <c r="S2299" s="67"/>
      <c r="T2299" s="161"/>
      <c r="U2299" s="69"/>
      <c r="V2299" s="73"/>
      <c r="W2299" s="71"/>
      <c r="X2299" s="194"/>
      <c r="Y2299" s="216"/>
      <c r="Z2299" s="73"/>
      <c r="AA2299" s="73"/>
      <c r="AB2299" s="73"/>
      <c r="AC2299" s="73"/>
      <c r="AD2299" s="73"/>
      <c r="AE2299" s="73"/>
      <c r="AF2299" s="73"/>
      <c r="AG2299" s="73"/>
      <c r="AH2299" s="73"/>
      <c r="AI2299" s="73"/>
      <c r="AJ2299" s="161"/>
      <c r="AK2299" s="236"/>
      <c r="AL2299" s="269"/>
      <c r="AM2299" s="161"/>
      <c r="AN2299" s="161"/>
      <c r="AO2299" s="161"/>
      <c r="AP2299" s="161"/>
      <c r="AQ2299" s="161"/>
      <c r="AR2299" s="161"/>
      <c r="AS2299" s="161"/>
      <c r="AT2299" s="161"/>
      <c r="AU2299" s="89"/>
      <c r="AV2299" s="162"/>
      <c r="AW2299" s="73"/>
    </row>
    <row r="2300" ht="15.75" customHeight="1">
      <c r="A2300" s="216"/>
      <c r="B2300" s="73"/>
      <c r="C2300" s="216"/>
      <c r="D2300" s="241"/>
      <c r="E2300" s="241"/>
      <c r="F2300" s="89"/>
      <c r="G2300" s="476"/>
      <c r="H2300" s="73"/>
      <c r="I2300" s="551"/>
      <c r="J2300" s="476"/>
      <c r="K2300" s="69"/>
      <c r="L2300" s="61"/>
      <c r="M2300" s="61"/>
      <c r="N2300" s="73"/>
      <c r="O2300" s="66"/>
      <c r="P2300" s="67"/>
      <c r="Q2300" s="67"/>
      <c r="R2300" s="67"/>
      <c r="S2300" s="67"/>
      <c r="T2300" s="161"/>
      <c r="U2300" s="69"/>
      <c r="V2300" s="73"/>
      <c r="W2300" s="71"/>
      <c r="X2300" s="194"/>
      <c r="Y2300" s="216"/>
      <c r="Z2300" s="73"/>
      <c r="AA2300" s="73"/>
      <c r="AB2300" s="73"/>
      <c r="AC2300" s="73"/>
      <c r="AD2300" s="73"/>
      <c r="AE2300" s="73"/>
      <c r="AF2300" s="73"/>
      <c r="AG2300" s="73"/>
      <c r="AH2300" s="73"/>
      <c r="AI2300" s="73"/>
      <c r="AJ2300" s="161"/>
      <c r="AK2300" s="236"/>
      <c r="AL2300" s="269"/>
      <c r="AM2300" s="161"/>
      <c r="AN2300" s="161"/>
      <c r="AO2300" s="161"/>
      <c r="AP2300" s="161"/>
      <c r="AQ2300" s="161"/>
      <c r="AR2300" s="161"/>
      <c r="AS2300" s="161"/>
      <c r="AT2300" s="161"/>
      <c r="AU2300" s="89"/>
      <c r="AV2300" s="162"/>
      <c r="AW2300" s="73"/>
    </row>
    <row r="2301" ht="15.75" customHeight="1">
      <c r="A2301" s="216"/>
      <c r="B2301" s="73"/>
      <c r="C2301" s="216"/>
      <c r="D2301" s="241"/>
      <c r="E2301" s="241"/>
      <c r="F2301" s="89"/>
      <c r="G2301" s="476"/>
      <c r="H2301" s="73"/>
      <c r="I2301" s="551"/>
      <c r="J2301" s="476"/>
      <c r="K2301" s="69"/>
      <c r="L2301" s="61"/>
      <c r="M2301" s="61"/>
      <c r="N2301" s="73"/>
      <c r="O2301" s="66"/>
      <c r="P2301" s="67"/>
      <c r="Q2301" s="67"/>
      <c r="R2301" s="67"/>
      <c r="S2301" s="67"/>
      <c r="T2301" s="161"/>
      <c r="U2301" s="69"/>
      <c r="V2301" s="73"/>
      <c r="W2301" s="71"/>
      <c r="X2301" s="194"/>
      <c r="Y2301" s="216"/>
      <c r="Z2301" s="73"/>
      <c r="AA2301" s="73"/>
      <c r="AB2301" s="73"/>
      <c r="AC2301" s="73"/>
      <c r="AD2301" s="73"/>
      <c r="AE2301" s="73"/>
      <c r="AF2301" s="73"/>
      <c r="AG2301" s="73"/>
      <c r="AH2301" s="73"/>
      <c r="AI2301" s="73"/>
      <c r="AJ2301" s="161"/>
      <c r="AK2301" s="236"/>
      <c r="AL2301" s="269"/>
      <c r="AM2301" s="161"/>
      <c r="AN2301" s="161"/>
      <c r="AO2301" s="161"/>
      <c r="AP2301" s="161"/>
      <c r="AQ2301" s="161"/>
      <c r="AR2301" s="161"/>
      <c r="AS2301" s="161"/>
      <c r="AT2301" s="161"/>
      <c r="AU2301" s="89"/>
      <c r="AV2301" s="162"/>
      <c r="AW2301" s="73"/>
    </row>
    <row r="2302" ht="15.75" customHeight="1">
      <c r="A2302" s="216"/>
      <c r="B2302" s="73"/>
      <c r="C2302" s="216"/>
      <c r="D2302" s="241"/>
      <c r="E2302" s="241"/>
      <c r="F2302" s="89"/>
      <c r="G2302" s="476"/>
      <c r="H2302" s="73"/>
      <c r="I2302" s="551"/>
      <c r="J2302" s="476"/>
      <c r="K2302" s="69"/>
      <c r="L2302" s="61"/>
      <c r="M2302" s="61"/>
      <c r="N2302" s="73"/>
      <c r="O2302" s="66"/>
      <c r="P2302" s="67"/>
      <c r="Q2302" s="67"/>
      <c r="R2302" s="67"/>
      <c r="S2302" s="67"/>
      <c r="T2302" s="161"/>
      <c r="U2302" s="69"/>
      <c r="V2302" s="73"/>
      <c r="W2302" s="71"/>
      <c r="X2302" s="194"/>
      <c r="Y2302" s="216"/>
      <c r="Z2302" s="73"/>
      <c r="AA2302" s="73"/>
      <c r="AB2302" s="73"/>
      <c r="AC2302" s="73"/>
      <c r="AD2302" s="73"/>
      <c r="AE2302" s="73"/>
      <c r="AF2302" s="73"/>
      <c r="AG2302" s="73"/>
      <c r="AH2302" s="73"/>
      <c r="AI2302" s="73"/>
      <c r="AJ2302" s="161"/>
      <c r="AK2302" s="236"/>
      <c r="AL2302" s="269"/>
      <c r="AM2302" s="161"/>
      <c r="AN2302" s="161"/>
      <c r="AO2302" s="161"/>
      <c r="AP2302" s="161"/>
      <c r="AQ2302" s="161"/>
      <c r="AR2302" s="161"/>
      <c r="AS2302" s="161"/>
      <c r="AT2302" s="161"/>
      <c r="AU2302" s="89"/>
      <c r="AV2302" s="162"/>
      <c r="AW2302" s="73"/>
    </row>
    <row r="2303" ht="15.75" customHeight="1">
      <c r="A2303" s="216"/>
      <c r="B2303" s="73"/>
      <c r="C2303" s="216"/>
      <c r="D2303" s="241"/>
      <c r="E2303" s="241"/>
      <c r="F2303" s="89"/>
      <c r="G2303" s="476"/>
      <c r="H2303" s="73"/>
      <c r="I2303" s="551"/>
      <c r="J2303" s="476"/>
      <c r="K2303" s="69"/>
      <c r="L2303" s="61"/>
      <c r="M2303" s="61"/>
      <c r="N2303" s="73"/>
      <c r="O2303" s="66"/>
      <c r="P2303" s="67"/>
      <c r="Q2303" s="67"/>
      <c r="R2303" s="67"/>
      <c r="S2303" s="67"/>
      <c r="T2303" s="161"/>
      <c r="U2303" s="69"/>
      <c r="V2303" s="73"/>
      <c r="W2303" s="71"/>
      <c r="X2303" s="194"/>
      <c r="Y2303" s="216"/>
      <c r="Z2303" s="73"/>
      <c r="AA2303" s="73"/>
      <c r="AB2303" s="73"/>
      <c r="AC2303" s="73"/>
      <c r="AD2303" s="73"/>
      <c r="AE2303" s="73"/>
      <c r="AF2303" s="73"/>
      <c r="AG2303" s="73"/>
      <c r="AH2303" s="73"/>
      <c r="AI2303" s="73"/>
      <c r="AJ2303" s="161"/>
      <c r="AK2303" s="236"/>
      <c r="AL2303" s="269"/>
      <c r="AM2303" s="161"/>
      <c r="AN2303" s="161"/>
      <c r="AO2303" s="161"/>
      <c r="AP2303" s="161"/>
      <c r="AQ2303" s="161"/>
      <c r="AR2303" s="161"/>
      <c r="AS2303" s="161"/>
      <c r="AT2303" s="161"/>
      <c r="AU2303" s="89"/>
      <c r="AV2303" s="162"/>
      <c r="AW2303" s="73"/>
    </row>
    <row r="2304" ht="15.75" customHeight="1">
      <c r="A2304" s="216"/>
      <c r="B2304" s="73"/>
      <c r="C2304" s="216"/>
      <c r="D2304" s="241"/>
      <c r="E2304" s="241"/>
      <c r="F2304" s="89"/>
      <c r="G2304" s="476"/>
      <c r="H2304" s="73"/>
      <c r="I2304" s="551"/>
      <c r="J2304" s="476"/>
      <c r="K2304" s="69"/>
      <c r="L2304" s="61"/>
      <c r="M2304" s="61"/>
      <c r="N2304" s="73"/>
      <c r="O2304" s="66"/>
      <c r="P2304" s="67"/>
      <c r="Q2304" s="67"/>
      <c r="R2304" s="67"/>
      <c r="S2304" s="67"/>
      <c r="T2304" s="161"/>
      <c r="U2304" s="69"/>
      <c r="V2304" s="73"/>
      <c r="W2304" s="71"/>
      <c r="X2304" s="194"/>
      <c r="Y2304" s="216"/>
      <c r="Z2304" s="73"/>
      <c r="AA2304" s="73"/>
      <c r="AB2304" s="73"/>
      <c r="AC2304" s="73"/>
      <c r="AD2304" s="73"/>
      <c r="AE2304" s="73"/>
      <c r="AF2304" s="73"/>
      <c r="AG2304" s="73"/>
      <c r="AH2304" s="73"/>
      <c r="AI2304" s="73"/>
      <c r="AJ2304" s="161"/>
      <c r="AK2304" s="236"/>
      <c r="AL2304" s="269"/>
      <c r="AM2304" s="161"/>
      <c r="AN2304" s="161"/>
      <c r="AO2304" s="161"/>
      <c r="AP2304" s="161"/>
      <c r="AQ2304" s="161"/>
      <c r="AR2304" s="161"/>
      <c r="AS2304" s="161"/>
      <c r="AT2304" s="161"/>
      <c r="AU2304" s="89"/>
      <c r="AV2304" s="162"/>
      <c r="AW2304" s="73"/>
    </row>
    <row r="2305" ht="15.75" customHeight="1">
      <c r="A2305" s="216"/>
      <c r="B2305" s="73"/>
      <c r="C2305" s="216"/>
      <c r="D2305" s="241"/>
      <c r="E2305" s="241"/>
      <c r="F2305" s="89"/>
      <c r="G2305" s="476"/>
      <c r="H2305" s="73"/>
      <c r="I2305" s="551"/>
      <c r="J2305" s="476"/>
      <c r="K2305" s="69"/>
      <c r="L2305" s="61"/>
      <c r="M2305" s="61"/>
      <c r="N2305" s="73"/>
      <c r="O2305" s="66"/>
      <c r="P2305" s="67"/>
      <c r="Q2305" s="67"/>
      <c r="R2305" s="67"/>
      <c r="S2305" s="67"/>
      <c r="T2305" s="161"/>
      <c r="U2305" s="69"/>
      <c r="V2305" s="73"/>
      <c r="W2305" s="71"/>
      <c r="X2305" s="194"/>
      <c r="Y2305" s="216"/>
      <c r="Z2305" s="73"/>
      <c r="AA2305" s="73"/>
      <c r="AB2305" s="73"/>
      <c r="AC2305" s="73"/>
      <c r="AD2305" s="73"/>
      <c r="AE2305" s="73"/>
      <c r="AF2305" s="73"/>
      <c r="AG2305" s="73"/>
      <c r="AH2305" s="73"/>
      <c r="AI2305" s="73"/>
      <c r="AJ2305" s="161"/>
      <c r="AK2305" s="236"/>
      <c r="AL2305" s="269"/>
      <c r="AM2305" s="161"/>
      <c r="AN2305" s="161"/>
      <c r="AO2305" s="161"/>
      <c r="AP2305" s="161"/>
      <c r="AQ2305" s="161"/>
      <c r="AR2305" s="161"/>
      <c r="AS2305" s="161"/>
      <c r="AT2305" s="161"/>
      <c r="AU2305" s="89"/>
      <c r="AV2305" s="162"/>
      <c r="AW2305" s="73"/>
    </row>
    <row r="2306" ht="15.75" customHeight="1">
      <c r="A2306" s="216"/>
      <c r="B2306" s="73"/>
      <c r="C2306" s="216"/>
      <c r="D2306" s="241"/>
      <c r="E2306" s="241"/>
      <c r="F2306" s="89"/>
      <c r="G2306" s="476"/>
      <c r="H2306" s="73"/>
      <c r="I2306" s="551"/>
      <c r="J2306" s="476"/>
      <c r="K2306" s="69"/>
      <c r="L2306" s="61"/>
      <c r="M2306" s="61"/>
      <c r="N2306" s="73"/>
      <c r="O2306" s="66"/>
      <c r="P2306" s="67"/>
      <c r="Q2306" s="67"/>
      <c r="R2306" s="67"/>
      <c r="S2306" s="67"/>
      <c r="T2306" s="161"/>
      <c r="U2306" s="69"/>
      <c r="V2306" s="73"/>
      <c r="W2306" s="71"/>
      <c r="X2306" s="194"/>
      <c r="Y2306" s="216"/>
      <c r="Z2306" s="73"/>
      <c r="AA2306" s="73"/>
      <c r="AB2306" s="73"/>
      <c r="AC2306" s="73"/>
      <c r="AD2306" s="73"/>
      <c r="AE2306" s="73"/>
      <c r="AF2306" s="73"/>
      <c r="AG2306" s="73"/>
      <c r="AH2306" s="73"/>
      <c r="AI2306" s="73"/>
      <c r="AJ2306" s="161"/>
      <c r="AK2306" s="236"/>
      <c r="AL2306" s="269"/>
      <c r="AM2306" s="161"/>
      <c r="AN2306" s="161"/>
      <c r="AO2306" s="161"/>
      <c r="AP2306" s="161"/>
      <c r="AQ2306" s="161"/>
      <c r="AR2306" s="161"/>
      <c r="AS2306" s="161"/>
      <c r="AT2306" s="161"/>
      <c r="AU2306" s="89"/>
      <c r="AV2306" s="162"/>
      <c r="AW2306" s="73"/>
    </row>
    <row r="2307" ht="15.75" customHeight="1">
      <c r="A2307" s="216"/>
      <c r="B2307" s="73"/>
      <c r="C2307" s="216"/>
      <c r="D2307" s="241"/>
      <c r="E2307" s="241"/>
      <c r="F2307" s="89"/>
      <c r="G2307" s="476"/>
      <c r="H2307" s="73"/>
      <c r="I2307" s="551"/>
      <c r="J2307" s="476"/>
      <c r="K2307" s="69"/>
      <c r="L2307" s="61"/>
      <c r="M2307" s="61"/>
      <c r="N2307" s="73"/>
      <c r="O2307" s="66"/>
      <c r="P2307" s="67"/>
      <c r="Q2307" s="67"/>
      <c r="R2307" s="67"/>
      <c r="S2307" s="67"/>
      <c r="T2307" s="161"/>
      <c r="U2307" s="69"/>
      <c r="V2307" s="73"/>
      <c r="W2307" s="71"/>
      <c r="X2307" s="194"/>
      <c r="Y2307" s="216"/>
      <c r="Z2307" s="73"/>
      <c r="AA2307" s="73"/>
      <c r="AB2307" s="73"/>
      <c r="AC2307" s="73"/>
      <c r="AD2307" s="73"/>
      <c r="AE2307" s="73"/>
      <c r="AF2307" s="73"/>
      <c r="AG2307" s="73"/>
      <c r="AH2307" s="73"/>
      <c r="AI2307" s="73"/>
      <c r="AJ2307" s="161"/>
      <c r="AK2307" s="236"/>
      <c r="AL2307" s="269"/>
      <c r="AM2307" s="161"/>
      <c r="AN2307" s="161"/>
      <c r="AO2307" s="161"/>
      <c r="AP2307" s="161"/>
      <c r="AQ2307" s="161"/>
      <c r="AR2307" s="161"/>
      <c r="AS2307" s="161"/>
      <c r="AT2307" s="161"/>
      <c r="AU2307" s="89"/>
      <c r="AV2307" s="162"/>
      <c r="AW2307" s="73"/>
    </row>
    <row r="2308" ht="15.75" customHeight="1">
      <c r="A2308" s="216"/>
      <c r="B2308" s="73"/>
      <c r="C2308" s="216"/>
      <c r="D2308" s="241"/>
      <c r="E2308" s="241"/>
      <c r="F2308" s="89"/>
      <c r="G2308" s="476"/>
      <c r="H2308" s="73"/>
      <c r="I2308" s="551"/>
      <c r="J2308" s="476"/>
      <c r="K2308" s="69"/>
      <c r="L2308" s="61"/>
      <c r="M2308" s="61"/>
      <c r="N2308" s="73"/>
      <c r="O2308" s="66"/>
      <c r="P2308" s="67"/>
      <c r="Q2308" s="67"/>
      <c r="R2308" s="67"/>
      <c r="S2308" s="67"/>
      <c r="T2308" s="161"/>
      <c r="U2308" s="69"/>
      <c r="V2308" s="73"/>
      <c r="W2308" s="71"/>
      <c r="X2308" s="194"/>
      <c r="Y2308" s="216"/>
      <c r="Z2308" s="73"/>
      <c r="AA2308" s="73"/>
      <c r="AB2308" s="73"/>
      <c r="AC2308" s="73"/>
      <c r="AD2308" s="73"/>
      <c r="AE2308" s="73"/>
      <c r="AF2308" s="73"/>
      <c r="AG2308" s="73"/>
      <c r="AH2308" s="73"/>
      <c r="AI2308" s="73"/>
      <c r="AJ2308" s="161"/>
      <c r="AK2308" s="236"/>
      <c r="AL2308" s="269"/>
      <c r="AM2308" s="161"/>
      <c r="AN2308" s="161"/>
      <c r="AO2308" s="161"/>
      <c r="AP2308" s="161"/>
      <c r="AQ2308" s="161"/>
      <c r="AR2308" s="161"/>
      <c r="AS2308" s="161"/>
      <c r="AT2308" s="161"/>
      <c r="AU2308" s="89"/>
      <c r="AV2308" s="162"/>
      <c r="AW2308" s="73"/>
    </row>
    <row r="2309" ht="15.75" customHeight="1">
      <c r="A2309" s="216"/>
      <c r="B2309" s="73"/>
      <c r="C2309" s="216"/>
      <c r="D2309" s="241"/>
      <c r="E2309" s="241"/>
      <c r="F2309" s="89"/>
      <c r="G2309" s="476"/>
      <c r="H2309" s="73"/>
      <c r="I2309" s="551"/>
      <c r="J2309" s="476"/>
      <c r="K2309" s="69"/>
      <c r="L2309" s="61"/>
      <c r="M2309" s="61"/>
      <c r="N2309" s="73"/>
      <c r="O2309" s="66"/>
      <c r="P2309" s="67"/>
      <c r="Q2309" s="67"/>
      <c r="R2309" s="67"/>
      <c r="S2309" s="67"/>
      <c r="T2309" s="161"/>
      <c r="U2309" s="69"/>
      <c r="V2309" s="73"/>
      <c r="W2309" s="71"/>
      <c r="X2309" s="194"/>
      <c r="Y2309" s="216"/>
      <c r="Z2309" s="73"/>
      <c r="AA2309" s="73"/>
      <c r="AB2309" s="73"/>
      <c r="AC2309" s="73"/>
      <c r="AD2309" s="73"/>
      <c r="AE2309" s="73"/>
      <c r="AF2309" s="73"/>
      <c r="AG2309" s="73"/>
      <c r="AH2309" s="73"/>
      <c r="AI2309" s="73"/>
      <c r="AJ2309" s="161"/>
      <c r="AK2309" s="236"/>
      <c r="AL2309" s="269"/>
      <c r="AM2309" s="161"/>
      <c r="AN2309" s="161"/>
      <c r="AO2309" s="161"/>
      <c r="AP2309" s="161"/>
      <c r="AQ2309" s="161"/>
      <c r="AR2309" s="161"/>
      <c r="AS2309" s="161"/>
      <c r="AT2309" s="161"/>
      <c r="AU2309" s="89"/>
      <c r="AV2309" s="162"/>
      <c r="AW2309" s="73"/>
    </row>
    <row r="2310" ht="15.75" customHeight="1">
      <c r="A2310" s="216"/>
      <c r="B2310" s="73"/>
      <c r="C2310" s="216"/>
      <c r="D2310" s="241"/>
      <c r="E2310" s="241"/>
      <c r="F2310" s="89"/>
      <c r="G2310" s="476"/>
      <c r="H2310" s="73"/>
      <c r="I2310" s="551"/>
      <c r="J2310" s="476"/>
      <c r="K2310" s="69"/>
      <c r="L2310" s="61"/>
      <c r="M2310" s="61"/>
      <c r="N2310" s="73"/>
      <c r="O2310" s="66"/>
      <c r="P2310" s="67"/>
      <c r="Q2310" s="67"/>
      <c r="R2310" s="67"/>
      <c r="S2310" s="67"/>
      <c r="T2310" s="161"/>
      <c r="U2310" s="69"/>
      <c r="V2310" s="73"/>
      <c r="W2310" s="71"/>
      <c r="X2310" s="194"/>
      <c r="Y2310" s="216"/>
      <c r="Z2310" s="73"/>
      <c r="AA2310" s="73"/>
      <c r="AB2310" s="73"/>
      <c r="AC2310" s="73"/>
      <c r="AD2310" s="73"/>
      <c r="AE2310" s="73"/>
      <c r="AF2310" s="73"/>
      <c r="AG2310" s="73"/>
      <c r="AH2310" s="73"/>
      <c r="AI2310" s="73"/>
      <c r="AJ2310" s="161"/>
      <c r="AK2310" s="236"/>
      <c r="AL2310" s="269"/>
      <c r="AM2310" s="161"/>
      <c r="AN2310" s="161"/>
      <c r="AO2310" s="161"/>
      <c r="AP2310" s="161"/>
      <c r="AQ2310" s="161"/>
      <c r="AR2310" s="161"/>
      <c r="AS2310" s="161"/>
      <c r="AT2310" s="161"/>
      <c r="AU2310" s="89"/>
      <c r="AV2310" s="162"/>
      <c r="AW2310" s="73"/>
    </row>
    <row r="2311" ht="15.75" customHeight="1">
      <c r="A2311" s="216"/>
      <c r="B2311" s="73"/>
      <c r="C2311" s="216"/>
      <c r="D2311" s="241"/>
      <c r="E2311" s="241"/>
      <c r="F2311" s="89"/>
      <c r="G2311" s="476"/>
      <c r="H2311" s="73"/>
      <c r="I2311" s="551"/>
      <c r="J2311" s="476"/>
      <c r="K2311" s="69"/>
      <c r="L2311" s="61"/>
      <c r="M2311" s="61"/>
      <c r="N2311" s="73"/>
      <c r="O2311" s="66"/>
      <c r="P2311" s="67"/>
      <c r="Q2311" s="67"/>
      <c r="R2311" s="67"/>
      <c r="S2311" s="67"/>
      <c r="T2311" s="161"/>
      <c r="U2311" s="69"/>
      <c r="V2311" s="73"/>
      <c r="W2311" s="71"/>
      <c r="X2311" s="194"/>
      <c r="Y2311" s="216"/>
      <c r="Z2311" s="73"/>
      <c r="AA2311" s="73"/>
      <c r="AB2311" s="73"/>
      <c r="AC2311" s="73"/>
      <c r="AD2311" s="73"/>
      <c r="AE2311" s="73"/>
      <c r="AF2311" s="73"/>
      <c r="AG2311" s="73"/>
      <c r="AH2311" s="73"/>
      <c r="AI2311" s="73"/>
      <c r="AJ2311" s="161"/>
      <c r="AK2311" s="236"/>
      <c r="AL2311" s="269"/>
      <c r="AM2311" s="161"/>
      <c r="AN2311" s="161"/>
      <c r="AO2311" s="161"/>
      <c r="AP2311" s="161"/>
      <c r="AQ2311" s="161"/>
      <c r="AR2311" s="161"/>
      <c r="AS2311" s="161"/>
      <c r="AT2311" s="161"/>
      <c r="AU2311" s="89"/>
      <c r="AV2311" s="162"/>
      <c r="AW2311" s="73"/>
    </row>
    <row r="2312" ht="15.75" customHeight="1">
      <c r="A2312" s="216"/>
      <c r="B2312" s="73"/>
      <c r="C2312" s="216"/>
      <c r="D2312" s="241"/>
      <c r="E2312" s="241"/>
      <c r="F2312" s="89"/>
      <c r="G2312" s="476"/>
      <c r="H2312" s="73"/>
      <c r="I2312" s="551"/>
      <c r="J2312" s="476"/>
      <c r="K2312" s="69"/>
      <c r="L2312" s="61"/>
      <c r="M2312" s="61"/>
      <c r="N2312" s="73"/>
      <c r="O2312" s="66"/>
      <c r="P2312" s="67"/>
      <c r="Q2312" s="67"/>
      <c r="R2312" s="67"/>
      <c r="S2312" s="67"/>
      <c r="T2312" s="161"/>
      <c r="U2312" s="69"/>
      <c r="V2312" s="73"/>
      <c r="W2312" s="71"/>
      <c r="X2312" s="194"/>
      <c r="Y2312" s="216"/>
      <c r="Z2312" s="73"/>
      <c r="AA2312" s="73"/>
      <c r="AB2312" s="73"/>
      <c r="AC2312" s="73"/>
      <c r="AD2312" s="73"/>
      <c r="AE2312" s="73"/>
      <c r="AF2312" s="73"/>
      <c r="AG2312" s="73"/>
      <c r="AH2312" s="73"/>
      <c r="AI2312" s="73"/>
      <c r="AJ2312" s="161"/>
      <c r="AK2312" s="236"/>
      <c r="AL2312" s="269"/>
      <c r="AM2312" s="161"/>
      <c r="AN2312" s="161"/>
      <c r="AO2312" s="161"/>
      <c r="AP2312" s="161"/>
      <c r="AQ2312" s="161"/>
      <c r="AR2312" s="161"/>
      <c r="AS2312" s="161"/>
      <c r="AT2312" s="161"/>
      <c r="AU2312" s="89"/>
      <c r="AV2312" s="162"/>
      <c r="AW2312" s="73"/>
    </row>
    <row r="2313" ht="15.75" customHeight="1">
      <c r="A2313" s="216"/>
      <c r="B2313" s="73"/>
      <c r="C2313" s="216"/>
      <c r="D2313" s="241"/>
      <c r="E2313" s="241"/>
      <c r="F2313" s="89"/>
      <c r="G2313" s="476"/>
      <c r="H2313" s="73"/>
      <c r="I2313" s="551"/>
      <c r="J2313" s="476"/>
      <c r="K2313" s="69"/>
      <c r="L2313" s="61"/>
      <c r="M2313" s="61"/>
      <c r="N2313" s="73"/>
      <c r="O2313" s="66"/>
      <c r="P2313" s="67"/>
      <c r="Q2313" s="67"/>
      <c r="R2313" s="67"/>
      <c r="S2313" s="67"/>
      <c r="T2313" s="161"/>
      <c r="U2313" s="69"/>
      <c r="V2313" s="73"/>
      <c r="W2313" s="71"/>
      <c r="X2313" s="194"/>
      <c r="Y2313" s="216"/>
      <c r="Z2313" s="73"/>
      <c r="AA2313" s="73"/>
      <c r="AB2313" s="73"/>
      <c r="AC2313" s="73"/>
      <c r="AD2313" s="73"/>
      <c r="AE2313" s="73"/>
      <c r="AF2313" s="73"/>
      <c r="AG2313" s="73"/>
      <c r="AH2313" s="73"/>
      <c r="AI2313" s="73"/>
      <c r="AJ2313" s="161"/>
      <c r="AK2313" s="236"/>
      <c r="AL2313" s="269"/>
      <c r="AM2313" s="161"/>
      <c r="AN2313" s="161"/>
      <c r="AO2313" s="161"/>
      <c r="AP2313" s="161"/>
      <c r="AQ2313" s="161"/>
      <c r="AR2313" s="161"/>
      <c r="AS2313" s="161"/>
      <c r="AT2313" s="161"/>
      <c r="AU2313" s="89"/>
      <c r="AV2313" s="162"/>
      <c r="AW2313" s="73"/>
    </row>
    <row r="2314" ht="15.75" customHeight="1">
      <c r="A2314" s="216"/>
      <c r="B2314" s="73"/>
      <c r="C2314" s="216"/>
      <c r="D2314" s="241"/>
      <c r="E2314" s="241"/>
      <c r="F2314" s="89"/>
      <c r="G2314" s="476"/>
      <c r="H2314" s="73"/>
      <c r="I2314" s="551"/>
      <c r="J2314" s="476"/>
      <c r="K2314" s="69"/>
      <c r="L2314" s="61"/>
      <c r="M2314" s="61"/>
      <c r="N2314" s="73"/>
      <c r="O2314" s="66"/>
      <c r="P2314" s="67"/>
      <c r="Q2314" s="67"/>
      <c r="R2314" s="67"/>
      <c r="S2314" s="67"/>
      <c r="T2314" s="161"/>
      <c r="U2314" s="69"/>
      <c r="V2314" s="73"/>
      <c r="W2314" s="71"/>
      <c r="X2314" s="194"/>
      <c r="Y2314" s="216"/>
      <c r="Z2314" s="73"/>
      <c r="AA2314" s="73"/>
      <c r="AB2314" s="73"/>
      <c r="AC2314" s="73"/>
      <c r="AD2314" s="73"/>
      <c r="AE2314" s="73"/>
      <c r="AF2314" s="73"/>
      <c r="AG2314" s="73"/>
      <c r="AH2314" s="73"/>
      <c r="AI2314" s="73"/>
      <c r="AJ2314" s="161"/>
      <c r="AK2314" s="236"/>
      <c r="AL2314" s="269"/>
      <c r="AM2314" s="161"/>
      <c r="AN2314" s="161"/>
      <c r="AO2314" s="161"/>
      <c r="AP2314" s="161"/>
      <c r="AQ2314" s="161"/>
      <c r="AR2314" s="161"/>
      <c r="AS2314" s="161"/>
      <c r="AT2314" s="161"/>
      <c r="AU2314" s="89"/>
      <c r="AV2314" s="162"/>
      <c r="AW2314" s="73"/>
    </row>
    <row r="2315" ht="15.75" customHeight="1">
      <c r="A2315" s="216"/>
      <c r="B2315" s="73"/>
      <c r="C2315" s="216"/>
      <c r="D2315" s="241"/>
      <c r="E2315" s="241"/>
      <c r="F2315" s="89"/>
      <c r="G2315" s="476"/>
      <c r="H2315" s="73"/>
      <c r="I2315" s="551"/>
      <c r="J2315" s="476"/>
      <c r="K2315" s="69"/>
      <c r="L2315" s="61"/>
      <c r="M2315" s="61"/>
      <c r="N2315" s="73"/>
      <c r="O2315" s="66"/>
      <c r="P2315" s="67"/>
      <c r="Q2315" s="67"/>
      <c r="R2315" s="67"/>
      <c r="S2315" s="67"/>
      <c r="T2315" s="161"/>
      <c r="U2315" s="69"/>
      <c r="V2315" s="73"/>
      <c r="W2315" s="71"/>
      <c r="X2315" s="194"/>
      <c r="Y2315" s="216"/>
      <c r="Z2315" s="73"/>
      <c r="AA2315" s="73"/>
      <c r="AB2315" s="73"/>
      <c r="AC2315" s="73"/>
      <c r="AD2315" s="73"/>
      <c r="AE2315" s="73"/>
      <c r="AF2315" s="73"/>
      <c r="AG2315" s="73"/>
      <c r="AH2315" s="73"/>
      <c r="AI2315" s="73"/>
      <c r="AJ2315" s="161"/>
      <c r="AK2315" s="236"/>
      <c r="AL2315" s="269"/>
      <c r="AM2315" s="161"/>
      <c r="AN2315" s="161"/>
      <c r="AO2315" s="161"/>
      <c r="AP2315" s="161"/>
      <c r="AQ2315" s="161"/>
      <c r="AR2315" s="161"/>
      <c r="AS2315" s="161"/>
      <c r="AT2315" s="161"/>
      <c r="AU2315" s="89"/>
      <c r="AV2315" s="162"/>
      <c r="AW2315" s="73"/>
    </row>
    <row r="2316" ht="15.75" customHeight="1">
      <c r="A2316" s="216"/>
      <c r="B2316" s="73"/>
      <c r="C2316" s="216"/>
      <c r="D2316" s="241"/>
      <c r="E2316" s="241"/>
      <c r="F2316" s="89"/>
      <c r="G2316" s="476"/>
      <c r="H2316" s="73"/>
      <c r="I2316" s="551"/>
      <c r="J2316" s="476"/>
      <c r="K2316" s="69"/>
      <c r="L2316" s="61"/>
      <c r="M2316" s="61"/>
      <c r="N2316" s="73"/>
      <c r="O2316" s="66"/>
      <c r="P2316" s="67"/>
      <c r="Q2316" s="67"/>
      <c r="R2316" s="67"/>
      <c r="S2316" s="67"/>
      <c r="T2316" s="161"/>
      <c r="U2316" s="69"/>
      <c r="V2316" s="73"/>
      <c r="W2316" s="71"/>
      <c r="X2316" s="194"/>
      <c r="Y2316" s="216"/>
      <c r="Z2316" s="73"/>
      <c r="AA2316" s="73"/>
      <c r="AB2316" s="73"/>
      <c r="AC2316" s="73"/>
      <c r="AD2316" s="73"/>
      <c r="AE2316" s="73"/>
      <c r="AF2316" s="73"/>
      <c r="AG2316" s="73"/>
      <c r="AH2316" s="73"/>
      <c r="AI2316" s="73"/>
      <c r="AJ2316" s="161"/>
      <c r="AK2316" s="236"/>
      <c r="AL2316" s="269"/>
      <c r="AM2316" s="161"/>
      <c r="AN2316" s="161"/>
      <c r="AO2316" s="161"/>
      <c r="AP2316" s="161"/>
      <c r="AQ2316" s="161"/>
      <c r="AR2316" s="161"/>
      <c r="AS2316" s="161"/>
      <c r="AT2316" s="161"/>
      <c r="AU2316" s="89"/>
      <c r="AV2316" s="162"/>
      <c r="AW2316" s="73"/>
    </row>
    <row r="2317" ht="15.75" customHeight="1">
      <c r="A2317" s="216"/>
      <c r="B2317" s="73"/>
      <c r="C2317" s="216"/>
      <c r="D2317" s="241"/>
      <c r="E2317" s="241"/>
      <c r="F2317" s="89"/>
      <c r="G2317" s="476"/>
      <c r="H2317" s="73"/>
      <c r="I2317" s="551"/>
      <c r="J2317" s="476"/>
      <c r="K2317" s="69"/>
      <c r="L2317" s="61"/>
      <c r="M2317" s="61"/>
      <c r="N2317" s="73"/>
      <c r="O2317" s="66"/>
      <c r="P2317" s="67"/>
      <c r="Q2317" s="67"/>
      <c r="R2317" s="67"/>
      <c r="S2317" s="67"/>
      <c r="T2317" s="161"/>
      <c r="U2317" s="69"/>
      <c r="V2317" s="73"/>
      <c r="W2317" s="71"/>
      <c r="X2317" s="194"/>
      <c r="Y2317" s="216"/>
      <c r="Z2317" s="73"/>
      <c r="AA2317" s="73"/>
      <c r="AB2317" s="73"/>
      <c r="AC2317" s="73"/>
      <c r="AD2317" s="73"/>
      <c r="AE2317" s="73"/>
      <c r="AF2317" s="73"/>
      <c r="AG2317" s="73"/>
      <c r="AH2317" s="73"/>
      <c r="AI2317" s="73"/>
      <c r="AJ2317" s="161"/>
      <c r="AK2317" s="236"/>
      <c r="AL2317" s="269"/>
      <c r="AM2317" s="161"/>
      <c r="AN2317" s="161"/>
      <c r="AO2317" s="161"/>
      <c r="AP2317" s="161"/>
      <c r="AQ2317" s="161"/>
      <c r="AR2317" s="161"/>
      <c r="AS2317" s="161"/>
      <c r="AT2317" s="161"/>
      <c r="AU2317" s="89"/>
      <c r="AV2317" s="162"/>
      <c r="AW2317" s="73"/>
    </row>
    <row r="2318" ht="15.75" customHeight="1">
      <c r="A2318" s="216"/>
      <c r="B2318" s="73"/>
      <c r="C2318" s="216"/>
      <c r="D2318" s="241"/>
      <c r="E2318" s="241"/>
      <c r="F2318" s="89"/>
      <c r="G2318" s="476"/>
      <c r="H2318" s="73"/>
      <c r="I2318" s="551"/>
      <c r="J2318" s="476"/>
      <c r="K2318" s="69"/>
      <c r="L2318" s="61"/>
      <c r="M2318" s="61"/>
      <c r="N2318" s="73"/>
      <c r="O2318" s="66"/>
      <c r="P2318" s="67"/>
      <c r="Q2318" s="67"/>
      <c r="R2318" s="67"/>
      <c r="S2318" s="67"/>
      <c r="T2318" s="161"/>
      <c r="U2318" s="69"/>
      <c r="V2318" s="73"/>
      <c r="W2318" s="71"/>
      <c r="X2318" s="194"/>
      <c r="Y2318" s="216"/>
      <c r="Z2318" s="73"/>
      <c r="AA2318" s="73"/>
      <c r="AB2318" s="73"/>
      <c r="AC2318" s="73"/>
      <c r="AD2318" s="73"/>
      <c r="AE2318" s="73"/>
      <c r="AF2318" s="73"/>
      <c r="AG2318" s="73"/>
      <c r="AH2318" s="73"/>
      <c r="AI2318" s="73"/>
      <c r="AJ2318" s="161"/>
      <c r="AK2318" s="236"/>
      <c r="AL2318" s="269"/>
      <c r="AM2318" s="161"/>
      <c r="AN2318" s="161"/>
      <c r="AO2318" s="161"/>
      <c r="AP2318" s="161"/>
      <c r="AQ2318" s="161"/>
      <c r="AR2318" s="161"/>
      <c r="AS2318" s="161"/>
      <c r="AT2318" s="161"/>
      <c r="AU2318" s="89"/>
      <c r="AV2318" s="162"/>
      <c r="AW2318" s="73"/>
    </row>
    <row r="2319" ht="15.75" customHeight="1">
      <c r="A2319" s="216"/>
      <c r="B2319" s="73"/>
      <c r="C2319" s="216"/>
      <c r="D2319" s="241"/>
      <c r="E2319" s="241"/>
      <c r="F2319" s="89"/>
      <c r="G2319" s="476"/>
      <c r="H2319" s="73"/>
      <c r="I2319" s="551"/>
      <c r="J2319" s="476"/>
      <c r="K2319" s="69"/>
      <c r="L2319" s="61"/>
      <c r="M2319" s="61"/>
      <c r="N2319" s="73"/>
      <c r="O2319" s="66"/>
      <c r="P2319" s="67"/>
      <c r="Q2319" s="67"/>
      <c r="R2319" s="67"/>
      <c r="S2319" s="67"/>
      <c r="T2319" s="161"/>
      <c r="U2319" s="69"/>
      <c r="V2319" s="73"/>
      <c r="W2319" s="71"/>
      <c r="X2319" s="194"/>
      <c r="Y2319" s="216"/>
      <c r="Z2319" s="73"/>
      <c r="AA2319" s="73"/>
      <c r="AB2319" s="73"/>
      <c r="AC2319" s="73"/>
      <c r="AD2319" s="73"/>
      <c r="AE2319" s="73"/>
      <c r="AF2319" s="73"/>
      <c r="AG2319" s="73"/>
      <c r="AH2319" s="73"/>
      <c r="AI2319" s="73"/>
      <c r="AJ2319" s="161"/>
      <c r="AK2319" s="236"/>
      <c r="AL2319" s="269"/>
      <c r="AM2319" s="161"/>
      <c r="AN2319" s="161"/>
      <c r="AO2319" s="161"/>
      <c r="AP2319" s="161"/>
      <c r="AQ2319" s="161"/>
      <c r="AR2319" s="161"/>
      <c r="AS2319" s="161"/>
      <c r="AT2319" s="161"/>
      <c r="AU2319" s="89"/>
      <c r="AV2319" s="162"/>
      <c r="AW2319" s="73"/>
    </row>
    <row r="2320" ht="15.75" customHeight="1">
      <c r="A2320" s="216"/>
      <c r="B2320" s="73"/>
      <c r="C2320" s="216"/>
      <c r="D2320" s="241"/>
      <c r="E2320" s="241"/>
      <c r="F2320" s="89"/>
      <c r="G2320" s="476"/>
      <c r="H2320" s="73"/>
      <c r="I2320" s="551"/>
      <c r="J2320" s="476"/>
      <c r="K2320" s="69"/>
      <c r="L2320" s="61"/>
      <c r="M2320" s="61"/>
      <c r="N2320" s="73"/>
      <c r="O2320" s="66"/>
      <c r="P2320" s="67"/>
      <c r="Q2320" s="67"/>
      <c r="R2320" s="67"/>
      <c r="S2320" s="67"/>
      <c r="T2320" s="161"/>
      <c r="U2320" s="69"/>
      <c r="V2320" s="73"/>
      <c r="W2320" s="71"/>
      <c r="X2320" s="194"/>
      <c r="Y2320" s="216"/>
      <c r="Z2320" s="73"/>
      <c r="AA2320" s="73"/>
      <c r="AB2320" s="73"/>
      <c r="AC2320" s="73"/>
      <c r="AD2320" s="73"/>
      <c r="AE2320" s="73"/>
      <c r="AF2320" s="73"/>
      <c r="AG2320" s="73"/>
      <c r="AH2320" s="73"/>
      <c r="AI2320" s="73"/>
      <c r="AJ2320" s="161"/>
      <c r="AK2320" s="236"/>
      <c r="AL2320" s="269"/>
      <c r="AM2320" s="161"/>
      <c r="AN2320" s="161"/>
      <c r="AO2320" s="161"/>
      <c r="AP2320" s="161"/>
      <c r="AQ2320" s="161"/>
      <c r="AR2320" s="161"/>
      <c r="AS2320" s="161"/>
      <c r="AT2320" s="161"/>
      <c r="AU2320" s="89"/>
      <c r="AV2320" s="162"/>
      <c r="AW2320" s="73"/>
    </row>
    <row r="2321" ht="15.75" customHeight="1">
      <c r="A2321" s="216"/>
      <c r="B2321" s="73"/>
      <c r="C2321" s="216"/>
      <c r="D2321" s="241"/>
      <c r="E2321" s="241"/>
      <c r="F2321" s="89"/>
      <c r="G2321" s="476"/>
      <c r="H2321" s="73"/>
      <c r="I2321" s="551"/>
      <c r="J2321" s="476"/>
      <c r="K2321" s="69"/>
      <c r="L2321" s="61"/>
      <c r="M2321" s="61"/>
      <c r="N2321" s="73"/>
      <c r="O2321" s="66"/>
      <c r="P2321" s="67"/>
      <c r="Q2321" s="67"/>
      <c r="R2321" s="67"/>
      <c r="S2321" s="67"/>
      <c r="T2321" s="161"/>
      <c r="U2321" s="69"/>
      <c r="V2321" s="73"/>
      <c r="W2321" s="71"/>
      <c r="X2321" s="194"/>
      <c r="Y2321" s="216"/>
      <c r="Z2321" s="73"/>
      <c r="AA2321" s="73"/>
      <c r="AB2321" s="73"/>
      <c r="AC2321" s="73"/>
      <c r="AD2321" s="73"/>
      <c r="AE2321" s="73"/>
      <c r="AF2321" s="73"/>
      <c r="AG2321" s="73"/>
      <c r="AH2321" s="73"/>
      <c r="AI2321" s="73"/>
      <c r="AJ2321" s="161"/>
      <c r="AK2321" s="236"/>
      <c r="AL2321" s="269"/>
      <c r="AM2321" s="161"/>
      <c r="AN2321" s="161"/>
      <c r="AO2321" s="161"/>
      <c r="AP2321" s="161"/>
      <c r="AQ2321" s="161"/>
      <c r="AR2321" s="161"/>
      <c r="AS2321" s="161"/>
      <c r="AT2321" s="161"/>
      <c r="AU2321" s="89"/>
      <c r="AV2321" s="162"/>
      <c r="AW2321" s="73"/>
    </row>
    <row r="2322" ht="15.75" customHeight="1">
      <c r="A2322" s="216"/>
      <c r="B2322" s="73"/>
      <c r="C2322" s="216"/>
      <c r="D2322" s="241"/>
      <c r="E2322" s="241"/>
      <c r="F2322" s="89"/>
      <c r="G2322" s="476"/>
      <c r="H2322" s="73"/>
      <c r="I2322" s="551"/>
      <c r="J2322" s="476"/>
      <c r="K2322" s="69"/>
      <c r="L2322" s="61"/>
      <c r="M2322" s="61"/>
      <c r="N2322" s="73"/>
      <c r="O2322" s="66"/>
      <c r="P2322" s="67"/>
      <c r="Q2322" s="67"/>
      <c r="R2322" s="67"/>
      <c r="S2322" s="67"/>
      <c r="T2322" s="161"/>
      <c r="U2322" s="69"/>
      <c r="V2322" s="73"/>
      <c r="W2322" s="71"/>
      <c r="X2322" s="194"/>
      <c r="Y2322" s="216"/>
      <c r="Z2322" s="73"/>
      <c r="AA2322" s="73"/>
      <c r="AB2322" s="73"/>
      <c r="AC2322" s="73"/>
      <c r="AD2322" s="73"/>
      <c r="AE2322" s="73"/>
      <c r="AF2322" s="73"/>
      <c r="AG2322" s="73"/>
      <c r="AH2322" s="73"/>
      <c r="AI2322" s="73"/>
      <c r="AJ2322" s="161"/>
      <c r="AK2322" s="236"/>
      <c r="AL2322" s="269"/>
      <c r="AM2322" s="161"/>
      <c r="AN2322" s="161"/>
      <c r="AO2322" s="161"/>
      <c r="AP2322" s="161"/>
      <c r="AQ2322" s="161"/>
      <c r="AR2322" s="161"/>
      <c r="AS2322" s="161"/>
      <c r="AT2322" s="161"/>
      <c r="AU2322" s="89"/>
      <c r="AV2322" s="162"/>
      <c r="AW2322" s="73"/>
    </row>
    <row r="2323" ht="15.75" customHeight="1">
      <c r="A2323" s="216"/>
      <c r="B2323" s="73"/>
      <c r="C2323" s="216"/>
      <c r="D2323" s="241"/>
      <c r="E2323" s="241"/>
      <c r="F2323" s="89"/>
      <c r="G2323" s="476"/>
      <c r="H2323" s="73"/>
      <c r="I2323" s="551"/>
      <c r="J2323" s="476"/>
      <c r="K2323" s="69"/>
      <c r="L2323" s="61"/>
      <c r="M2323" s="61"/>
      <c r="N2323" s="73"/>
      <c r="O2323" s="66"/>
      <c r="P2323" s="67"/>
      <c r="Q2323" s="67"/>
      <c r="R2323" s="67"/>
      <c r="S2323" s="67"/>
      <c r="T2323" s="161"/>
      <c r="U2323" s="69"/>
      <c r="V2323" s="73"/>
      <c r="W2323" s="71"/>
      <c r="X2323" s="194"/>
      <c r="Y2323" s="216"/>
      <c r="Z2323" s="73"/>
      <c r="AA2323" s="73"/>
      <c r="AB2323" s="73"/>
      <c r="AC2323" s="73"/>
      <c r="AD2323" s="73"/>
      <c r="AE2323" s="73"/>
      <c r="AF2323" s="73"/>
      <c r="AG2323" s="73"/>
      <c r="AH2323" s="73"/>
      <c r="AI2323" s="73"/>
      <c r="AJ2323" s="161"/>
      <c r="AK2323" s="236"/>
      <c r="AL2323" s="269"/>
      <c r="AM2323" s="161"/>
      <c r="AN2323" s="161"/>
      <c r="AO2323" s="161"/>
      <c r="AP2323" s="161"/>
      <c r="AQ2323" s="161"/>
      <c r="AR2323" s="161"/>
      <c r="AS2323" s="161"/>
      <c r="AT2323" s="161"/>
      <c r="AU2323" s="89"/>
      <c r="AV2323" s="162"/>
      <c r="AW2323" s="73"/>
    </row>
    <row r="2324" ht="15.75" customHeight="1">
      <c r="A2324" s="216"/>
      <c r="B2324" s="73"/>
      <c r="C2324" s="216"/>
      <c r="D2324" s="241"/>
      <c r="E2324" s="241"/>
      <c r="F2324" s="89"/>
      <c r="G2324" s="476"/>
      <c r="H2324" s="73"/>
      <c r="I2324" s="551"/>
      <c r="J2324" s="476"/>
      <c r="K2324" s="69"/>
      <c r="L2324" s="61"/>
      <c r="M2324" s="61"/>
      <c r="N2324" s="73"/>
      <c r="O2324" s="66"/>
      <c r="P2324" s="67"/>
      <c r="Q2324" s="67"/>
      <c r="R2324" s="67"/>
      <c r="S2324" s="67"/>
      <c r="T2324" s="161"/>
      <c r="U2324" s="69"/>
      <c r="V2324" s="73"/>
      <c r="W2324" s="71"/>
      <c r="X2324" s="194"/>
      <c r="Y2324" s="216"/>
      <c r="Z2324" s="73"/>
      <c r="AA2324" s="73"/>
      <c r="AB2324" s="73"/>
      <c r="AC2324" s="73"/>
      <c r="AD2324" s="73"/>
      <c r="AE2324" s="73"/>
      <c r="AF2324" s="73"/>
      <c r="AG2324" s="73"/>
      <c r="AH2324" s="73"/>
      <c r="AI2324" s="73"/>
      <c r="AJ2324" s="161"/>
      <c r="AK2324" s="236"/>
      <c r="AL2324" s="269"/>
      <c r="AM2324" s="161"/>
      <c r="AN2324" s="161"/>
      <c r="AO2324" s="161"/>
      <c r="AP2324" s="161"/>
      <c r="AQ2324" s="161"/>
      <c r="AR2324" s="161"/>
      <c r="AS2324" s="161"/>
      <c r="AT2324" s="161"/>
      <c r="AU2324" s="89"/>
      <c r="AV2324" s="162"/>
      <c r="AW2324" s="73"/>
    </row>
    <row r="2325" ht="15.75" customHeight="1">
      <c r="A2325" s="216"/>
      <c r="B2325" s="73"/>
      <c r="C2325" s="216"/>
      <c r="D2325" s="241"/>
      <c r="E2325" s="241"/>
      <c r="F2325" s="89"/>
      <c r="G2325" s="476"/>
      <c r="H2325" s="73"/>
      <c r="I2325" s="551"/>
      <c r="J2325" s="476"/>
      <c r="K2325" s="69"/>
      <c r="L2325" s="61"/>
      <c r="M2325" s="61"/>
      <c r="N2325" s="73"/>
      <c r="O2325" s="66"/>
      <c r="P2325" s="67"/>
      <c r="Q2325" s="67"/>
      <c r="R2325" s="67"/>
      <c r="S2325" s="67"/>
      <c r="T2325" s="161"/>
      <c r="U2325" s="69"/>
      <c r="V2325" s="73"/>
      <c r="W2325" s="71"/>
      <c r="X2325" s="194"/>
      <c r="Y2325" s="216"/>
      <c r="Z2325" s="73"/>
      <c r="AA2325" s="73"/>
      <c r="AB2325" s="73"/>
      <c r="AC2325" s="73"/>
      <c r="AD2325" s="73"/>
      <c r="AE2325" s="73"/>
      <c r="AF2325" s="73"/>
      <c r="AG2325" s="73"/>
      <c r="AH2325" s="73"/>
      <c r="AI2325" s="73"/>
      <c r="AJ2325" s="161"/>
      <c r="AK2325" s="236"/>
      <c r="AL2325" s="269"/>
      <c r="AM2325" s="161"/>
      <c r="AN2325" s="161"/>
      <c r="AO2325" s="161"/>
      <c r="AP2325" s="161"/>
      <c r="AQ2325" s="161"/>
      <c r="AR2325" s="161"/>
      <c r="AS2325" s="161"/>
      <c r="AT2325" s="161"/>
      <c r="AU2325" s="89"/>
      <c r="AV2325" s="162"/>
      <c r="AW2325" s="73"/>
    </row>
    <row r="2326" ht="15.75" customHeight="1">
      <c r="A2326" s="216"/>
      <c r="B2326" s="73"/>
      <c r="C2326" s="216"/>
      <c r="D2326" s="241"/>
      <c r="E2326" s="241"/>
      <c r="F2326" s="89"/>
      <c r="G2326" s="476"/>
      <c r="H2326" s="73"/>
      <c r="I2326" s="551"/>
      <c r="J2326" s="476"/>
      <c r="K2326" s="69"/>
      <c r="L2326" s="61"/>
      <c r="M2326" s="61"/>
      <c r="N2326" s="73"/>
      <c r="O2326" s="66"/>
      <c r="P2326" s="67"/>
      <c r="Q2326" s="67"/>
      <c r="R2326" s="67"/>
      <c r="S2326" s="67"/>
      <c r="T2326" s="161"/>
      <c r="U2326" s="69"/>
      <c r="V2326" s="73"/>
      <c r="W2326" s="71"/>
      <c r="X2326" s="194"/>
      <c r="Y2326" s="216"/>
      <c r="Z2326" s="73"/>
      <c r="AA2326" s="73"/>
      <c r="AB2326" s="73"/>
      <c r="AC2326" s="73"/>
      <c r="AD2326" s="73"/>
      <c r="AE2326" s="73"/>
      <c r="AF2326" s="73"/>
      <c r="AG2326" s="73"/>
      <c r="AH2326" s="73"/>
      <c r="AI2326" s="73"/>
      <c r="AJ2326" s="161"/>
      <c r="AK2326" s="236"/>
      <c r="AL2326" s="269"/>
      <c r="AM2326" s="161"/>
      <c r="AN2326" s="161"/>
      <c r="AO2326" s="161"/>
      <c r="AP2326" s="161"/>
      <c r="AQ2326" s="161"/>
      <c r="AR2326" s="161"/>
      <c r="AS2326" s="161"/>
      <c r="AT2326" s="161"/>
      <c r="AU2326" s="89"/>
      <c r="AV2326" s="162"/>
      <c r="AW2326" s="73"/>
    </row>
    <row r="2327" ht="15.75" customHeight="1">
      <c r="A2327" s="216"/>
      <c r="B2327" s="73"/>
      <c r="C2327" s="216"/>
      <c r="D2327" s="241"/>
      <c r="E2327" s="241"/>
      <c r="F2327" s="89"/>
      <c r="G2327" s="476"/>
      <c r="H2327" s="73"/>
      <c r="I2327" s="551"/>
      <c r="J2327" s="476"/>
      <c r="K2327" s="69"/>
      <c r="L2327" s="61"/>
      <c r="M2327" s="61"/>
      <c r="N2327" s="73"/>
      <c r="O2327" s="66"/>
      <c r="P2327" s="67"/>
      <c r="Q2327" s="67"/>
      <c r="R2327" s="67"/>
      <c r="S2327" s="67"/>
      <c r="T2327" s="161"/>
      <c r="U2327" s="69"/>
      <c r="V2327" s="73"/>
      <c r="W2327" s="71"/>
      <c r="X2327" s="194"/>
      <c r="Y2327" s="216"/>
      <c r="Z2327" s="73"/>
      <c r="AA2327" s="73"/>
      <c r="AB2327" s="73"/>
      <c r="AC2327" s="73"/>
      <c r="AD2327" s="73"/>
      <c r="AE2327" s="73"/>
      <c r="AF2327" s="73"/>
      <c r="AG2327" s="73"/>
      <c r="AH2327" s="73"/>
      <c r="AI2327" s="73"/>
      <c r="AJ2327" s="161"/>
      <c r="AK2327" s="236"/>
      <c r="AL2327" s="269"/>
      <c r="AM2327" s="161"/>
      <c r="AN2327" s="161"/>
      <c r="AO2327" s="161"/>
      <c r="AP2327" s="161"/>
      <c r="AQ2327" s="161"/>
      <c r="AR2327" s="161"/>
      <c r="AS2327" s="161"/>
      <c r="AT2327" s="161"/>
      <c r="AU2327" s="89"/>
      <c r="AV2327" s="162"/>
      <c r="AW2327" s="73"/>
    </row>
    <row r="2328" ht="15.75" customHeight="1">
      <c r="A2328" s="216"/>
      <c r="B2328" s="73"/>
      <c r="C2328" s="216"/>
      <c r="D2328" s="241"/>
      <c r="E2328" s="241"/>
      <c r="F2328" s="89"/>
      <c r="G2328" s="476"/>
      <c r="H2328" s="73"/>
      <c r="I2328" s="551"/>
      <c r="J2328" s="476"/>
      <c r="K2328" s="69"/>
      <c r="L2328" s="61"/>
      <c r="M2328" s="61"/>
      <c r="N2328" s="73"/>
      <c r="O2328" s="66"/>
      <c r="P2328" s="67"/>
      <c r="Q2328" s="67"/>
      <c r="R2328" s="67"/>
      <c r="S2328" s="67"/>
      <c r="T2328" s="161"/>
      <c r="U2328" s="69"/>
      <c r="V2328" s="73"/>
      <c r="W2328" s="71"/>
      <c r="X2328" s="194"/>
      <c r="Y2328" s="216"/>
      <c r="Z2328" s="73"/>
      <c r="AA2328" s="73"/>
      <c r="AB2328" s="73"/>
      <c r="AC2328" s="73"/>
      <c r="AD2328" s="73"/>
      <c r="AE2328" s="73"/>
      <c r="AF2328" s="73"/>
      <c r="AG2328" s="73"/>
      <c r="AH2328" s="73"/>
      <c r="AI2328" s="73"/>
      <c r="AJ2328" s="161"/>
      <c r="AK2328" s="236"/>
      <c r="AL2328" s="269"/>
      <c r="AM2328" s="161"/>
      <c r="AN2328" s="161"/>
      <c r="AO2328" s="161"/>
      <c r="AP2328" s="161"/>
      <c r="AQ2328" s="161"/>
      <c r="AR2328" s="161"/>
      <c r="AS2328" s="161"/>
      <c r="AT2328" s="161"/>
      <c r="AU2328" s="89"/>
      <c r="AV2328" s="162"/>
      <c r="AW2328" s="73"/>
    </row>
    <row r="2329" ht="15.75" customHeight="1">
      <c r="A2329" s="216"/>
      <c r="B2329" s="73"/>
      <c r="C2329" s="216"/>
      <c r="D2329" s="241"/>
      <c r="E2329" s="241"/>
      <c r="F2329" s="89"/>
      <c r="G2329" s="476"/>
      <c r="H2329" s="73"/>
      <c r="I2329" s="551"/>
      <c r="J2329" s="476"/>
      <c r="K2329" s="69"/>
      <c r="L2329" s="61"/>
      <c r="M2329" s="61"/>
      <c r="N2329" s="73"/>
      <c r="O2329" s="66"/>
      <c r="P2329" s="67"/>
      <c r="Q2329" s="67"/>
      <c r="R2329" s="67"/>
      <c r="S2329" s="67"/>
      <c r="T2329" s="161"/>
      <c r="U2329" s="69"/>
      <c r="V2329" s="73"/>
      <c r="W2329" s="71"/>
      <c r="X2329" s="194"/>
      <c r="Y2329" s="216"/>
      <c r="Z2329" s="73"/>
      <c r="AA2329" s="73"/>
      <c r="AB2329" s="73"/>
      <c r="AC2329" s="73"/>
      <c r="AD2329" s="73"/>
      <c r="AE2329" s="73"/>
      <c r="AF2329" s="73"/>
      <c r="AG2329" s="73"/>
      <c r="AH2329" s="73"/>
      <c r="AI2329" s="73"/>
      <c r="AJ2329" s="161"/>
      <c r="AK2329" s="236"/>
      <c r="AL2329" s="269"/>
      <c r="AM2329" s="161"/>
      <c r="AN2329" s="161"/>
      <c r="AO2329" s="161"/>
      <c r="AP2329" s="161"/>
      <c r="AQ2329" s="161"/>
      <c r="AR2329" s="161"/>
      <c r="AS2329" s="161"/>
      <c r="AT2329" s="161"/>
      <c r="AU2329" s="89"/>
      <c r="AV2329" s="162"/>
      <c r="AW2329" s="73"/>
    </row>
    <row r="2330" ht="15.75" customHeight="1">
      <c r="A2330" s="216"/>
      <c r="B2330" s="73"/>
      <c r="C2330" s="216"/>
      <c r="D2330" s="241"/>
      <c r="E2330" s="241"/>
      <c r="F2330" s="89"/>
      <c r="G2330" s="476"/>
      <c r="H2330" s="73"/>
      <c r="I2330" s="551"/>
      <c r="J2330" s="476"/>
      <c r="K2330" s="69"/>
      <c r="L2330" s="61"/>
      <c r="M2330" s="61"/>
      <c r="N2330" s="73"/>
      <c r="O2330" s="66"/>
      <c r="P2330" s="67"/>
      <c r="Q2330" s="67"/>
      <c r="R2330" s="67"/>
      <c r="S2330" s="67"/>
      <c r="T2330" s="161"/>
      <c r="U2330" s="69"/>
      <c r="V2330" s="73"/>
      <c r="W2330" s="71"/>
      <c r="X2330" s="194"/>
      <c r="Y2330" s="216"/>
      <c r="Z2330" s="73"/>
      <c r="AA2330" s="73"/>
      <c r="AB2330" s="73"/>
      <c r="AC2330" s="73"/>
      <c r="AD2330" s="73"/>
      <c r="AE2330" s="73"/>
      <c r="AF2330" s="73"/>
      <c r="AG2330" s="73"/>
      <c r="AH2330" s="73"/>
      <c r="AI2330" s="73"/>
      <c r="AJ2330" s="161"/>
      <c r="AK2330" s="236"/>
      <c r="AL2330" s="269"/>
      <c r="AM2330" s="161"/>
      <c r="AN2330" s="161"/>
      <c r="AO2330" s="161"/>
      <c r="AP2330" s="161"/>
      <c r="AQ2330" s="161"/>
      <c r="AR2330" s="161"/>
      <c r="AS2330" s="161"/>
      <c r="AT2330" s="161"/>
      <c r="AU2330" s="89"/>
      <c r="AV2330" s="162"/>
      <c r="AW2330" s="73"/>
    </row>
    <row r="2331" ht="15.75" customHeight="1">
      <c r="A2331" s="216"/>
      <c r="B2331" s="73"/>
      <c r="C2331" s="216"/>
      <c r="D2331" s="241"/>
      <c r="E2331" s="241"/>
      <c r="F2331" s="89"/>
      <c r="G2331" s="476"/>
      <c r="H2331" s="73"/>
      <c r="I2331" s="551"/>
      <c r="J2331" s="476"/>
      <c r="K2331" s="69"/>
      <c r="L2331" s="61"/>
      <c r="M2331" s="61"/>
      <c r="N2331" s="73"/>
      <c r="O2331" s="66"/>
      <c r="P2331" s="67"/>
      <c r="Q2331" s="67"/>
      <c r="R2331" s="67"/>
      <c r="S2331" s="67"/>
      <c r="T2331" s="161"/>
      <c r="U2331" s="69"/>
      <c r="V2331" s="73"/>
      <c r="W2331" s="71"/>
      <c r="X2331" s="194"/>
      <c r="Y2331" s="216"/>
      <c r="Z2331" s="73"/>
      <c r="AA2331" s="73"/>
      <c r="AB2331" s="73"/>
      <c r="AC2331" s="73"/>
      <c r="AD2331" s="73"/>
      <c r="AE2331" s="73"/>
      <c r="AF2331" s="73"/>
      <c r="AG2331" s="73"/>
      <c r="AH2331" s="73"/>
      <c r="AI2331" s="73"/>
      <c r="AJ2331" s="161"/>
      <c r="AK2331" s="236"/>
      <c r="AL2331" s="269"/>
      <c r="AM2331" s="161"/>
      <c r="AN2331" s="161"/>
      <c r="AO2331" s="161"/>
      <c r="AP2331" s="161"/>
      <c r="AQ2331" s="161"/>
      <c r="AR2331" s="161"/>
      <c r="AS2331" s="161"/>
      <c r="AT2331" s="161"/>
      <c r="AU2331" s="89"/>
      <c r="AV2331" s="162"/>
      <c r="AW2331" s="73"/>
    </row>
    <row r="2332" ht="15.75" customHeight="1">
      <c r="A2332" s="216"/>
      <c r="B2332" s="73"/>
      <c r="C2332" s="216"/>
      <c r="D2332" s="241"/>
      <c r="E2332" s="241"/>
      <c r="F2332" s="89"/>
      <c r="G2332" s="476"/>
      <c r="H2332" s="73"/>
      <c r="I2332" s="551"/>
      <c r="J2332" s="476"/>
      <c r="K2332" s="69"/>
      <c r="L2332" s="61"/>
      <c r="M2332" s="61"/>
      <c r="N2332" s="73"/>
      <c r="O2332" s="66"/>
      <c r="P2332" s="67"/>
      <c r="Q2332" s="67"/>
      <c r="R2332" s="67"/>
      <c r="S2332" s="67"/>
      <c r="T2332" s="161"/>
      <c r="U2332" s="69"/>
      <c r="V2332" s="73"/>
      <c r="W2332" s="71"/>
      <c r="X2332" s="194"/>
      <c r="Y2332" s="216"/>
      <c r="Z2332" s="73"/>
      <c r="AA2332" s="73"/>
      <c r="AB2332" s="73"/>
      <c r="AC2332" s="73"/>
      <c r="AD2332" s="73"/>
      <c r="AE2332" s="73"/>
      <c r="AF2332" s="73"/>
      <c r="AG2332" s="73"/>
      <c r="AH2332" s="73"/>
      <c r="AI2332" s="73"/>
      <c r="AJ2332" s="161"/>
      <c r="AK2332" s="236"/>
      <c r="AL2332" s="269"/>
      <c r="AM2332" s="161"/>
      <c r="AN2332" s="161"/>
      <c r="AO2332" s="161"/>
      <c r="AP2332" s="161"/>
      <c r="AQ2332" s="161"/>
      <c r="AR2332" s="161"/>
      <c r="AS2332" s="161"/>
      <c r="AT2332" s="161"/>
      <c r="AU2332" s="89"/>
      <c r="AV2332" s="162"/>
      <c r="AW2332" s="73"/>
    </row>
    <row r="2333" ht="15.75" customHeight="1">
      <c r="A2333" s="216"/>
      <c r="B2333" s="73"/>
      <c r="C2333" s="216"/>
      <c r="D2333" s="241"/>
      <c r="E2333" s="241"/>
      <c r="F2333" s="89"/>
      <c r="G2333" s="476"/>
      <c r="H2333" s="73"/>
      <c r="I2333" s="551"/>
      <c r="J2333" s="476"/>
      <c r="K2333" s="69"/>
      <c r="L2333" s="61"/>
      <c r="M2333" s="61"/>
      <c r="N2333" s="73"/>
      <c r="O2333" s="66"/>
      <c r="P2333" s="67"/>
      <c r="Q2333" s="67"/>
      <c r="R2333" s="67"/>
      <c r="S2333" s="67"/>
      <c r="T2333" s="161"/>
      <c r="U2333" s="69"/>
      <c r="V2333" s="73"/>
      <c r="W2333" s="71"/>
      <c r="X2333" s="194"/>
      <c r="Y2333" s="216"/>
      <c r="Z2333" s="73"/>
      <c r="AA2333" s="73"/>
      <c r="AB2333" s="73"/>
      <c r="AC2333" s="73"/>
      <c r="AD2333" s="73"/>
      <c r="AE2333" s="73"/>
      <c r="AF2333" s="73"/>
      <c r="AG2333" s="73"/>
      <c r="AH2333" s="73"/>
      <c r="AI2333" s="73"/>
      <c r="AJ2333" s="161"/>
      <c r="AK2333" s="236"/>
      <c r="AL2333" s="269"/>
      <c r="AM2333" s="161"/>
      <c r="AN2333" s="161"/>
      <c r="AO2333" s="161"/>
      <c r="AP2333" s="161"/>
      <c r="AQ2333" s="161"/>
      <c r="AR2333" s="161"/>
      <c r="AS2333" s="161"/>
      <c r="AT2333" s="161"/>
      <c r="AU2333" s="89"/>
      <c r="AV2333" s="162"/>
      <c r="AW2333" s="73"/>
    </row>
    <row r="2334" ht="15.75" customHeight="1">
      <c r="A2334" s="216"/>
      <c r="B2334" s="73"/>
      <c r="C2334" s="216"/>
      <c r="D2334" s="241"/>
      <c r="E2334" s="241"/>
      <c r="F2334" s="89"/>
      <c r="G2334" s="476"/>
      <c r="H2334" s="73"/>
      <c r="I2334" s="551"/>
      <c r="J2334" s="476"/>
      <c r="K2334" s="69"/>
      <c r="L2334" s="61"/>
      <c r="M2334" s="61"/>
      <c r="N2334" s="73"/>
      <c r="O2334" s="66"/>
      <c r="P2334" s="67"/>
      <c r="Q2334" s="67"/>
      <c r="R2334" s="67"/>
      <c r="S2334" s="67"/>
      <c r="T2334" s="161"/>
      <c r="U2334" s="69"/>
      <c r="V2334" s="73"/>
      <c r="W2334" s="71"/>
      <c r="X2334" s="194"/>
      <c r="Y2334" s="216"/>
      <c r="Z2334" s="73"/>
      <c r="AA2334" s="73"/>
      <c r="AB2334" s="73"/>
      <c r="AC2334" s="73"/>
      <c r="AD2334" s="73"/>
      <c r="AE2334" s="73"/>
      <c r="AF2334" s="73"/>
      <c r="AG2334" s="73"/>
      <c r="AH2334" s="73"/>
      <c r="AI2334" s="73"/>
      <c r="AJ2334" s="161"/>
      <c r="AK2334" s="236"/>
      <c r="AL2334" s="269"/>
      <c r="AM2334" s="161"/>
      <c r="AN2334" s="161"/>
      <c r="AO2334" s="161"/>
      <c r="AP2334" s="161"/>
      <c r="AQ2334" s="161"/>
      <c r="AR2334" s="161"/>
      <c r="AS2334" s="161"/>
      <c r="AT2334" s="161"/>
      <c r="AU2334" s="89"/>
      <c r="AV2334" s="162"/>
      <c r="AW2334" s="73"/>
    </row>
    <row r="2335" ht="15.75" customHeight="1">
      <c r="A2335" s="216"/>
      <c r="B2335" s="73"/>
      <c r="C2335" s="216"/>
      <c r="D2335" s="241"/>
      <c r="E2335" s="241"/>
      <c r="F2335" s="89"/>
      <c r="G2335" s="476"/>
      <c r="H2335" s="73"/>
      <c r="I2335" s="551"/>
      <c r="J2335" s="476"/>
      <c r="K2335" s="69"/>
      <c r="L2335" s="61"/>
      <c r="M2335" s="61"/>
      <c r="N2335" s="73"/>
      <c r="O2335" s="66"/>
      <c r="P2335" s="67"/>
      <c r="Q2335" s="67"/>
      <c r="R2335" s="67"/>
      <c r="S2335" s="67"/>
      <c r="T2335" s="161"/>
      <c r="U2335" s="69"/>
      <c r="V2335" s="73"/>
      <c r="W2335" s="71"/>
      <c r="X2335" s="194"/>
      <c r="Y2335" s="216"/>
      <c r="Z2335" s="73"/>
      <c r="AA2335" s="73"/>
      <c r="AB2335" s="73"/>
      <c r="AC2335" s="73"/>
      <c r="AD2335" s="73"/>
      <c r="AE2335" s="73"/>
      <c r="AF2335" s="73"/>
      <c r="AG2335" s="73"/>
      <c r="AH2335" s="73"/>
      <c r="AI2335" s="73"/>
      <c r="AJ2335" s="161"/>
      <c r="AK2335" s="236"/>
      <c r="AL2335" s="269"/>
      <c r="AM2335" s="161"/>
      <c r="AN2335" s="161"/>
      <c r="AO2335" s="161"/>
      <c r="AP2335" s="161"/>
      <c r="AQ2335" s="161"/>
      <c r="AR2335" s="161"/>
      <c r="AS2335" s="161"/>
      <c r="AT2335" s="161"/>
      <c r="AU2335" s="89"/>
      <c r="AV2335" s="162"/>
      <c r="AW2335" s="73"/>
    </row>
    <row r="2336" ht="15.75" customHeight="1">
      <c r="A2336" s="216"/>
      <c r="B2336" s="73"/>
      <c r="C2336" s="216"/>
      <c r="D2336" s="241"/>
      <c r="E2336" s="241"/>
      <c r="F2336" s="89"/>
      <c r="G2336" s="476"/>
      <c r="H2336" s="73"/>
      <c r="I2336" s="551"/>
      <c r="J2336" s="476"/>
      <c r="K2336" s="69"/>
      <c r="L2336" s="61"/>
      <c r="M2336" s="61"/>
      <c r="N2336" s="73"/>
      <c r="O2336" s="66"/>
      <c r="P2336" s="67"/>
      <c r="Q2336" s="67"/>
      <c r="R2336" s="67"/>
      <c r="S2336" s="67"/>
      <c r="T2336" s="161"/>
      <c r="U2336" s="69"/>
      <c r="V2336" s="73"/>
      <c r="W2336" s="71"/>
      <c r="X2336" s="194"/>
      <c r="Y2336" s="216"/>
      <c r="Z2336" s="73"/>
      <c r="AA2336" s="73"/>
      <c r="AB2336" s="73"/>
      <c r="AC2336" s="73"/>
      <c r="AD2336" s="73"/>
      <c r="AE2336" s="73"/>
      <c r="AF2336" s="73"/>
      <c r="AG2336" s="73"/>
      <c r="AH2336" s="73"/>
      <c r="AI2336" s="73"/>
      <c r="AJ2336" s="161"/>
      <c r="AK2336" s="236"/>
      <c r="AL2336" s="269"/>
      <c r="AM2336" s="161"/>
      <c r="AN2336" s="161"/>
      <c r="AO2336" s="161"/>
      <c r="AP2336" s="161"/>
      <c r="AQ2336" s="161"/>
      <c r="AR2336" s="161"/>
      <c r="AS2336" s="161"/>
      <c r="AT2336" s="161"/>
      <c r="AU2336" s="89"/>
      <c r="AV2336" s="162"/>
      <c r="AW2336" s="73"/>
    </row>
    <row r="2337" ht="15.75" customHeight="1">
      <c r="A2337" s="216"/>
      <c r="B2337" s="73"/>
      <c r="C2337" s="216"/>
      <c r="D2337" s="241"/>
      <c r="E2337" s="241"/>
      <c r="F2337" s="89"/>
      <c r="G2337" s="476"/>
      <c r="H2337" s="73"/>
      <c r="I2337" s="551"/>
      <c r="J2337" s="476"/>
      <c r="K2337" s="69"/>
      <c r="L2337" s="61"/>
      <c r="M2337" s="61"/>
      <c r="N2337" s="73"/>
      <c r="O2337" s="66"/>
      <c r="P2337" s="67"/>
      <c r="Q2337" s="67"/>
      <c r="R2337" s="67"/>
      <c r="S2337" s="67"/>
      <c r="T2337" s="161"/>
      <c r="U2337" s="69"/>
      <c r="V2337" s="73"/>
      <c r="W2337" s="71"/>
      <c r="X2337" s="194"/>
      <c r="Y2337" s="216"/>
      <c r="Z2337" s="73"/>
      <c r="AA2337" s="73"/>
      <c r="AB2337" s="73"/>
      <c r="AC2337" s="73"/>
      <c r="AD2337" s="73"/>
      <c r="AE2337" s="73"/>
      <c r="AF2337" s="73"/>
      <c r="AG2337" s="73"/>
      <c r="AH2337" s="73"/>
      <c r="AI2337" s="73"/>
      <c r="AJ2337" s="161"/>
      <c r="AK2337" s="236"/>
      <c r="AL2337" s="269"/>
      <c r="AM2337" s="161"/>
      <c r="AN2337" s="161"/>
      <c r="AO2337" s="161"/>
      <c r="AP2337" s="161"/>
      <c r="AQ2337" s="161"/>
      <c r="AR2337" s="161"/>
      <c r="AS2337" s="161"/>
      <c r="AT2337" s="161"/>
      <c r="AU2337" s="89"/>
      <c r="AV2337" s="162"/>
      <c r="AW2337" s="73"/>
    </row>
    <row r="2338" ht="15.75" customHeight="1">
      <c r="A2338" s="216"/>
      <c r="B2338" s="73"/>
      <c r="C2338" s="216"/>
      <c r="D2338" s="241"/>
      <c r="E2338" s="241"/>
      <c r="F2338" s="89"/>
      <c r="G2338" s="476"/>
      <c r="H2338" s="73"/>
      <c r="I2338" s="551"/>
      <c r="J2338" s="476"/>
      <c r="K2338" s="69"/>
      <c r="L2338" s="61"/>
      <c r="M2338" s="61"/>
      <c r="N2338" s="73"/>
      <c r="O2338" s="66"/>
      <c r="P2338" s="67"/>
      <c r="Q2338" s="67"/>
      <c r="R2338" s="67"/>
      <c r="S2338" s="67"/>
      <c r="T2338" s="161"/>
      <c r="U2338" s="69"/>
      <c r="V2338" s="73"/>
      <c r="W2338" s="71"/>
      <c r="X2338" s="194"/>
      <c r="Y2338" s="216"/>
      <c r="Z2338" s="73"/>
      <c r="AA2338" s="73"/>
      <c r="AB2338" s="73"/>
      <c r="AC2338" s="73"/>
      <c r="AD2338" s="73"/>
      <c r="AE2338" s="73"/>
      <c r="AF2338" s="73"/>
      <c r="AG2338" s="73"/>
      <c r="AH2338" s="73"/>
      <c r="AI2338" s="73"/>
      <c r="AJ2338" s="161"/>
      <c r="AK2338" s="236"/>
      <c r="AL2338" s="269"/>
      <c r="AM2338" s="161"/>
      <c r="AN2338" s="161"/>
      <c r="AO2338" s="161"/>
      <c r="AP2338" s="161"/>
      <c r="AQ2338" s="161"/>
      <c r="AR2338" s="161"/>
      <c r="AS2338" s="161"/>
      <c r="AT2338" s="161"/>
      <c r="AU2338" s="89"/>
      <c r="AV2338" s="162"/>
      <c r="AW2338" s="73"/>
    </row>
    <row r="2339" ht="15.75" customHeight="1">
      <c r="A2339" s="216"/>
      <c r="B2339" s="73"/>
      <c r="C2339" s="216"/>
      <c r="D2339" s="241"/>
      <c r="E2339" s="241"/>
      <c r="F2339" s="89"/>
      <c r="G2339" s="476"/>
      <c r="H2339" s="73"/>
      <c r="I2339" s="551"/>
      <c r="J2339" s="476"/>
      <c r="K2339" s="69"/>
      <c r="L2339" s="61"/>
      <c r="M2339" s="61"/>
      <c r="N2339" s="73"/>
      <c r="O2339" s="66"/>
      <c r="P2339" s="67"/>
      <c r="Q2339" s="67"/>
      <c r="R2339" s="67"/>
      <c r="S2339" s="67"/>
      <c r="T2339" s="161"/>
      <c r="U2339" s="69"/>
      <c r="V2339" s="73"/>
      <c r="W2339" s="71"/>
      <c r="X2339" s="194"/>
      <c r="Y2339" s="216"/>
      <c r="Z2339" s="73"/>
      <c r="AA2339" s="73"/>
      <c r="AB2339" s="73"/>
      <c r="AC2339" s="73"/>
      <c r="AD2339" s="73"/>
      <c r="AE2339" s="73"/>
      <c r="AF2339" s="73"/>
      <c r="AG2339" s="73"/>
      <c r="AH2339" s="73"/>
      <c r="AI2339" s="73"/>
      <c r="AJ2339" s="161"/>
      <c r="AK2339" s="236"/>
      <c r="AL2339" s="269"/>
      <c r="AM2339" s="161"/>
      <c r="AN2339" s="161"/>
      <c r="AO2339" s="161"/>
      <c r="AP2339" s="161"/>
      <c r="AQ2339" s="161"/>
      <c r="AR2339" s="161"/>
      <c r="AS2339" s="161"/>
      <c r="AT2339" s="161"/>
      <c r="AU2339" s="89"/>
      <c r="AV2339" s="162"/>
      <c r="AW2339" s="73"/>
    </row>
    <row r="2340" ht="15.75" customHeight="1">
      <c r="A2340" s="216"/>
      <c r="B2340" s="73"/>
      <c r="C2340" s="216"/>
      <c r="D2340" s="241"/>
      <c r="E2340" s="241"/>
      <c r="F2340" s="89"/>
      <c r="G2340" s="476"/>
      <c r="H2340" s="73"/>
      <c r="I2340" s="551"/>
      <c r="J2340" s="476"/>
      <c r="K2340" s="69"/>
      <c r="L2340" s="61"/>
      <c r="M2340" s="61"/>
      <c r="N2340" s="73"/>
      <c r="O2340" s="66"/>
      <c r="P2340" s="67"/>
      <c r="Q2340" s="67"/>
      <c r="R2340" s="67"/>
      <c r="S2340" s="67"/>
      <c r="T2340" s="161"/>
      <c r="U2340" s="69"/>
      <c r="V2340" s="73"/>
      <c r="W2340" s="71"/>
      <c r="X2340" s="194"/>
      <c r="Y2340" s="216"/>
      <c r="Z2340" s="73"/>
      <c r="AA2340" s="73"/>
      <c r="AB2340" s="73"/>
      <c r="AC2340" s="73"/>
      <c r="AD2340" s="73"/>
      <c r="AE2340" s="73"/>
      <c r="AF2340" s="73"/>
      <c r="AG2340" s="73"/>
      <c r="AH2340" s="73"/>
      <c r="AI2340" s="73"/>
      <c r="AJ2340" s="161"/>
      <c r="AK2340" s="236"/>
      <c r="AL2340" s="269"/>
      <c r="AM2340" s="161"/>
      <c r="AN2340" s="161"/>
      <c r="AO2340" s="161"/>
      <c r="AP2340" s="161"/>
      <c r="AQ2340" s="161"/>
      <c r="AR2340" s="161"/>
      <c r="AS2340" s="161"/>
      <c r="AT2340" s="161"/>
      <c r="AU2340" s="89"/>
      <c r="AV2340" s="162"/>
      <c r="AW2340" s="73"/>
    </row>
    <row r="2341" ht="15.75" customHeight="1">
      <c r="A2341" s="216"/>
      <c r="B2341" s="73"/>
      <c r="C2341" s="216"/>
      <c r="D2341" s="241"/>
      <c r="E2341" s="241"/>
      <c r="F2341" s="89"/>
      <c r="G2341" s="476"/>
      <c r="H2341" s="73"/>
      <c r="I2341" s="551"/>
      <c r="J2341" s="476"/>
      <c r="K2341" s="69"/>
      <c r="L2341" s="61"/>
      <c r="M2341" s="61"/>
      <c r="N2341" s="73"/>
      <c r="O2341" s="66"/>
      <c r="P2341" s="67"/>
      <c r="Q2341" s="67"/>
      <c r="R2341" s="67"/>
      <c r="S2341" s="67"/>
      <c r="T2341" s="161"/>
      <c r="U2341" s="69"/>
      <c r="V2341" s="73"/>
      <c r="W2341" s="71"/>
      <c r="X2341" s="194"/>
      <c r="Y2341" s="216"/>
      <c r="Z2341" s="73"/>
      <c r="AA2341" s="73"/>
      <c r="AB2341" s="73"/>
      <c r="AC2341" s="73"/>
      <c r="AD2341" s="73"/>
      <c r="AE2341" s="73"/>
      <c r="AF2341" s="73"/>
      <c r="AG2341" s="73"/>
      <c r="AH2341" s="73"/>
      <c r="AI2341" s="73"/>
      <c r="AJ2341" s="161"/>
      <c r="AK2341" s="236"/>
      <c r="AL2341" s="269"/>
      <c r="AM2341" s="161"/>
      <c r="AN2341" s="161"/>
      <c r="AO2341" s="161"/>
      <c r="AP2341" s="161"/>
      <c r="AQ2341" s="161"/>
      <c r="AR2341" s="161"/>
      <c r="AS2341" s="161"/>
      <c r="AT2341" s="161"/>
      <c r="AU2341" s="89"/>
      <c r="AV2341" s="162"/>
      <c r="AW2341" s="73"/>
    </row>
    <row r="2342" ht="15.75" customHeight="1">
      <c r="A2342" s="216"/>
      <c r="B2342" s="73"/>
      <c r="C2342" s="216"/>
      <c r="D2342" s="241"/>
      <c r="E2342" s="241"/>
      <c r="F2342" s="89"/>
      <c r="G2342" s="476"/>
      <c r="H2342" s="73"/>
      <c r="I2342" s="551"/>
      <c r="J2342" s="476"/>
      <c r="K2342" s="69"/>
      <c r="L2342" s="61"/>
      <c r="M2342" s="61"/>
      <c r="N2342" s="73"/>
      <c r="O2342" s="66"/>
      <c r="P2342" s="67"/>
      <c r="Q2342" s="67"/>
      <c r="R2342" s="67"/>
      <c r="S2342" s="67"/>
      <c r="T2342" s="161"/>
      <c r="U2342" s="69"/>
      <c r="V2342" s="73"/>
      <c r="W2342" s="71"/>
      <c r="X2342" s="194"/>
      <c r="Y2342" s="216"/>
      <c r="Z2342" s="73"/>
      <c r="AA2342" s="73"/>
      <c r="AB2342" s="73"/>
      <c r="AC2342" s="73"/>
      <c r="AD2342" s="73"/>
      <c r="AE2342" s="73"/>
      <c r="AF2342" s="73"/>
      <c r="AG2342" s="73"/>
      <c r="AH2342" s="73"/>
      <c r="AI2342" s="73"/>
      <c r="AJ2342" s="161"/>
      <c r="AK2342" s="236"/>
      <c r="AL2342" s="269"/>
      <c r="AM2342" s="161"/>
      <c r="AN2342" s="161"/>
      <c r="AO2342" s="161"/>
      <c r="AP2342" s="161"/>
      <c r="AQ2342" s="161"/>
      <c r="AR2342" s="161"/>
      <c r="AS2342" s="161"/>
      <c r="AT2342" s="161"/>
      <c r="AU2342" s="89"/>
      <c r="AV2342" s="162"/>
      <c r="AW2342" s="73"/>
    </row>
    <row r="2343" ht="15.75" customHeight="1">
      <c r="A2343" s="216"/>
      <c r="B2343" s="73"/>
      <c r="C2343" s="216"/>
      <c r="D2343" s="241"/>
      <c r="E2343" s="241"/>
      <c r="F2343" s="89"/>
      <c r="G2343" s="476"/>
      <c r="H2343" s="73"/>
      <c r="I2343" s="551"/>
      <c r="J2343" s="476"/>
      <c r="K2343" s="69"/>
      <c r="L2343" s="61"/>
      <c r="M2343" s="61"/>
      <c r="N2343" s="73"/>
      <c r="O2343" s="66"/>
      <c r="P2343" s="67"/>
      <c r="Q2343" s="67"/>
      <c r="R2343" s="67"/>
      <c r="S2343" s="67"/>
      <c r="T2343" s="161"/>
      <c r="U2343" s="69"/>
      <c r="V2343" s="73"/>
      <c r="W2343" s="71"/>
      <c r="X2343" s="194"/>
      <c r="Y2343" s="216"/>
      <c r="Z2343" s="73"/>
      <c r="AA2343" s="73"/>
      <c r="AB2343" s="73"/>
      <c r="AC2343" s="73"/>
      <c r="AD2343" s="73"/>
      <c r="AE2343" s="73"/>
      <c r="AF2343" s="73"/>
      <c r="AG2343" s="73"/>
      <c r="AH2343" s="73"/>
      <c r="AI2343" s="73"/>
      <c r="AJ2343" s="161"/>
      <c r="AK2343" s="236"/>
      <c r="AL2343" s="269"/>
      <c r="AM2343" s="161"/>
      <c r="AN2343" s="161"/>
      <c r="AO2343" s="161"/>
      <c r="AP2343" s="161"/>
      <c r="AQ2343" s="161"/>
      <c r="AR2343" s="161"/>
      <c r="AS2343" s="161"/>
      <c r="AT2343" s="161"/>
      <c r="AU2343" s="89"/>
      <c r="AV2343" s="162"/>
      <c r="AW2343" s="73"/>
    </row>
    <row r="2344" ht="15.75" customHeight="1">
      <c r="A2344" s="216"/>
      <c r="B2344" s="73"/>
      <c r="C2344" s="216"/>
      <c r="D2344" s="241"/>
      <c r="E2344" s="241"/>
      <c r="F2344" s="89"/>
      <c r="G2344" s="476"/>
      <c r="H2344" s="73"/>
      <c r="I2344" s="551"/>
      <c r="J2344" s="476"/>
      <c r="K2344" s="69"/>
      <c r="L2344" s="61"/>
      <c r="M2344" s="61"/>
      <c r="N2344" s="73"/>
      <c r="O2344" s="66"/>
      <c r="P2344" s="67"/>
      <c r="Q2344" s="67"/>
      <c r="R2344" s="67"/>
      <c r="S2344" s="67"/>
      <c r="T2344" s="161"/>
      <c r="U2344" s="69"/>
      <c r="V2344" s="73"/>
      <c r="W2344" s="71"/>
      <c r="X2344" s="194"/>
      <c r="Y2344" s="216"/>
      <c r="Z2344" s="73"/>
      <c r="AA2344" s="73"/>
      <c r="AB2344" s="73"/>
      <c r="AC2344" s="73"/>
      <c r="AD2344" s="73"/>
      <c r="AE2344" s="73"/>
      <c r="AF2344" s="73"/>
      <c r="AG2344" s="73"/>
      <c r="AH2344" s="73"/>
      <c r="AI2344" s="73"/>
      <c r="AJ2344" s="161"/>
      <c r="AK2344" s="236"/>
      <c r="AL2344" s="269"/>
      <c r="AM2344" s="161"/>
      <c r="AN2344" s="161"/>
      <c r="AO2344" s="161"/>
      <c r="AP2344" s="161"/>
      <c r="AQ2344" s="161"/>
      <c r="AR2344" s="161"/>
      <c r="AS2344" s="161"/>
      <c r="AT2344" s="161"/>
      <c r="AU2344" s="89"/>
      <c r="AV2344" s="162"/>
      <c r="AW2344" s="73"/>
    </row>
    <row r="2345" ht="15.75" customHeight="1">
      <c r="A2345" s="216"/>
      <c r="B2345" s="73"/>
      <c r="C2345" s="216"/>
      <c r="D2345" s="241"/>
      <c r="E2345" s="241"/>
      <c r="F2345" s="89"/>
      <c r="G2345" s="476"/>
      <c r="H2345" s="73"/>
      <c r="I2345" s="551"/>
      <c r="J2345" s="476"/>
      <c r="K2345" s="69"/>
      <c r="L2345" s="61"/>
      <c r="M2345" s="61"/>
      <c r="N2345" s="73"/>
      <c r="O2345" s="66"/>
      <c r="P2345" s="67"/>
      <c r="Q2345" s="67"/>
      <c r="R2345" s="67"/>
      <c r="S2345" s="67"/>
      <c r="T2345" s="161"/>
      <c r="U2345" s="69"/>
      <c r="V2345" s="73"/>
      <c r="W2345" s="71"/>
      <c r="X2345" s="194"/>
      <c r="Y2345" s="216"/>
      <c r="Z2345" s="73"/>
      <c r="AA2345" s="73"/>
      <c r="AB2345" s="73"/>
      <c r="AC2345" s="73"/>
      <c r="AD2345" s="73"/>
      <c r="AE2345" s="73"/>
      <c r="AF2345" s="73"/>
      <c r="AG2345" s="73"/>
      <c r="AH2345" s="73"/>
      <c r="AI2345" s="73"/>
      <c r="AJ2345" s="161"/>
      <c r="AK2345" s="236"/>
      <c r="AL2345" s="269"/>
      <c r="AM2345" s="161"/>
      <c r="AN2345" s="161"/>
      <c r="AO2345" s="161"/>
      <c r="AP2345" s="161"/>
      <c r="AQ2345" s="161"/>
      <c r="AR2345" s="161"/>
      <c r="AS2345" s="161"/>
      <c r="AT2345" s="161"/>
      <c r="AU2345" s="89"/>
      <c r="AV2345" s="162"/>
      <c r="AW2345" s="73"/>
    </row>
    <row r="2346" ht="15.75" customHeight="1">
      <c r="A2346" s="216"/>
      <c r="B2346" s="73"/>
      <c r="C2346" s="216"/>
      <c r="D2346" s="241"/>
      <c r="E2346" s="241"/>
      <c r="F2346" s="89"/>
      <c r="G2346" s="476"/>
      <c r="H2346" s="73"/>
      <c r="I2346" s="551"/>
      <c r="J2346" s="476"/>
      <c r="K2346" s="69"/>
      <c r="L2346" s="61"/>
      <c r="M2346" s="61"/>
      <c r="N2346" s="73"/>
      <c r="O2346" s="66"/>
      <c r="P2346" s="67"/>
      <c r="Q2346" s="67"/>
      <c r="R2346" s="67"/>
      <c r="S2346" s="67"/>
      <c r="T2346" s="161"/>
      <c r="U2346" s="69"/>
      <c r="V2346" s="73"/>
      <c r="W2346" s="71"/>
      <c r="X2346" s="194"/>
      <c r="Y2346" s="216"/>
      <c r="Z2346" s="73"/>
      <c r="AA2346" s="73"/>
      <c r="AB2346" s="73"/>
      <c r="AC2346" s="73"/>
      <c r="AD2346" s="73"/>
      <c r="AE2346" s="73"/>
      <c r="AF2346" s="73"/>
      <c r="AG2346" s="73"/>
      <c r="AH2346" s="73"/>
      <c r="AI2346" s="73"/>
      <c r="AJ2346" s="161"/>
      <c r="AK2346" s="236"/>
      <c r="AL2346" s="269"/>
      <c r="AM2346" s="161"/>
      <c r="AN2346" s="161"/>
      <c r="AO2346" s="161"/>
      <c r="AP2346" s="161"/>
      <c r="AQ2346" s="161"/>
      <c r="AR2346" s="161"/>
      <c r="AS2346" s="161"/>
      <c r="AT2346" s="161"/>
      <c r="AU2346" s="89"/>
      <c r="AV2346" s="162"/>
      <c r="AW2346" s="73"/>
    </row>
    <row r="2347" ht="15.75" customHeight="1">
      <c r="A2347" s="216"/>
      <c r="B2347" s="73"/>
      <c r="C2347" s="216"/>
      <c r="D2347" s="241"/>
      <c r="E2347" s="241"/>
      <c r="F2347" s="89"/>
      <c r="G2347" s="476"/>
      <c r="H2347" s="73"/>
      <c r="I2347" s="551"/>
      <c r="J2347" s="476"/>
      <c r="K2347" s="69"/>
      <c r="L2347" s="61"/>
      <c r="M2347" s="61"/>
      <c r="N2347" s="73"/>
      <c r="O2347" s="66"/>
      <c r="P2347" s="67"/>
      <c r="Q2347" s="67"/>
      <c r="R2347" s="67"/>
      <c r="S2347" s="67"/>
      <c r="T2347" s="161"/>
      <c r="U2347" s="69"/>
      <c r="V2347" s="73"/>
      <c r="W2347" s="71"/>
      <c r="X2347" s="194"/>
      <c r="Y2347" s="216"/>
      <c r="Z2347" s="73"/>
      <c r="AA2347" s="73"/>
      <c r="AB2347" s="73"/>
      <c r="AC2347" s="73"/>
      <c r="AD2347" s="73"/>
      <c r="AE2347" s="73"/>
      <c r="AF2347" s="73"/>
      <c r="AG2347" s="73"/>
      <c r="AH2347" s="73"/>
      <c r="AI2347" s="73"/>
      <c r="AJ2347" s="161"/>
      <c r="AK2347" s="236"/>
      <c r="AL2347" s="269"/>
      <c r="AM2347" s="161"/>
      <c r="AN2347" s="161"/>
      <c r="AO2347" s="161"/>
      <c r="AP2347" s="161"/>
      <c r="AQ2347" s="161"/>
      <c r="AR2347" s="161"/>
      <c r="AS2347" s="161"/>
      <c r="AT2347" s="161"/>
      <c r="AU2347" s="89"/>
      <c r="AV2347" s="162"/>
      <c r="AW2347" s="73"/>
    </row>
    <row r="2348" ht="15.75" customHeight="1">
      <c r="A2348" s="216"/>
      <c r="B2348" s="73"/>
      <c r="C2348" s="216"/>
      <c r="D2348" s="241"/>
      <c r="E2348" s="241"/>
      <c r="F2348" s="89"/>
      <c r="G2348" s="476"/>
      <c r="H2348" s="73"/>
      <c r="I2348" s="551"/>
      <c r="J2348" s="476"/>
      <c r="K2348" s="69"/>
      <c r="L2348" s="61"/>
      <c r="M2348" s="61"/>
      <c r="N2348" s="73"/>
      <c r="O2348" s="66"/>
      <c r="P2348" s="67"/>
      <c r="Q2348" s="67"/>
      <c r="R2348" s="67"/>
      <c r="S2348" s="67"/>
      <c r="T2348" s="161"/>
      <c r="U2348" s="69"/>
      <c r="V2348" s="73"/>
      <c r="W2348" s="71"/>
      <c r="X2348" s="194"/>
      <c r="Y2348" s="216"/>
      <c r="Z2348" s="73"/>
      <c r="AA2348" s="73"/>
      <c r="AB2348" s="73"/>
      <c r="AC2348" s="73"/>
      <c r="AD2348" s="73"/>
      <c r="AE2348" s="73"/>
      <c r="AF2348" s="73"/>
      <c r="AG2348" s="73"/>
      <c r="AH2348" s="73"/>
      <c r="AI2348" s="73"/>
      <c r="AJ2348" s="161"/>
      <c r="AK2348" s="236"/>
      <c r="AL2348" s="269"/>
      <c r="AM2348" s="161"/>
      <c r="AN2348" s="161"/>
      <c r="AO2348" s="161"/>
      <c r="AP2348" s="161"/>
      <c r="AQ2348" s="161"/>
      <c r="AR2348" s="161"/>
      <c r="AS2348" s="161"/>
      <c r="AT2348" s="161"/>
      <c r="AU2348" s="89"/>
      <c r="AV2348" s="162"/>
      <c r="AW2348" s="73"/>
    </row>
    <row r="2349" ht="15.75" customHeight="1">
      <c r="A2349" s="216"/>
      <c r="B2349" s="73"/>
      <c r="C2349" s="216"/>
      <c r="D2349" s="241"/>
      <c r="E2349" s="241"/>
      <c r="F2349" s="89"/>
      <c r="G2349" s="476"/>
      <c r="H2349" s="73"/>
      <c r="I2349" s="551"/>
      <c r="J2349" s="476"/>
      <c r="K2349" s="69"/>
      <c r="L2349" s="61"/>
      <c r="M2349" s="61"/>
      <c r="N2349" s="73"/>
      <c r="O2349" s="66"/>
      <c r="P2349" s="67"/>
      <c r="Q2349" s="67"/>
      <c r="R2349" s="67"/>
      <c r="S2349" s="67"/>
      <c r="T2349" s="161"/>
      <c r="U2349" s="69"/>
      <c r="V2349" s="73"/>
      <c r="W2349" s="71"/>
      <c r="X2349" s="194"/>
      <c r="Y2349" s="216"/>
      <c r="Z2349" s="73"/>
      <c r="AA2349" s="73"/>
      <c r="AB2349" s="73"/>
      <c r="AC2349" s="73"/>
      <c r="AD2349" s="73"/>
      <c r="AE2349" s="73"/>
      <c r="AF2349" s="73"/>
      <c r="AG2349" s="73"/>
      <c r="AH2349" s="73"/>
      <c r="AI2349" s="73"/>
      <c r="AJ2349" s="161"/>
      <c r="AK2349" s="236"/>
      <c r="AL2349" s="269"/>
      <c r="AM2349" s="161"/>
      <c r="AN2349" s="161"/>
      <c r="AO2349" s="161"/>
      <c r="AP2349" s="161"/>
      <c r="AQ2349" s="161"/>
      <c r="AR2349" s="161"/>
      <c r="AS2349" s="161"/>
      <c r="AT2349" s="161"/>
      <c r="AU2349" s="89"/>
      <c r="AV2349" s="162"/>
      <c r="AW2349" s="73"/>
    </row>
    <row r="2350" ht="15.75" customHeight="1">
      <c r="A2350" s="216"/>
      <c r="B2350" s="73"/>
      <c r="C2350" s="216"/>
      <c r="D2350" s="241"/>
      <c r="E2350" s="241"/>
      <c r="F2350" s="89"/>
      <c r="G2350" s="476"/>
      <c r="H2350" s="73"/>
      <c r="I2350" s="551"/>
      <c r="J2350" s="476"/>
      <c r="K2350" s="69"/>
      <c r="L2350" s="61"/>
      <c r="M2350" s="61"/>
      <c r="N2350" s="73"/>
      <c r="O2350" s="66"/>
      <c r="P2350" s="67"/>
      <c r="Q2350" s="67"/>
      <c r="R2350" s="67"/>
      <c r="S2350" s="67"/>
      <c r="T2350" s="161"/>
      <c r="U2350" s="69"/>
      <c r="V2350" s="73"/>
      <c r="W2350" s="71"/>
      <c r="X2350" s="194"/>
      <c r="Y2350" s="216"/>
      <c r="Z2350" s="73"/>
      <c r="AA2350" s="73"/>
      <c r="AB2350" s="73"/>
      <c r="AC2350" s="73"/>
      <c r="AD2350" s="73"/>
      <c r="AE2350" s="73"/>
      <c r="AF2350" s="73"/>
      <c r="AG2350" s="73"/>
      <c r="AH2350" s="73"/>
      <c r="AI2350" s="73"/>
      <c r="AJ2350" s="161"/>
      <c r="AK2350" s="236"/>
      <c r="AL2350" s="269"/>
      <c r="AM2350" s="161"/>
      <c r="AN2350" s="161"/>
      <c r="AO2350" s="161"/>
      <c r="AP2350" s="161"/>
      <c r="AQ2350" s="161"/>
      <c r="AR2350" s="161"/>
      <c r="AS2350" s="161"/>
      <c r="AT2350" s="161"/>
      <c r="AU2350" s="89"/>
      <c r="AV2350" s="162"/>
      <c r="AW2350" s="73"/>
    </row>
    <row r="2351" ht="15.75" customHeight="1">
      <c r="A2351" s="216"/>
      <c r="B2351" s="73"/>
      <c r="C2351" s="216"/>
      <c r="D2351" s="241"/>
      <c r="E2351" s="241"/>
      <c r="F2351" s="89"/>
      <c r="G2351" s="476"/>
      <c r="H2351" s="73"/>
      <c r="I2351" s="551"/>
      <c r="J2351" s="476"/>
      <c r="K2351" s="69"/>
      <c r="L2351" s="61"/>
      <c r="M2351" s="61"/>
      <c r="N2351" s="73"/>
      <c r="O2351" s="66"/>
      <c r="P2351" s="67"/>
      <c r="Q2351" s="67"/>
      <c r="R2351" s="67"/>
      <c r="S2351" s="67"/>
      <c r="T2351" s="161"/>
      <c r="U2351" s="69"/>
      <c r="V2351" s="73"/>
      <c r="W2351" s="71"/>
      <c r="X2351" s="194"/>
      <c r="Y2351" s="216"/>
      <c r="Z2351" s="73"/>
      <c r="AA2351" s="73"/>
      <c r="AB2351" s="73"/>
      <c r="AC2351" s="73"/>
      <c r="AD2351" s="73"/>
      <c r="AE2351" s="73"/>
      <c r="AF2351" s="73"/>
      <c r="AG2351" s="73"/>
      <c r="AH2351" s="73"/>
      <c r="AI2351" s="73"/>
      <c r="AJ2351" s="161"/>
      <c r="AK2351" s="236"/>
      <c r="AL2351" s="269"/>
      <c r="AM2351" s="161"/>
      <c r="AN2351" s="161"/>
      <c r="AO2351" s="161"/>
      <c r="AP2351" s="161"/>
      <c r="AQ2351" s="161"/>
      <c r="AR2351" s="161"/>
      <c r="AS2351" s="161"/>
      <c r="AT2351" s="161"/>
      <c r="AU2351" s="89"/>
      <c r="AV2351" s="162"/>
      <c r="AW2351" s="73"/>
    </row>
    <row r="2352" ht="15.75" customHeight="1">
      <c r="A2352" s="216"/>
      <c r="B2352" s="73"/>
      <c r="C2352" s="216"/>
      <c r="D2352" s="241"/>
      <c r="E2352" s="241"/>
      <c r="F2352" s="89"/>
      <c r="G2352" s="476"/>
      <c r="H2352" s="73"/>
      <c r="I2352" s="551"/>
      <c r="J2352" s="476"/>
      <c r="K2352" s="69"/>
      <c r="L2352" s="61"/>
      <c r="M2352" s="61"/>
      <c r="N2352" s="73"/>
      <c r="O2352" s="66"/>
      <c r="P2352" s="67"/>
      <c r="Q2352" s="67"/>
      <c r="R2352" s="67"/>
      <c r="S2352" s="67"/>
      <c r="T2352" s="161"/>
      <c r="U2352" s="69"/>
      <c r="V2352" s="73"/>
      <c r="W2352" s="71"/>
      <c r="X2352" s="194"/>
      <c r="Y2352" s="216"/>
      <c r="Z2352" s="73"/>
      <c r="AA2352" s="73"/>
      <c r="AB2352" s="73"/>
      <c r="AC2352" s="73"/>
      <c r="AD2352" s="73"/>
      <c r="AE2352" s="73"/>
      <c r="AF2352" s="73"/>
      <c r="AG2352" s="73"/>
      <c r="AH2352" s="73"/>
      <c r="AI2352" s="73"/>
      <c r="AJ2352" s="161"/>
      <c r="AK2352" s="236"/>
      <c r="AL2352" s="269"/>
      <c r="AM2352" s="161"/>
      <c r="AN2352" s="161"/>
      <c r="AO2352" s="161"/>
      <c r="AP2352" s="161"/>
      <c r="AQ2352" s="161"/>
      <c r="AR2352" s="161"/>
      <c r="AS2352" s="161"/>
      <c r="AT2352" s="161"/>
      <c r="AU2352" s="89"/>
      <c r="AV2352" s="162"/>
      <c r="AW2352" s="73"/>
    </row>
    <row r="2353" ht="15.75" customHeight="1">
      <c r="A2353" s="216"/>
      <c r="B2353" s="73"/>
      <c r="C2353" s="216"/>
      <c r="D2353" s="241"/>
      <c r="E2353" s="241"/>
      <c r="F2353" s="89"/>
      <c r="G2353" s="476"/>
      <c r="H2353" s="73"/>
      <c r="I2353" s="551"/>
      <c r="J2353" s="476"/>
      <c r="K2353" s="69"/>
      <c r="L2353" s="61"/>
      <c r="M2353" s="61"/>
      <c r="N2353" s="73"/>
      <c r="O2353" s="66"/>
      <c r="P2353" s="67"/>
      <c r="Q2353" s="67"/>
      <c r="R2353" s="67"/>
      <c r="S2353" s="67"/>
      <c r="T2353" s="161"/>
      <c r="U2353" s="69"/>
      <c r="V2353" s="73"/>
      <c r="W2353" s="71"/>
      <c r="X2353" s="194"/>
      <c r="Y2353" s="216"/>
      <c r="Z2353" s="73"/>
      <c r="AA2353" s="73"/>
      <c r="AB2353" s="73"/>
      <c r="AC2353" s="73"/>
      <c r="AD2353" s="73"/>
      <c r="AE2353" s="73"/>
      <c r="AF2353" s="73"/>
      <c r="AG2353" s="73"/>
      <c r="AH2353" s="73"/>
      <c r="AI2353" s="73"/>
      <c r="AJ2353" s="161"/>
      <c r="AK2353" s="236"/>
      <c r="AL2353" s="269"/>
      <c r="AM2353" s="161"/>
      <c r="AN2353" s="161"/>
      <c r="AO2353" s="161"/>
      <c r="AP2353" s="161"/>
      <c r="AQ2353" s="161"/>
      <c r="AR2353" s="161"/>
      <c r="AS2353" s="161"/>
      <c r="AT2353" s="161"/>
      <c r="AU2353" s="89"/>
      <c r="AV2353" s="162"/>
      <c r="AW2353" s="73"/>
    </row>
    <row r="2354" ht="15.75" customHeight="1">
      <c r="A2354" s="216"/>
      <c r="B2354" s="73"/>
      <c r="C2354" s="216"/>
      <c r="D2354" s="241"/>
      <c r="E2354" s="241"/>
      <c r="F2354" s="89"/>
      <c r="G2354" s="476"/>
      <c r="H2354" s="73"/>
      <c r="I2354" s="551"/>
      <c r="J2354" s="476"/>
      <c r="K2354" s="69"/>
      <c r="L2354" s="61"/>
      <c r="M2354" s="61"/>
      <c r="N2354" s="73"/>
      <c r="O2354" s="66"/>
      <c r="P2354" s="67"/>
      <c r="Q2354" s="67"/>
      <c r="R2354" s="67"/>
      <c r="S2354" s="67"/>
      <c r="T2354" s="161"/>
      <c r="U2354" s="69"/>
      <c r="V2354" s="73"/>
      <c r="W2354" s="71"/>
      <c r="X2354" s="194"/>
      <c r="Y2354" s="216"/>
      <c r="Z2354" s="73"/>
      <c r="AA2354" s="73"/>
      <c r="AB2354" s="73"/>
      <c r="AC2354" s="73"/>
      <c r="AD2354" s="73"/>
      <c r="AE2354" s="73"/>
      <c r="AF2354" s="73"/>
      <c r="AG2354" s="73"/>
      <c r="AH2354" s="73"/>
      <c r="AI2354" s="73"/>
      <c r="AJ2354" s="161"/>
      <c r="AK2354" s="236"/>
      <c r="AL2354" s="269"/>
      <c r="AM2354" s="161"/>
      <c r="AN2354" s="161"/>
      <c r="AO2354" s="161"/>
      <c r="AP2354" s="161"/>
      <c r="AQ2354" s="161"/>
      <c r="AR2354" s="161"/>
      <c r="AS2354" s="161"/>
      <c r="AT2354" s="161"/>
      <c r="AU2354" s="89"/>
      <c r="AV2354" s="162"/>
      <c r="AW2354" s="73"/>
    </row>
    <row r="2355" ht="15.75" customHeight="1">
      <c r="A2355" s="216"/>
      <c r="B2355" s="73"/>
      <c r="C2355" s="216"/>
      <c r="D2355" s="241"/>
      <c r="E2355" s="241"/>
      <c r="F2355" s="89"/>
      <c r="G2355" s="476"/>
      <c r="H2355" s="73"/>
      <c r="I2355" s="551"/>
      <c r="J2355" s="476"/>
      <c r="K2355" s="69"/>
      <c r="L2355" s="61"/>
      <c r="M2355" s="61"/>
      <c r="N2355" s="73"/>
      <c r="O2355" s="66"/>
      <c r="P2355" s="67"/>
      <c r="Q2355" s="67"/>
      <c r="R2355" s="67"/>
      <c r="S2355" s="67"/>
      <c r="T2355" s="161"/>
      <c r="U2355" s="69"/>
      <c r="V2355" s="73"/>
      <c r="W2355" s="71"/>
      <c r="X2355" s="194"/>
      <c r="Y2355" s="216"/>
      <c r="Z2355" s="73"/>
      <c r="AA2355" s="73"/>
      <c r="AB2355" s="73"/>
      <c r="AC2355" s="73"/>
      <c r="AD2355" s="73"/>
      <c r="AE2355" s="73"/>
      <c r="AF2355" s="73"/>
      <c r="AG2355" s="73"/>
      <c r="AH2355" s="73"/>
      <c r="AI2355" s="73"/>
      <c r="AJ2355" s="161"/>
      <c r="AK2355" s="236"/>
      <c r="AL2355" s="269"/>
      <c r="AM2355" s="161"/>
      <c r="AN2355" s="161"/>
      <c r="AO2355" s="161"/>
      <c r="AP2355" s="161"/>
      <c r="AQ2355" s="161"/>
      <c r="AR2355" s="161"/>
      <c r="AS2355" s="161"/>
      <c r="AT2355" s="161"/>
      <c r="AU2355" s="89"/>
      <c r="AV2355" s="162"/>
      <c r="AW2355" s="73"/>
    </row>
    <row r="2356" ht="15.75" customHeight="1">
      <c r="A2356" s="216"/>
      <c r="B2356" s="73"/>
      <c r="C2356" s="216"/>
      <c r="D2356" s="241"/>
      <c r="E2356" s="241"/>
      <c r="F2356" s="89"/>
      <c r="G2356" s="476"/>
      <c r="H2356" s="73"/>
      <c r="I2356" s="551"/>
      <c r="J2356" s="476"/>
      <c r="K2356" s="69"/>
      <c r="L2356" s="61"/>
      <c r="M2356" s="61"/>
      <c r="N2356" s="73"/>
      <c r="O2356" s="66"/>
      <c r="P2356" s="67"/>
      <c r="Q2356" s="67"/>
      <c r="R2356" s="67"/>
      <c r="S2356" s="67"/>
      <c r="T2356" s="161"/>
      <c r="U2356" s="69"/>
      <c r="V2356" s="73"/>
      <c r="W2356" s="71"/>
      <c r="X2356" s="194"/>
      <c r="Y2356" s="216"/>
      <c r="Z2356" s="73"/>
      <c r="AA2356" s="73"/>
      <c r="AB2356" s="73"/>
      <c r="AC2356" s="73"/>
      <c r="AD2356" s="73"/>
      <c r="AE2356" s="73"/>
      <c r="AF2356" s="73"/>
      <c r="AG2356" s="73"/>
      <c r="AH2356" s="73"/>
      <c r="AI2356" s="73"/>
      <c r="AJ2356" s="161"/>
      <c r="AK2356" s="236"/>
      <c r="AL2356" s="269"/>
      <c r="AM2356" s="161"/>
      <c r="AN2356" s="161"/>
      <c r="AO2356" s="161"/>
      <c r="AP2356" s="161"/>
      <c r="AQ2356" s="161"/>
      <c r="AR2356" s="161"/>
      <c r="AS2356" s="161"/>
      <c r="AT2356" s="161"/>
      <c r="AU2356" s="89"/>
      <c r="AV2356" s="162"/>
      <c r="AW2356" s="73"/>
    </row>
    <row r="2357" ht="15.75" customHeight="1">
      <c r="A2357" s="216"/>
      <c r="B2357" s="73"/>
      <c r="C2357" s="216"/>
      <c r="D2357" s="241"/>
      <c r="E2357" s="241"/>
      <c r="F2357" s="89"/>
      <c r="G2357" s="476"/>
      <c r="H2357" s="73"/>
      <c r="I2357" s="551"/>
      <c r="J2357" s="476"/>
      <c r="K2357" s="69"/>
      <c r="L2357" s="61"/>
      <c r="M2357" s="61"/>
      <c r="N2357" s="73"/>
      <c r="O2357" s="66"/>
      <c r="P2357" s="67"/>
      <c r="Q2357" s="67"/>
      <c r="R2357" s="67"/>
      <c r="S2357" s="67"/>
      <c r="T2357" s="161"/>
      <c r="U2357" s="69"/>
      <c r="V2357" s="73"/>
      <c r="W2357" s="71"/>
      <c r="X2357" s="194"/>
      <c r="Y2357" s="216"/>
      <c r="Z2357" s="73"/>
      <c r="AA2357" s="73"/>
      <c r="AB2357" s="73"/>
      <c r="AC2357" s="73"/>
      <c r="AD2357" s="73"/>
      <c r="AE2357" s="73"/>
      <c r="AF2357" s="73"/>
      <c r="AG2357" s="73"/>
      <c r="AH2357" s="73"/>
      <c r="AI2357" s="73"/>
      <c r="AJ2357" s="161"/>
      <c r="AK2357" s="236"/>
      <c r="AL2357" s="269"/>
      <c r="AM2357" s="161"/>
      <c r="AN2357" s="161"/>
      <c r="AO2357" s="161"/>
      <c r="AP2357" s="161"/>
      <c r="AQ2357" s="161"/>
      <c r="AR2357" s="161"/>
      <c r="AS2357" s="161"/>
      <c r="AT2357" s="161"/>
      <c r="AU2357" s="89"/>
      <c r="AV2357" s="162"/>
      <c r="AW2357" s="73"/>
    </row>
    <row r="2358" ht="15.75" customHeight="1">
      <c r="A2358" s="216"/>
      <c r="B2358" s="73"/>
      <c r="C2358" s="216"/>
      <c r="D2358" s="241"/>
      <c r="E2358" s="241"/>
      <c r="F2358" s="89"/>
      <c r="G2358" s="476"/>
      <c r="H2358" s="73"/>
      <c r="I2358" s="551"/>
      <c r="J2358" s="476"/>
      <c r="K2358" s="69"/>
      <c r="L2358" s="61"/>
      <c r="M2358" s="61"/>
      <c r="N2358" s="73"/>
      <c r="O2358" s="66"/>
      <c r="P2358" s="67"/>
      <c r="Q2358" s="67"/>
      <c r="R2358" s="67"/>
      <c r="S2358" s="67"/>
      <c r="T2358" s="161"/>
      <c r="U2358" s="69"/>
      <c r="V2358" s="73"/>
      <c r="W2358" s="71"/>
      <c r="X2358" s="194"/>
      <c r="Y2358" s="216"/>
      <c r="Z2358" s="73"/>
      <c r="AA2358" s="73"/>
      <c r="AB2358" s="73"/>
      <c r="AC2358" s="73"/>
      <c r="AD2358" s="73"/>
      <c r="AE2358" s="73"/>
      <c r="AF2358" s="73"/>
      <c r="AG2358" s="73"/>
      <c r="AH2358" s="73"/>
      <c r="AI2358" s="73"/>
      <c r="AJ2358" s="161"/>
      <c r="AK2358" s="236"/>
      <c r="AL2358" s="269"/>
      <c r="AM2358" s="161"/>
      <c r="AN2358" s="161"/>
      <c r="AO2358" s="161"/>
      <c r="AP2358" s="161"/>
      <c r="AQ2358" s="161"/>
      <c r="AR2358" s="161"/>
      <c r="AS2358" s="161"/>
      <c r="AT2358" s="161"/>
      <c r="AU2358" s="89"/>
      <c r="AV2358" s="162"/>
      <c r="AW2358" s="73"/>
    </row>
    <row r="2359" ht="15.75" customHeight="1">
      <c r="A2359" s="216"/>
      <c r="B2359" s="73"/>
      <c r="C2359" s="216"/>
      <c r="D2359" s="241"/>
      <c r="E2359" s="241"/>
      <c r="F2359" s="89"/>
      <c r="G2359" s="476"/>
      <c r="H2359" s="73"/>
      <c r="I2359" s="551"/>
      <c r="J2359" s="476"/>
      <c r="K2359" s="69"/>
      <c r="L2359" s="61"/>
      <c r="M2359" s="61"/>
      <c r="N2359" s="73"/>
      <c r="O2359" s="66"/>
      <c r="P2359" s="67"/>
      <c r="Q2359" s="67"/>
      <c r="R2359" s="67"/>
      <c r="S2359" s="67"/>
      <c r="T2359" s="161"/>
      <c r="U2359" s="69"/>
      <c r="V2359" s="73"/>
      <c r="W2359" s="71"/>
      <c r="X2359" s="194"/>
      <c r="Y2359" s="216"/>
      <c r="Z2359" s="73"/>
      <c r="AA2359" s="73"/>
      <c r="AB2359" s="73"/>
      <c r="AC2359" s="73"/>
      <c r="AD2359" s="73"/>
      <c r="AE2359" s="73"/>
      <c r="AF2359" s="73"/>
      <c r="AG2359" s="73"/>
      <c r="AH2359" s="73"/>
      <c r="AI2359" s="73"/>
      <c r="AJ2359" s="161"/>
      <c r="AK2359" s="236"/>
      <c r="AL2359" s="269"/>
      <c r="AM2359" s="161"/>
      <c r="AN2359" s="161"/>
      <c r="AO2359" s="161"/>
      <c r="AP2359" s="161"/>
      <c r="AQ2359" s="161"/>
      <c r="AR2359" s="161"/>
      <c r="AS2359" s="161"/>
      <c r="AT2359" s="161"/>
      <c r="AU2359" s="89"/>
      <c r="AV2359" s="162"/>
      <c r="AW2359" s="73"/>
    </row>
    <row r="2360" ht="15.75" customHeight="1">
      <c r="A2360" s="216"/>
      <c r="B2360" s="73"/>
      <c r="C2360" s="216"/>
      <c r="D2360" s="241"/>
      <c r="E2360" s="241"/>
      <c r="F2360" s="89"/>
      <c r="G2360" s="476"/>
      <c r="H2360" s="73"/>
      <c r="I2360" s="551"/>
      <c r="J2360" s="476"/>
      <c r="K2360" s="69"/>
      <c r="L2360" s="61"/>
      <c r="M2360" s="61"/>
      <c r="N2360" s="73"/>
      <c r="O2360" s="66"/>
      <c r="P2360" s="67"/>
      <c r="Q2360" s="67"/>
      <c r="R2360" s="67"/>
      <c r="S2360" s="67"/>
      <c r="T2360" s="161"/>
      <c r="U2360" s="69"/>
      <c r="V2360" s="73"/>
      <c r="W2360" s="71"/>
      <c r="X2360" s="194"/>
      <c r="Y2360" s="216"/>
      <c r="Z2360" s="73"/>
      <c r="AA2360" s="73"/>
      <c r="AB2360" s="73"/>
      <c r="AC2360" s="73"/>
      <c r="AD2360" s="73"/>
      <c r="AE2360" s="73"/>
      <c r="AF2360" s="73"/>
      <c r="AG2360" s="73"/>
      <c r="AH2360" s="73"/>
      <c r="AI2360" s="73"/>
      <c r="AJ2360" s="161"/>
      <c r="AK2360" s="236"/>
      <c r="AL2360" s="269"/>
      <c r="AM2360" s="161"/>
      <c r="AN2360" s="161"/>
      <c r="AO2360" s="161"/>
      <c r="AP2360" s="161"/>
      <c r="AQ2360" s="161"/>
      <c r="AR2360" s="161"/>
      <c r="AS2360" s="161"/>
      <c r="AT2360" s="161"/>
      <c r="AU2360" s="89"/>
      <c r="AV2360" s="162"/>
      <c r="AW2360" s="73"/>
    </row>
    <row r="2361" ht="15.75" customHeight="1">
      <c r="A2361" s="216"/>
      <c r="B2361" s="73"/>
      <c r="C2361" s="216"/>
      <c r="D2361" s="241"/>
      <c r="E2361" s="241"/>
      <c r="F2361" s="89"/>
      <c r="G2361" s="476"/>
      <c r="H2361" s="73"/>
      <c r="I2361" s="551"/>
      <c r="J2361" s="476"/>
      <c r="K2361" s="69"/>
      <c r="L2361" s="61"/>
      <c r="M2361" s="61"/>
      <c r="N2361" s="73"/>
      <c r="O2361" s="66"/>
      <c r="P2361" s="67"/>
      <c r="Q2361" s="67"/>
      <c r="R2361" s="67"/>
      <c r="S2361" s="67"/>
      <c r="T2361" s="161"/>
      <c r="U2361" s="69"/>
      <c r="V2361" s="73"/>
      <c r="W2361" s="71"/>
      <c r="X2361" s="194"/>
      <c r="Y2361" s="216"/>
      <c r="Z2361" s="73"/>
      <c r="AA2361" s="73"/>
      <c r="AB2361" s="73"/>
      <c r="AC2361" s="73"/>
      <c r="AD2361" s="73"/>
      <c r="AE2361" s="73"/>
      <c r="AF2361" s="73"/>
      <c r="AG2361" s="73"/>
      <c r="AH2361" s="73"/>
      <c r="AI2361" s="73"/>
      <c r="AJ2361" s="161"/>
      <c r="AK2361" s="236"/>
      <c r="AL2361" s="269"/>
      <c r="AM2361" s="161"/>
      <c r="AN2361" s="161"/>
      <c r="AO2361" s="161"/>
      <c r="AP2361" s="161"/>
      <c r="AQ2361" s="161"/>
      <c r="AR2361" s="161"/>
      <c r="AS2361" s="161"/>
      <c r="AT2361" s="161"/>
      <c r="AU2361" s="89"/>
      <c r="AV2361" s="162"/>
      <c r="AW2361" s="73"/>
    </row>
    <row r="2362" ht="15.75" customHeight="1">
      <c r="A2362" s="216"/>
      <c r="B2362" s="73"/>
      <c r="C2362" s="216"/>
      <c r="D2362" s="241"/>
      <c r="E2362" s="241"/>
      <c r="F2362" s="89"/>
      <c r="G2362" s="476"/>
      <c r="H2362" s="73"/>
      <c r="I2362" s="551"/>
      <c r="J2362" s="476"/>
      <c r="K2362" s="69"/>
      <c r="L2362" s="61"/>
      <c r="M2362" s="61"/>
      <c r="N2362" s="73"/>
      <c r="O2362" s="66"/>
      <c r="P2362" s="67"/>
      <c r="Q2362" s="67"/>
      <c r="R2362" s="67"/>
      <c r="S2362" s="67"/>
      <c r="T2362" s="161"/>
      <c r="U2362" s="69"/>
      <c r="V2362" s="73"/>
      <c r="W2362" s="71"/>
      <c r="X2362" s="194"/>
      <c r="Y2362" s="216"/>
      <c r="Z2362" s="73"/>
      <c r="AA2362" s="73"/>
      <c r="AB2362" s="73"/>
      <c r="AC2362" s="73"/>
      <c r="AD2362" s="73"/>
      <c r="AE2362" s="73"/>
      <c r="AF2362" s="73"/>
      <c r="AG2362" s="73"/>
      <c r="AH2362" s="73"/>
      <c r="AI2362" s="73"/>
      <c r="AJ2362" s="161"/>
      <c r="AK2362" s="236"/>
      <c r="AL2362" s="269"/>
      <c r="AM2362" s="161"/>
      <c r="AN2362" s="161"/>
      <c r="AO2362" s="161"/>
      <c r="AP2362" s="161"/>
      <c r="AQ2362" s="161"/>
      <c r="AR2362" s="161"/>
      <c r="AS2362" s="161"/>
      <c r="AT2362" s="161"/>
      <c r="AU2362" s="89"/>
      <c r="AV2362" s="162"/>
      <c r="AW2362" s="73"/>
    </row>
    <row r="2363" ht="15.75" customHeight="1">
      <c r="A2363" s="216"/>
      <c r="B2363" s="73"/>
      <c r="C2363" s="216"/>
      <c r="D2363" s="241"/>
      <c r="E2363" s="241"/>
      <c r="F2363" s="89"/>
      <c r="G2363" s="476"/>
      <c r="H2363" s="73"/>
      <c r="I2363" s="551"/>
      <c r="J2363" s="476"/>
      <c r="K2363" s="69"/>
      <c r="L2363" s="61"/>
      <c r="M2363" s="61"/>
      <c r="N2363" s="73"/>
      <c r="O2363" s="66"/>
      <c r="P2363" s="67"/>
      <c r="Q2363" s="67"/>
      <c r="R2363" s="67"/>
      <c r="S2363" s="67"/>
      <c r="T2363" s="161"/>
      <c r="U2363" s="69"/>
      <c r="V2363" s="73"/>
      <c r="W2363" s="71"/>
      <c r="X2363" s="194"/>
      <c r="Y2363" s="216"/>
      <c r="Z2363" s="73"/>
      <c r="AA2363" s="73"/>
      <c r="AB2363" s="73"/>
      <c r="AC2363" s="73"/>
      <c r="AD2363" s="73"/>
      <c r="AE2363" s="73"/>
      <c r="AF2363" s="73"/>
      <c r="AG2363" s="73"/>
      <c r="AH2363" s="73"/>
      <c r="AI2363" s="73"/>
      <c r="AJ2363" s="161"/>
      <c r="AK2363" s="236"/>
      <c r="AL2363" s="269"/>
      <c r="AM2363" s="161"/>
      <c r="AN2363" s="161"/>
      <c r="AO2363" s="161"/>
      <c r="AP2363" s="161"/>
      <c r="AQ2363" s="161"/>
      <c r="AR2363" s="161"/>
      <c r="AS2363" s="161"/>
      <c r="AT2363" s="161"/>
      <c r="AU2363" s="89"/>
      <c r="AV2363" s="162"/>
      <c r="AW2363" s="73"/>
    </row>
    <row r="2364" ht="15.75" customHeight="1">
      <c r="A2364" s="216"/>
      <c r="B2364" s="73"/>
      <c r="C2364" s="216"/>
      <c r="D2364" s="241"/>
      <c r="E2364" s="241"/>
      <c r="F2364" s="89"/>
      <c r="G2364" s="476"/>
      <c r="H2364" s="73"/>
      <c r="I2364" s="551"/>
      <c r="J2364" s="476"/>
      <c r="K2364" s="69"/>
      <c r="L2364" s="61"/>
      <c r="M2364" s="61"/>
      <c r="N2364" s="73"/>
      <c r="O2364" s="66"/>
      <c r="P2364" s="67"/>
      <c r="Q2364" s="67"/>
      <c r="R2364" s="67"/>
      <c r="S2364" s="67"/>
      <c r="T2364" s="161"/>
      <c r="U2364" s="69"/>
      <c r="V2364" s="73"/>
      <c r="W2364" s="71"/>
      <c r="X2364" s="194"/>
      <c r="Y2364" s="216"/>
      <c r="Z2364" s="73"/>
      <c r="AA2364" s="73"/>
      <c r="AB2364" s="73"/>
      <c r="AC2364" s="73"/>
      <c r="AD2364" s="73"/>
      <c r="AE2364" s="73"/>
      <c r="AF2364" s="73"/>
      <c r="AG2364" s="73"/>
      <c r="AH2364" s="73"/>
      <c r="AI2364" s="73"/>
      <c r="AJ2364" s="161"/>
      <c r="AK2364" s="236"/>
      <c r="AL2364" s="269"/>
      <c r="AM2364" s="161"/>
      <c r="AN2364" s="161"/>
      <c r="AO2364" s="161"/>
      <c r="AP2364" s="161"/>
      <c r="AQ2364" s="161"/>
      <c r="AR2364" s="161"/>
      <c r="AS2364" s="161"/>
      <c r="AT2364" s="161"/>
      <c r="AU2364" s="89"/>
      <c r="AV2364" s="162"/>
      <c r="AW2364" s="73"/>
    </row>
    <row r="2365" ht="15.75" customHeight="1">
      <c r="A2365" s="216"/>
      <c r="B2365" s="73"/>
      <c r="C2365" s="216"/>
      <c r="D2365" s="241"/>
      <c r="E2365" s="241"/>
      <c r="F2365" s="89"/>
      <c r="G2365" s="476"/>
      <c r="H2365" s="73"/>
      <c r="I2365" s="551"/>
      <c r="J2365" s="476"/>
      <c r="K2365" s="69"/>
      <c r="L2365" s="61"/>
      <c r="M2365" s="61"/>
      <c r="N2365" s="73"/>
      <c r="O2365" s="66"/>
      <c r="P2365" s="67"/>
      <c r="Q2365" s="67"/>
      <c r="R2365" s="67"/>
      <c r="S2365" s="67"/>
      <c r="T2365" s="161"/>
      <c r="U2365" s="69"/>
      <c r="V2365" s="73"/>
      <c r="W2365" s="71"/>
      <c r="X2365" s="194"/>
      <c r="Y2365" s="216"/>
      <c r="Z2365" s="73"/>
      <c r="AA2365" s="73"/>
      <c r="AB2365" s="73"/>
      <c r="AC2365" s="73"/>
      <c r="AD2365" s="73"/>
      <c r="AE2365" s="73"/>
      <c r="AF2365" s="73"/>
      <c r="AG2365" s="73"/>
      <c r="AH2365" s="73"/>
      <c r="AI2365" s="73"/>
      <c r="AJ2365" s="161"/>
      <c r="AK2365" s="236"/>
      <c r="AL2365" s="269"/>
      <c r="AM2365" s="161"/>
      <c r="AN2365" s="161"/>
      <c r="AO2365" s="161"/>
      <c r="AP2365" s="161"/>
      <c r="AQ2365" s="161"/>
      <c r="AR2365" s="161"/>
      <c r="AS2365" s="161"/>
      <c r="AT2365" s="161"/>
      <c r="AU2365" s="89"/>
      <c r="AV2365" s="162"/>
      <c r="AW2365" s="73"/>
    </row>
    <row r="2366" ht="15.75" customHeight="1">
      <c r="A2366" s="216"/>
      <c r="B2366" s="73"/>
      <c r="C2366" s="216"/>
      <c r="D2366" s="241"/>
      <c r="E2366" s="241"/>
      <c r="F2366" s="89"/>
      <c r="G2366" s="476"/>
      <c r="H2366" s="73"/>
      <c r="I2366" s="551"/>
      <c r="J2366" s="476"/>
      <c r="K2366" s="69"/>
      <c r="L2366" s="61"/>
      <c r="M2366" s="61"/>
      <c r="N2366" s="73"/>
      <c r="O2366" s="66"/>
      <c r="P2366" s="67"/>
      <c r="Q2366" s="67"/>
      <c r="R2366" s="67"/>
      <c r="S2366" s="67"/>
      <c r="T2366" s="161"/>
      <c r="U2366" s="69"/>
      <c r="V2366" s="73"/>
      <c r="W2366" s="71"/>
      <c r="X2366" s="194"/>
      <c r="Y2366" s="216"/>
      <c r="Z2366" s="73"/>
      <c r="AA2366" s="73"/>
      <c r="AB2366" s="73"/>
      <c r="AC2366" s="73"/>
      <c r="AD2366" s="73"/>
      <c r="AE2366" s="73"/>
      <c r="AF2366" s="73"/>
      <c r="AG2366" s="73"/>
      <c r="AH2366" s="73"/>
      <c r="AI2366" s="73"/>
      <c r="AJ2366" s="161"/>
      <c r="AK2366" s="236"/>
      <c r="AL2366" s="269"/>
      <c r="AM2366" s="161"/>
      <c r="AN2366" s="161"/>
      <c r="AO2366" s="161"/>
      <c r="AP2366" s="161"/>
      <c r="AQ2366" s="161"/>
      <c r="AR2366" s="161"/>
      <c r="AS2366" s="161"/>
      <c r="AT2366" s="161"/>
      <c r="AU2366" s="89"/>
      <c r="AV2366" s="162"/>
      <c r="AW2366" s="73"/>
    </row>
    <row r="2367" ht="15.75" customHeight="1">
      <c r="A2367" s="216"/>
      <c r="B2367" s="73"/>
      <c r="C2367" s="216"/>
      <c r="D2367" s="241"/>
      <c r="E2367" s="241"/>
      <c r="F2367" s="89"/>
      <c r="G2367" s="476"/>
      <c r="H2367" s="73"/>
      <c r="I2367" s="551"/>
      <c r="J2367" s="476"/>
      <c r="K2367" s="69"/>
      <c r="L2367" s="61"/>
      <c r="M2367" s="61"/>
      <c r="N2367" s="73"/>
      <c r="O2367" s="66"/>
      <c r="P2367" s="67"/>
      <c r="Q2367" s="67"/>
      <c r="R2367" s="67"/>
      <c r="S2367" s="67"/>
      <c r="T2367" s="161"/>
      <c r="U2367" s="69"/>
      <c r="V2367" s="73"/>
      <c r="W2367" s="71"/>
      <c r="X2367" s="194"/>
      <c r="Y2367" s="216"/>
      <c r="Z2367" s="73"/>
      <c r="AA2367" s="73"/>
      <c r="AB2367" s="73"/>
      <c r="AC2367" s="73"/>
      <c r="AD2367" s="73"/>
      <c r="AE2367" s="73"/>
      <c r="AF2367" s="73"/>
      <c r="AG2367" s="73"/>
      <c r="AH2367" s="73"/>
      <c r="AI2367" s="73"/>
      <c r="AJ2367" s="161"/>
      <c r="AK2367" s="236"/>
      <c r="AL2367" s="269"/>
      <c r="AM2367" s="161"/>
      <c r="AN2367" s="161"/>
      <c r="AO2367" s="161"/>
      <c r="AP2367" s="161"/>
      <c r="AQ2367" s="161"/>
      <c r="AR2367" s="161"/>
      <c r="AS2367" s="161"/>
      <c r="AT2367" s="161"/>
      <c r="AU2367" s="89"/>
      <c r="AV2367" s="162"/>
      <c r="AW2367" s="73"/>
    </row>
    <row r="2368" ht="15.75" customHeight="1">
      <c r="A2368" s="216"/>
      <c r="B2368" s="73"/>
      <c r="C2368" s="216"/>
      <c r="D2368" s="241"/>
      <c r="E2368" s="241"/>
      <c r="F2368" s="89"/>
      <c r="G2368" s="476"/>
      <c r="H2368" s="73"/>
      <c r="I2368" s="551"/>
      <c r="J2368" s="476"/>
      <c r="K2368" s="69"/>
      <c r="L2368" s="61"/>
      <c r="M2368" s="61"/>
      <c r="N2368" s="73"/>
      <c r="O2368" s="66"/>
      <c r="P2368" s="67"/>
      <c r="Q2368" s="67"/>
      <c r="R2368" s="67"/>
      <c r="S2368" s="67"/>
      <c r="T2368" s="161"/>
      <c r="U2368" s="69"/>
      <c r="V2368" s="73"/>
      <c r="W2368" s="71"/>
      <c r="X2368" s="194"/>
      <c r="Y2368" s="216"/>
      <c r="Z2368" s="73"/>
      <c r="AA2368" s="73"/>
      <c r="AB2368" s="73"/>
      <c r="AC2368" s="73"/>
      <c r="AD2368" s="73"/>
      <c r="AE2368" s="73"/>
      <c r="AF2368" s="73"/>
      <c r="AG2368" s="73"/>
      <c r="AH2368" s="73"/>
      <c r="AI2368" s="73"/>
      <c r="AJ2368" s="161"/>
      <c r="AK2368" s="236"/>
      <c r="AL2368" s="269"/>
      <c r="AM2368" s="161"/>
      <c r="AN2368" s="161"/>
      <c r="AO2368" s="161"/>
      <c r="AP2368" s="161"/>
      <c r="AQ2368" s="161"/>
      <c r="AR2368" s="161"/>
      <c r="AS2368" s="161"/>
      <c r="AT2368" s="161"/>
      <c r="AU2368" s="89"/>
      <c r="AV2368" s="162"/>
      <c r="AW2368" s="73"/>
    </row>
    <row r="2369" ht="15.75" customHeight="1">
      <c r="A2369" s="216"/>
      <c r="B2369" s="73"/>
      <c r="C2369" s="216"/>
      <c r="D2369" s="241"/>
      <c r="E2369" s="241"/>
      <c r="F2369" s="89"/>
      <c r="G2369" s="476"/>
      <c r="H2369" s="73"/>
      <c r="I2369" s="551"/>
      <c r="J2369" s="476"/>
      <c r="K2369" s="69"/>
      <c r="L2369" s="61"/>
      <c r="M2369" s="61"/>
      <c r="N2369" s="73"/>
      <c r="O2369" s="66"/>
      <c r="P2369" s="67"/>
      <c r="Q2369" s="67"/>
      <c r="R2369" s="67"/>
      <c r="S2369" s="67"/>
      <c r="T2369" s="161"/>
      <c r="U2369" s="69"/>
      <c r="V2369" s="73"/>
      <c r="W2369" s="71"/>
      <c r="X2369" s="194"/>
      <c r="Y2369" s="216"/>
      <c r="Z2369" s="73"/>
      <c r="AA2369" s="73"/>
      <c r="AB2369" s="73"/>
      <c r="AC2369" s="73"/>
      <c r="AD2369" s="73"/>
      <c r="AE2369" s="73"/>
      <c r="AF2369" s="73"/>
      <c r="AG2369" s="73"/>
      <c r="AH2369" s="73"/>
      <c r="AI2369" s="73"/>
      <c r="AJ2369" s="161"/>
      <c r="AK2369" s="236"/>
      <c r="AL2369" s="269"/>
      <c r="AM2369" s="161"/>
      <c r="AN2369" s="161"/>
      <c r="AO2369" s="161"/>
      <c r="AP2369" s="161"/>
      <c r="AQ2369" s="161"/>
      <c r="AR2369" s="161"/>
      <c r="AS2369" s="161"/>
      <c r="AT2369" s="161"/>
      <c r="AU2369" s="89"/>
      <c r="AV2369" s="162"/>
      <c r="AW2369" s="73"/>
    </row>
    <row r="2370" ht="15.75" customHeight="1">
      <c r="A2370" s="216"/>
      <c r="B2370" s="73"/>
      <c r="C2370" s="216"/>
      <c r="D2370" s="241"/>
      <c r="E2370" s="241"/>
      <c r="F2370" s="89"/>
      <c r="G2370" s="476"/>
      <c r="H2370" s="73"/>
      <c r="I2370" s="551"/>
      <c r="J2370" s="476"/>
      <c r="K2370" s="69"/>
      <c r="L2370" s="61"/>
      <c r="M2370" s="61"/>
      <c r="N2370" s="73"/>
      <c r="O2370" s="66"/>
      <c r="P2370" s="67"/>
      <c r="Q2370" s="67"/>
      <c r="R2370" s="67"/>
      <c r="S2370" s="67"/>
      <c r="T2370" s="161"/>
      <c r="U2370" s="69"/>
      <c r="V2370" s="73"/>
      <c r="W2370" s="71"/>
      <c r="X2370" s="194"/>
      <c r="Y2370" s="216"/>
      <c r="Z2370" s="73"/>
      <c r="AA2370" s="73"/>
      <c r="AB2370" s="73"/>
      <c r="AC2370" s="73"/>
      <c r="AD2370" s="73"/>
      <c r="AE2370" s="73"/>
      <c r="AF2370" s="73"/>
      <c r="AG2370" s="73"/>
      <c r="AH2370" s="73"/>
      <c r="AI2370" s="73"/>
      <c r="AJ2370" s="161"/>
      <c r="AK2370" s="236"/>
      <c r="AL2370" s="269"/>
      <c r="AM2370" s="161"/>
      <c r="AN2370" s="161"/>
      <c r="AO2370" s="161"/>
      <c r="AP2370" s="161"/>
      <c r="AQ2370" s="161"/>
      <c r="AR2370" s="161"/>
      <c r="AS2370" s="161"/>
      <c r="AT2370" s="161"/>
      <c r="AU2370" s="89"/>
      <c r="AV2370" s="162"/>
      <c r="AW2370" s="73"/>
    </row>
    <row r="2371" ht="15.75" customHeight="1">
      <c r="A2371" s="216"/>
      <c r="B2371" s="73"/>
      <c r="C2371" s="216"/>
      <c r="D2371" s="241"/>
      <c r="E2371" s="241"/>
      <c r="F2371" s="89"/>
      <c r="G2371" s="476"/>
      <c r="H2371" s="73"/>
      <c r="I2371" s="551"/>
      <c r="J2371" s="476"/>
      <c r="K2371" s="69"/>
      <c r="L2371" s="61"/>
      <c r="M2371" s="61"/>
      <c r="N2371" s="73"/>
      <c r="O2371" s="66"/>
      <c r="P2371" s="67"/>
      <c r="Q2371" s="67"/>
      <c r="R2371" s="67"/>
      <c r="S2371" s="67"/>
      <c r="T2371" s="161"/>
      <c r="U2371" s="69"/>
      <c r="V2371" s="73"/>
      <c r="W2371" s="71"/>
      <c r="X2371" s="194"/>
      <c r="Y2371" s="216"/>
      <c r="Z2371" s="73"/>
      <c r="AA2371" s="73"/>
      <c r="AB2371" s="73"/>
      <c r="AC2371" s="73"/>
      <c r="AD2371" s="73"/>
      <c r="AE2371" s="73"/>
      <c r="AF2371" s="73"/>
      <c r="AG2371" s="73"/>
      <c r="AH2371" s="73"/>
      <c r="AI2371" s="73"/>
      <c r="AJ2371" s="161"/>
      <c r="AK2371" s="236"/>
      <c r="AL2371" s="269"/>
      <c r="AM2371" s="161"/>
      <c r="AN2371" s="161"/>
      <c r="AO2371" s="161"/>
      <c r="AP2371" s="161"/>
      <c r="AQ2371" s="161"/>
      <c r="AR2371" s="161"/>
      <c r="AS2371" s="161"/>
      <c r="AT2371" s="161"/>
      <c r="AU2371" s="89"/>
      <c r="AV2371" s="162"/>
      <c r="AW2371" s="73"/>
    </row>
    <row r="2372" ht="15.75" customHeight="1">
      <c r="A2372" s="216"/>
      <c r="B2372" s="73"/>
      <c r="C2372" s="216"/>
      <c r="D2372" s="241"/>
      <c r="E2372" s="241"/>
      <c r="F2372" s="89"/>
      <c r="G2372" s="476"/>
      <c r="H2372" s="73"/>
      <c r="I2372" s="551"/>
      <c r="J2372" s="476"/>
      <c r="K2372" s="69"/>
      <c r="L2372" s="61"/>
      <c r="M2372" s="61"/>
      <c r="N2372" s="73"/>
      <c r="O2372" s="66"/>
      <c r="P2372" s="67"/>
      <c r="Q2372" s="67"/>
      <c r="R2372" s="67"/>
      <c r="S2372" s="67"/>
      <c r="T2372" s="161"/>
      <c r="U2372" s="69"/>
      <c r="V2372" s="73"/>
      <c r="W2372" s="71"/>
      <c r="X2372" s="194"/>
      <c r="Y2372" s="216"/>
      <c r="Z2372" s="73"/>
      <c r="AA2372" s="73"/>
      <c r="AB2372" s="73"/>
      <c r="AC2372" s="73"/>
      <c r="AD2372" s="73"/>
      <c r="AE2372" s="73"/>
      <c r="AF2372" s="73"/>
      <c r="AG2372" s="73"/>
      <c r="AH2372" s="73"/>
      <c r="AI2372" s="73"/>
      <c r="AJ2372" s="161"/>
      <c r="AK2372" s="236"/>
      <c r="AL2372" s="269"/>
      <c r="AM2372" s="161"/>
      <c r="AN2372" s="161"/>
      <c r="AO2372" s="161"/>
      <c r="AP2372" s="161"/>
      <c r="AQ2372" s="161"/>
      <c r="AR2372" s="161"/>
      <c r="AS2372" s="161"/>
      <c r="AT2372" s="161"/>
      <c r="AU2372" s="89"/>
      <c r="AV2372" s="162"/>
      <c r="AW2372" s="73"/>
    </row>
    <row r="2373" ht="15.75" customHeight="1">
      <c r="A2373" s="216"/>
      <c r="B2373" s="73"/>
      <c r="C2373" s="216"/>
      <c r="D2373" s="241"/>
      <c r="E2373" s="241"/>
      <c r="F2373" s="89"/>
      <c r="G2373" s="476"/>
      <c r="H2373" s="73"/>
      <c r="I2373" s="551"/>
      <c r="J2373" s="476"/>
      <c r="K2373" s="69"/>
      <c r="L2373" s="61"/>
      <c r="M2373" s="61"/>
      <c r="N2373" s="73"/>
      <c r="O2373" s="66"/>
      <c r="P2373" s="67"/>
      <c r="Q2373" s="67"/>
      <c r="R2373" s="67"/>
      <c r="S2373" s="67"/>
      <c r="T2373" s="161"/>
      <c r="U2373" s="69"/>
      <c r="V2373" s="73"/>
      <c r="W2373" s="71"/>
      <c r="X2373" s="194"/>
      <c r="Y2373" s="216"/>
      <c r="Z2373" s="73"/>
      <c r="AA2373" s="73"/>
      <c r="AB2373" s="73"/>
      <c r="AC2373" s="73"/>
      <c r="AD2373" s="73"/>
      <c r="AE2373" s="73"/>
      <c r="AF2373" s="73"/>
      <c r="AG2373" s="73"/>
      <c r="AH2373" s="73"/>
      <c r="AI2373" s="73"/>
      <c r="AJ2373" s="161"/>
      <c r="AK2373" s="236"/>
      <c r="AL2373" s="269"/>
      <c r="AM2373" s="161"/>
      <c r="AN2373" s="161"/>
      <c r="AO2373" s="161"/>
      <c r="AP2373" s="161"/>
      <c r="AQ2373" s="161"/>
      <c r="AR2373" s="161"/>
      <c r="AS2373" s="161"/>
      <c r="AT2373" s="161"/>
      <c r="AU2373" s="89"/>
      <c r="AV2373" s="162"/>
      <c r="AW2373" s="73"/>
    </row>
    <row r="2374" ht="15.75" customHeight="1">
      <c r="A2374" s="216"/>
      <c r="B2374" s="73"/>
      <c r="C2374" s="216"/>
      <c r="D2374" s="241"/>
      <c r="E2374" s="241"/>
      <c r="F2374" s="89"/>
      <c r="G2374" s="476"/>
      <c r="H2374" s="73"/>
      <c r="I2374" s="551"/>
      <c r="J2374" s="476"/>
      <c r="K2374" s="69"/>
      <c r="L2374" s="61"/>
      <c r="M2374" s="61"/>
      <c r="N2374" s="73"/>
      <c r="O2374" s="66"/>
      <c r="P2374" s="67"/>
      <c r="Q2374" s="67"/>
      <c r="R2374" s="67"/>
      <c r="S2374" s="67"/>
      <c r="T2374" s="161"/>
      <c r="U2374" s="69"/>
      <c r="V2374" s="73"/>
      <c r="W2374" s="71"/>
      <c r="X2374" s="194"/>
      <c r="Y2374" s="216"/>
      <c r="Z2374" s="73"/>
      <c r="AA2374" s="73"/>
      <c r="AB2374" s="73"/>
      <c r="AC2374" s="73"/>
      <c r="AD2374" s="73"/>
      <c r="AE2374" s="73"/>
      <c r="AF2374" s="73"/>
      <c r="AG2374" s="73"/>
      <c r="AH2374" s="73"/>
      <c r="AI2374" s="73"/>
      <c r="AJ2374" s="161"/>
      <c r="AK2374" s="236"/>
      <c r="AL2374" s="269"/>
      <c r="AM2374" s="161"/>
      <c r="AN2374" s="161"/>
      <c r="AO2374" s="161"/>
      <c r="AP2374" s="161"/>
      <c r="AQ2374" s="161"/>
      <c r="AR2374" s="161"/>
      <c r="AS2374" s="161"/>
      <c r="AT2374" s="161"/>
      <c r="AU2374" s="89"/>
      <c r="AV2374" s="162"/>
      <c r="AW2374" s="73"/>
    </row>
    <row r="2375" ht="15.75" customHeight="1">
      <c r="A2375" s="216"/>
      <c r="B2375" s="73"/>
      <c r="C2375" s="216"/>
      <c r="D2375" s="241"/>
      <c r="E2375" s="241"/>
      <c r="F2375" s="89"/>
      <c r="G2375" s="476"/>
      <c r="H2375" s="73"/>
      <c r="I2375" s="551"/>
      <c r="J2375" s="476"/>
      <c r="K2375" s="69"/>
      <c r="L2375" s="61"/>
      <c r="M2375" s="61"/>
      <c r="N2375" s="73"/>
      <c r="O2375" s="66"/>
      <c r="P2375" s="67"/>
      <c r="Q2375" s="67"/>
      <c r="R2375" s="67"/>
      <c r="S2375" s="67"/>
      <c r="T2375" s="161"/>
      <c r="U2375" s="69"/>
      <c r="V2375" s="73"/>
      <c r="W2375" s="71"/>
      <c r="X2375" s="194"/>
      <c r="Y2375" s="216"/>
      <c r="Z2375" s="73"/>
      <c r="AA2375" s="73"/>
      <c r="AB2375" s="73"/>
      <c r="AC2375" s="73"/>
      <c r="AD2375" s="73"/>
      <c r="AE2375" s="73"/>
      <c r="AF2375" s="73"/>
      <c r="AG2375" s="73"/>
      <c r="AH2375" s="73"/>
      <c r="AI2375" s="73"/>
      <c r="AJ2375" s="161"/>
      <c r="AK2375" s="236"/>
      <c r="AL2375" s="269"/>
      <c r="AM2375" s="161"/>
      <c r="AN2375" s="161"/>
      <c r="AO2375" s="161"/>
      <c r="AP2375" s="161"/>
      <c r="AQ2375" s="161"/>
      <c r="AR2375" s="161"/>
      <c r="AS2375" s="161"/>
      <c r="AT2375" s="161"/>
      <c r="AU2375" s="89"/>
      <c r="AV2375" s="162"/>
      <c r="AW2375" s="73"/>
    </row>
    <row r="2376" ht="15.75" customHeight="1">
      <c r="A2376" s="216"/>
      <c r="B2376" s="73"/>
      <c r="C2376" s="216"/>
      <c r="D2376" s="241"/>
      <c r="E2376" s="241"/>
      <c r="F2376" s="89"/>
      <c r="G2376" s="476"/>
      <c r="H2376" s="73"/>
      <c r="I2376" s="551"/>
      <c r="J2376" s="476"/>
      <c r="K2376" s="69"/>
      <c r="L2376" s="61"/>
      <c r="M2376" s="61"/>
      <c r="N2376" s="73"/>
      <c r="O2376" s="66"/>
      <c r="P2376" s="67"/>
      <c r="Q2376" s="67"/>
      <c r="R2376" s="67"/>
      <c r="S2376" s="67"/>
      <c r="T2376" s="161"/>
      <c r="U2376" s="69"/>
      <c r="V2376" s="73"/>
      <c r="W2376" s="71"/>
      <c r="X2376" s="194"/>
      <c r="Y2376" s="216"/>
      <c r="Z2376" s="73"/>
      <c r="AA2376" s="73"/>
      <c r="AB2376" s="73"/>
      <c r="AC2376" s="73"/>
      <c r="AD2376" s="73"/>
      <c r="AE2376" s="73"/>
      <c r="AF2376" s="73"/>
      <c r="AG2376" s="73"/>
      <c r="AH2376" s="73"/>
      <c r="AI2376" s="73"/>
      <c r="AJ2376" s="161"/>
      <c r="AK2376" s="236"/>
      <c r="AL2376" s="269"/>
      <c r="AM2376" s="161"/>
      <c r="AN2376" s="161"/>
      <c r="AO2376" s="161"/>
      <c r="AP2376" s="161"/>
      <c r="AQ2376" s="161"/>
      <c r="AR2376" s="161"/>
      <c r="AS2376" s="161"/>
      <c r="AT2376" s="161"/>
      <c r="AU2376" s="89"/>
      <c r="AV2376" s="162"/>
      <c r="AW2376" s="73"/>
    </row>
    <row r="2377" ht="15.75" customHeight="1">
      <c r="A2377" s="216"/>
      <c r="B2377" s="73"/>
      <c r="C2377" s="216"/>
      <c r="D2377" s="241"/>
      <c r="E2377" s="241"/>
      <c r="F2377" s="89"/>
      <c r="G2377" s="476"/>
      <c r="H2377" s="73"/>
      <c r="I2377" s="551"/>
      <c r="J2377" s="476"/>
      <c r="K2377" s="69"/>
      <c r="L2377" s="61"/>
      <c r="M2377" s="61"/>
      <c r="N2377" s="73"/>
      <c r="O2377" s="66"/>
      <c r="P2377" s="67"/>
      <c r="Q2377" s="67"/>
      <c r="R2377" s="67"/>
      <c r="S2377" s="67"/>
      <c r="T2377" s="161"/>
      <c r="U2377" s="69"/>
      <c r="V2377" s="73"/>
      <c r="W2377" s="71"/>
      <c r="X2377" s="194"/>
      <c r="Y2377" s="216"/>
      <c r="Z2377" s="73"/>
      <c r="AA2377" s="73"/>
      <c r="AB2377" s="73"/>
      <c r="AC2377" s="73"/>
      <c r="AD2377" s="73"/>
      <c r="AE2377" s="73"/>
      <c r="AF2377" s="73"/>
      <c r="AG2377" s="73"/>
      <c r="AH2377" s="73"/>
      <c r="AI2377" s="73"/>
      <c r="AJ2377" s="161"/>
      <c r="AK2377" s="236"/>
      <c r="AL2377" s="269"/>
      <c r="AM2377" s="161"/>
      <c r="AN2377" s="161"/>
      <c r="AO2377" s="161"/>
      <c r="AP2377" s="161"/>
      <c r="AQ2377" s="161"/>
      <c r="AR2377" s="161"/>
      <c r="AS2377" s="161"/>
      <c r="AT2377" s="161"/>
      <c r="AU2377" s="89"/>
      <c r="AV2377" s="162"/>
      <c r="AW2377" s="73"/>
    </row>
    <row r="2378" ht="15.75" customHeight="1">
      <c r="A2378" s="216"/>
      <c r="B2378" s="73"/>
      <c r="C2378" s="216"/>
      <c r="D2378" s="241"/>
      <c r="E2378" s="241"/>
      <c r="F2378" s="89"/>
      <c r="G2378" s="476"/>
      <c r="H2378" s="73"/>
      <c r="I2378" s="551"/>
      <c r="J2378" s="476"/>
      <c r="K2378" s="69"/>
      <c r="L2378" s="61"/>
      <c r="M2378" s="61"/>
      <c r="N2378" s="73"/>
      <c r="O2378" s="66"/>
      <c r="P2378" s="67"/>
      <c r="Q2378" s="67"/>
      <c r="R2378" s="67"/>
      <c r="S2378" s="67"/>
      <c r="T2378" s="161"/>
      <c r="U2378" s="69"/>
      <c r="V2378" s="73"/>
      <c r="W2378" s="71"/>
      <c r="X2378" s="194"/>
      <c r="Y2378" s="216"/>
      <c r="Z2378" s="73"/>
      <c r="AA2378" s="73"/>
      <c r="AB2378" s="73"/>
      <c r="AC2378" s="73"/>
      <c r="AD2378" s="73"/>
      <c r="AE2378" s="73"/>
      <c r="AF2378" s="73"/>
      <c r="AG2378" s="73"/>
      <c r="AH2378" s="73"/>
      <c r="AI2378" s="73"/>
      <c r="AJ2378" s="161"/>
      <c r="AK2378" s="236"/>
      <c r="AL2378" s="269"/>
      <c r="AM2378" s="161"/>
      <c r="AN2378" s="161"/>
      <c r="AO2378" s="161"/>
      <c r="AP2378" s="161"/>
      <c r="AQ2378" s="161"/>
      <c r="AR2378" s="161"/>
      <c r="AS2378" s="161"/>
      <c r="AT2378" s="161"/>
      <c r="AU2378" s="89"/>
      <c r="AV2378" s="162"/>
      <c r="AW2378" s="73"/>
    </row>
    <row r="2379" ht="15.75" customHeight="1">
      <c r="A2379" s="216"/>
      <c r="B2379" s="73"/>
      <c r="C2379" s="216"/>
      <c r="D2379" s="241"/>
      <c r="E2379" s="241"/>
      <c r="F2379" s="89"/>
      <c r="G2379" s="476"/>
      <c r="H2379" s="73"/>
      <c r="I2379" s="551"/>
      <c r="J2379" s="476"/>
      <c r="K2379" s="69"/>
      <c r="L2379" s="61"/>
      <c r="M2379" s="61"/>
      <c r="N2379" s="73"/>
      <c r="O2379" s="66"/>
      <c r="P2379" s="67"/>
      <c r="Q2379" s="67"/>
      <c r="R2379" s="67"/>
      <c r="S2379" s="67"/>
      <c r="T2379" s="161"/>
      <c r="U2379" s="69"/>
      <c r="V2379" s="73"/>
      <c r="W2379" s="71"/>
      <c r="X2379" s="194"/>
      <c r="Y2379" s="216"/>
      <c r="Z2379" s="73"/>
      <c r="AA2379" s="73"/>
      <c r="AB2379" s="73"/>
      <c r="AC2379" s="73"/>
      <c r="AD2379" s="73"/>
      <c r="AE2379" s="73"/>
      <c r="AF2379" s="73"/>
      <c r="AG2379" s="73"/>
      <c r="AH2379" s="73"/>
      <c r="AI2379" s="73"/>
      <c r="AJ2379" s="161"/>
      <c r="AK2379" s="236"/>
      <c r="AL2379" s="269"/>
      <c r="AM2379" s="161"/>
      <c r="AN2379" s="161"/>
      <c r="AO2379" s="161"/>
      <c r="AP2379" s="161"/>
      <c r="AQ2379" s="161"/>
      <c r="AR2379" s="161"/>
      <c r="AS2379" s="161"/>
      <c r="AT2379" s="161"/>
      <c r="AU2379" s="89"/>
      <c r="AV2379" s="162"/>
      <c r="AW2379" s="73"/>
    </row>
    <row r="2380" ht="15.75" customHeight="1">
      <c r="A2380" s="216"/>
      <c r="B2380" s="73"/>
      <c r="C2380" s="216"/>
      <c r="D2380" s="241"/>
      <c r="E2380" s="241"/>
      <c r="F2380" s="89"/>
      <c r="G2380" s="476"/>
      <c r="H2380" s="73"/>
      <c r="I2380" s="551"/>
      <c r="J2380" s="476"/>
      <c r="K2380" s="69"/>
      <c r="L2380" s="61"/>
      <c r="M2380" s="61"/>
      <c r="N2380" s="73"/>
      <c r="O2380" s="66"/>
      <c r="P2380" s="67"/>
      <c r="Q2380" s="67"/>
      <c r="R2380" s="67"/>
      <c r="S2380" s="67"/>
      <c r="T2380" s="161"/>
      <c r="U2380" s="69"/>
      <c r="V2380" s="73"/>
      <c r="W2380" s="71"/>
      <c r="X2380" s="194"/>
      <c r="Y2380" s="216"/>
      <c r="Z2380" s="73"/>
      <c r="AA2380" s="73"/>
      <c r="AB2380" s="73"/>
      <c r="AC2380" s="73"/>
      <c r="AD2380" s="73"/>
      <c r="AE2380" s="73"/>
      <c r="AF2380" s="73"/>
      <c r="AG2380" s="73"/>
      <c r="AH2380" s="73"/>
      <c r="AI2380" s="73"/>
      <c r="AJ2380" s="161"/>
      <c r="AK2380" s="236"/>
      <c r="AL2380" s="269"/>
      <c r="AM2380" s="161"/>
      <c r="AN2380" s="161"/>
      <c r="AO2380" s="161"/>
      <c r="AP2380" s="161"/>
      <c r="AQ2380" s="161"/>
      <c r="AR2380" s="161"/>
      <c r="AS2380" s="161"/>
      <c r="AT2380" s="161"/>
      <c r="AU2380" s="89"/>
      <c r="AV2380" s="162"/>
      <c r="AW2380" s="73"/>
    </row>
    <row r="2381" ht="15.75" customHeight="1">
      <c r="A2381" s="216"/>
      <c r="B2381" s="73"/>
      <c r="C2381" s="216"/>
      <c r="D2381" s="241"/>
      <c r="E2381" s="241"/>
      <c r="F2381" s="89"/>
      <c r="G2381" s="476"/>
      <c r="H2381" s="73"/>
      <c r="I2381" s="551"/>
      <c r="J2381" s="476"/>
      <c r="K2381" s="69"/>
      <c r="L2381" s="61"/>
      <c r="M2381" s="61"/>
      <c r="N2381" s="73"/>
      <c r="O2381" s="66"/>
      <c r="P2381" s="67"/>
      <c r="Q2381" s="67"/>
      <c r="R2381" s="67"/>
      <c r="S2381" s="67"/>
      <c r="T2381" s="161"/>
      <c r="U2381" s="69"/>
      <c r="V2381" s="73"/>
      <c r="W2381" s="71"/>
      <c r="X2381" s="194"/>
      <c r="Y2381" s="216"/>
      <c r="Z2381" s="73"/>
      <c r="AA2381" s="73"/>
      <c r="AB2381" s="73"/>
      <c r="AC2381" s="73"/>
      <c r="AD2381" s="73"/>
      <c r="AE2381" s="73"/>
      <c r="AF2381" s="73"/>
      <c r="AG2381" s="73"/>
      <c r="AH2381" s="73"/>
      <c r="AI2381" s="73"/>
      <c r="AJ2381" s="161"/>
      <c r="AK2381" s="236"/>
      <c r="AL2381" s="269"/>
      <c r="AM2381" s="161"/>
      <c r="AN2381" s="161"/>
      <c r="AO2381" s="161"/>
      <c r="AP2381" s="161"/>
      <c r="AQ2381" s="161"/>
      <c r="AR2381" s="161"/>
      <c r="AS2381" s="161"/>
      <c r="AT2381" s="161"/>
      <c r="AU2381" s="89"/>
      <c r="AV2381" s="162"/>
      <c r="AW2381" s="73"/>
    </row>
    <row r="2382" ht="15.75" customHeight="1">
      <c r="A2382" s="216"/>
      <c r="B2382" s="73"/>
      <c r="C2382" s="216"/>
      <c r="D2382" s="241"/>
      <c r="E2382" s="241"/>
      <c r="F2382" s="89"/>
      <c r="G2382" s="476"/>
      <c r="H2382" s="73"/>
      <c r="I2382" s="551"/>
      <c r="J2382" s="476"/>
      <c r="K2382" s="69"/>
      <c r="L2382" s="61"/>
      <c r="M2382" s="61"/>
      <c r="N2382" s="73"/>
      <c r="O2382" s="66"/>
      <c r="P2382" s="67"/>
      <c r="Q2382" s="67"/>
      <c r="R2382" s="67"/>
      <c r="S2382" s="67"/>
      <c r="T2382" s="161"/>
      <c r="U2382" s="69"/>
      <c r="V2382" s="73"/>
      <c r="W2382" s="71"/>
      <c r="X2382" s="194"/>
      <c r="Y2382" s="216"/>
      <c r="Z2382" s="73"/>
      <c r="AA2382" s="73"/>
      <c r="AB2382" s="73"/>
      <c r="AC2382" s="73"/>
      <c r="AD2382" s="73"/>
      <c r="AE2382" s="73"/>
      <c r="AF2382" s="73"/>
      <c r="AG2382" s="73"/>
      <c r="AH2382" s="73"/>
      <c r="AI2382" s="73"/>
      <c r="AJ2382" s="161"/>
      <c r="AK2382" s="236"/>
      <c r="AL2382" s="269"/>
      <c r="AM2382" s="161"/>
      <c r="AN2382" s="161"/>
      <c r="AO2382" s="161"/>
      <c r="AP2382" s="161"/>
      <c r="AQ2382" s="161"/>
      <c r="AR2382" s="161"/>
      <c r="AS2382" s="161"/>
      <c r="AT2382" s="161"/>
      <c r="AU2382" s="89"/>
      <c r="AV2382" s="162"/>
      <c r="AW2382" s="73"/>
    </row>
    <row r="2383" ht="15.75" customHeight="1">
      <c r="A2383" s="216"/>
      <c r="B2383" s="73"/>
      <c r="C2383" s="216"/>
      <c r="D2383" s="241"/>
      <c r="E2383" s="241"/>
      <c r="F2383" s="89"/>
      <c r="G2383" s="476"/>
      <c r="H2383" s="73"/>
      <c r="I2383" s="551"/>
      <c r="J2383" s="476"/>
      <c r="K2383" s="69"/>
      <c r="L2383" s="61"/>
      <c r="M2383" s="61"/>
      <c r="N2383" s="73"/>
      <c r="O2383" s="66"/>
      <c r="P2383" s="67"/>
      <c r="Q2383" s="67"/>
      <c r="R2383" s="67"/>
      <c r="S2383" s="67"/>
      <c r="T2383" s="161"/>
      <c r="U2383" s="69"/>
      <c r="V2383" s="73"/>
      <c r="W2383" s="71"/>
      <c r="X2383" s="194"/>
      <c r="Y2383" s="216"/>
      <c r="Z2383" s="73"/>
      <c r="AA2383" s="73"/>
      <c r="AB2383" s="73"/>
      <c r="AC2383" s="73"/>
      <c r="AD2383" s="73"/>
      <c r="AE2383" s="73"/>
      <c r="AF2383" s="73"/>
      <c r="AG2383" s="73"/>
      <c r="AH2383" s="73"/>
      <c r="AI2383" s="73"/>
      <c r="AJ2383" s="161"/>
      <c r="AK2383" s="236"/>
      <c r="AL2383" s="269"/>
      <c r="AM2383" s="161"/>
      <c r="AN2383" s="161"/>
      <c r="AO2383" s="161"/>
      <c r="AP2383" s="161"/>
      <c r="AQ2383" s="161"/>
      <c r="AR2383" s="161"/>
      <c r="AS2383" s="161"/>
      <c r="AT2383" s="161"/>
      <c r="AU2383" s="89"/>
      <c r="AV2383" s="162"/>
      <c r="AW2383" s="73"/>
    </row>
    <row r="2384" ht="15.75" customHeight="1">
      <c r="A2384" s="216"/>
      <c r="B2384" s="73"/>
      <c r="C2384" s="216"/>
      <c r="D2384" s="241"/>
      <c r="E2384" s="241"/>
      <c r="F2384" s="89"/>
      <c r="G2384" s="476"/>
      <c r="H2384" s="73"/>
      <c r="I2384" s="551"/>
      <c r="J2384" s="476"/>
      <c r="K2384" s="69"/>
      <c r="L2384" s="61"/>
      <c r="M2384" s="61"/>
      <c r="N2384" s="73"/>
      <c r="O2384" s="66"/>
      <c r="P2384" s="67"/>
      <c r="Q2384" s="67"/>
      <c r="R2384" s="67"/>
      <c r="S2384" s="67"/>
      <c r="T2384" s="161"/>
      <c r="U2384" s="69"/>
      <c r="V2384" s="73"/>
      <c r="W2384" s="71"/>
      <c r="X2384" s="194"/>
      <c r="Y2384" s="216"/>
      <c r="Z2384" s="73"/>
      <c r="AA2384" s="73"/>
      <c r="AB2384" s="73"/>
      <c r="AC2384" s="73"/>
      <c r="AD2384" s="73"/>
      <c r="AE2384" s="73"/>
      <c r="AF2384" s="73"/>
      <c r="AG2384" s="73"/>
      <c r="AH2384" s="73"/>
      <c r="AI2384" s="73"/>
      <c r="AJ2384" s="161"/>
      <c r="AK2384" s="236"/>
      <c r="AL2384" s="269"/>
      <c r="AM2384" s="161"/>
      <c r="AN2384" s="161"/>
      <c r="AO2384" s="161"/>
      <c r="AP2384" s="161"/>
      <c r="AQ2384" s="161"/>
      <c r="AR2384" s="161"/>
      <c r="AS2384" s="161"/>
      <c r="AT2384" s="161"/>
      <c r="AU2384" s="89"/>
      <c r="AV2384" s="162"/>
      <c r="AW2384" s="73"/>
    </row>
    <row r="2385" ht="15.75" customHeight="1">
      <c r="A2385" s="216"/>
      <c r="B2385" s="73"/>
      <c r="C2385" s="216"/>
      <c r="D2385" s="241"/>
      <c r="E2385" s="241"/>
      <c r="F2385" s="89"/>
      <c r="G2385" s="476"/>
      <c r="H2385" s="73"/>
      <c r="I2385" s="551"/>
      <c r="J2385" s="476"/>
      <c r="K2385" s="69"/>
      <c r="L2385" s="61"/>
      <c r="M2385" s="61"/>
      <c r="N2385" s="73"/>
      <c r="O2385" s="66"/>
      <c r="P2385" s="67"/>
      <c r="Q2385" s="67"/>
      <c r="R2385" s="67"/>
      <c r="S2385" s="67"/>
      <c r="T2385" s="161"/>
      <c r="U2385" s="69"/>
      <c r="V2385" s="73"/>
      <c r="W2385" s="71"/>
      <c r="X2385" s="194"/>
      <c r="Y2385" s="216"/>
      <c r="Z2385" s="73"/>
      <c r="AA2385" s="73"/>
      <c r="AB2385" s="73"/>
      <c r="AC2385" s="73"/>
      <c r="AD2385" s="73"/>
      <c r="AE2385" s="73"/>
      <c r="AF2385" s="73"/>
      <c r="AG2385" s="73"/>
      <c r="AH2385" s="73"/>
      <c r="AI2385" s="73"/>
      <c r="AJ2385" s="161"/>
      <c r="AK2385" s="236"/>
      <c r="AL2385" s="269"/>
      <c r="AM2385" s="161"/>
      <c r="AN2385" s="161"/>
      <c r="AO2385" s="161"/>
      <c r="AP2385" s="161"/>
      <c r="AQ2385" s="161"/>
      <c r="AR2385" s="161"/>
      <c r="AS2385" s="161"/>
      <c r="AT2385" s="161"/>
      <c r="AU2385" s="89"/>
      <c r="AV2385" s="162"/>
      <c r="AW2385" s="73"/>
    </row>
    <row r="2386" ht="15.75" customHeight="1">
      <c r="A2386" s="216"/>
      <c r="B2386" s="73"/>
      <c r="C2386" s="216"/>
      <c r="D2386" s="241"/>
      <c r="E2386" s="241"/>
      <c r="F2386" s="89"/>
      <c r="G2386" s="476"/>
      <c r="H2386" s="73"/>
      <c r="I2386" s="551"/>
      <c r="J2386" s="476"/>
      <c r="K2386" s="69"/>
      <c r="L2386" s="61"/>
      <c r="M2386" s="61"/>
      <c r="N2386" s="73"/>
      <c r="O2386" s="66"/>
      <c r="P2386" s="67"/>
      <c r="Q2386" s="67"/>
      <c r="R2386" s="67"/>
      <c r="S2386" s="67"/>
      <c r="T2386" s="161"/>
      <c r="U2386" s="69"/>
      <c r="V2386" s="73"/>
      <c r="W2386" s="71"/>
      <c r="X2386" s="194"/>
      <c r="Y2386" s="216"/>
      <c r="Z2386" s="73"/>
      <c r="AA2386" s="73"/>
      <c r="AB2386" s="73"/>
      <c r="AC2386" s="73"/>
      <c r="AD2386" s="73"/>
      <c r="AE2386" s="73"/>
      <c r="AF2386" s="73"/>
      <c r="AG2386" s="73"/>
      <c r="AH2386" s="73"/>
      <c r="AI2386" s="73"/>
      <c r="AJ2386" s="161"/>
      <c r="AK2386" s="236"/>
      <c r="AL2386" s="269"/>
      <c r="AM2386" s="161"/>
      <c r="AN2386" s="161"/>
      <c r="AO2386" s="161"/>
      <c r="AP2386" s="161"/>
      <c r="AQ2386" s="161"/>
      <c r="AR2386" s="161"/>
      <c r="AS2386" s="161"/>
      <c r="AT2386" s="161"/>
      <c r="AU2386" s="89"/>
      <c r="AV2386" s="162"/>
      <c r="AW2386" s="73"/>
    </row>
    <row r="2387" ht="15.75" customHeight="1">
      <c r="A2387" s="216"/>
      <c r="B2387" s="73"/>
      <c r="C2387" s="216"/>
      <c r="D2387" s="241"/>
      <c r="E2387" s="241"/>
      <c r="F2387" s="89"/>
      <c r="G2387" s="476"/>
      <c r="H2387" s="73"/>
      <c r="I2387" s="551"/>
      <c r="J2387" s="476"/>
      <c r="K2387" s="69"/>
      <c r="L2387" s="61"/>
      <c r="M2387" s="61"/>
      <c r="N2387" s="73"/>
      <c r="O2387" s="66"/>
      <c r="P2387" s="67"/>
      <c r="Q2387" s="67"/>
      <c r="R2387" s="67"/>
      <c r="S2387" s="67"/>
      <c r="T2387" s="161"/>
      <c r="U2387" s="69"/>
      <c r="V2387" s="73"/>
      <c r="W2387" s="71"/>
      <c r="X2387" s="194"/>
      <c r="Y2387" s="216"/>
      <c r="Z2387" s="73"/>
      <c r="AA2387" s="73"/>
      <c r="AB2387" s="73"/>
      <c r="AC2387" s="73"/>
      <c r="AD2387" s="73"/>
      <c r="AE2387" s="73"/>
      <c r="AF2387" s="73"/>
      <c r="AG2387" s="73"/>
      <c r="AH2387" s="73"/>
      <c r="AI2387" s="73"/>
      <c r="AJ2387" s="161"/>
      <c r="AK2387" s="236"/>
      <c r="AL2387" s="269"/>
      <c r="AM2387" s="161"/>
      <c r="AN2387" s="161"/>
      <c r="AO2387" s="161"/>
      <c r="AP2387" s="161"/>
      <c r="AQ2387" s="161"/>
      <c r="AR2387" s="161"/>
      <c r="AS2387" s="161"/>
      <c r="AT2387" s="161"/>
      <c r="AU2387" s="89"/>
      <c r="AV2387" s="162"/>
      <c r="AW2387" s="73"/>
    </row>
    <row r="2388" ht="15.75" customHeight="1">
      <c r="A2388" s="216"/>
      <c r="B2388" s="73"/>
      <c r="C2388" s="216"/>
      <c r="D2388" s="241"/>
      <c r="E2388" s="241"/>
      <c r="F2388" s="89"/>
      <c r="G2388" s="476"/>
      <c r="H2388" s="73"/>
      <c r="I2388" s="551"/>
      <c r="J2388" s="476"/>
      <c r="K2388" s="69"/>
      <c r="L2388" s="61"/>
      <c r="M2388" s="61"/>
      <c r="N2388" s="73"/>
      <c r="O2388" s="66"/>
      <c r="P2388" s="67"/>
      <c r="Q2388" s="67"/>
      <c r="R2388" s="67"/>
      <c r="S2388" s="67"/>
      <c r="T2388" s="161"/>
      <c r="U2388" s="69"/>
      <c r="V2388" s="73"/>
      <c r="W2388" s="71"/>
      <c r="X2388" s="194"/>
      <c r="Y2388" s="216"/>
      <c r="Z2388" s="73"/>
      <c r="AA2388" s="73"/>
      <c r="AB2388" s="73"/>
      <c r="AC2388" s="73"/>
      <c r="AD2388" s="73"/>
      <c r="AE2388" s="73"/>
      <c r="AF2388" s="73"/>
      <c r="AG2388" s="73"/>
      <c r="AH2388" s="73"/>
      <c r="AI2388" s="73"/>
      <c r="AJ2388" s="161"/>
      <c r="AK2388" s="236"/>
      <c r="AL2388" s="269"/>
      <c r="AM2388" s="161"/>
      <c r="AN2388" s="161"/>
      <c r="AO2388" s="161"/>
      <c r="AP2388" s="161"/>
      <c r="AQ2388" s="161"/>
      <c r="AR2388" s="161"/>
      <c r="AS2388" s="161"/>
      <c r="AT2388" s="161"/>
      <c r="AU2388" s="89"/>
      <c r="AV2388" s="162"/>
      <c r="AW2388" s="73"/>
    </row>
    <row r="2389" ht="15.75" customHeight="1">
      <c r="A2389" s="216"/>
      <c r="B2389" s="73"/>
      <c r="C2389" s="216"/>
      <c r="D2389" s="241"/>
      <c r="E2389" s="241"/>
      <c r="F2389" s="89"/>
      <c r="G2389" s="476"/>
      <c r="H2389" s="73"/>
      <c r="I2389" s="551"/>
      <c r="J2389" s="476"/>
      <c r="K2389" s="69"/>
      <c r="L2389" s="61"/>
      <c r="M2389" s="61"/>
      <c r="N2389" s="73"/>
      <c r="O2389" s="66"/>
      <c r="P2389" s="67"/>
      <c r="Q2389" s="67"/>
      <c r="R2389" s="67"/>
      <c r="S2389" s="67"/>
      <c r="T2389" s="161"/>
      <c r="U2389" s="69"/>
      <c r="V2389" s="73"/>
      <c r="W2389" s="71"/>
      <c r="X2389" s="194"/>
      <c r="Y2389" s="216"/>
      <c r="Z2389" s="73"/>
      <c r="AA2389" s="73"/>
      <c r="AB2389" s="73"/>
      <c r="AC2389" s="73"/>
      <c r="AD2389" s="73"/>
      <c r="AE2389" s="73"/>
      <c r="AF2389" s="73"/>
      <c r="AG2389" s="73"/>
      <c r="AH2389" s="73"/>
      <c r="AI2389" s="73"/>
      <c r="AJ2389" s="161"/>
      <c r="AK2389" s="236"/>
      <c r="AL2389" s="269"/>
      <c r="AM2389" s="161"/>
      <c r="AN2389" s="161"/>
      <c r="AO2389" s="161"/>
      <c r="AP2389" s="161"/>
      <c r="AQ2389" s="161"/>
      <c r="AR2389" s="161"/>
      <c r="AS2389" s="161"/>
      <c r="AT2389" s="161"/>
      <c r="AU2389" s="89"/>
      <c r="AV2389" s="162"/>
      <c r="AW2389" s="73"/>
    </row>
    <row r="2390" ht="15.75" customHeight="1">
      <c r="A2390" s="216"/>
      <c r="B2390" s="73"/>
      <c r="C2390" s="216"/>
      <c r="D2390" s="241"/>
      <c r="E2390" s="241"/>
      <c r="F2390" s="89"/>
      <c r="G2390" s="476"/>
      <c r="H2390" s="73"/>
      <c r="I2390" s="551"/>
      <c r="J2390" s="476"/>
      <c r="K2390" s="69"/>
      <c r="L2390" s="61"/>
      <c r="M2390" s="61"/>
      <c r="N2390" s="73"/>
      <c r="O2390" s="66"/>
      <c r="P2390" s="67"/>
      <c r="Q2390" s="67"/>
      <c r="R2390" s="67"/>
      <c r="S2390" s="67"/>
      <c r="T2390" s="161"/>
      <c r="U2390" s="69"/>
      <c r="V2390" s="73"/>
      <c r="W2390" s="71"/>
      <c r="X2390" s="194"/>
      <c r="Y2390" s="216"/>
      <c r="Z2390" s="73"/>
      <c r="AA2390" s="73"/>
      <c r="AB2390" s="73"/>
      <c r="AC2390" s="73"/>
      <c r="AD2390" s="73"/>
      <c r="AE2390" s="73"/>
      <c r="AF2390" s="73"/>
      <c r="AG2390" s="73"/>
      <c r="AH2390" s="73"/>
      <c r="AI2390" s="73"/>
      <c r="AJ2390" s="161"/>
      <c r="AK2390" s="236"/>
      <c r="AL2390" s="269"/>
      <c r="AM2390" s="161"/>
      <c r="AN2390" s="161"/>
      <c r="AO2390" s="161"/>
      <c r="AP2390" s="161"/>
      <c r="AQ2390" s="161"/>
      <c r="AR2390" s="161"/>
      <c r="AS2390" s="161"/>
      <c r="AT2390" s="161"/>
      <c r="AU2390" s="89"/>
      <c r="AV2390" s="162"/>
      <c r="AW2390" s="73"/>
    </row>
    <row r="2391" ht="15.75" customHeight="1">
      <c r="A2391" s="216"/>
      <c r="B2391" s="73"/>
      <c r="C2391" s="216"/>
      <c r="D2391" s="241"/>
      <c r="E2391" s="241"/>
      <c r="F2391" s="89"/>
      <c r="G2391" s="476"/>
      <c r="H2391" s="73"/>
      <c r="I2391" s="551"/>
      <c r="J2391" s="476"/>
      <c r="K2391" s="69"/>
      <c r="L2391" s="61"/>
      <c r="M2391" s="61"/>
      <c r="N2391" s="73"/>
      <c r="O2391" s="66"/>
      <c r="P2391" s="67"/>
      <c r="Q2391" s="67"/>
      <c r="R2391" s="67"/>
      <c r="S2391" s="67"/>
      <c r="T2391" s="161"/>
      <c r="U2391" s="69"/>
      <c r="V2391" s="73"/>
      <c r="W2391" s="71"/>
      <c r="X2391" s="194"/>
      <c r="Y2391" s="216"/>
      <c r="Z2391" s="73"/>
      <c r="AA2391" s="73"/>
      <c r="AB2391" s="73"/>
      <c r="AC2391" s="73"/>
      <c r="AD2391" s="73"/>
      <c r="AE2391" s="73"/>
      <c r="AF2391" s="73"/>
      <c r="AG2391" s="73"/>
      <c r="AH2391" s="73"/>
      <c r="AI2391" s="73"/>
      <c r="AJ2391" s="161"/>
      <c r="AK2391" s="236"/>
      <c r="AL2391" s="269"/>
      <c r="AM2391" s="161"/>
      <c r="AN2391" s="161"/>
      <c r="AO2391" s="161"/>
      <c r="AP2391" s="161"/>
      <c r="AQ2391" s="161"/>
      <c r="AR2391" s="161"/>
      <c r="AS2391" s="161"/>
      <c r="AT2391" s="161"/>
      <c r="AU2391" s="89"/>
      <c r="AV2391" s="162"/>
      <c r="AW2391" s="73"/>
    </row>
    <row r="2392" ht="15.75" customHeight="1">
      <c r="A2392" s="216"/>
      <c r="B2392" s="73"/>
      <c r="C2392" s="216"/>
      <c r="D2392" s="241"/>
      <c r="E2392" s="241"/>
      <c r="F2392" s="89"/>
      <c r="G2392" s="476"/>
      <c r="H2392" s="73"/>
      <c r="I2392" s="551"/>
      <c r="J2392" s="476"/>
      <c r="K2392" s="69"/>
      <c r="L2392" s="61"/>
      <c r="M2392" s="61"/>
      <c r="N2392" s="73"/>
      <c r="O2392" s="66"/>
      <c r="P2392" s="67"/>
      <c r="Q2392" s="67"/>
      <c r="R2392" s="67"/>
      <c r="S2392" s="67"/>
      <c r="T2392" s="161"/>
      <c r="U2392" s="69"/>
      <c r="V2392" s="73"/>
      <c r="W2392" s="71"/>
      <c r="X2392" s="194"/>
      <c r="Y2392" s="216"/>
      <c r="Z2392" s="73"/>
      <c r="AA2392" s="73"/>
      <c r="AB2392" s="73"/>
      <c r="AC2392" s="73"/>
      <c r="AD2392" s="73"/>
      <c r="AE2392" s="73"/>
      <c r="AF2392" s="73"/>
      <c r="AG2392" s="73"/>
      <c r="AH2392" s="73"/>
      <c r="AI2392" s="73"/>
      <c r="AJ2392" s="161"/>
      <c r="AK2392" s="236"/>
      <c r="AL2392" s="269"/>
      <c r="AM2392" s="161"/>
      <c r="AN2392" s="161"/>
      <c r="AO2392" s="161"/>
      <c r="AP2392" s="161"/>
      <c r="AQ2392" s="161"/>
      <c r="AR2392" s="161"/>
      <c r="AS2392" s="161"/>
      <c r="AT2392" s="161"/>
      <c r="AU2392" s="89"/>
      <c r="AV2392" s="162"/>
      <c r="AW2392" s="73"/>
    </row>
    <row r="2393" ht="15.75" customHeight="1">
      <c r="A2393" s="216"/>
      <c r="B2393" s="73"/>
      <c r="C2393" s="216"/>
      <c r="D2393" s="241"/>
      <c r="E2393" s="241"/>
      <c r="F2393" s="89"/>
      <c r="G2393" s="476"/>
      <c r="H2393" s="73"/>
      <c r="I2393" s="551"/>
      <c r="J2393" s="476"/>
      <c r="K2393" s="69"/>
      <c r="L2393" s="61"/>
      <c r="M2393" s="61"/>
      <c r="N2393" s="73"/>
      <c r="O2393" s="66"/>
      <c r="P2393" s="67"/>
      <c r="Q2393" s="67"/>
      <c r="R2393" s="67"/>
      <c r="S2393" s="67"/>
      <c r="T2393" s="161"/>
      <c r="U2393" s="69"/>
      <c r="V2393" s="73"/>
      <c r="W2393" s="71"/>
      <c r="X2393" s="194"/>
      <c r="Y2393" s="216"/>
      <c r="Z2393" s="73"/>
      <c r="AA2393" s="73"/>
      <c r="AB2393" s="73"/>
      <c r="AC2393" s="73"/>
      <c r="AD2393" s="73"/>
      <c r="AE2393" s="73"/>
      <c r="AF2393" s="73"/>
      <c r="AG2393" s="73"/>
      <c r="AH2393" s="73"/>
      <c r="AI2393" s="73"/>
      <c r="AJ2393" s="161"/>
      <c r="AK2393" s="236"/>
      <c r="AL2393" s="269"/>
      <c r="AM2393" s="161"/>
      <c r="AN2393" s="161"/>
      <c r="AO2393" s="161"/>
      <c r="AP2393" s="161"/>
      <c r="AQ2393" s="161"/>
      <c r="AR2393" s="161"/>
      <c r="AS2393" s="161"/>
      <c r="AT2393" s="161"/>
      <c r="AU2393" s="89"/>
      <c r="AV2393" s="162"/>
      <c r="AW2393" s="73"/>
    </row>
    <row r="2394" ht="15.75" customHeight="1">
      <c r="A2394" s="216"/>
      <c r="B2394" s="73"/>
      <c r="C2394" s="216"/>
      <c r="D2394" s="241"/>
      <c r="E2394" s="241"/>
      <c r="F2394" s="89"/>
      <c r="G2394" s="476"/>
      <c r="H2394" s="73"/>
      <c r="I2394" s="551"/>
      <c r="J2394" s="476"/>
      <c r="K2394" s="69"/>
      <c r="L2394" s="61"/>
      <c r="M2394" s="61"/>
      <c r="N2394" s="73"/>
      <c r="O2394" s="66"/>
      <c r="P2394" s="67"/>
      <c r="Q2394" s="67"/>
      <c r="R2394" s="67"/>
      <c r="S2394" s="67"/>
      <c r="T2394" s="161"/>
      <c r="U2394" s="69"/>
      <c r="V2394" s="73"/>
      <c r="W2394" s="71"/>
      <c r="X2394" s="194"/>
      <c r="Y2394" s="216"/>
      <c r="Z2394" s="73"/>
      <c r="AA2394" s="73"/>
      <c r="AB2394" s="73"/>
      <c r="AC2394" s="73"/>
      <c r="AD2394" s="73"/>
      <c r="AE2394" s="73"/>
      <c r="AF2394" s="73"/>
      <c r="AG2394" s="73"/>
      <c r="AH2394" s="73"/>
      <c r="AI2394" s="73"/>
      <c r="AJ2394" s="161"/>
      <c r="AK2394" s="236"/>
      <c r="AL2394" s="269"/>
      <c r="AM2394" s="161"/>
      <c r="AN2394" s="161"/>
      <c r="AO2394" s="161"/>
      <c r="AP2394" s="161"/>
      <c r="AQ2394" s="161"/>
      <c r="AR2394" s="161"/>
      <c r="AS2394" s="161"/>
      <c r="AT2394" s="161"/>
      <c r="AU2394" s="89"/>
      <c r="AV2394" s="162"/>
      <c r="AW2394" s="73"/>
    </row>
    <row r="2395" ht="15.75" customHeight="1">
      <c r="A2395" s="216"/>
      <c r="B2395" s="73"/>
      <c r="C2395" s="216"/>
      <c r="D2395" s="241"/>
      <c r="E2395" s="241"/>
      <c r="F2395" s="89"/>
      <c r="G2395" s="476"/>
      <c r="H2395" s="73"/>
      <c r="I2395" s="551"/>
      <c r="J2395" s="476"/>
      <c r="K2395" s="69"/>
      <c r="L2395" s="61"/>
      <c r="M2395" s="61"/>
      <c r="N2395" s="73"/>
      <c r="O2395" s="66"/>
      <c r="P2395" s="67"/>
      <c r="Q2395" s="67"/>
      <c r="R2395" s="67"/>
      <c r="S2395" s="67"/>
      <c r="T2395" s="161"/>
      <c r="U2395" s="69"/>
      <c r="V2395" s="73"/>
      <c r="W2395" s="71"/>
      <c r="X2395" s="194"/>
      <c r="Y2395" s="216"/>
      <c r="Z2395" s="73"/>
      <c r="AA2395" s="73"/>
      <c r="AB2395" s="73"/>
      <c r="AC2395" s="73"/>
      <c r="AD2395" s="73"/>
      <c r="AE2395" s="73"/>
      <c r="AF2395" s="73"/>
      <c r="AG2395" s="73"/>
      <c r="AH2395" s="73"/>
      <c r="AI2395" s="73"/>
      <c r="AJ2395" s="161"/>
      <c r="AK2395" s="236"/>
      <c r="AL2395" s="269"/>
      <c r="AM2395" s="161"/>
      <c r="AN2395" s="161"/>
      <c r="AO2395" s="161"/>
      <c r="AP2395" s="161"/>
      <c r="AQ2395" s="161"/>
      <c r="AR2395" s="161"/>
      <c r="AS2395" s="161"/>
      <c r="AT2395" s="161"/>
      <c r="AU2395" s="89"/>
      <c r="AV2395" s="162"/>
      <c r="AW2395" s="73"/>
    </row>
    <row r="2396" ht="15.75" customHeight="1">
      <c r="A2396" s="216"/>
      <c r="B2396" s="73"/>
      <c r="C2396" s="216"/>
      <c r="D2396" s="241"/>
      <c r="E2396" s="241"/>
      <c r="F2396" s="89"/>
      <c r="G2396" s="476"/>
      <c r="H2396" s="73"/>
      <c r="I2396" s="551"/>
      <c r="J2396" s="476"/>
      <c r="K2396" s="69"/>
      <c r="L2396" s="61"/>
      <c r="M2396" s="61"/>
      <c r="N2396" s="73"/>
      <c r="O2396" s="66"/>
      <c r="P2396" s="67"/>
      <c r="Q2396" s="67"/>
      <c r="R2396" s="67"/>
      <c r="S2396" s="67"/>
      <c r="T2396" s="161"/>
      <c r="U2396" s="69"/>
      <c r="V2396" s="73"/>
      <c r="W2396" s="71"/>
      <c r="X2396" s="194"/>
      <c r="Y2396" s="216"/>
      <c r="Z2396" s="73"/>
      <c r="AA2396" s="73"/>
      <c r="AB2396" s="73"/>
      <c r="AC2396" s="73"/>
      <c r="AD2396" s="73"/>
      <c r="AE2396" s="73"/>
      <c r="AF2396" s="73"/>
      <c r="AG2396" s="73"/>
      <c r="AH2396" s="73"/>
      <c r="AI2396" s="73"/>
      <c r="AJ2396" s="161"/>
      <c r="AK2396" s="236"/>
      <c r="AL2396" s="269"/>
      <c r="AM2396" s="161"/>
      <c r="AN2396" s="161"/>
      <c r="AO2396" s="161"/>
      <c r="AP2396" s="161"/>
      <c r="AQ2396" s="161"/>
      <c r="AR2396" s="161"/>
      <c r="AS2396" s="161"/>
      <c r="AT2396" s="161"/>
      <c r="AU2396" s="89"/>
      <c r="AV2396" s="162"/>
      <c r="AW2396" s="73"/>
    </row>
    <row r="2397" ht="15.75" customHeight="1">
      <c r="A2397" s="216"/>
      <c r="B2397" s="73"/>
      <c r="C2397" s="216"/>
      <c r="D2397" s="241"/>
      <c r="E2397" s="241"/>
      <c r="F2397" s="89"/>
      <c r="G2397" s="476"/>
      <c r="H2397" s="73"/>
      <c r="I2397" s="551"/>
      <c r="J2397" s="476"/>
      <c r="K2397" s="69"/>
      <c r="L2397" s="61"/>
      <c r="M2397" s="61"/>
      <c r="N2397" s="73"/>
      <c r="O2397" s="66"/>
      <c r="P2397" s="67"/>
      <c r="Q2397" s="67"/>
      <c r="R2397" s="67"/>
      <c r="S2397" s="67"/>
      <c r="T2397" s="161"/>
      <c r="U2397" s="69"/>
      <c r="V2397" s="73"/>
      <c r="W2397" s="71"/>
      <c r="X2397" s="194"/>
      <c r="Y2397" s="216"/>
      <c r="Z2397" s="73"/>
      <c r="AA2397" s="73"/>
      <c r="AB2397" s="73"/>
      <c r="AC2397" s="73"/>
      <c r="AD2397" s="73"/>
      <c r="AE2397" s="73"/>
      <c r="AF2397" s="73"/>
      <c r="AG2397" s="73"/>
      <c r="AH2397" s="73"/>
      <c r="AI2397" s="73"/>
      <c r="AJ2397" s="161"/>
      <c r="AK2397" s="236"/>
      <c r="AL2397" s="269"/>
      <c r="AM2397" s="161"/>
      <c r="AN2397" s="161"/>
      <c r="AO2397" s="161"/>
      <c r="AP2397" s="161"/>
      <c r="AQ2397" s="161"/>
      <c r="AR2397" s="161"/>
      <c r="AS2397" s="161"/>
      <c r="AT2397" s="161"/>
      <c r="AU2397" s="89"/>
      <c r="AV2397" s="162"/>
      <c r="AW2397" s="73"/>
    </row>
    <row r="2398" ht="15.75" customHeight="1">
      <c r="A2398" s="216"/>
      <c r="B2398" s="73"/>
      <c r="C2398" s="216"/>
      <c r="D2398" s="241"/>
      <c r="E2398" s="241"/>
      <c r="F2398" s="89"/>
      <c r="G2398" s="476"/>
      <c r="H2398" s="73"/>
      <c r="I2398" s="551"/>
      <c r="J2398" s="476"/>
      <c r="K2398" s="69"/>
      <c r="L2398" s="61"/>
      <c r="M2398" s="61"/>
      <c r="N2398" s="73"/>
      <c r="O2398" s="66"/>
      <c r="P2398" s="67"/>
      <c r="Q2398" s="67"/>
      <c r="R2398" s="67"/>
      <c r="S2398" s="67"/>
      <c r="T2398" s="161"/>
      <c r="U2398" s="69"/>
      <c r="V2398" s="73"/>
      <c r="W2398" s="71"/>
      <c r="X2398" s="194"/>
      <c r="Y2398" s="216"/>
      <c r="Z2398" s="73"/>
      <c r="AA2398" s="73"/>
      <c r="AB2398" s="73"/>
      <c r="AC2398" s="73"/>
      <c r="AD2398" s="73"/>
      <c r="AE2398" s="73"/>
      <c r="AF2398" s="73"/>
      <c r="AG2398" s="73"/>
      <c r="AH2398" s="73"/>
      <c r="AI2398" s="73"/>
      <c r="AJ2398" s="161"/>
      <c r="AK2398" s="236"/>
      <c r="AL2398" s="269"/>
      <c r="AM2398" s="161"/>
      <c r="AN2398" s="161"/>
      <c r="AO2398" s="161"/>
      <c r="AP2398" s="161"/>
      <c r="AQ2398" s="161"/>
      <c r="AR2398" s="161"/>
      <c r="AS2398" s="161"/>
      <c r="AT2398" s="161"/>
      <c r="AU2398" s="89"/>
      <c r="AV2398" s="162"/>
      <c r="AW2398" s="73"/>
    </row>
    <row r="2399" ht="15.75" customHeight="1">
      <c r="A2399" s="216"/>
      <c r="B2399" s="73"/>
      <c r="C2399" s="216"/>
      <c r="D2399" s="241"/>
      <c r="E2399" s="241"/>
      <c r="F2399" s="89"/>
      <c r="G2399" s="476"/>
      <c r="H2399" s="73"/>
      <c r="I2399" s="551"/>
      <c r="J2399" s="476"/>
      <c r="K2399" s="69"/>
      <c r="L2399" s="61"/>
      <c r="M2399" s="61"/>
      <c r="N2399" s="73"/>
      <c r="O2399" s="66"/>
      <c r="P2399" s="67"/>
      <c r="Q2399" s="67"/>
      <c r="R2399" s="67"/>
      <c r="S2399" s="67"/>
      <c r="T2399" s="161"/>
      <c r="U2399" s="69"/>
      <c r="V2399" s="73"/>
      <c r="W2399" s="71"/>
      <c r="X2399" s="194"/>
      <c r="Y2399" s="216"/>
      <c r="Z2399" s="73"/>
      <c r="AA2399" s="73"/>
      <c r="AB2399" s="73"/>
      <c r="AC2399" s="73"/>
      <c r="AD2399" s="73"/>
      <c r="AE2399" s="73"/>
      <c r="AF2399" s="73"/>
      <c r="AG2399" s="73"/>
      <c r="AH2399" s="73"/>
      <c r="AI2399" s="73"/>
      <c r="AJ2399" s="161"/>
      <c r="AK2399" s="236"/>
      <c r="AL2399" s="269"/>
      <c r="AM2399" s="161"/>
      <c r="AN2399" s="161"/>
      <c r="AO2399" s="161"/>
      <c r="AP2399" s="161"/>
      <c r="AQ2399" s="161"/>
      <c r="AR2399" s="161"/>
      <c r="AS2399" s="161"/>
      <c r="AT2399" s="161"/>
      <c r="AU2399" s="89"/>
      <c r="AV2399" s="162"/>
      <c r="AW2399" s="73"/>
    </row>
    <row r="2400" ht="15.75" customHeight="1">
      <c r="A2400" s="216"/>
      <c r="B2400" s="73"/>
      <c r="C2400" s="216"/>
      <c r="D2400" s="241"/>
      <c r="E2400" s="241"/>
      <c r="F2400" s="89"/>
      <c r="G2400" s="476"/>
      <c r="H2400" s="73"/>
      <c r="I2400" s="551"/>
      <c r="J2400" s="476"/>
      <c r="K2400" s="69"/>
      <c r="L2400" s="61"/>
      <c r="M2400" s="61"/>
      <c r="N2400" s="73"/>
      <c r="O2400" s="66"/>
      <c r="P2400" s="67"/>
      <c r="Q2400" s="67"/>
      <c r="R2400" s="67"/>
      <c r="S2400" s="67"/>
      <c r="T2400" s="161"/>
      <c r="U2400" s="69"/>
      <c r="V2400" s="73"/>
      <c r="W2400" s="71"/>
      <c r="X2400" s="194"/>
      <c r="Y2400" s="216"/>
      <c r="Z2400" s="73"/>
      <c r="AA2400" s="73"/>
      <c r="AB2400" s="73"/>
      <c r="AC2400" s="73"/>
      <c r="AD2400" s="73"/>
      <c r="AE2400" s="73"/>
      <c r="AF2400" s="73"/>
      <c r="AG2400" s="73"/>
      <c r="AH2400" s="73"/>
      <c r="AI2400" s="73"/>
      <c r="AJ2400" s="161"/>
      <c r="AK2400" s="236"/>
      <c r="AL2400" s="269"/>
      <c r="AM2400" s="161"/>
      <c r="AN2400" s="161"/>
      <c r="AO2400" s="161"/>
      <c r="AP2400" s="161"/>
      <c r="AQ2400" s="161"/>
      <c r="AR2400" s="161"/>
      <c r="AS2400" s="161"/>
      <c r="AT2400" s="161"/>
      <c r="AU2400" s="89"/>
      <c r="AV2400" s="162"/>
      <c r="AW2400" s="73"/>
    </row>
    <row r="2401" ht="15.75" customHeight="1">
      <c r="A2401" s="216"/>
      <c r="B2401" s="73"/>
      <c r="C2401" s="216"/>
      <c r="D2401" s="241"/>
      <c r="E2401" s="241"/>
      <c r="F2401" s="89"/>
      <c r="G2401" s="476"/>
      <c r="H2401" s="73"/>
      <c r="I2401" s="551"/>
      <c r="J2401" s="476"/>
      <c r="K2401" s="69"/>
      <c r="L2401" s="61"/>
      <c r="M2401" s="61"/>
      <c r="N2401" s="73"/>
      <c r="O2401" s="66"/>
      <c r="P2401" s="67"/>
      <c r="Q2401" s="67"/>
      <c r="R2401" s="67"/>
      <c r="S2401" s="67"/>
      <c r="T2401" s="161"/>
      <c r="U2401" s="69"/>
      <c r="V2401" s="73"/>
      <c r="W2401" s="71"/>
      <c r="X2401" s="194"/>
      <c r="Y2401" s="216"/>
      <c r="Z2401" s="73"/>
      <c r="AA2401" s="73"/>
      <c r="AB2401" s="73"/>
      <c r="AC2401" s="73"/>
      <c r="AD2401" s="73"/>
      <c r="AE2401" s="73"/>
      <c r="AF2401" s="73"/>
      <c r="AG2401" s="73"/>
      <c r="AH2401" s="73"/>
      <c r="AI2401" s="73"/>
      <c r="AJ2401" s="161"/>
      <c r="AK2401" s="236"/>
      <c r="AL2401" s="269"/>
      <c r="AM2401" s="161"/>
      <c r="AN2401" s="161"/>
      <c r="AO2401" s="161"/>
      <c r="AP2401" s="161"/>
      <c r="AQ2401" s="161"/>
      <c r="AR2401" s="161"/>
      <c r="AS2401" s="161"/>
      <c r="AT2401" s="161"/>
      <c r="AU2401" s="89"/>
      <c r="AV2401" s="162"/>
      <c r="AW2401" s="73"/>
    </row>
    <row r="2402" ht="15.75" customHeight="1">
      <c r="A2402" s="216"/>
      <c r="B2402" s="73"/>
      <c r="C2402" s="216"/>
      <c r="D2402" s="241"/>
      <c r="E2402" s="241"/>
      <c r="F2402" s="89"/>
      <c r="G2402" s="476"/>
      <c r="H2402" s="73"/>
      <c r="I2402" s="551"/>
      <c r="J2402" s="476"/>
      <c r="K2402" s="69"/>
      <c r="L2402" s="61"/>
      <c r="M2402" s="61"/>
      <c r="N2402" s="73"/>
      <c r="O2402" s="66"/>
      <c r="P2402" s="67"/>
      <c r="Q2402" s="67"/>
      <c r="R2402" s="67"/>
      <c r="S2402" s="67"/>
      <c r="T2402" s="161"/>
      <c r="U2402" s="69"/>
      <c r="V2402" s="73"/>
      <c r="W2402" s="71"/>
      <c r="X2402" s="194"/>
      <c r="Y2402" s="216"/>
      <c r="Z2402" s="73"/>
      <c r="AA2402" s="73"/>
      <c r="AB2402" s="73"/>
      <c r="AC2402" s="73"/>
      <c r="AD2402" s="73"/>
      <c r="AE2402" s="73"/>
      <c r="AF2402" s="73"/>
      <c r="AG2402" s="73"/>
      <c r="AH2402" s="73"/>
      <c r="AI2402" s="73"/>
      <c r="AJ2402" s="161"/>
      <c r="AK2402" s="236"/>
      <c r="AL2402" s="269"/>
      <c r="AM2402" s="161"/>
      <c r="AN2402" s="161"/>
      <c r="AO2402" s="161"/>
      <c r="AP2402" s="161"/>
      <c r="AQ2402" s="161"/>
      <c r="AR2402" s="161"/>
      <c r="AS2402" s="161"/>
      <c r="AT2402" s="161"/>
      <c r="AU2402" s="89"/>
      <c r="AV2402" s="162"/>
      <c r="AW2402" s="73"/>
    </row>
    <row r="2403" ht="15.75" customHeight="1">
      <c r="A2403" s="216"/>
      <c r="B2403" s="73"/>
      <c r="C2403" s="216"/>
      <c r="D2403" s="241"/>
      <c r="E2403" s="241"/>
      <c r="F2403" s="89"/>
      <c r="G2403" s="476"/>
      <c r="H2403" s="73"/>
      <c r="I2403" s="551"/>
      <c r="J2403" s="476"/>
      <c r="K2403" s="69"/>
      <c r="L2403" s="61"/>
      <c r="M2403" s="61"/>
      <c r="N2403" s="73"/>
      <c r="O2403" s="66"/>
      <c r="P2403" s="67"/>
      <c r="Q2403" s="67"/>
      <c r="R2403" s="67"/>
      <c r="S2403" s="67"/>
      <c r="T2403" s="161"/>
      <c r="U2403" s="69"/>
      <c r="V2403" s="73"/>
      <c r="W2403" s="71"/>
      <c r="X2403" s="194"/>
      <c r="Y2403" s="216"/>
      <c r="Z2403" s="73"/>
      <c r="AA2403" s="73"/>
      <c r="AB2403" s="73"/>
      <c r="AC2403" s="73"/>
      <c r="AD2403" s="73"/>
      <c r="AE2403" s="73"/>
      <c r="AF2403" s="73"/>
      <c r="AG2403" s="73"/>
      <c r="AH2403" s="73"/>
      <c r="AI2403" s="73"/>
      <c r="AJ2403" s="161"/>
      <c r="AK2403" s="236"/>
      <c r="AL2403" s="269"/>
      <c r="AM2403" s="161"/>
      <c r="AN2403" s="161"/>
      <c r="AO2403" s="161"/>
      <c r="AP2403" s="161"/>
      <c r="AQ2403" s="161"/>
      <c r="AR2403" s="161"/>
      <c r="AS2403" s="161"/>
      <c r="AT2403" s="161"/>
      <c r="AU2403" s="89"/>
      <c r="AV2403" s="162"/>
      <c r="AW2403" s="73"/>
    </row>
    <row r="2404" ht="15.75" customHeight="1">
      <c r="A2404" s="216"/>
      <c r="B2404" s="73"/>
      <c r="C2404" s="216"/>
      <c r="D2404" s="241"/>
      <c r="E2404" s="241"/>
      <c r="F2404" s="89"/>
      <c r="G2404" s="476"/>
      <c r="H2404" s="73"/>
      <c r="I2404" s="551"/>
      <c r="J2404" s="476"/>
      <c r="K2404" s="69"/>
      <c r="L2404" s="61"/>
      <c r="M2404" s="61"/>
      <c r="N2404" s="73"/>
      <c r="O2404" s="66"/>
      <c r="P2404" s="67"/>
      <c r="Q2404" s="67"/>
      <c r="R2404" s="67"/>
      <c r="S2404" s="67"/>
      <c r="T2404" s="161"/>
      <c r="U2404" s="69"/>
      <c r="V2404" s="73"/>
      <c r="W2404" s="71"/>
      <c r="X2404" s="194"/>
      <c r="Y2404" s="216"/>
      <c r="Z2404" s="73"/>
      <c r="AA2404" s="73"/>
      <c r="AB2404" s="73"/>
      <c r="AC2404" s="73"/>
      <c r="AD2404" s="73"/>
      <c r="AE2404" s="73"/>
      <c r="AF2404" s="73"/>
      <c r="AG2404" s="73"/>
      <c r="AH2404" s="73"/>
      <c r="AI2404" s="73"/>
      <c r="AJ2404" s="161"/>
      <c r="AK2404" s="236"/>
      <c r="AL2404" s="269"/>
      <c r="AM2404" s="161"/>
      <c r="AN2404" s="161"/>
      <c r="AO2404" s="161"/>
      <c r="AP2404" s="161"/>
      <c r="AQ2404" s="161"/>
      <c r="AR2404" s="161"/>
      <c r="AS2404" s="161"/>
      <c r="AT2404" s="161"/>
      <c r="AU2404" s="89"/>
      <c r="AV2404" s="162"/>
      <c r="AW2404" s="73"/>
    </row>
    <row r="2405" ht="15.75" customHeight="1">
      <c r="A2405" s="216"/>
      <c r="B2405" s="73"/>
      <c r="C2405" s="216"/>
      <c r="D2405" s="241"/>
      <c r="E2405" s="241"/>
      <c r="F2405" s="89"/>
      <c r="G2405" s="476"/>
      <c r="H2405" s="73"/>
      <c r="I2405" s="551"/>
      <c r="J2405" s="476"/>
      <c r="K2405" s="69"/>
      <c r="L2405" s="61"/>
      <c r="M2405" s="61"/>
      <c r="N2405" s="73"/>
      <c r="O2405" s="66"/>
      <c r="P2405" s="67"/>
      <c r="Q2405" s="67"/>
      <c r="R2405" s="67"/>
      <c r="S2405" s="67"/>
      <c r="T2405" s="161"/>
      <c r="U2405" s="69"/>
      <c r="V2405" s="73"/>
      <c r="W2405" s="71"/>
      <c r="X2405" s="194"/>
      <c r="Y2405" s="216"/>
      <c r="Z2405" s="73"/>
      <c r="AA2405" s="73"/>
      <c r="AB2405" s="73"/>
      <c r="AC2405" s="73"/>
      <c r="AD2405" s="73"/>
      <c r="AE2405" s="73"/>
      <c r="AF2405" s="73"/>
      <c r="AG2405" s="73"/>
      <c r="AH2405" s="73"/>
      <c r="AI2405" s="73"/>
      <c r="AJ2405" s="161"/>
      <c r="AK2405" s="236"/>
      <c r="AL2405" s="269"/>
      <c r="AM2405" s="161"/>
      <c r="AN2405" s="161"/>
      <c r="AO2405" s="161"/>
      <c r="AP2405" s="161"/>
      <c r="AQ2405" s="161"/>
      <c r="AR2405" s="161"/>
      <c r="AS2405" s="161"/>
      <c r="AT2405" s="161"/>
      <c r="AU2405" s="89"/>
      <c r="AV2405" s="162"/>
      <c r="AW2405" s="73"/>
    </row>
    <row r="2406" ht="15.75" customHeight="1">
      <c r="A2406" s="216"/>
      <c r="B2406" s="73"/>
      <c r="C2406" s="216"/>
      <c r="D2406" s="241"/>
      <c r="E2406" s="241"/>
      <c r="F2406" s="89"/>
      <c r="G2406" s="476"/>
      <c r="H2406" s="73"/>
      <c r="I2406" s="551"/>
      <c r="J2406" s="476"/>
      <c r="K2406" s="69"/>
      <c r="L2406" s="61"/>
      <c r="M2406" s="61"/>
      <c r="N2406" s="73"/>
      <c r="O2406" s="66"/>
      <c r="P2406" s="67"/>
      <c r="Q2406" s="67"/>
      <c r="R2406" s="67"/>
      <c r="S2406" s="67"/>
      <c r="T2406" s="161"/>
      <c r="U2406" s="69"/>
      <c r="V2406" s="73"/>
      <c r="W2406" s="71"/>
      <c r="X2406" s="194"/>
      <c r="Y2406" s="216"/>
      <c r="Z2406" s="73"/>
      <c r="AA2406" s="73"/>
      <c r="AB2406" s="73"/>
      <c r="AC2406" s="73"/>
      <c r="AD2406" s="73"/>
      <c r="AE2406" s="73"/>
      <c r="AF2406" s="73"/>
      <c r="AG2406" s="73"/>
      <c r="AH2406" s="73"/>
      <c r="AI2406" s="73"/>
      <c r="AJ2406" s="161"/>
      <c r="AK2406" s="236"/>
      <c r="AL2406" s="269"/>
      <c r="AM2406" s="161"/>
      <c r="AN2406" s="161"/>
      <c r="AO2406" s="161"/>
      <c r="AP2406" s="161"/>
      <c r="AQ2406" s="161"/>
      <c r="AR2406" s="161"/>
      <c r="AS2406" s="161"/>
      <c r="AT2406" s="161"/>
      <c r="AU2406" s="89"/>
      <c r="AV2406" s="162"/>
      <c r="AW2406" s="73"/>
    </row>
    <row r="2407" ht="15.75" customHeight="1">
      <c r="A2407" s="216"/>
      <c r="B2407" s="73"/>
      <c r="C2407" s="216"/>
      <c r="D2407" s="241"/>
      <c r="E2407" s="241"/>
      <c r="F2407" s="89"/>
      <c r="G2407" s="476"/>
      <c r="H2407" s="73"/>
      <c r="I2407" s="551"/>
      <c r="J2407" s="476"/>
      <c r="K2407" s="69"/>
      <c r="L2407" s="61"/>
      <c r="M2407" s="61"/>
      <c r="N2407" s="73"/>
      <c r="O2407" s="66"/>
      <c r="P2407" s="67"/>
      <c r="Q2407" s="67"/>
      <c r="R2407" s="67"/>
      <c r="S2407" s="67"/>
      <c r="T2407" s="161"/>
      <c r="U2407" s="69"/>
      <c r="V2407" s="73"/>
      <c r="W2407" s="71"/>
      <c r="X2407" s="194"/>
      <c r="Y2407" s="216"/>
      <c r="Z2407" s="73"/>
      <c r="AA2407" s="73"/>
      <c r="AB2407" s="73"/>
      <c r="AC2407" s="73"/>
      <c r="AD2407" s="73"/>
      <c r="AE2407" s="73"/>
      <c r="AF2407" s="73"/>
      <c r="AG2407" s="73"/>
      <c r="AH2407" s="73"/>
      <c r="AI2407" s="73"/>
      <c r="AJ2407" s="161"/>
      <c r="AK2407" s="236"/>
      <c r="AL2407" s="269"/>
      <c r="AM2407" s="161"/>
      <c r="AN2407" s="161"/>
      <c r="AO2407" s="161"/>
      <c r="AP2407" s="161"/>
      <c r="AQ2407" s="161"/>
      <c r="AR2407" s="161"/>
      <c r="AS2407" s="161"/>
      <c r="AT2407" s="161"/>
      <c r="AU2407" s="89"/>
      <c r="AV2407" s="162"/>
      <c r="AW2407" s="73"/>
    </row>
    <row r="2408" ht="15.75" customHeight="1">
      <c r="A2408" s="216"/>
      <c r="B2408" s="73"/>
      <c r="C2408" s="216"/>
      <c r="D2408" s="241"/>
      <c r="E2408" s="241"/>
      <c r="F2408" s="89"/>
      <c r="G2408" s="476"/>
      <c r="H2408" s="73"/>
      <c r="I2408" s="551"/>
      <c r="J2408" s="476"/>
      <c r="K2408" s="69"/>
      <c r="L2408" s="61"/>
      <c r="M2408" s="61"/>
      <c r="N2408" s="73"/>
      <c r="O2408" s="66"/>
      <c r="P2408" s="67"/>
      <c r="Q2408" s="67"/>
      <c r="R2408" s="67"/>
      <c r="S2408" s="67"/>
      <c r="T2408" s="161"/>
      <c r="U2408" s="69"/>
      <c r="V2408" s="73"/>
      <c r="W2408" s="71"/>
      <c r="X2408" s="194"/>
      <c r="Y2408" s="216"/>
      <c r="Z2408" s="73"/>
      <c r="AA2408" s="73"/>
      <c r="AB2408" s="73"/>
      <c r="AC2408" s="73"/>
      <c r="AD2408" s="73"/>
      <c r="AE2408" s="73"/>
      <c r="AF2408" s="73"/>
      <c r="AG2408" s="73"/>
      <c r="AH2408" s="73"/>
      <c r="AI2408" s="73"/>
      <c r="AJ2408" s="161"/>
      <c r="AK2408" s="236"/>
      <c r="AL2408" s="269"/>
      <c r="AM2408" s="161"/>
      <c r="AN2408" s="161"/>
      <c r="AO2408" s="161"/>
      <c r="AP2408" s="161"/>
      <c r="AQ2408" s="161"/>
      <c r="AR2408" s="161"/>
      <c r="AS2408" s="161"/>
      <c r="AT2408" s="161"/>
      <c r="AU2408" s="89"/>
      <c r="AV2408" s="162"/>
      <c r="AW2408" s="73"/>
    </row>
    <row r="2409" ht="15.75" customHeight="1">
      <c r="A2409" s="216"/>
      <c r="B2409" s="73"/>
      <c r="C2409" s="216"/>
      <c r="D2409" s="241"/>
      <c r="E2409" s="241"/>
      <c r="F2409" s="89"/>
      <c r="G2409" s="476"/>
      <c r="H2409" s="73"/>
      <c r="I2409" s="551"/>
      <c r="J2409" s="476"/>
      <c r="K2409" s="69"/>
      <c r="L2409" s="61"/>
      <c r="M2409" s="61"/>
      <c r="N2409" s="73"/>
      <c r="O2409" s="66"/>
      <c r="P2409" s="67"/>
      <c r="Q2409" s="67"/>
      <c r="R2409" s="67"/>
      <c r="S2409" s="67"/>
      <c r="T2409" s="161"/>
      <c r="U2409" s="69"/>
      <c r="V2409" s="73"/>
      <c r="W2409" s="71"/>
      <c r="X2409" s="194"/>
      <c r="Y2409" s="216"/>
      <c r="Z2409" s="73"/>
      <c r="AA2409" s="73"/>
      <c r="AB2409" s="73"/>
      <c r="AC2409" s="73"/>
      <c r="AD2409" s="73"/>
      <c r="AE2409" s="73"/>
      <c r="AF2409" s="73"/>
      <c r="AG2409" s="73"/>
      <c r="AH2409" s="73"/>
      <c r="AI2409" s="73"/>
      <c r="AJ2409" s="161"/>
      <c r="AK2409" s="236"/>
      <c r="AL2409" s="269"/>
      <c r="AM2409" s="161"/>
      <c r="AN2409" s="161"/>
      <c r="AO2409" s="161"/>
      <c r="AP2409" s="161"/>
      <c r="AQ2409" s="161"/>
      <c r="AR2409" s="161"/>
      <c r="AS2409" s="161"/>
      <c r="AT2409" s="161"/>
      <c r="AU2409" s="89"/>
      <c r="AV2409" s="162"/>
      <c r="AW2409" s="73"/>
    </row>
    <row r="2410" ht="15.75" customHeight="1">
      <c r="A2410" s="216"/>
      <c r="B2410" s="73"/>
      <c r="C2410" s="216"/>
      <c r="D2410" s="241"/>
      <c r="E2410" s="241"/>
      <c r="F2410" s="89"/>
      <c r="G2410" s="476"/>
      <c r="H2410" s="73"/>
      <c r="I2410" s="551"/>
      <c r="J2410" s="476"/>
      <c r="K2410" s="69"/>
      <c r="L2410" s="61"/>
      <c r="M2410" s="61"/>
      <c r="N2410" s="73"/>
      <c r="O2410" s="66"/>
      <c r="P2410" s="67"/>
      <c r="Q2410" s="67"/>
      <c r="R2410" s="67"/>
      <c r="S2410" s="67"/>
      <c r="T2410" s="161"/>
      <c r="U2410" s="69"/>
      <c r="V2410" s="73"/>
      <c r="W2410" s="71"/>
      <c r="X2410" s="194"/>
      <c r="Y2410" s="216"/>
      <c r="Z2410" s="73"/>
      <c r="AA2410" s="73"/>
      <c r="AB2410" s="73"/>
      <c r="AC2410" s="73"/>
      <c r="AD2410" s="73"/>
      <c r="AE2410" s="73"/>
      <c r="AF2410" s="73"/>
      <c r="AG2410" s="73"/>
      <c r="AH2410" s="73"/>
      <c r="AI2410" s="73"/>
      <c r="AJ2410" s="161"/>
      <c r="AK2410" s="236"/>
      <c r="AL2410" s="269"/>
      <c r="AM2410" s="161"/>
      <c r="AN2410" s="161"/>
      <c r="AO2410" s="161"/>
      <c r="AP2410" s="161"/>
      <c r="AQ2410" s="161"/>
      <c r="AR2410" s="161"/>
      <c r="AS2410" s="161"/>
      <c r="AT2410" s="161"/>
      <c r="AU2410" s="89"/>
      <c r="AV2410" s="162"/>
      <c r="AW2410" s="73"/>
    </row>
    <row r="2411" ht="15.75" customHeight="1">
      <c r="A2411" s="216"/>
      <c r="B2411" s="73"/>
      <c r="C2411" s="216"/>
      <c r="D2411" s="241"/>
      <c r="E2411" s="241"/>
      <c r="F2411" s="89"/>
      <c r="G2411" s="476"/>
      <c r="H2411" s="73"/>
      <c r="I2411" s="551"/>
      <c r="J2411" s="476"/>
      <c r="K2411" s="69"/>
      <c r="L2411" s="61"/>
      <c r="M2411" s="61"/>
      <c r="N2411" s="73"/>
      <c r="O2411" s="66"/>
      <c r="P2411" s="67"/>
      <c r="Q2411" s="67"/>
      <c r="R2411" s="67"/>
      <c r="S2411" s="67"/>
      <c r="T2411" s="161"/>
      <c r="U2411" s="69"/>
      <c r="V2411" s="73"/>
      <c r="W2411" s="71"/>
      <c r="X2411" s="194"/>
      <c r="Y2411" s="216"/>
      <c r="Z2411" s="73"/>
      <c r="AA2411" s="73"/>
      <c r="AB2411" s="73"/>
      <c r="AC2411" s="73"/>
      <c r="AD2411" s="73"/>
      <c r="AE2411" s="73"/>
      <c r="AF2411" s="73"/>
      <c r="AG2411" s="73"/>
      <c r="AH2411" s="73"/>
      <c r="AI2411" s="73"/>
      <c r="AJ2411" s="161"/>
      <c r="AK2411" s="236"/>
      <c r="AL2411" s="269"/>
      <c r="AM2411" s="161"/>
      <c r="AN2411" s="161"/>
      <c r="AO2411" s="161"/>
      <c r="AP2411" s="161"/>
      <c r="AQ2411" s="161"/>
      <c r="AR2411" s="161"/>
      <c r="AS2411" s="161"/>
      <c r="AT2411" s="161"/>
      <c r="AU2411" s="89"/>
      <c r="AV2411" s="162"/>
      <c r="AW2411" s="73"/>
    </row>
    <row r="2412" ht="15.75" customHeight="1">
      <c r="A2412" s="216"/>
      <c r="B2412" s="73"/>
      <c r="C2412" s="216"/>
      <c r="D2412" s="241"/>
      <c r="E2412" s="241"/>
      <c r="F2412" s="89"/>
      <c r="G2412" s="476"/>
      <c r="H2412" s="73"/>
      <c r="I2412" s="551"/>
      <c r="J2412" s="476"/>
      <c r="K2412" s="69"/>
      <c r="L2412" s="61"/>
      <c r="M2412" s="61"/>
      <c r="N2412" s="73"/>
      <c r="O2412" s="66"/>
      <c r="P2412" s="67"/>
      <c r="Q2412" s="67"/>
      <c r="R2412" s="67"/>
      <c r="S2412" s="67"/>
      <c r="T2412" s="161"/>
      <c r="U2412" s="69"/>
      <c r="V2412" s="73"/>
      <c r="W2412" s="71"/>
      <c r="X2412" s="194"/>
      <c r="Y2412" s="216"/>
      <c r="Z2412" s="73"/>
      <c r="AA2412" s="73"/>
      <c r="AB2412" s="73"/>
      <c r="AC2412" s="73"/>
      <c r="AD2412" s="73"/>
      <c r="AE2412" s="73"/>
      <c r="AF2412" s="73"/>
      <c r="AG2412" s="73"/>
      <c r="AH2412" s="73"/>
      <c r="AI2412" s="73"/>
      <c r="AJ2412" s="161"/>
      <c r="AK2412" s="236"/>
      <c r="AL2412" s="269"/>
      <c r="AM2412" s="161"/>
      <c r="AN2412" s="161"/>
      <c r="AO2412" s="161"/>
      <c r="AP2412" s="161"/>
      <c r="AQ2412" s="161"/>
      <c r="AR2412" s="161"/>
      <c r="AS2412" s="161"/>
      <c r="AT2412" s="161"/>
      <c r="AU2412" s="89"/>
      <c r="AV2412" s="162"/>
      <c r="AW2412" s="73"/>
    </row>
    <row r="2413" ht="15.75" customHeight="1">
      <c r="A2413" s="216"/>
      <c r="B2413" s="73"/>
      <c r="C2413" s="216"/>
      <c r="D2413" s="241"/>
      <c r="E2413" s="241"/>
      <c r="F2413" s="89"/>
      <c r="G2413" s="476"/>
      <c r="H2413" s="73"/>
      <c r="I2413" s="551"/>
      <c r="J2413" s="476"/>
      <c r="K2413" s="69"/>
      <c r="L2413" s="61"/>
      <c r="M2413" s="61"/>
      <c r="N2413" s="73"/>
      <c r="O2413" s="66"/>
      <c r="P2413" s="67"/>
      <c r="Q2413" s="67"/>
      <c r="R2413" s="67"/>
      <c r="S2413" s="67"/>
      <c r="T2413" s="161"/>
      <c r="U2413" s="69"/>
      <c r="V2413" s="73"/>
      <c r="W2413" s="71"/>
      <c r="X2413" s="194"/>
      <c r="Y2413" s="216"/>
      <c r="Z2413" s="73"/>
      <c r="AA2413" s="73"/>
      <c r="AB2413" s="73"/>
      <c r="AC2413" s="73"/>
      <c r="AD2413" s="73"/>
      <c r="AE2413" s="73"/>
      <c r="AF2413" s="73"/>
      <c r="AG2413" s="73"/>
      <c r="AH2413" s="73"/>
      <c r="AI2413" s="73"/>
      <c r="AJ2413" s="161"/>
      <c r="AK2413" s="236"/>
      <c r="AL2413" s="269"/>
      <c r="AM2413" s="161"/>
      <c r="AN2413" s="161"/>
      <c r="AO2413" s="161"/>
      <c r="AP2413" s="161"/>
      <c r="AQ2413" s="161"/>
      <c r="AR2413" s="161"/>
      <c r="AS2413" s="161"/>
      <c r="AT2413" s="161"/>
      <c r="AU2413" s="89"/>
      <c r="AV2413" s="162"/>
      <c r="AW2413" s="73"/>
    </row>
    <row r="2414" ht="15.75" customHeight="1">
      <c r="A2414" s="216"/>
      <c r="B2414" s="73"/>
      <c r="C2414" s="216"/>
      <c r="D2414" s="241"/>
      <c r="E2414" s="241"/>
      <c r="F2414" s="89"/>
      <c r="G2414" s="476"/>
      <c r="H2414" s="73"/>
      <c r="I2414" s="551"/>
      <c r="J2414" s="476"/>
      <c r="K2414" s="69"/>
      <c r="L2414" s="61"/>
      <c r="M2414" s="61"/>
      <c r="N2414" s="73"/>
      <c r="O2414" s="66"/>
      <c r="P2414" s="67"/>
      <c r="Q2414" s="67"/>
      <c r="R2414" s="67"/>
      <c r="S2414" s="67"/>
      <c r="T2414" s="161"/>
      <c r="U2414" s="69"/>
      <c r="V2414" s="73"/>
      <c r="W2414" s="71"/>
      <c r="X2414" s="194"/>
      <c r="Y2414" s="216"/>
      <c r="Z2414" s="73"/>
      <c r="AA2414" s="73"/>
      <c r="AB2414" s="73"/>
      <c r="AC2414" s="73"/>
      <c r="AD2414" s="73"/>
      <c r="AE2414" s="73"/>
      <c r="AF2414" s="73"/>
      <c r="AG2414" s="73"/>
      <c r="AH2414" s="73"/>
      <c r="AI2414" s="73"/>
      <c r="AJ2414" s="161"/>
      <c r="AK2414" s="236"/>
      <c r="AL2414" s="269"/>
      <c r="AM2414" s="161"/>
      <c r="AN2414" s="161"/>
      <c r="AO2414" s="161"/>
      <c r="AP2414" s="161"/>
      <c r="AQ2414" s="161"/>
      <c r="AR2414" s="161"/>
      <c r="AS2414" s="161"/>
      <c r="AT2414" s="161"/>
      <c r="AU2414" s="89"/>
      <c r="AV2414" s="162"/>
      <c r="AW2414" s="73"/>
    </row>
    <row r="2415" ht="15.75" customHeight="1">
      <c r="A2415" s="216"/>
      <c r="B2415" s="73"/>
      <c r="C2415" s="216"/>
      <c r="D2415" s="241"/>
      <c r="E2415" s="241"/>
      <c r="F2415" s="89"/>
      <c r="G2415" s="476"/>
      <c r="H2415" s="73"/>
      <c r="I2415" s="551"/>
      <c r="J2415" s="476"/>
      <c r="K2415" s="69"/>
      <c r="L2415" s="61"/>
      <c r="M2415" s="61"/>
      <c r="N2415" s="73"/>
      <c r="O2415" s="66"/>
      <c r="P2415" s="67"/>
      <c r="Q2415" s="67"/>
      <c r="R2415" s="67"/>
      <c r="S2415" s="67"/>
      <c r="T2415" s="161"/>
      <c r="U2415" s="69"/>
      <c r="V2415" s="73"/>
      <c r="W2415" s="71"/>
      <c r="X2415" s="194"/>
      <c r="Y2415" s="216"/>
      <c r="Z2415" s="73"/>
      <c r="AA2415" s="73"/>
      <c r="AB2415" s="73"/>
      <c r="AC2415" s="73"/>
      <c r="AD2415" s="73"/>
      <c r="AE2415" s="73"/>
      <c r="AF2415" s="73"/>
      <c r="AG2415" s="73"/>
      <c r="AH2415" s="73"/>
      <c r="AI2415" s="73"/>
      <c r="AJ2415" s="161"/>
      <c r="AK2415" s="236"/>
      <c r="AL2415" s="269"/>
      <c r="AM2415" s="161"/>
      <c r="AN2415" s="161"/>
      <c r="AO2415" s="161"/>
      <c r="AP2415" s="161"/>
      <c r="AQ2415" s="161"/>
      <c r="AR2415" s="161"/>
      <c r="AS2415" s="161"/>
      <c r="AT2415" s="161"/>
      <c r="AU2415" s="89"/>
      <c r="AV2415" s="162"/>
      <c r="AW2415" s="73"/>
    </row>
    <row r="2416" ht="15.75" customHeight="1">
      <c r="A2416" s="216"/>
      <c r="B2416" s="73"/>
      <c r="C2416" s="216"/>
      <c r="D2416" s="241"/>
      <c r="E2416" s="241"/>
      <c r="F2416" s="89"/>
      <c r="G2416" s="476"/>
      <c r="H2416" s="73"/>
      <c r="I2416" s="551"/>
      <c r="J2416" s="476"/>
      <c r="K2416" s="69"/>
      <c r="L2416" s="61"/>
      <c r="M2416" s="61"/>
      <c r="N2416" s="73"/>
      <c r="O2416" s="66"/>
      <c r="P2416" s="67"/>
      <c r="Q2416" s="67"/>
      <c r="R2416" s="67"/>
      <c r="S2416" s="67"/>
      <c r="T2416" s="161"/>
      <c r="U2416" s="69"/>
      <c r="V2416" s="73"/>
      <c r="W2416" s="71"/>
      <c r="X2416" s="194"/>
      <c r="Y2416" s="216"/>
      <c r="Z2416" s="73"/>
      <c r="AA2416" s="73"/>
      <c r="AB2416" s="73"/>
      <c r="AC2416" s="73"/>
      <c r="AD2416" s="73"/>
      <c r="AE2416" s="73"/>
      <c r="AF2416" s="73"/>
      <c r="AG2416" s="73"/>
      <c r="AH2416" s="73"/>
      <c r="AI2416" s="73"/>
      <c r="AJ2416" s="161"/>
      <c r="AK2416" s="236"/>
      <c r="AL2416" s="269"/>
      <c r="AM2416" s="161"/>
      <c r="AN2416" s="161"/>
      <c r="AO2416" s="161"/>
      <c r="AP2416" s="161"/>
      <c r="AQ2416" s="161"/>
      <c r="AR2416" s="161"/>
      <c r="AS2416" s="161"/>
      <c r="AT2416" s="161"/>
      <c r="AU2416" s="89"/>
      <c r="AV2416" s="162"/>
      <c r="AW2416" s="73"/>
    </row>
    <row r="2417" ht="15.75" customHeight="1">
      <c r="A2417" s="216"/>
      <c r="B2417" s="73"/>
      <c r="C2417" s="216"/>
      <c r="D2417" s="241"/>
      <c r="E2417" s="241"/>
      <c r="F2417" s="89"/>
      <c r="G2417" s="476"/>
      <c r="H2417" s="73"/>
      <c r="I2417" s="551"/>
      <c r="J2417" s="476"/>
      <c r="K2417" s="69"/>
      <c r="L2417" s="61"/>
      <c r="M2417" s="61"/>
      <c r="N2417" s="73"/>
      <c r="O2417" s="66"/>
      <c r="P2417" s="67"/>
      <c r="Q2417" s="67"/>
      <c r="R2417" s="67"/>
      <c r="S2417" s="67"/>
      <c r="T2417" s="161"/>
      <c r="U2417" s="69"/>
      <c r="V2417" s="73"/>
      <c r="W2417" s="71"/>
      <c r="X2417" s="194"/>
      <c r="Y2417" s="216"/>
      <c r="Z2417" s="73"/>
      <c r="AA2417" s="73"/>
      <c r="AB2417" s="73"/>
      <c r="AC2417" s="73"/>
      <c r="AD2417" s="73"/>
      <c r="AE2417" s="73"/>
      <c r="AF2417" s="73"/>
      <c r="AG2417" s="73"/>
      <c r="AH2417" s="73"/>
      <c r="AI2417" s="73"/>
      <c r="AJ2417" s="161"/>
      <c r="AK2417" s="236"/>
      <c r="AL2417" s="269"/>
      <c r="AM2417" s="161"/>
      <c r="AN2417" s="161"/>
      <c r="AO2417" s="161"/>
      <c r="AP2417" s="161"/>
      <c r="AQ2417" s="161"/>
      <c r="AR2417" s="161"/>
      <c r="AS2417" s="161"/>
      <c r="AT2417" s="161"/>
      <c r="AU2417" s="89"/>
      <c r="AV2417" s="162"/>
      <c r="AW2417" s="73"/>
    </row>
    <row r="2418" ht="15.75" customHeight="1">
      <c r="A2418" s="216"/>
      <c r="B2418" s="73"/>
      <c r="C2418" s="216"/>
      <c r="D2418" s="241"/>
      <c r="E2418" s="241"/>
      <c r="F2418" s="89"/>
      <c r="G2418" s="476"/>
      <c r="H2418" s="73"/>
      <c r="I2418" s="551"/>
      <c r="J2418" s="476"/>
      <c r="K2418" s="69"/>
      <c r="L2418" s="61"/>
      <c r="M2418" s="61"/>
      <c r="N2418" s="73"/>
      <c r="O2418" s="66"/>
      <c r="P2418" s="67"/>
      <c r="Q2418" s="67"/>
      <c r="R2418" s="67"/>
      <c r="S2418" s="67"/>
      <c r="T2418" s="161"/>
      <c r="U2418" s="69"/>
      <c r="V2418" s="73"/>
      <c r="W2418" s="71"/>
      <c r="X2418" s="194"/>
      <c r="Y2418" s="216"/>
      <c r="Z2418" s="73"/>
      <c r="AA2418" s="73"/>
      <c r="AB2418" s="73"/>
      <c r="AC2418" s="73"/>
      <c r="AD2418" s="73"/>
      <c r="AE2418" s="73"/>
      <c r="AF2418" s="73"/>
      <c r="AG2418" s="73"/>
      <c r="AH2418" s="73"/>
      <c r="AI2418" s="73"/>
      <c r="AJ2418" s="161"/>
      <c r="AK2418" s="236"/>
      <c r="AL2418" s="269"/>
      <c r="AM2418" s="161"/>
      <c r="AN2418" s="161"/>
      <c r="AO2418" s="161"/>
      <c r="AP2418" s="161"/>
      <c r="AQ2418" s="161"/>
      <c r="AR2418" s="161"/>
      <c r="AS2418" s="161"/>
      <c r="AT2418" s="161"/>
      <c r="AU2418" s="89"/>
      <c r="AV2418" s="162"/>
      <c r="AW2418" s="73"/>
    </row>
    <row r="2419" ht="15.75" customHeight="1">
      <c r="A2419" s="216"/>
      <c r="B2419" s="73"/>
      <c r="C2419" s="216"/>
      <c r="D2419" s="241"/>
      <c r="E2419" s="241"/>
      <c r="F2419" s="89"/>
      <c r="G2419" s="476"/>
      <c r="H2419" s="73"/>
      <c r="I2419" s="551"/>
      <c r="J2419" s="476"/>
      <c r="K2419" s="69"/>
      <c r="L2419" s="61"/>
      <c r="M2419" s="61"/>
      <c r="N2419" s="73"/>
      <c r="O2419" s="66"/>
      <c r="P2419" s="67"/>
      <c r="Q2419" s="67"/>
      <c r="R2419" s="67"/>
      <c r="S2419" s="67"/>
      <c r="T2419" s="161"/>
      <c r="U2419" s="69"/>
      <c r="V2419" s="73"/>
      <c r="W2419" s="71"/>
      <c r="X2419" s="194"/>
      <c r="Y2419" s="216"/>
      <c r="Z2419" s="73"/>
      <c r="AA2419" s="73"/>
      <c r="AB2419" s="73"/>
      <c r="AC2419" s="73"/>
      <c r="AD2419" s="73"/>
      <c r="AE2419" s="73"/>
      <c r="AF2419" s="73"/>
      <c r="AG2419" s="73"/>
      <c r="AH2419" s="73"/>
      <c r="AI2419" s="73"/>
      <c r="AJ2419" s="161"/>
      <c r="AK2419" s="236"/>
      <c r="AL2419" s="269"/>
      <c r="AM2419" s="161"/>
      <c r="AN2419" s="161"/>
      <c r="AO2419" s="161"/>
      <c r="AP2419" s="161"/>
      <c r="AQ2419" s="161"/>
      <c r="AR2419" s="161"/>
      <c r="AS2419" s="161"/>
      <c r="AT2419" s="161"/>
      <c r="AU2419" s="89"/>
      <c r="AV2419" s="162"/>
      <c r="AW2419" s="73"/>
    </row>
    <row r="2420" ht="15.75" customHeight="1">
      <c r="A2420" s="216"/>
      <c r="B2420" s="73"/>
      <c r="C2420" s="216"/>
      <c r="D2420" s="241"/>
      <c r="E2420" s="241"/>
      <c r="F2420" s="89"/>
      <c r="G2420" s="476"/>
      <c r="H2420" s="73"/>
      <c r="I2420" s="551"/>
      <c r="J2420" s="476"/>
      <c r="K2420" s="69"/>
      <c r="L2420" s="61"/>
      <c r="M2420" s="61"/>
      <c r="N2420" s="73"/>
      <c r="O2420" s="66"/>
      <c r="P2420" s="67"/>
      <c r="Q2420" s="67"/>
      <c r="R2420" s="67"/>
      <c r="S2420" s="67"/>
      <c r="T2420" s="161"/>
      <c r="U2420" s="69"/>
      <c r="V2420" s="73"/>
      <c r="W2420" s="71"/>
      <c r="X2420" s="194"/>
      <c r="Y2420" s="216"/>
      <c r="Z2420" s="73"/>
      <c r="AA2420" s="73"/>
      <c r="AB2420" s="73"/>
      <c r="AC2420" s="73"/>
      <c r="AD2420" s="73"/>
      <c r="AE2420" s="73"/>
      <c r="AF2420" s="73"/>
      <c r="AG2420" s="73"/>
      <c r="AH2420" s="73"/>
      <c r="AI2420" s="73"/>
      <c r="AJ2420" s="161"/>
      <c r="AK2420" s="236"/>
      <c r="AL2420" s="269"/>
      <c r="AM2420" s="161"/>
      <c r="AN2420" s="161"/>
      <c r="AO2420" s="161"/>
      <c r="AP2420" s="161"/>
      <c r="AQ2420" s="161"/>
      <c r="AR2420" s="161"/>
      <c r="AS2420" s="161"/>
      <c r="AT2420" s="161"/>
      <c r="AU2420" s="89"/>
      <c r="AV2420" s="162"/>
      <c r="AW2420" s="73"/>
    </row>
    <row r="2421" ht="15.75" customHeight="1">
      <c r="A2421" s="216"/>
      <c r="B2421" s="73"/>
      <c r="C2421" s="216"/>
      <c r="D2421" s="241"/>
      <c r="E2421" s="241"/>
      <c r="F2421" s="89"/>
      <c r="G2421" s="476"/>
      <c r="H2421" s="73"/>
      <c r="I2421" s="551"/>
      <c r="J2421" s="476"/>
      <c r="K2421" s="69"/>
      <c r="L2421" s="61"/>
      <c r="M2421" s="61"/>
      <c r="N2421" s="73"/>
      <c r="O2421" s="66"/>
      <c r="P2421" s="67"/>
      <c r="Q2421" s="67"/>
      <c r="R2421" s="67"/>
      <c r="S2421" s="67"/>
      <c r="T2421" s="161"/>
      <c r="U2421" s="69"/>
      <c r="V2421" s="73"/>
      <c r="W2421" s="71"/>
      <c r="X2421" s="194"/>
      <c r="Y2421" s="216"/>
      <c r="Z2421" s="73"/>
      <c r="AA2421" s="73"/>
      <c r="AB2421" s="73"/>
      <c r="AC2421" s="73"/>
      <c r="AD2421" s="73"/>
      <c r="AE2421" s="73"/>
      <c r="AF2421" s="73"/>
      <c r="AG2421" s="73"/>
      <c r="AH2421" s="73"/>
      <c r="AI2421" s="73"/>
      <c r="AJ2421" s="161"/>
      <c r="AK2421" s="236"/>
      <c r="AL2421" s="269"/>
      <c r="AM2421" s="161"/>
      <c r="AN2421" s="161"/>
      <c r="AO2421" s="161"/>
      <c r="AP2421" s="161"/>
      <c r="AQ2421" s="161"/>
      <c r="AR2421" s="161"/>
      <c r="AS2421" s="161"/>
      <c r="AT2421" s="161"/>
      <c r="AU2421" s="89"/>
      <c r="AV2421" s="162"/>
      <c r="AW2421" s="73"/>
    </row>
    <row r="2422" ht="15.75" customHeight="1">
      <c r="A2422" s="216"/>
      <c r="B2422" s="73"/>
      <c r="C2422" s="216"/>
      <c r="D2422" s="241"/>
      <c r="E2422" s="241"/>
      <c r="F2422" s="89"/>
      <c r="G2422" s="476"/>
      <c r="H2422" s="73"/>
      <c r="I2422" s="551"/>
      <c r="J2422" s="476"/>
      <c r="K2422" s="69"/>
      <c r="L2422" s="61"/>
      <c r="M2422" s="61"/>
      <c r="N2422" s="73"/>
      <c r="O2422" s="66"/>
      <c r="P2422" s="67"/>
      <c r="Q2422" s="67"/>
      <c r="R2422" s="67"/>
      <c r="S2422" s="67"/>
      <c r="T2422" s="161"/>
      <c r="U2422" s="69"/>
      <c r="V2422" s="73"/>
      <c r="W2422" s="71"/>
      <c r="X2422" s="194"/>
      <c r="Y2422" s="216"/>
      <c r="Z2422" s="73"/>
      <c r="AA2422" s="73"/>
      <c r="AB2422" s="73"/>
      <c r="AC2422" s="73"/>
      <c r="AD2422" s="73"/>
      <c r="AE2422" s="73"/>
      <c r="AF2422" s="73"/>
      <c r="AG2422" s="73"/>
      <c r="AH2422" s="73"/>
      <c r="AI2422" s="73"/>
      <c r="AJ2422" s="161"/>
      <c r="AK2422" s="236"/>
      <c r="AL2422" s="269"/>
      <c r="AM2422" s="161"/>
      <c r="AN2422" s="161"/>
      <c r="AO2422" s="161"/>
      <c r="AP2422" s="161"/>
      <c r="AQ2422" s="161"/>
      <c r="AR2422" s="161"/>
      <c r="AS2422" s="161"/>
      <c r="AT2422" s="161"/>
      <c r="AU2422" s="89"/>
      <c r="AV2422" s="162"/>
      <c r="AW2422" s="73"/>
    </row>
    <row r="2423" ht="15.75" customHeight="1">
      <c r="A2423" s="216"/>
      <c r="B2423" s="73"/>
      <c r="C2423" s="216"/>
      <c r="D2423" s="241"/>
      <c r="E2423" s="241"/>
      <c r="F2423" s="89"/>
      <c r="G2423" s="476"/>
      <c r="H2423" s="73"/>
      <c r="I2423" s="551"/>
      <c r="J2423" s="476"/>
      <c r="K2423" s="69"/>
      <c r="L2423" s="61"/>
      <c r="M2423" s="61"/>
      <c r="N2423" s="73"/>
      <c r="O2423" s="66"/>
      <c r="P2423" s="67"/>
      <c r="Q2423" s="67"/>
      <c r="R2423" s="67"/>
      <c r="S2423" s="67"/>
      <c r="T2423" s="161"/>
      <c r="U2423" s="69"/>
      <c r="V2423" s="73"/>
      <c r="W2423" s="71"/>
      <c r="X2423" s="194"/>
      <c r="Y2423" s="216"/>
      <c r="Z2423" s="73"/>
      <c r="AA2423" s="73"/>
      <c r="AB2423" s="73"/>
      <c r="AC2423" s="73"/>
      <c r="AD2423" s="73"/>
      <c r="AE2423" s="73"/>
      <c r="AF2423" s="73"/>
      <c r="AG2423" s="73"/>
      <c r="AH2423" s="73"/>
      <c r="AI2423" s="73"/>
      <c r="AJ2423" s="161"/>
      <c r="AK2423" s="236"/>
      <c r="AL2423" s="269"/>
      <c r="AM2423" s="161"/>
      <c r="AN2423" s="161"/>
      <c r="AO2423" s="161"/>
      <c r="AP2423" s="161"/>
      <c r="AQ2423" s="161"/>
      <c r="AR2423" s="161"/>
      <c r="AS2423" s="161"/>
      <c r="AT2423" s="161"/>
      <c r="AU2423" s="89"/>
      <c r="AV2423" s="162"/>
      <c r="AW2423" s="73"/>
    </row>
    <row r="2424" ht="15.75" customHeight="1">
      <c r="A2424" s="216"/>
      <c r="B2424" s="73"/>
      <c r="C2424" s="216"/>
      <c r="D2424" s="241"/>
      <c r="E2424" s="241"/>
      <c r="F2424" s="89"/>
      <c r="G2424" s="476"/>
      <c r="H2424" s="73"/>
      <c r="I2424" s="551"/>
      <c r="J2424" s="476"/>
      <c r="K2424" s="69"/>
      <c r="L2424" s="61"/>
      <c r="M2424" s="61"/>
      <c r="N2424" s="73"/>
      <c r="O2424" s="66"/>
      <c r="P2424" s="67"/>
      <c r="Q2424" s="67"/>
      <c r="R2424" s="67"/>
      <c r="S2424" s="67"/>
      <c r="T2424" s="161"/>
      <c r="U2424" s="69"/>
      <c r="V2424" s="73"/>
      <c r="W2424" s="71"/>
      <c r="X2424" s="194"/>
      <c r="Y2424" s="216"/>
      <c r="Z2424" s="73"/>
      <c r="AA2424" s="73"/>
      <c r="AB2424" s="73"/>
      <c r="AC2424" s="73"/>
      <c r="AD2424" s="73"/>
      <c r="AE2424" s="73"/>
      <c r="AF2424" s="73"/>
      <c r="AG2424" s="73"/>
      <c r="AH2424" s="73"/>
      <c r="AI2424" s="73"/>
      <c r="AJ2424" s="161"/>
      <c r="AK2424" s="236"/>
      <c r="AL2424" s="269"/>
      <c r="AM2424" s="161"/>
      <c r="AN2424" s="161"/>
      <c r="AO2424" s="161"/>
      <c r="AP2424" s="161"/>
      <c r="AQ2424" s="161"/>
      <c r="AR2424" s="161"/>
      <c r="AS2424" s="161"/>
      <c r="AT2424" s="161"/>
      <c r="AU2424" s="89"/>
      <c r="AV2424" s="162"/>
      <c r="AW2424" s="73"/>
    </row>
    <row r="2425" ht="15.75" customHeight="1">
      <c r="A2425" s="216"/>
      <c r="B2425" s="73"/>
      <c r="C2425" s="216"/>
      <c r="D2425" s="241"/>
      <c r="E2425" s="241"/>
      <c r="F2425" s="89"/>
      <c r="G2425" s="476"/>
      <c r="H2425" s="73"/>
      <c r="I2425" s="551"/>
      <c r="J2425" s="476"/>
      <c r="K2425" s="69"/>
      <c r="L2425" s="61"/>
      <c r="M2425" s="61"/>
      <c r="N2425" s="73"/>
      <c r="O2425" s="66"/>
      <c r="P2425" s="67"/>
      <c r="Q2425" s="67"/>
      <c r="R2425" s="67"/>
      <c r="S2425" s="67"/>
      <c r="T2425" s="161"/>
      <c r="U2425" s="69"/>
      <c r="V2425" s="73"/>
      <c r="W2425" s="71"/>
      <c r="X2425" s="194"/>
      <c r="Y2425" s="216"/>
      <c r="Z2425" s="73"/>
      <c r="AA2425" s="73"/>
      <c r="AB2425" s="73"/>
      <c r="AC2425" s="73"/>
      <c r="AD2425" s="73"/>
      <c r="AE2425" s="73"/>
      <c r="AF2425" s="73"/>
      <c r="AG2425" s="73"/>
      <c r="AH2425" s="73"/>
      <c r="AI2425" s="73"/>
      <c r="AJ2425" s="161"/>
      <c r="AK2425" s="236"/>
      <c r="AL2425" s="269"/>
      <c r="AM2425" s="161"/>
      <c r="AN2425" s="161"/>
      <c r="AO2425" s="161"/>
      <c r="AP2425" s="161"/>
      <c r="AQ2425" s="161"/>
      <c r="AR2425" s="161"/>
      <c r="AS2425" s="161"/>
      <c r="AT2425" s="161"/>
      <c r="AU2425" s="89"/>
      <c r="AV2425" s="162"/>
      <c r="AW2425" s="73"/>
    </row>
    <row r="2426" ht="15.75" customHeight="1">
      <c r="A2426" s="216"/>
      <c r="B2426" s="73"/>
      <c r="C2426" s="216"/>
      <c r="D2426" s="241"/>
      <c r="E2426" s="241"/>
      <c r="F2426" s="89"/>
      <c r="G2426" s="476"/>
      <c r="H2426" s="73"/>
      <c r="I2426" s="551"/>
      <c r="J2426" s="476"/>
      <c r="K2426" s="69"/>
      <c r="L2426" s="61"/>
      <c r="M2426" s="61"/>
      <c r="N2426" s="73"/>
      <c r="O2426" s="66"/>
      <c r="P2426" s="67"/>
      <c r="Q2426" s="67"/>
      <c r="R2426" s="67"/>
      <c r="S2426" s="67"/>
      <c r="T2426" s="161"/>
      <c r="U2426" s="69"/>
      <c r="V2426" s="73"/>
      <c r="W2426" s="71"/>
      <c r="X2426" s="194"/>
      <c r="Y2426" s="216"/>
      <c r="Z2426" s="73"/>
      <c r="AA2426" s="73"/>
      <c r="AB2426" s="73"/>
      <c r="AC2426" s="73"/>
      <c r="AD2426" s="73"/>
      <c r="AE2426" s="73"/>
      <c r="AF2426" s="73"/>
      <c r="AG2426" s="73"/>
      <c r="AH2426" s="73"/>
      <c r="AI2426" s="73"/>
      <c r="AJ2426" s="161"/>
      <c r="AK2426" s="236"/>
      <c r="AL2426" s="269"/>
      <c r="AM2426" s="161"/>
      <c r="AN2426" s="161"/>
      <c r="AO2426" s="161"/>
      <c r="AP2426" s="161"/>
      <c r="AQ2426" s="161"/>
      <c r="AR2426" s="161"/>
      <c r="AS2426" s="161"/>
      <c r="AT2426" s="161"/>
      <c r="AU2426" s="89"/>
      <c r="AV2426" s="162"/>
      <c r="AW2426" s="73"/>
    </row>
    <row r="2427" ht="15.75" customHeight="1">
      <c r="A2427" s="216"/>
      <c r="B2427" s="73"/>
      <c r="C2427" s="216"/>
      <c r="D2427" s="241"/>
      <c r="E2427" s="241"/>
      <c r="F2427" s="89"/>
      <c r="G2427" s="476"/>
      <c r="H2427" s="73"/>
      <c r="I2427" s="551"/>
      <c r="J2427" s="476"/>
      <c r="K2427" s="69"/>
      <c r="L2427" s="61"/>
      <c r="M2427" s="61"/>
      <c r="N2427" s="73"/>
      <c r="O2427" s="66"/>
      <c r="P2427" s="67"/>
      <c r="Q2427" s="67"/>
      <c r="R2427" s="67"/>
      <c r="S2427" s="67"/>
      <c r="T2427" s="161"/>
      <c r="U2427" s="69"/>
      <c r="V2427" s="73"/>
      <c r="W2427" s="71"/>
      <c r="X2427" s="194"/>
      <c r="Y2427" s="216"/>
      <c r="Z2427" s="73"/>
      <c r="AA2427" s="73"/>
      <c r="AB2427" s="73"/>
      <c r="AC2427" s="73"/>
      <c r="AD2427" s="73"/>
      <c r="AE2427" s="73"/>
      <c r="AF2427" s="73"/>
      <c r="AG2427" s="73"/>
      <c r="AH2427" s="73"/>
      <c r="AI2427" s="73"/>
      <c r="AJ2427" s="161"/>
      <c r="AK2427" s="236"/>
      <c r="AL2427" s="269"/>
      <c r="AM2427" s="161"/>
      <c r="AN2427" s="161"/>
      <c r="AO2427" s="161"/>
      <c r="AP2427" s="161"/>
      <c r="AQ2427" s="161"/>
      <c r="AR2427" s="161"/>
      <c r="AS2427" s="161"/>
      <c r="AT2427" s="161"/>
      <c r="AU2427" s="89"/>
      <c r="AV2427" s="162"/>
      <c r="AW2427" s="73"/>
    </row>
    <row r="2428" ht="15.75" customHeight="1">
      <c r="A2428" s="216"/>
      <c r="B2428" s="73"/>
      <c r="C2428" s="216"/>
      <c r="D2428" s="241"/>
      <c r="E2428" s="241"/>
      <c r="F2428" s="89"/>
      <c r="G2428" s="476"/>
      <c r="H2428" s="73"/>
      <c r="I2428" s="551"/>
      <c r="J2428" s="476"/>
      <c r="K2428" s="69"/>
      <c r="L2428" s="61"/>
      <c r="M2428" s="61"/>
      <c r="N2428" s="73"/>
      <c r="O2428" s="66"/>
      <c r="P2428" s="67"/>
      <c r="Q2428" s="67"/>
      <c r="R2428" s="67"/>
      <c r="S2428" s="67"/>
      <c r="T2428" s="161"/>
      <c r="U2428" s="69"/>
      <c r="V2428" s="73"/>
      <c r="W2428" s="71"/>
      <c r="X2428" s="194"/>
      <c r="Y2428" s="216"/>
      <c r="Z2428" s="73"/>
      <c r="AA2428" s="73"/>
      <c r="AB2428" s="73"/>
      <c r="AC2428" s="73"/>
      <c r="AD2428" s="73"/>
      <c r="AE2428" s="73"/>
      <c r="AF2428" s="73"/>
      <c r="AG2428" s="73"/>
      <c r="AH2428" s="73"/>
      <c r="AI2428" s="73"/>
      <c r="AJ2428" s="161"/>
      <c r="AK2428" s="236"/>
      <c r="AL2428" s="269"/>
      <c r="AM2428" s="161"/>
      <c r="AN2428" s="161"/>
      <c r="AO2428" s="161"/>
      <c r="AP2428" s="161"/>
      <c r="AQ2428" s="161"/>
      <c r="AR2428" s="161"/>
      <c r="AS2428" s="161"/>
      <c r="AT2428" s="161"/>
      <c r="AU2428" s="89"/>
      <c r="AV2428" s="162"/>
      <c r="AW2428" s="73"/>
    </row>
    <row r="2429" ht="15.75" customHeight="1">
      <c r="A2429" s="216"/>
      <c r="B2429" s="73"/>
      <c r="C2429" s="216"/>
      <c r="D2429" s="241"/>
      <c r="E2429" s="241"/>
      <c r="F2429" s="89"/>
      <c r="G2429" s="476"/>
      <c r="H2429" s="73"/>
      <c r="I2429" s="551"/>
      <c r="J2429" s="476"/>
      <c r="K2429" s="69"/>
      <c r="L2429" s="61"/>
      <c r="M2429" s="61"/>
      <c r="N2429" s="73"/>
      <c r="O2429" s="66"/>
      <c r="P2429" s="67"/>
      <c r="Q2429" s="67"/>
      <c r="R2429" s="67"/>
      <c r="S2429" s="67"/>
      <c r="T2429" s="161"/>
      <c r="U2429" s="69"/>
      <c r="V2429" s="73"/>
      <c r="W2429" s="71"/>
      <c r="X2429" s="194"/>
      <c r="Y2429" s="216"/>
      <c r="Z2429" s="73"/>
      <c r="AA2429" s="73"/>
      <c r="AB2429" s="73"/>
      <c r="AC2429" s="73"/>
      <c r="AD2429" s="73"/>
      <c r="AE2429" s="73"/>
      <c r="AF2429" s="73"/>
      <c r="AG2429" s="73"/>
      <c r="AH2429" s="73"/>
      <c r="AI2429" s="73"/>
      <c r="AJ2429" s="161"/>
      <c r="AK2429" s="236"/>
      <c r="AL2429" s="269"/>
      <c r="AM2429" s="161"/>
      <c r="AN2429" s="161"/>
      <c r="AO2429" s="161"/>
      <c r="AP2429" s="161"/>
      <c r="AQ2429" s="161"/>
      <c r="AR2429" s="161"/>
      <c r="AS2429" s="161"/>
      <c r="AT2429" s="161"/>
      <c r="AU2429" s="89"/>
      <c r="AV2429" s="162"/>
      <c r="AW2429" s="73"/>
    </row>
    <row r="2430" ht="15.75" customHeight="1">
      <c r="A2430" s="216"/>
      <c r="B2430" s="73"/>
      <c r="C2430" s="216"/>
      <c r="D2430" s="241"/>
      <c r="E2430" s="241"/>
      <c r="F2430" s="89"/>
      <c r="G2430" s="476"/>
      <c r="H2430" s="73"/>
      <c r="I2430" s="551"/>
      <c r="J2430" s="476"/>
      <c r="K2430" s="69"/>
      <c r="L2430" s="61"/>
      <c r="M2430" s="61"/>
      <c r="N2430" s="73"/>
      <c r="O2430" s="66"/>
      <c r="P2430" s="67"/>
      <c r="Q2430" s="67"/>
      <c r="R2430" s="67"/>
      <c r="S2430" s="67"/>
      <c r="T2430" s="161"/>
      <c r="U2430" s="69"/>
      <c r="V2430" s="73"/>
      <c r="W2430" s="71"/>
      <c r="X2430" s="194"/>
      <c r="Y2430" s="216"/>
      <c r="Z2430" s="73"/>
      <c r="AA2430" s="73"/>
      <c r="AB2430" s="73"/>
      <c r="AC2430" s="73"/>
      <c r="AD2430" s="73"/>
      <c r="AE2430" s="73"/>
      <c r="AF2430" s="73"/>
      <c r="AG2430" s="73"/>
      <c r="AH2430" s="73"/>
      <c r="AI2430" s="73"/>
      <c r="AJ2430" s="161"/>
      <c r="AK2430" s="236"/>
      <c r="AL2430" s="269"/>
      <c r="AM2430" s="161"/>
      <c r="AN2430" s="161"/>
      <c r="AO2430" s="161"/>
      <c r="AP2430" s="161"/>
      <c r="AQ2430" s="161"/>
      <c r="AR2430" s="161"/>
      <c r="AS2430" s="161"/>
      <c r="AT2430" s="161"/>
      <c r="AU2430" s="89"/>
      <c r="AV2430" s="162"/>
      <c r="AW2430" s="73"/>
    </row>
    <row r="2431" ht="15.75" customHeight="1">
      <c r="A2431" s="216"/>
      <c r="B2431" s="73"/>
      <c r="C2431" s="216"/>
      <c r="D2431" s="241"/>
      <c r="E2431" s="241"/>
      <c r="F2431" s="89"/>
      <c r="G2431" s="476"/>
      <c r="H2431" s="73"/>
      <c r="I2431" s="551"/>
      <c r="J2431" s="476"/>
      <c r="K2431" s="69"/>
      <c r="L2431" s="61"/>
      <c r="M2431" s="61"/>
      <c r="N2431" s="73"/>
      <c r="O2431" s="66"/>
      <c r="P2431" s="67"/>
      <c r="Q2431" s="67"/>
      <c r="R2431" s="67"/>
      <c r="S2431" s="67"/>
      <c r="T2431" s="161"/>
      <c r="U2431" s="69"/>
      <c r="V2431" s="73"/>
      <c r="W2431" s="71"/>
      <c r="X2431" s="194"/>
      <c r="Y2431" s="216"/>
      <c r="Z2431" s="73"/>
      <c r="AA2431" s="73"/>
      <c r="AB2431" s="73"/>
      <c r="AC2431" s="73"/>
      <c r="AD2431" s="73"/>
      <c r="AE2431" s="73"/>
      <c r="AF2431" s="73"/>
      <c r="AG2431" s="73"/>
      <c r="AH2431" s="73"/>
      <c r="AI2431" s="73"/>
      <c r="AJ2431" s="161"/>
      <c r="AK2431" s="236"/>
      <c r="AL2431" s="269"/>
      <c r="AM2431" s="161"/>
      <c r="AN2431" s="161"/>
      <c r="AO2431" s="161"/>
      <c r="AP2431" s="161"/>
      <c r="AQ2431" s="161"/>
      <c r="AR2431" s="161"/>
      <c r="AS2431" s="161"/>
      <c r="AT2431" s="161"/>
      <c r="AU2431" s="89"/>
      <c r="AV2431" s="162"/>
      <c r="AW2431" s="73"/>
    </row>
    <row r="2432" ht="15.75" customHeight="1">
      <c r="A2432" s="216"/>
      <c r="B2432" s="73"/>
      <c r="C2432" s="216"/>
      <c r="D2432" s="241"/>
      <c r="E2432" s="241"/>
      <c r="F2432" s="89"/>
      <c r="G2432" s="476"/>
      <c r="H2432" s="73"/>
      <c r="I2432" s="551"/>
      <c r="J2432" s="476"/>
      <c r="K2432" s="69"/>
      <c r="L2432" s="61"/>
      <c r="M2432" s="61"/>
      <c r="N2432" s="73"/>
      <c r="O2432" s="66"/>
      <c r="P2432" s="67"/>
      <c r="Q2432" s="67"/>
      <c r="R2432" s="67"/>
      <c r="S2432" s="67"/>
      <c r="T2432" s="161"/>
      <c r="U2432" s="69"/>
      <c r="V2432" s="73"/>
      <c r="W2432" s="71"/>
      <c r="X2432" s="194"/>
      <c r="Y2432" s="216"/>
      <c r="Z2432" s="73"/>
      <c r="AA2432" s="73"/>
      <c r="AB2432" s="73"/>
      <c r="AC2432" s="73"/>
      <c r="AD2432" s="73"/>
      <c r="AE2432" s="73"/>
      <c r="AF2432" s="73"/>
      <c r="AG2432" s="73"/>
      <c r="AH2432" s="73"/>
      <c r="AI2432" s="73"/>
      <c r="AJ2432" s="161"/>
      <c r="AK2432" s="236"/>
      <c r="AL2432" s="269"/>
      <c r="AM2432" s="161"/>
      <c r="AN2432" s="161"/>
      <c r="AO2432" s="161"/>
      <c r="AP2432" s="161"/>
      <c r="AQ2432" s="161"/>
      <c r="AR2432" s="161"/>
      <c r="AS2432" s="161"/>
      <c r="AT2432" s="161"/>
      <c r="AU2432" s="89"/>
      <c r="AV2432" s="162"/>
      <c r="AW2432" s="73"/>
    </row>
    <row r="2433" ht="15.75" customHeight="1">
      <c r="A2433" s="216"/>
      <c r="B2433" s="73"/>
      <c r="C2433" s="216"/>
      <c r="D2433" s="241"/>
      <c r="E2433" s="241"/>
      <c r="F2433" s="89"/>
      <c r="G2433" s="476"/>
      <c r="H2433" s="73"/>
      <c r="I2433" s="551"/>
      <c r="J2433" s="476"/>
      <c r="K2433" s="69"/>
      <c r="L2433" s="61"/>
      <c r="M2433" s="61"/>
      <c r="N2433" s="73"/>
      <c r="O2433" s="66"/>
      <c r="P2433" s="67"/>
      <c r="Q2433" s="67"/>
      <c r="R2433" s="67"/>
      <c r="S2433" s="67"/>
      <c r="T2433" s="161"/>
      <c r="U2433" s="69"/>
      <c r="V2433" s="73"/>
      <c r="W2433" s="71"/>
      <c r="X2433" s="194"/>
      <c r="Y2433" s="216"/>
      <c r="Z2433" s="73"/>
      <c r="AA2433" s="73"/>
      <c r="AB2433" s="73"/>
      <c r="AC2433" s="73"/>
      <c r="AD2433" s="73"/>
      <c r="AE2433" s="73"/>
      <c r="AF2433" s="73"/>
      <c r="AG2433" s="73"/>
      <c r="AH2433" s="73"/>
      <c r="AI2433" s="73"/>
      <c r="AJ2433" s="161"/>
      <c r="AK2433" s="236"/>
      <c r="AL2433" s="269"/>
      <c r="AM2433" s="161"/>
      <c r="AN2433" s="161"/>
      <c r="AO2433" s="161"/>
      <c r="AP2433" s="161"/>
      <c r="AQ2433" s="161"/>
      <c r="AR2433" s="161"/>
      <c r="AS2433" s="161"/>
      <c r="AT2433" s="161"/>
      <c r="AU2433" s="89"/>
      <c r="AV2433" s="162"/>
      <c r="AW2433" s="73"/>
    </row>
    <row r="2434" ht="15.75" customHeight="1">
      <c r="A2434" s="216"/>
      <c r="B2434" s="73"/>
      <c r="C2434" s="216"/>
      <c r="D2434" s="241"/>
      <c r="E2434" s="241"/>
      <c r="F2434" s="89"/>
      <c r="G2434" s="476"/>
      <c r="H2434" s="73"/>
      <c r="I2434" s="551"/>
      <c r="J2434" s="476"/>
      <c r="K2434" s="69"/>
      <c r="L2434" s="61"/>
      <c r="M2434" s="61"/>
      <c r="N2434" s="73"/>
      <c r="O2434" s="66"/>
      <c r="P2434" s="67"/>
      <c r="Q2434" s="67"/>
      <c r="R2434" s="67"/>
      <c r="S2434" s="67"/>
      <c r="T2434" s="161"/>
      <c r="U2434" s="69"/>
      <c r="V2434" s="73"/>
      <c r="W2434" s="71"/>
      <c r="X2434" s="194"/>
      <c r="Y2434" s="216"/>
      <c r="Z2434" s="73"/>
      <c r="AA2434" s="73"/>
      <c r="AB2434" s="73"/>
      <c r="AC2434" s="73"/>
      <c r="AD2434" s="73"/>
      <c r="AE2434" s="73"/>
      <c r="AF2434" s="73"/>
      <c r="AG2434" s="73"/>
      <c r="AH2434" s="73"/>
      <c r="AI2434" s="73"/>
      <c r="AJ2434" s="161"/>
      <c r="AK2434" s="236"/>
      <c r="AL2434" s="269"/>
      <c r="AM2434" s="161"/>
      <c r="AN2434" s="161"/>
      <c r="AO2434" s="161"/>
      <c r="AP2434" s="161"/>
      <c r="AQ2434" s="161"/>
      <c r="AR2434" s="161"/>
      <c r="AS2434" s="161"/>
      <c r="AT2434" s="161"/>
      <c r="AU2434" s="89"/>
      <c r="AV2434" s="162"/>
      <c r="AW2434" s="73"/>
    </row>
    <row r="2435" ht="15.75" customHeight="1">
      <c r="A2435" s="216"/>
      <c r="B2435" s="73"/>
      <c r="C2435" s="216"/>
      <c r="D2435" s="241"/>
      <c r="E2435" s="241"/>
      <c r="F2435" s="89"/>
      <c r="G2435" s="476"/>
      <c r="H2435" s="73"/>
      <c r="I2435" s="551"/>
      <c r="J2435" s="476"/>
      <c r="K2435" s="69"/>
      <c r="L2435" s="61"/>
      <c r="M2435" s="61"/>
      <c r="N2435" s="73"/>
      <c r="O2435" s="66"/>
      <c r="P2435" s="67"/>
      <c r="Q2435" s="67"/>
      <c r="R2435" s="67"/>
      <c r="S2435" s="67"/>
      <c r="T2435" s="161"/>
      <c r="U2435" s="69"/>
      <c r="V2435" s="73"/>
      <c r="W2435" s="71"/>
      <c r="X2435" s="194"/>
      <c r="Y2435" s="216"/>
      <c r="Z2435" s="73"/>
      <c r="AA2435" s="73"/>
      <c r="AB2435" s="73"/>
      <c r="AC2435" s="73"/>
      <c r="AD2435" s="73"/>
      <c r="AE2435" s="73"/>
      <c r="AF2435" s="73"/>
      <c r="AG2435" s="73"/>
      <c r="AH2435" s="73"/>
      <c r="AI2435" s="73"/>
      <c r="AJ2435" s="161"/>
      <c r="AK2435" s="236"/>
      <c r="AL2435" s="269"/>
      <c r="AM2435" s="161"/>
      <c r="AN2435" s="161"/>
      <c r="AO2435" s="161"/>
      <c r="AP2435" s="161"/>
      <c r="AQ2435" s="161"/>
      <c r="AR2435" s="161"/>
      <c r="AS2435" s="161"/>
      <c r="AT2435" s="161"/>
      <c r="AU2435" s="89"/>
      <c r="AV2435" s="162"/>
      <c r="AW2435" s="73"/>
    </row>
    <row r="2436" ht="15.75" customHeight="1">
      <c r="A2436" s="216"/>
      <c r="B2436" s="73"/>
      <c r="C2436" s="216"/>
      <c r="D2436" s="241"/>
      <c r="E2436" s="241"/>
      <c r="F2436" s="89"/>
      <c r="G2436" s="476"/>
      <c r="H2436" s="73"/>
      <c r="I2436" s="551"/>
      <c r="J2436" s="476"/>
      <c r="K2436" s="69"/>
      <c r="L2436" s="61"/>
      <c r="M2436" s="61"/>
      <c r="N2436" s="73"/>
      <c r="O2436" s="66"/>
      <c r="P2436" s="67"/>
      <c r="Q2436" s="67"/>
      <c r="R2436" s="67"/>
      <c r="S2436" s="67"/>
      <c r="T2436" s="161"/>
      <c r="U2436" s="69"/>
      <c r="V2436" s="73"/>
      <c r="W2436" s="71"/>
      <c r="X2436" s="194"/>
      <c r="Y2436" s="216"/>
      <c r="Z2436" s="73"/>
      <c r="AA2436" s="73"/>
      <c r="AB2436" s="73"/>
      <c r="AC2436" s="73"/>
      <c r="AD2436" s="73"/>
      <c r="AE2436" s="73"/>
      <c r="AF2436" s="73"/>
      <c r="AG2436" s="73"/>
      <c r="AH2436" s="73"/>
      <c r="AI2436" s="73"/>
      <c r="AJ2436" s="161"/>
      <c r="AK2436" s="236"/>
      <c r="AL2436" s="269"/>
      <c r="AM2436" s="161"/>
      <c r="AN2436" s="161"/>
      <c r="AO2436" s="161"/>
      <c r="AP2436" s="161"/>
      <c r="AQ2436" s="161"/>
      <c r="AR2436" s="161"/>
      <c r="AS2436" s="161"/>
      <c r="AT2436" s="161"/>
      <c r="AU2436" s="89"/>
      <c r="AV2436" s="162"/>
      <c r="AW2436" s="73"/>
    </row>
    <row r="2437" ht="15.75" customHeight="1">
      <c r="A2437" s="216"/>
      <c r="B2437" s="73"/>
      <c r="C2437" s="216"/>
      <c r="D2437" s="241"/>
      <c r="E2437" s="241"/>
      <c r="F2437" s="89"/>
      <c r="G2437" s="476"/>
      <c r="H2437" s="73"/>
      <c r="I2437" s="551"/>
      <c r="J2437" s="476"/>
      <c r="K2437" s="69"/>
      <c r="L2437" s="61"/>
      <c r="M2437" s="61"/>
      <c r="N2437" s="73"/>
      <c r="O2437" s="66"/>
      <c r="P2437" s="67"/>
      <c r="Q2437" s="67"/>
      <c r="R2437" s="67"/>
      <c r="S2437" s="67"/>
      <c r="T2437" s="161"/>
      <c r="U2437" s="69"/>
      <c r="V2437" s="73"/>
      <c r="W2437" s="71"/>
      <c r="X2437" s="194"/>
      <c r="Y2437" s="216"/>
      <c r="Z2437" s="73"/>
      <c r="AA2437" s="73"/>
      <c r="AB2437" s="73"/>
      <c r="AC2437" s="73"/>
      <c r="AD2437" s="73"/>
      <c r="AE2437" s="73"/>
      <c r="AF2437" s="73"/>
      <c r="AG2437" s="73"/>
      <c r="AH2437" s="73"/>
      <c r="AI2437" s="73"/>
      <c r="AJ2437" s="161"/>
      <c r="AK2437" s="236"/>
      <c r="AL2437" s="269"/>
      <c r="AM2437" s="161"/>
      <c r="AN2437" s="161"/>
      <c r="AO2437" s="161"/>
      <c r="AP2437" s="161"/>
      <c r="AQ2437" s="161"/>
      <c r="AR2437" s="161"/>
      <c r="AS2437" s="161"/>
      <c r="AT2437" s="161"/>
      <c r="AU2437" s="89"/>
      <c r="AV2437" s="162"/>
      <c r="AW2437" s="73"/>
    </row>
    <row r="2438" ht="15.75" customHeight="1">
      <c r="A2438" s="216"/>
      <c r="B2438" s="73"/>
      <c r="C2438" s="216"/>
      <c r="D2438" s="241"/>
      <c r="E2438" s="241"/>
      <c r="F2438" s="89"/>
      <c r="G2438" s="476"/>
      <c r="H2438" s="73"/>
      <c r="I2438" s="551"/>
      <c r="J2438" s="476"/>
      <c r="K2438" s="69"/>
      <c r="L2438" s="61"/>
      <c r="M2438" s="61"/>
      <c r="N2438" s="73"/>
      <c r="O2438" s="66"/>
      <c r="P2438" s="67"/>
      <c r="Q2438" s="67"/>
      <c r="R2438" s="67"/>
      <c r="S2438" s="67"/>
      <c r="T2438" s="161"/>
      <c r="U2438" s="69"/>
      <c r="V2438" s="73"/>
      <c r="W2438" s="71"/>
      <c r="X2438" s="194"/>
      <c r="Y2438" s="216"/>
      <c r="Z2438" s="73"/>
      <c r="AA2438" s="73"/>
      <c r="AB2438" s="73"/>
      <c r="AC2438" s="73"/>
      <c r="AD2438" s="73"/>
      <c r="AE2438" s="73"/>
      <c r="AF2438" s="73"/>
      <c r="AG2438" s="73"/>
      <c r="AH2438" s="73"/>
      <c r="AI2438" s="73"/>
      <c r="AJ2438" s="161"/>
      <c r="AK2438" s="236"/>
      <c r="AL2438" s="269"/>
      <c r="AM2438" s="161"/>
      <c r="AN2438" s="161"/>
      <c r="AO2438" s="161"/>
      <c r="AP2438" s="161"/>
      <c r="AQ2438" s="161"/>
      <c r="AR2438" s="161"/>
      <c r="AS2438" s="161"/>
      <c r="AT2438" s="161"/>
      <c r="AU2438" s="89"/>
      <c r="AV2438" s="162"/>
      <c r="AW2438" s="73"/>
    </row>
    <row r="2439" ht="15.75" customHeight="1">
      <c r="A2439" s="216"/>
      <c r="B2439" s="73"/>
      <c r="C2439" s="216"/>
      <c r="D2439" s="241"/>
      <c r="E2439" s="241"/>
      <c r="F2439" s="89"/>
      <c r="G2439" s="476"/>
      <c r="H2439" s="73"/>
      <c r="I2439" s="551"/>
      <c r="J2439" s="476"/>
      <c r="K2439" s="69"/>
      <c r="L2439" s="61"/>
      <c r="M2439" s="61"/>
      <c r="N2439" s="73"/>
      <c r="O2439" s="66"/>
      <c r="P2439" s="67"/>
      <c r="Q2439" s="67"/>
      <c r="R2439" s="67"/>
      <c r="S2439" s="67"/>
      <c r="T2439" s="161"/>
      <c r="U2439" s="69"/>
      <c r="V2439" s="73"/>
      <c r="W2439" s="71"/>
      <c r="X2439" s="194"/>
      <c r="Y2439" s="216"/>
      <c r="Z2439" s="73"/>
      <c r="AA2439" s="73"/>
      <c r="AB2439" s="73"/>
      <c r="AC2439" s="73"/>
      <c r="AD2439" s="73"/>
      <c r="AE2439" s="73"/>
      <c r="AF2439" s="73"/>
      <c r="AG2439" s="73"/>
      <c r="AH2439" s="73"/>
      <c r="AI2439" s="73"/>
      <c r="AJ2439" s="161"/>
      <c r="AK2439" s="236"/>
      <c r="AL2439" s="269"/>
      <c r="AM2439" s="161"/>
      <c r="AN2439" s="161"/>
      <c r="AO2439" s="161"/>
      <c r="AP2439" s="161"/>
      <c r="AQ2439" s="161"/>
      <c r="AR2439" s="161"/>
      <c r="AS2439" s="161"/>
      <c r="AT2439" s="161"/>
      <c r="AU2439" s="89"/>
      <c r="AV2439" s="162"/>
      <c r="AW2439" s="73"/>
    </row>
    <row r="2440" ht="15.75" customHeight="1">
      <c r="A2440" s="216"/>
      <c r="B2440" s="73"/>
      <c r="C2440" s="216"/>
      <c r="D2440" s="241"/>
      <c r="E2440" s="241"/>
      <c r="F2440" s="89"/>
      <c r="G2440" s="476"/>
      <c r="H2440" s="73"/>
      <c r="I2440" s="551"/>
      <c r="J2440" s="476"/>
      <c r="K2440" s="69"/>
      <c r="L2440" s="61"/>
      <c r="M2440" s="61"/>
      <c r="N2440" s="73"/>
      <c r="O2440" s="66"/>
      <c r="P2440" s="67"/>
      <c r="Q2440" s="67"/>
      <c r="R2440" s="67"/>
      <c r="S2440" s="67"/>
      <c r="T2440" s="161"/>
      <c r="U2440" s="69"/>
      <c r="V2440" s="73"/>
      <c r="W2440" s="71"/>
      <c r="X2440" s="194"/>
      <c r="Y2440" s="216"/>
      <c r="Z2440" s="73"/>
      <c r="AA2440" s="73"/>
      <c r="AB2440" s="73"/>
      <c r="AC2440" s="73"/>
      <c r="AD2440" s="73"/>
      <c r="AE2440" s="73"/>
      <c r="AF2440" s="73"/>
      <c r="AG2440" s="73"/>
      <c r="AH2440" s="73"/>
      <c r="AI2440" s="73"/>
      <c r="AJ2440" s="161"/>
      <c r="AK2440" s="236"/>
      <c r="AL2440" s="269"/>
      <c r="AM2440" s="161"/>
      <c r="AN2440" s="161"/>
      <c r="AO2440" s="161"/>
      <c r="AP2440" s="161"/>
      <c r="AQ2440" s="161"/>
      <c r="AR2440" s="161"/>
      <c r="AS2440" s="161"/>
      <c r="AT2440" s="161"/>
      <c r="AU2440" s="89"/>
      <c r="AV2440" s="162"/>
      <c r="AW2440" s="73"/>
    </row>
    <row r="2441" ht="15.75" customHeight="1">
      <c r="A2441" s="216"/>
      <c r="B2441" s="73"/>
      <c r="C2441" s="216"/>
      <c r="D2441" s="241"/>
      <c r="E2441" s="241"/>
      <c r="F2441" s="89"/>
      <c r="G2441" s="476"/>
      <c r="H2441" s="73"/>
      <c r="I2441" s="551"/>
      <c r="J2441" s="476"/>
      <c r="K2441" s="69"/>
      <c r="L2441" s="61"/>
      <c r="M2441" s="61"/>
      <c r="N2441" s="73"/>
      <c r="O2441" s="66"/>
      <c r="P2441" s="67"/>
      <c r="Q2441" s="67"/>
      <c r="R2441" s="67"/>
      <c r="S2441" s="67"/>
      <c r="T2441" s="161"/>
      <c r="U2441" s="69"/>
      <c r="V2441" s="73"/>
      <c r="W2441" s="71"/>
      <c r="X2441" s="194"/>
      <c r="Y2441" s="216"/>
      <c r="Z2441" s="73"/>
      <c r="AA2441" s="73"/>
      <c r="AB2441" s="73"/>
      <c r="AC2441" s="73"/>
      <c r="AD2441" s="73"/>
      <c r="AE2441" s="73"/>
      <c r="AF2441" s="73"/>
      <c r="AG2441" s="73"/>
      <c r="AH2441" s="73"/>
      <c r="AI2441" s="73"/>
      <c r="AJ2441" s="161"/>
      <c r="AK2441" s="236"/>
      <c r="AL2441" s="269"/>
      <c r="AM2441" s="161"/>
      <c r="AN2441" s="161"/>
      <c r="AO2441" s="161"/>
      <c r="AP2441" s="161"/>
      <c r="AQ2441" s="161"/>
      <c r="AR2441" s="161"/>
      <c r="AS2441" s="161"/>
      <c r="AT2441" s="161"/>
      <c r="AU2441" s="89"/>
      <c r="AV2441" s="162"/>
      <c r="AW2441" s="73"/>
    </row>
    <row r="2442" ht="15.75" customHeight="1">
      <c r="A2442" s="216"/>
      <c r="B2442" s="73"/>
      <c r="C2442" s="216"/>
      <c r="D2442" s="241"/>
      <c r="E2442" s="241"/>
      <c r="F2442" s="89"/>
      <c r="G2442" s="476"/>
      <c r="H2442" s="73"/>
      <c r="I2442" s="551"/>
      <c r="J2442" s="476"/>
      <c r="K2442" s="69"/>
      <c r="L2442" s="61"/>
      <c r="M2442" s="61"/>
      <c r="N2442" s="73"/>
      <c r="O2442" s="66"/>
      <c r="P2442" s="67"/>
      <c r="Q2442" s="67"/>
      <c r="R2442" s="67"/>
      <c r="S2442" s="67"/>
      <c r="T2442" s="161"/>
      <c r="U2442" s="69"/>
      <c r="V2442" s="73"/>
      <c r="W2442" s="71"/>
      <c r="X2442" s="194"/>
      <c r="Y2442" s="216"/>
      <c r="Z2442" s="73"/>
      <c r="AA2442" s="73"/>
      <c r="AB2442" s="73"/>
      <c r="AC2442" s="73"/>
      <c r="AD2442" s="73"/>
      <c r="AE2442" s="73"/>
      <c r="AF2442" s="73"/>
      <c r="AG2442" s="73"/>
      <c r="AH2442" s="73"/>
      <c r="AI2442" s="73"/>
      <c r="AJ2442" s="161"/>
      <c r="AK2442" s="236"/>
      <c r="AL2442" s="269"/>
      <c r="AM2442" s="161"/>
      <c r="AN2442" s="161"/>
      <c r="AO2442" s="161"/>
      <c r="AP2442" s="161"/>
      <c r="AQ2442" s="161"/>
      <c r="AR2442" s="161"/>
      <c r="AS2442" s="161"/>
      <c r="AT2442" s="161"/>
      <c r="AU2442" s="89"/>
      <c r="AV2442" s="162"/>
      <c r="AW2442" s="73"/>
    </row>
    <row r="2443" ht="15.75" customHeight="1">
      <c r="A2443" s="216"/>
      <c r="B2443" s="73"/>
      <c r="C2443" s="216"/>
      <c r="D2443" s="241"/>
      <c r="E2443" s="241"/>
      <c r="F2443" s="89"/>
      <c r="G2443" s="476"/>
      <c r="H2443" s="73"/>
      <c r="I2443" s="551"/>
      <c r="J2443" s="476"/>
      <c r="K2443" s="69"/>
      <c r="L2443" s="61"/>
      <c r="M2443" s="61"/>
      <c r="N2443" s="73"/>
      <c r="O2443" s="66"/>
      <c r="P2443" s="67"/>
      <c r="Q2443" s="67"/>
      <c r="R2443" s="67"/>
      <c r="S2443" s="67"/>
      <c r="T2443" s="161"/>
      <c r="U2443" s="69"/>
      <c r="V2443" s="73"/>
      <c r="W2443" s="71"/>
      <c r="X2443" s="194"/>
      <c r="Y2443" s="216"/>
      <c r="Z2443" s="73"/>
      <c r="AA2443" s="73"/>
      <c r="AB2443" s="73"/>
      <c r="AC2443" s="73"/>
      <c r="AD2443" s="73"/>
      <c r="AE2443" s="73"/>
      <c r="AF2443" s="73"/>
      <c r="AG2443" s="73"/>
      <c r="AH2443" s="73"/>
      <c r="AI2443" s="73"/>
      <c r="AJ2443" s="161"/>
      <c r="AK2443" s="236"/>
      <c r="AL2443" s="269"/>
      <c r="AM2443" s="161"/>
      <c r="AN2443" s="161"/>
      <c r="AO2443" s="161"/>
      <c r="AP2443" s="161"/>
      <c r="AQ2443" s="161"/>
      <c r="AR2443" s="161"/>
      <c r="AS2443" s="161"/>
      <c r="AT2443" s="161"/>
      <c r="AU2443" s="89"/>
      <c r="AV2443" s="162"/>
      <c r="AW2443" s="73"/>
    </row>
    <row r="2444" ht="15.75" customHeight="1">
      <c r="A2444" s="216"/>
      <c r="B2444" s="73"/>
      <c r="C2444" s="216"/>
      <c r="D2444" s="241"/>
      <c r="E2444" s="241"/>
      <c r="F2444" s="89"/>
      <c r="G2444" s="476"/>
      <c r="H2444" s="73"/>
      <c r="I2444" s="551"/>
      <c r="J2444" s="476"/>
      <c r="K2444" s="69"/>
      <c r="L2444" s="61"/>
      <c r="M2444" s="61"/>
      <c r="N2444" s="73"/>
      <c r="O2444" s="66"/>
      <c r="P2444" s="67"/>
      <c r="Q2444" s="67"/>
      <c r="R2444" s="67"/>
      <c r="S2444" s="67"/>
      <c r="T2444" s="161"/>
      <c r="U2444" s="69"/>
      <c r="V2444" s="73"/>
      <c r="W2444" s="71"/>
      <c r="X2444" s="194"/>
      <c r="Y2444" s="216"/>
      <c r="Z2444" s="73"/>
      <c r="AA2444" s="73"/>
      <c r="AB2444" s="73"/>
      <c r="AC2444" s="73"/>
      <c r="AD2444" s="73"/>
      <c r="AE2444" s="73"/>
      <c r="AF2444" s="73"/>
      <c r="AG2444" s="73"/>
      <c r="AH2444" s="73"/>
      <c r="AI2444" s="73"/>
      <c r="AJ2444" s="161"/>
      <c r="AK2444" s="236"/>
      <c r="AL2444" s="269"/>
      <c r="AM2444" s="161"/>
      <c r="AN2444" s="161"/>
      <c r="AO2444" s="161"/>
      <c r="AP2444" s="161"/>
      <c r="AQ2444" s="161"/>
      <c r="AR2444" s="161"/>
      <c r="AS2444" s="161"/>
      <c r="AT2444" s="161"/>
      <c r="AU2444" s="89"/>
      <c r="AV2444" s="162"/>
      <c r="AW2444" s="73"/>
    </row>
    <row r="2445" ht="15.75" customHeight="1">
      <c r="A2445" s="216"/>
      <c r="B2445" s="73"/>
      <c r="C2445" s="216"/>
      <c r="D2445" s="241"/>
      <c r="E2445" s="241"/>
      <c r="F2445" s="89"/>
      <c r="G2445" s="476"/>
      <c r="H2445" s="73"/>
      <c r="I2445" s="551"/>
      <c r="J2445" s="476"/>
      <c r="K2445" s="69"/>
      <c r="L2445" s="61"/>
      <c r="M2445" s="61"/>
      <c r="N2445" s="73"/>
      <c r="O2445" s="66"/>
      <c r="P2445" s="67"/>
      <c r="Q2445" s="67"/>
      <c r="R2445" s="67"/>
      <c r="S2445" s="67"/>
      <c r="T2445" s="161"/>
      <c r="U2445" s="69"/>
      <c r="V2445" s="73"/>
      <c r="W2445" s="71"/>
      <c r="X2445" s="194"/>
      <c r="Y2445" s="216"/>
      <c r="Z2445" s="73"/>
      <c r="AA2445" s="73"/>
      <c r="AB2445" s="73"/>
      <c r="AC2445" s="73"/>
      <c r="AD2445" s="73"/>
      <c r="AE2445" s="73"/>
      <c r="AF2445" s="73"/>
      <c r="AG2445" s="73"/>
      <c r="AH2445" s="73"/>
      <c r="AI2445" s="73"/>
      <c r="AJ2445" s="161"/>
      <c r="AK2445" s="236"/>
      <c r="AL2445" s="269"/>
      <c r="AM2445" s="161"/>
      <c r="AN2445" s="161"/>
      <c r="AO2445" s="161"/>
      <c r="AP2445" s="161"/>
      <c r="AQ2445" s="161"/>
      <c r="AR2445" s="161"/>
      <c r="AS2445" s="161"/>
      <c r="AT2445" s="161"/>
      <c r="AU2445" s="89"/>
      <c r="AV2445" s="162"/>
      <c r="AW2445" s="73"/>
    </row>
    <row r="2446" ht="15.75" customHeight="1">
      <c r="A2446" s="216"/>
      <c r="B2446" s="73"/>
      <c r="C2446" s="216"/>
      <c r="D2446" s="241"/>
      <c r="E2446" s="241"/>
      <c r="F2446" s="89"/>
      <c r="G2446" s="476"/>
      <c r="H2446" s="73"/>
      <c r="I2446" s="551"/>
      <c r="J2446" s="476"/>
      <c r="K2446" s="69"/>
      <c r="L2446" s="61"/>
      <c r="M2446" s="61"/>
      <c r="N2446" s="73"/>
      <c r="O2446" s="66"/>
      <c r="P2446" s="67"/>
      <c r="Q2446" s="67"/>
      <c r="R2446" s="67"/>
      <c r="S2446" s="67"/>
      <c r="T2446" s="161"/>
      <c r="U2446" s="69"/>
      <c r="V2446" s="73"/>
      <c r="W2446" s="71"/>
      <c r="X2446" s="194"/>
      <c r="Y2446" s="216"/>
      <c r="Z2446" s="73"/>
      <c r="AA2446" s="73"/>
      <c r="AB2446" s="73"/>
      <c r="AC2446" s="73"/>
      <c r="AD2446" s="73"/>
      <c r="AE2446" s="73"/>
      <c r="AF2446" s="73"/>
      <c r="AG2446" s="73"/>
      <c r="AH2446" s="73"/>
      <c r="AI2446" s="73"/>
      <c r="AJ2446" s="161"/>
      <c r="AK2446" s="236"/>
      <c r="AL2446" s="269"/>
      <c r="AM2446" s="161"/>
      <c r="AN2446" s="161"/>
      <c r="AO2446" s="161"/>
      <c r="AP2446" s="161"/>
      <c r="AQ2446" s="161"/>
      <c r="AR2446" s="161"/>
      <c r="AS2446" s="161"/>
      <c r="AT2446" s="161"/>
      <c r="AU2446" s="89"/>
      <c r="AV2446" s="162"/>
      <c r="AW2446" s="73"/>
    </row>
    <row r="2447" ht="15.75" customHeight="1">
      <c r="A2447" s="216"/>
      <c r="B2447" s="73"/>
      <c r="C2447" s="216"/>
      <c r="D2447" s="241"/>
      <c r="E2447" s="241"/>
      <c r="F2447" s="89"/>
      <c r="G2447" s="476"/>
      <c r="H2447" s="73"/>
      <c r="I2447" s="551"/>
      <c r="J2447" s="476"/>
      <c r="K2447" s="69"/>
      <c r="L2447" s="61"/>
      <c r="M2447" s="61"/>
      <c r="N2447" s="73"/>
      <c r="O2447" s="66"/>
      <c r="P2447" s="67"/>
      <c r="Q2447" s="67"/>
      <c r="R2447" s="67"/>
      <c r="S2447" s="67"/>
      <c r="T2447" s="161"/>
      <c r="U2447" s="69"/>
      <c r="V2447" s="73"/>
      <c r="W2447" s="71"/>
      <c r="X2447" s="194"/>
      <c r="Y2447" s="216"/>
      <c r="Z2447" s="73"/>
      <c r="AA2447" s="73"/>
      <c r="AB2447" s="73"/>
      <c r="AC2447" s="73"/>
      <c r="AD2447" s="73"/>
      <c r="AE2447" s="73"/>
      <c r="AF2447" s="73"/>
      <c r="AG2447" s="73"/>
      <c r="AH2447" s="73"/>
      <c r="AI2447" s="73"/>
      <c r="AJ2447" s="161"/>
      <c r="AK2447" s="236"/>
      <c r="AL2447" s="269"/>
      <c r="AM2447" s="161"/>
      <c r="AN2447" s="161"/>
      <c r="AO2447" s="161"/>
      <c r="AP2447" s="161"/>
      <c r="AQ2447" s="161"/>
      <c r="AR2447" s="161"/>
      <c r="AS2447" s="161"/>
      <c r="AT2447" s="161"/>
      <c r="AU2447" s="89"/>
      <c r="AV2447" s="162"/>
      <c r="AW2447" s="73"/>
    </row>
    <row r="2448" ht="15.75" customHeight="1">
      <c r="A2448" s="216"/>
      <c r="B2448" s="73"/>
      <c r="C2448" s="216"/>
      <c r="D2448" s="241"/>
      <c r="E2448" s="241"/>
      <c r="F2448" s="89"/>
      <c r="G2448" s="476"/>
      <c r="H2448" s="73"/>
      <c r="I2448" s="551"/>
      <c r="J2448" s="476"/>
      <c r="K2448" s="69"/>
      <c r="L2448" s="61"/>
      <c r="M2448" s="61"/>
      <c r="N2448" s="73"/>
      <c r="O2448" s="66"/>
      <c r="P2448" s="67"/>
      <c r="Q2448" s="67"/>
      <c r="R2448" s="67"/>
      <c r="S2448" s="67"/>
      <c r="T2448" s="161"/>
      <c r="U2448" s="69"/>
      <c r="V2448" s="73"/>
      <c r="W2448" s="71"/>
      <c r="X2448" s="194"/>
      <c r="Y2448" s="216"/>
      <c r="Z2448" s="73"/>
      <c r="AA2448" s="73"/>
      <c r="AB2448" s="73"/>
      <c r="AC2448" s="73"/>
      <c r="AD2448" s="73"/>
      <c r="AE2448" s="73"/>
      <c r="AF2448" s="73"/>
      <c r="AG2448" s="73"/>
      <c r="AH2448" s="73"/>
      <c r="AI2448" s="73"/>
      <c r="AJ2448" s="161"/>
      <c r="AK2448" s="236"/>
      <c r="AL2448" s="269"/>
      <c r="AM2448" s="161"/>
      <c r="AN2448" s="161"/>
      <c r="AO2448" s="161"/>
      <c r="AP2448" s="161"/>
      <c r="AQ2448" s="161"/>
      <c r="AR2448" s="161"/>
      <c r="AS2448" s="161"/>
      <c r="AT2448" s="161"/>
      <c r="AU2448" s="89"/>
      <c r="AV2448" s="162"/>
      <c r="AW2448" s="73"/>
    </row>
    <row r="2449" ht="15.75" customHeight="1">
      <c r="A2449" s="216"/>
      <c r="B2449" s="73"/>
      <c r="C2449" s="216"/>
      <c r="D2449" s="241"/>
      <c r="E2449" s="241"/>
      <c r="F2449" s="89"/>
      <c r="G2449" s="476"/>
      <c r="H2449" s="73"/>
      <c r="I2449" s="551"/>
      <c r="J2449" s="476"/>
      <c r="K2449" s="69"/>
      <c r="L2449" s="61"/>
      <c r="M2449" s="61"/>
      <c r="N2449" s="73"/>
      <c r="O2449" s="66"/>
      <c r="P2449" s="67"/>
      <c r="Q2449" s="67"/>
      <c r="R2449" s="67"/>
      <c r="S2449" s="67"/>
      <c r="T2449" s="161"/>
      <c r="U2449" s="69"/>
      <c r="V2449" s="73"/>
      <c r="W2449" s="71"/>
      <c r="X2449" s="194"/>
      <c r="Y2449" s="216"/>
      <c r="Z2449" s="73"/>
      <c r="AA2449" s="73"/>
      <c r="AB2449" s="73"/>
      <c r="AC2449" s="73"/>
      <c r="AD2449" s="73"/>
      <c r="AE2449" s="73"/>
      <c r="AF2449" s="73"/>
      <c r="AG2449" s="73"/>
      <c r="AH2449" s="73"/>
      <c r="AI2449" s="73"/>
      <c r="AJ2449" s="161"/>
      <c r="AK2449" s="236"/>
      <c r="AL2449" s="269"/>
      <c r="AM2449" s="161"/>
      <c r="AN2449" s="161"/>
      <c r="AO2449" s="161"/>
      <c r="AP2449" s="161"/>
      <c r="AQ2449" s="161"/>
      <c r="AR2449" s="161"/>
      <c r="AS2449" s="161"/>
      <c r="AT2449" s="161"/>
      <c r="AU2449" s="89"/>
      <c r="AV2449" s="162"/>
      <c r="AW2449" s="73"/>
    </row>
    <row r="2450" ht="15.75" customHeight="1">
      <c r="A2450" s="216"/>
      <c r="B2450" s="73"/>
      <c r="C2450" s="216"/>
      <c r="D2450" s="241"/>
      <c r="E2450" s="241"/>
      <c r="F2450" s="89"/>
      <c r="G2450" s="476"/>
      <c r="H2450" s="73"/>
      <c r="I2450" s="551"/>
      <c r="J2450" s="476"/>
      <c r="K2450" s="69"/>
      <c r="L2450" s="61"/>
      <c r="M2450" s="61"/>
      <c r="N2450" s="73"/>
      <c r="O2450" s="66"/>
      <c r="P2450" s="67"/>
      <c r="Q2450" s="67"/>
      <c r="R2450" s="67"/>
      <c r="S2450" s="67"/>
      <c r="T2450" s="161"/>
      <c r="U2450" s="69"/>
      <c r="V2450" s="73"/>
      <c r="W2450" s="71"/>
      <c r="X2450" s="194"/>
      <c r="Y2450" s="216"/>
      <c r="Z2450" s="73"/>
      <c r="AA2450" s="73"/>
      <c r="AB2450" s="73"/>
      <c r="AC2450" s="73"/>
      <c r="AD2450" s="73"/>
      <c r="AE2450" s="73"/>
      <c r="AF2450" s="73"/>
      <c r="AG2450" s="73"/>
      <c r="AH2450" s="73"/>
      <c r="AI2450" s="73"/>
      <c r="AJ2450" s="161"/>
      <c r="AK2450" s="236"/>
      <c r="AL2450" s="269"/>
      <c r="AM2450" s="161"/>
      <c r="AN2450" s="161"/>
      <c r="AO2450" s="161"/>
      <c r="AP2450" s="161"/>
      <c r="AQ2450" s="161"/>
      <c r="AR2450" s="161"/>
      <c r="AS2450" s="161"/>
      <c r="AT2450" s="161"/>
      <c r="AU2450" s="89"/>
      <c r="AV2450" s="162"/>
      <c r="AW2450" s="73"/>
    </row>
    <row r="2451" ht="15.75" customHeight="1">
      <c r="A2451" s="216"/>
      <c r="B2451" s="73"/>
      <c r="C2451" s="216"/>
      <c r="D2451" s="241"/>
      <c r="E2451" s="241"/>
      <c r="F2451" s="89"/>
      <c r="G2451" s="476"/>
      <c r="H2451" s="73"/>
      <c r="I2451" s="551"/>
      <c r="J2451" s="476"/>
      <c r="K2451" s="69"/>
      <c r="L2451" s="61"/>
      <c r="M2451" s="61"/>
      <c r="N2451" s="73"/>
      <c r="O2451" s="66"/>
      <c r="P2451" s="67"/>
      <c r="Q2451" s="67"/>
      <c r="R2451" s="67"/>
      <c r="S2451" s="67"/>
      <c r="T2451" s="161"/>
      <c r="U2451" s="69"/>
      <c r="V2451" s="73"/>
      <c r="W2451" s="71"/>
      <c r="X2451" s="194"/>
      <c r="Y2451" s="216"/>
      <c r="Z2451" s="73"/>
      <c r="AA2451" s="73"/>
      <c r="AB2451" s="73"/>
      <c r="AC2451" s="73"/>
      <c r="AD2451" s="73"/>
      <c r="AE2451" s="73"/>
      <c r="AF2451" s="73"/>
      <c r="AG2451" s="73"/>
      <c r="AH2451" s="73"/>
      <c r="AI2451" s="73"/>
      <c r="AJ2451" s="161"/>
      <c r="AK2451" s="236"/>
      <c r="AL2451" s="269"/>
      <c r="AM2451" s="161"/>
      <c r="AN2451" s="161"/>
      <c r="AO2451" s="161"/>
      <c r="AP2451" s="161"/>
      <c r="AQ2451" s="161"/>
      <c r="AR2451" s="161"/>
      <c r="AS2451" s="161"/>
      <c r="AT2451" s="161"/>
      <c r="AU2451" s="89"/>
      <c r="AV2451" s="162"/>
      <c r="AW2451" s="73"/>
    </row>
    <row r="2452" ht="15.75" customHeight="1">
      <c r="A2452" s="216"/>
      <c r="B2452" s="73"/>
      <c r="C2452" s="216"/>
      <c r="D2452" s="241"/>
      <c r="E2452" s="241"/>
      <c r="F2452" s="89"/>
      <c r="G2452" s="476"/>
      <c r="H2452" s="73"/>
      <c r="I2452" s="551"/>
      <c r="J2452" s="476"/>
      <c r="K2452" s="69"/>
      <c r="L2452" s="61"/>
      <c r="M2452" s="61"/>
      <c r="N2452" s="73"/>
      <c r="O2452" s="66"/>
      <c r="P2452" s="67"/>
      <c r="Q2452" s="67"/>
      <c r="R2452" s="67"/>
      <c r="S2452" s="67"/>
      <c r="T2452" s="161"/>
      <c r="U2452" s="69"/>
      <c r="V2452" s="73"/>
      <c r="W2452" s="71"/>
      <c r="X2452" s="194"/>
      <c r="Y2452" s="216"/>
      <c r="Z2452" s="73"/>
      <c r="AA2452" s="73"/>
      <c r="AB2452" s="73"/>
      <c r="AC2452" s="73"/>
      <c r="AD2452" s="73"/>
      <c r="AE2452" s="73"/>
      <c r="AF2452" s="73"/>
      <c r="AG2452" s="73"/>
      <c r="AH2452" s="73"/>
      <c r="AI2452" s="73"/>
      <c r="AJ2452" s="161"/>
      <c r="AK2452" s="236"/>
      <c r="AL2452" s="269"/>
      <c r="AM2452" s="161"/>
      <c r="AN2452" s="161"/>
      <c r="AO2452" s="161"/>
      <c r="AP2452" s="161"/>
      <c r="AQ2452" s="161"/>
      <c r="AR2452" s="161"/>
      <c r="AS2452" s="161"/>
      <c r="AT2452" s="161"/>
      <c r="AU2452" s="89"/>
      <c r="AV2452" s="162"/>
      <c r="AW2452" s="73"/>
    </row>
    <row r="2453" ht="15.75" customHeight="1">
      <c r="A2453" s="216"/>
      <c r="B2453" s="73"/>
      <c r="C2453" s="216"/>
      <c r="D2453" s="241"/>
      <c r="E2453" s="241"/>
      <c r="F2453" s="89"/>
      <c r="G2453" s="476"/>
      <c r="H2453" s="73"/>
      <c r="I2453" s="551"/>
      <c r="J2453" s="476"/>
      <c r="K2453" s="69"/>
      <c r="L2453" s="61"/>
      <c r="M2453" s="61"/>
      <c r="N2453" s="73"/>
      <c r="O2453" s="66"/>
      <c r="P2453" s="67"/>
      <c r="Q2453" s="67"/>
      <c r="R2453" s="67"/>
      <c r="S2453" s="67"/>
      <c r="T2453" s="161"/>
      <c r="U2453" s="69"/>
      <c r="V2453" s="73"/>
      <c r="W2453" s="71"/>
      <c r="X2453" s="194"/>
      <c r="Y2453" s="216"/>
      <c r="Z2453" s="73"/>
      <c r="AA2453" s="73"/>
      <c r="AB2453" s="73"/>
      <c r="AC2453" s="73"/>
      <c r="AD2453" s="73"/>
      <c r="AE2453" s="73"/>
      <c r="AF2453" s="73"/>
      <c r="AG2453" s="73"/>
      <c r="AH2453" s="73"/>
      <c r="AI2453" s="73"/>
      <c r="AJ2453" s="161"/>
      <c r="AK2453" s="236"/>
      <c r="AL2453" s="269"/>
      <c r="AM2453" s="161"/>
      <c r="AN2453" s="161"/>
      <c r="AO2453" s="161"/>
      <c r="AP2453" s="161"/>
      <c r="AQ2453" s="161"/>
      <c r="AR2453" s="161"/>
      <c r="AS2453" s="161"/>
      <c r="AT2453" s="161"/>
      <c r="AU2453" s="89"/>
      <c r="AV2453" s="162"/>
      <c r="AW2453" s="73"/>
    </row>
    <row r="2454" ht="15.75" customHeight="1">
      <c r="A2454" s="216"/>
      <c r="B2454" s="73"/>
      <c r="C2454" s="216"/>
      <c r="D2454" s="241"/>
      <c r="E2454" s="241"/>
      <c r="F2454" s="89"/>
      <c r="G2454" s="476"/>
      <c r="H2454" s="73"/>
      <c r="I2454" s="551"/>
      <c r="J2454" s="476"/>
      <c r="K2454" s="69"/>
      <c r="L2454" s="61"/>
      <c r="M2454" s="61"/>
      <c r="N2454" s="73"/>
      <c r="O2454" s="66"/>
      <c r="P2454" s="67"/>
      <c r="Q2454" s="67"/>
      <c r="R2454" s="67"/>
      <c r="S2454" s="67"/>
      <c r="T2454" s="161"/>
      <c r="U2454" s="69"/>
      <c r="V2454" s="73"/>
      <c r="W2454" s="71"/>
      <c r="X2454" s="194"/>
      <c r="Y2454" s="216"/>
      <c r="Z2454" s="73"/>
      <c r="AA2454" s="73"/>
      <c r="AB2454" s="73"/>
      <c r="AC2454" s="73"/>
      <c r="AD2454" s="73"/>
      <c r="AE2454" s="73"/>
      <c r="AF2454" s="73"/>
      <c r="AG2454" s="73"/>
      <c r="AH2454" s="73"/>
      <c r="AI2454" s="73"/>
      <c r="AJ2454" s="161"/>
      <c r="AK2454" s="236"/>
      <c r="AL2454" s="269"/>
      <c r="AM2454" s="161"/>
      <c r="AN2454" s="161"/>
      <c r="AO2454" s="161"/>
      <c r="AP2454" s="161"/>
      <c r="AQ2454" s="161"/>
      <c r="AR2454" s="161"/>
      <c r="AS2454" s="161"/>
      <c r="AT2454" s="161"/>
      <c r="AU2454" s="89"/>
      <c r="AV2454" s="162"/>
      <c r="AW2454" s="73"/>
    </row>
    <row r="2455" ht="15.75" customHeight="1">
      <c r="A2455" s="216"/>
      <c r="B2455" s="73"/>
      <c r="C2455" s="216"/>
      <c r="D2455" s="241"/>
      <c r="E2455" s="241"/>
      <c r="F2455" s="89"/>
      <c r="G2455" s="476"/>
      <c r="H2455" s="73"/>
      <c r="I2455" s="551"/>
      <c r="J2455" s="476"/>
      <c r="K2455" s="69"/>
      <c r="L2455" s="61"/>
      <c r="M2455" s="61"/>
      <c r="N2455" s="73"/>
      <c r="O2455" s="66"/>
      <c r="P2455" s="67"/>
      <c r="Q2455" s="67"/>
      <c r="R2455" s="67"/>
      <c r="S2455" s="67"/>
      <c r="T2455" s="161"/>
      <c r="U2455" s="69"/>
      <c r="V2455" s="73"/>
      <c r="W2455" s="71"/>
      <c r="X2455" s="194"/>
      <c r="Y2455" s="216"/>
      <c r="Z2455" s="73"/>
      <c r="AA2455" s="73"/>
      <c r="AB2455" s="73"/>
      <c r="AC2455" s="73"/>
      <c r="AD2455" s="73"/>
      <c r="AE2455" s="73"/>
      <c r="AF2455" s="73"/>
      <c r="AG2455" s="73"/>
      <c r="AH2455" s="73"/>
      <c r="AI2455" s="73"/>
      <c r="AJ2455" s="161"/>
      <c r="AK2455" s="236"/>
      <c r="AL2455" s="269"/>
      <c r="AM2455" s="161"/>
      <c r="AN2455" s="161"/>
      <c r="AO2455" s="161"/>
      <c r="AP2455" s="161"/>
      <c r="AQ2455" s="161"/>
      <c r="AR2455" s="161"/>
      <c r="AS2455" s="161"/>
      <c r="AT2455" s="161"/>
      <c r="AU2455" s="89"/>
      <c r="AV2455" s="162"/>
      <c r="AW2455" s="73"/>
    </row>
    <row r="2456" ht="15.75" customHeight="1">
      <c r="A2456" s="216"/>
      <c r="B2456" s="73"/>
      <c r="C2456" s="216"/>
      <c r="D2456" s="241"/>
      <c r="E2456" s="241"/>
      <c r="F2456" s="89"/>
      <c r="G2456" s="476"/>
      <c r="H2456" s="73"/>
      <c r="I2456" s="551"/>
      <c r="J2456" s="476"/>
      <c r="K2456" s="69"/>
      <c r="L2456" s="61"/>
      <c r="M2456" s="61"/>
      <c r="N2456" s="73"/>
      <c r="O2456" s="66"/>
      <c r="P2456" s="67"/>
      <c r="Q2456" s="67"/>
      <c r="R2456" s="67"/>
      <c r="S2456" s="67"/>
      <c r="T2456" s="161"/>
      <c r="U2456" s="69"/>
      <c r="V2456" s="73"/>
      <c r="W2456" s="71"/>
      <c r="X2456" s="194"/>
      <c r="Y2456" s="216"/>
      <c r="Z2456" s="73"/>
      <c r="AA2456" s="73"/>
      <c r="AB2456" s="73"/>
      <c r="AC2456" s="73"/>
      <c r="AD2456" s="73"/>
      <c r="AE2456" s="73"/>
      <c r="AF2456" s="73"/>
      <c r="AG2456" s="73"/>
      <c r="AH2456" s="73"/>
      <c r="AI2456" s="73"/>
      <c r="AJ2456" s="161"/>
      <c r="AK2456" s="236"/>
      <c r="AL2456" s="269"/>
      <c r="AM2456" s="161"/>
      <c r="AN2456" s="161"/>
      <c r="AO2456" s="161"/>
      <c r="AP2456" s="161"/>
      <c r="AQ2456" s="161"/>
      <c r="AR2456" s="161"/>
      <c r="AS2456" s="161"/>
      <c r="AT2456" s="161"/>
      <c r="AU2456" s="89"/>
      <c r="AV2456" s="162"/>
      <c r="AW2456" s="73"/>
    </row>
    <row r="2457" ht="15.75" customHeight="1">
      <c r="A2457" s="216"/>
      <c r="B2457" s="73"/>
      <c r="C2457" s="216"/>
      <c r="D2457" s="241"/>
      <c r="E2457" s="241"/>
      <c r="F2457" s="89"/>
      <c r="G2457" s="476"/>
      <c r="H2457" s="73"/>
      <c r="I2457" s="551"/>
      <c r="J2457" s="476"/>
      <c r="K2457" s="69"/>
      <c r="L2457" s="61"/>
      <c r="M2457" s="61"/>
      <c r="N2457" s="73"/>
      <c r="O2457" s="66"/>
      <c r="P2457" s="67"/>
      <c r="Q2457" s="67"/>
      <c r="R2457" s="67"/>
      <c r="S2457" s="67"/>
      <c r="T2457" s="161"/>
      <c r="U2457" s="69"/>
      <c r="V2457" s="73"/>
      <c r="W2457" s="71"/>
      <c r="X2457" s="194"/>
      <c r="Y2457" s="216"/>
      <c r="Z2457" s="73"/>
      <c r="AA2457" s="73"/>
      <c r="AB2457" s="73"/>
      <c r="AC2457" s="73"/>
      <c r="AD2457" s="73"/>
      <c r="AE2457" s="73"/>
      <c r="AF2457" s="73"/>
      <c r="AG2457" s="73"/>
      <c r="AH2457" s="73"/>
      <c r="AI2457" s="73"/>
      <c r="AJ2457" s="161"/>
      <c r="AK2457" s="236"/>
      <c r="AL2457" s="269"/>
      <c r="AM2457" s="161"/>
      <c r="AN2457" s="161"/>
      <c r="AO2457" s="161"/>
      <c r="AP2457" s="161"/>
      <c r="AQ2457" s="161"/>
      <c r="AR2457" s="161"/>
      <c r="AS2457" s="161"/>
      <c r="AT2457" s="161"/>
      <c r="AU2457" s="89"/>
      <c r="AV2457" s="162"/>
      <c r="AW2457" s="73"/>
    </row>
    <row r="2458" ht="15.75" customHeight="1">
      <c r="A2458" s="216"/>
      <c r="B2458" s="73"/>
      <c r="C2458" s="216"/>
      <c r="D2458" s="241"/>
      <c r="E2458" s="241"/>
      <c r="F2458" s="89"/>
      <c r="G2458" s="476"/>
      <c r="H2458" s="73"/>
      <c r="I2458" s="551"/>
      <c r="J2458" s="476"/>
      <c r="K2458" s="69"/>
      <c r="L2458" s="61"/>
      <c r="M2458" s="61"/>
      <c r="N2458" s="73"/>
      <c r="O2458" s="66"/>
      <c r="P2458" s="67"/>
      <c r="Q2458" s="67"/>
      <c r="R2458" s="67"/>
      <c r="S2458" s="67"/>
      <c r="T2458" s="161"/>
      <c r="U2458" s="69"/>
      <c r="V2458" s="73"/>
      <c r="W2458" s="71"/>
      <c r="X2458" s="194"/>
      <c r="Y2458" s="216"/>
      <c r="Z2458" s="73"/>
      <c r="AA2458" s="73"/>
      <c r="AB2458" s="73"/>
      <c r="AC2458" s="73"/>
      <c r="AD2458" s="73"/>
      <c r="AE2458" s="73"/>
      <c r="AF2458" s="73"/>
      <c r="AG2458" s="73"/>
      <c r="AH2458" s="73"/>
      <c r="AI2458" s="73"/>
      <c r="AJ2458" s="161"/>
      <c r="AK2458" s="236"/>
      <c r="AL2458" s="269"/>
      <c r="AM2458" s="161"/>
      <c r="AN2458" s="161"/>
      <c r="AO2458" s="161"/>
      <c r="AP2458" s="161"/>
      <c r="AQ2458" s="161"/>
      <c r="AR2458" s="161"/>
      <c r="AS2458" s="161"/>
      <c r="AT2458" s="161"/>
      <c r="AU2458" s="89"/>
      <c r="AV2458" s="162"/>
      <c r="AW2458" s="73"/>
    </row>
    <row r="2459" ht="15.75" customHeight="1">
      <c r="A2459" s="216"/>
      <c r="B2459" s="73"/>
      <c r="C2459" s="216"/>
      <c r="D2459" s="241"/>
      <c r="E2459" s="241"/>
      <c r="F2459" s="89"/>
      <c r="G2459" s="476"/>
      <c r="H2459" s="73"/>
      <c r="I2459" s="551"/>
      <c r="J2459" s="476"/>
      <c r="K2459" s="69"/>
      <c r="L2459" s="61"/>
      <c r="M2459" s="61"/>
      <c r="N2459" s="73"/>
      <c r="O2459" s="66"/>
      <c r="P2459" s="67"/>
      <c r="Q2459" s="67"/>
      <c r="R2459" s="67"/>
      <c r="S2459" s="67"/>
      <c r="T2459" s="161"/>
      <c r="U2459" s="69"/>
      <c r="V2459" s="73"/>
      <c r="W2459" s="71"/>
      <c r="X2459" s="194"/>
      <c r="Y2459" s="216"/>
      <c r="Z2459" s="73"/>
      <c r="AA2459" s="73"/>
      <c r="AB2459" s="73"/>
      <c r="AC2459" s="73"/>
      <c r="AD2459" s="73"/>
      <c r="AE2459" s="73"/>
      <c r="AF2459" s="73"/>
      <c r="AG2459" s="73"/>
      <c r="AH2459" s="73"/>
      <c r="AI2459" s="73"/>
      <c r="AJ2459" s="161"/>
      <c r="AK2459" s="236"/>
      <c r="AL2459" s="269"/>
      <c r="AM2459" s="161"/>
      <c r="AN2459" s="161"/>
      <c r="AO2459" s="161"/>
      <c r="AP2459" s="161"/>
      <c r="AQ2459" s="161"/>
      <c r="AR2459" s="161"/>
      <c r="AS2459" s="161"/>
      <c r="AT2459" s="161"/>
      <c r="AU2459" s="89"/>
      <c r="AV2459" s="162"/>
      <c r="AW2459" s="73"/>
    </row>
    <row r="2460" ht="15.75" customHeight="1">
      <c r="A2460" s="216"/>
      <c r="B2460" s="73"/>
      <c r="C2460" s="216"/>
      <c r="D2460" s="241"/>
      <c r="E2460" s="241"/>
      <c r="F2460" s="89"/>
      <c r="G2460" s="476"/>
      <c r="H2460" s="73"/>
      <c r="I2460" s="551"/>
      <c r="J2460" s="476"/>
      <c r="K2460" s="69"/>
      <c r="L2460" s="61"/>
      <c r="M2460" s="61"/>
      <c r="N2460" s="73"/>
      <c r="O2460" s="66"/>
      <c r="P2460" s="67"/>
      <c r="Q2460" s="67"/>
      <c r="R2460" s="67"/>
      <c r="S2460" s="67"/>
      <c r="T2460" s="161"/>
      <c r="U2460" s="69"/>
      <c r="V2460" s="73"/>
      <c r="W2460" s="71"/>
      <c r="X2460" s="194"/>
      <c r="Y2460" s="216"/>
      <c r="Z2460" s="73"/>
      <c r="AA2460" s="73"/>
      <c r="AB2460" s="73"/>
      <c r="AC2460" s="73"/>
      <c r="AD2460" s="73"/>
      <c r="AE2460" s="73"/>
      <c r="AF2460" s="73"/>
      <c r="AG2460" s="73"/>
      <c r="AH2460" s="73"/>
      <c r="AI2460" s="73"/>
      <c r="AJ2460" s="161"/>
      <c r="AK2460" s="236"/>
      <c r="AL2460" s="269"/>
      <c r="AM2460" s="161"/>
      <c r="AN2460" s="161"/>
      <c r="AO2460" s="161"/>
      <c r="AP2460" s="161"/>
      <c r="AQ2460" s="161"/>
      <c r="AR2460" s="161"/>
      <c r="AS2460" s="161"/>
      <c r="AT2460" s="161"/>
      <c r="AU2460" s="89"/>
      <c r="AV2460" s="162"/>
      <c r="AW2460" s="73"/>
    </row>
    <row r="2461" ht="15.75" customHeight="1">
      <c r="A2461" s="216"/>
      <c r="B2461" s="73"/>
      <c r="C2461" s="216"/>
      <c r="D2461" s="241"/>
      <c r="E2461" s="241"/>
      <c r="F2461" s="89"/>
      <c r="G2461" s="476"/>
      <c r="H2461" s="73"/>
      <c r="I2461" s="551"/>
      <c r="J2461" s="476"/>
      <c r="K2461" s="69"/>
      <c r="L2461" s="61"/>
      <c r="M2461" s="61"/>
      <c r="N2461" s="73"/>
      <c r="O2461" s="66"/>
      <c r="P2461" s="67"/>
      <c r="Q2461" s="67"/>
      <c r="R2461" s="67"/>
      <c r="S2461" s="67"/>
      <c r="T2461" s="161"/>
      <c r="U2461" s="69"/>
      <c r="V2461" s="73"/>
      <c r="W2461" s="71"/>
      <c r="X2461" s="194"/>
      <c r="Y2461" s="216"/>
      <c r="Z2461" s="73"/>
      <c r="AA2461" s="73"/>
      <c r="AB2461" s="73"/>
      <c r="AC2461" s="73"/>
      <c r="AD2461" s="73"/>
      <c r="AE2461" s="73"/>
      <c r="AF2461" s="73"/>
      <c r="AG2461" s="73"/>
      <c r="AH2461" s="73"/>
      <c r="AI2461" s="73"/>
      <c r="AJ2461" s="161"/>
      <c r="AK2461" s="236"/>
      <c r="AL2461" s="269"/>
      <c r="AM2461" s="161"/>
      <c r="AN2461" s="161"/>
      <c r="AO2461" s="161"/>
      <c r="AP2461" s="161"/>
      <c r="AQ2461" s="161"/>
      <c r="AR2461" s="161"/>
      <c r="AS2461" s="161"/>
      <c r="AT2461" s="161"/>
      <c r="AU2461" s="89"/>
      <c r="AV2461" s="162"/>
      <c r="AW2461" s="73"/>
    </row>
    <row r="2462" ht="15.75" customHeight="1">
      <c r="A2462" s="216"/>
      <c r="B2462" s="73"/>
      <c r="C2462" s="216"/>
      <c r="D2462" s="241"/>
      <c r="E2462" s="241"/>
      <c r="F2462" s="89"/>
      <c r="G2462" s="476"/>
      <c r="H2462" s="73"/>
      <c r="I2462" s="551"/>
      <c r="J2462" s="476"/>
      <c r="K2462" s="69"/>
      <c r="L2462" s="61"/>
      <c r="M2462" s="61"/>
      <c r="N2462" s="73"/>
      <c r="O2462" s="66"/>
      <c r="P2462" s="67"/>
      <c r="Q2462" s="67"/>
      <c r="R2462" s="67"/>
      <c r="S2462" s="67"/>
      <c r="T2462" s="161"/>
      <c r="U2462" s="69"/>
      <c r="V2462" s="73"/>
      <c r="W2462" s="71"/>
      <c r="X2462" s="194"/>
      <c r="Y2462" s="216"/>
      <c r="Z2462" s="73"/>
      <c r="AA2462" s="73"/>
      <c r="AB2462" s="73"/>
      <c r="AC2462" s="73"/>
      <c r="AD2462" s="73"/>
      <c r="AE2462" s="73"/>
      <c r="AF2462" s="73"/>
      <c r="AG2462" s="73"/>
      <c r="AH2462" s="73"/>
      <c r="AI2462" s="73"/>
      <c r="AJ2462" s="161"/>
      <c r="AK2462" s="236"/>
      <c r="AL2462" s="269"/>
      <c r="AM2462" s="161"/>
      <c r="AN2462" s="161"/>
      <c r="AO2462" s="161"/>
      <c r="AP2462" s="161"/>
      <c r="AQ2462" s="161"/>
      <c r="AR2462" s="161"/>
      <c r="AS2462" s="161"/>
      <c r="AT2462" s="161"/>
      <c r="AU2462" s="89"/>
      <c r="AV2462" s="162"/>
      <c r="AW2462" s="73"/>
    </row>
    <row r="2463" ht="15.75" customHeight="1">
      <c r="A2463" s="216"/>
      <c r="B2463" s="73"/>
      <c r="C2463" s="216"/>
      <c r="D2463" s="241"/>
      <c r="E2463" s="241"/>
      <c r="F2463" s="89"/>
      <c r="G2463" s="476"/>
      <c r="H2463" s="73"/>
      <c r="I2463" s="551"/>
      <c r="J2463" s="476"/>
      <c r="K2463" s="69"/>
      <c r="L2463" s="61"/>
      <c r="M2463" s="61"/>
      <c r="N2463" s="73"/>
      <c r="O2463" s="66"/>
      <c r="P2463" s="67"/>
      <c r="Q2463" s="67"/>
      <c r="R2463" s="67"/>
      <c r="S2463" s="67"/>
      <c r="T2463" s="161"/>
      <c r="U2463" s="69"/>
      <c r="V2463" s="73"/>
      <c r="W2463" s="71"/>
      <c r="X2463" s="194"/>
      <c r="Y2463" s="216"/>
      <c r="Z2463" s="73"/>
      <c r="AA2463" s="73"/>
      <c r="AB2463" s="73"/>
      <c r="AC2463" s="73"/>
      <c r="AD2463" s="73"/>
      <c r="AE2463" s="73"/>
      <c r="AF2463" s="73"/>
      <c r="AG2463" s="73"/>
      <c r="AH2463" s="73"/>
      <c r="AI2463" s="73"/>
      <c r="AJ2463" s="161"/>
      <c r="AK2463" s="236"/>
      <c r="AL2463" s="269"/>
      <c r="AM2463" s="161"/>
      <c r="AN2463" s="161"/>
      <c r="AO2463" s="161"/>
      <c r="AP2463" s="161"/>
      <c r="AQ2463" s="161"/>
      <c r="AR2463" s="161"/>
      <c r="AS2463" s="161"/>
      <c r="AT2463" s="161"/>
      <c r="AU2463" s="89"/>
      <c r="AV2463" s="162"/>
      <c r="AW2463" s="73"/>
    </row>
    <row r="2464" ht="15.75" customHeight="1">
      <c r="A2464" s="216"/>
      <c r="B2464" s="73"/>
      <c r="C2464" s="216"/>
      <c r="D2464" s="241"/>
      <c r="E2464" s="241"/>
      <c r="F2464" s="89"/>
      <c r="G2464" s="476"/>
      <c r="H2464" s="73"/>
      <c r="I2464" s="551"/>
      <c r="J2464" s="476"/>
      <c r="K2464" s="69"/>
      <c r="L2464" s="61"/>
      <c r="M2464" s="61"/>
      <c r="N2464" s="73"/>
      <c r="O2464" s="66"/>
      <c r="P2464" s="67"/>
      <c r="Q2464" s="67"/>
      <c r="R2464" s="67"/>
      <c r="S2464" s="67"/>
      <c r="T2464" s="161"/>
      <c r="U2464" s="69"/>
      <c r="V2464" s="73"/>
      <c r="W2464" s="71"/>
      <c r="X2464" s="194"/>
      <c r="Y2464" s="216"/>
      <c r="Z2464" s="73"/>
      <c r="AA2464" s="73"/>
      <c r="AB2464" s="73"/>
      <c r="AC2464" s="73"/>
      <c r="AD2464" s="73"/>
      <c r="AE2464" s="73"/>
      <c r="AF2464" s="73"/>
      <c r="AG2464" s="73"/>
      <c r="AH2464" s="73"/>
      <c r="AI2464" s="73"/>
      <c r="AJ2464" s="161"/>
      <c r="AK2464" s="236"/>
      <c r="AL2464" s="269"/>
      <c r="AM2464" s="161"/>
      <c r="AN2464" s="161"/>
      <c r="AO2464" s="161"/>
      <c r="AP2464" s="161"/>
      <c r="AQ2464" s="161"/>
      <c r="AR2464" s="161"/>
      <c r="AS2464" s="161"/>
      <c r="AT2464" s="161"/>
      <c r="AU2464" s="89"/>
      <c r="AV2464" s="162"/>
      <c r="AW2464" s="73"/>
    </row>
    <row r="2465" ht="15.75" customHeight="1">
      <c r="A2465" s="216"/>
      <c r="B2465" s="73"/>
      <c r="C2465" s="216"/>
      <c r="D2465" s="241"/>
      <c r="E2465" s="241"/>
      <c r="F2465" s="89"/>
      <c r="G2465" s="476"/>
      <c r="H2465" s="73"/>
      <c r="I2465" s="551"/>
      <c r="J2465" s="476"/>
      <c r="K2465" s="69"/>
      <c r="L2465" s="61"/>
      <c r="M2465" s="61"/>
      <c r="N2465" s="73"/>
      <c r="O2465" s="66"/>
      <c r="P2465" s="67"/>
      <c r="Q2465" s="67"/>
      <c r="R2465" s="67"/>
      <c r="S2465" s="67"/>
      <c r="T2465" s="161"/>
      <c r="U2465" s="69"/>
      <c r="V2465" s="73"/>
      <c r="W2465" s="71"/>
      <c r="X2465" s="194"/>
      <c r="Y2465" s="216"/>
      <c r="Z2465" s="73"/>
      <c r="AA2465" s="73"/>
      <c r="AB2465" s="73"/>
      <c r="AC2465" s="73"/>
      <c r="AD2465" s="73"/>
      <c r="AE2465" s="73"/>
      <c r="AF2465" s="73"/>
      <c r="AG2465" s="73"/>
      <c r="AH2465" s="73"/>
      <c r="AI2465" s="73"/>
      <c r="AJ2465" s="161"/>
      <c r="AK2465" s="236"/>
      <c r="AL2465" s="269"/>
      <c r="AM2465" s="161"/>
      <c r="AN2465" s="161"/>
      <c r="AO2465" s="161"/>
      <c r="AP2465" s="161"/>
      <c r="AQ2465" s="161"/>
      <c r="AR2465" s="161"/>
      <c r="AS2465" s="161"/>
      <c r="AT2465" s="161"/>
      <c r="AU2465" s="89"/>
      <c r="AV2465" s="162"/>
      <c r="AW2465" s="73"/>
    </row>
    <row r="2466" ht="15.75" customHeight="1">
      <c r="A2466" s="216"/>
      <c r="B2466" s="73"/>
      <c r="C2466" s="216"/>
      <c r="D2466" s="241"/>
      <c r="E2466" s="241"/>
      <c r="F2466" s="89"/>
      <c r="G2466" s="476"/>
      <c r="H2466" s="73"/>
      <c r="I2466" s="551"/>
      <c r="J2466" s="476"/>
      <c r="K2466" s="69"/>
      <c r="L2466" s="61"/>
      <c r="M2466" s="61"/>
      <c r="N2466" s="73"/>
      <c r="O2466" s="66"/>
      <c r="P2466" s="67"/>
      <c r="Q2466" s="67"/>
      <c r="R2466" s="67"/>
      <c r="S2466" s="67"/>
      <c r="T2466" s="161"/>
      <c r="U2466" s="69"/>
      <c r="V2466" s="73"/>
      <c r="W2466" s="71"/>
      <c r="X2466" s="194"/>
      <c r="Y2466" s="216"/>
      <c r="Z2466" s="73"/>
      <c r="AA2466" s="73"/>
      <c r="AB2466" s="73"/>
      <c r="AC2466" s="73"/>
      <c r="AD2466" s="73"/>
      <c r="AE2466" s="73"/>
      <c r="AF2466" s="73"/>
      <c r="AG2466" s="73"/>
      <c r="AH2466" s="73"/>
      <c r="AI2466" s="73"/>
      <c r="AJ2466" s="161"/>
      <c r="AK2466" s="236"/>
      <c r="AL2466" s="269"/>
      <c r="AM2466" s="161"/>
      <c r="AN2466" s="161"/>
      <c r="AO2466" s="161"/>
      <c r="AP2466" s="161"/>
      <c r="AQ2466" s="161"/>
      <c r="AR2466" s="161"/>
      <c r="AS2466" s="161"/>
      <c r="AT2466" s="161"/>
      <c r="AU2466" s="89"/>
      <c r="AV2466" s="162"/>
      <c r="AW2466" s="73"/>
    </row>
    <row r="2467" ht="15.75" customHeight="1">
      <c r="A2467" s="216"/>
      <c r="B2467" s="73"/>
      <c r="C2467" s="216"/>
      <c r="D2467" s="241"/>
      <c r="E2467" s="241"/>
      <c r="F2467" s="89"/>
      <c r="G2467" s="476"/>
      <c r="H2467" s="73"/>
      <c r="I2467" s="551"/>
      <c r="J2467" s="476"/>
      <c r="K2467" s="69"/>
      <c r="L2467" s="61"/>
      <c r="M2467" s="61"/>
      <c r="N2467" s="73"/>
      <c r="O2467" s="66"/>
      <c r="P2467" s="67"/>
      <c r="Q2467" s="67"/>
      <c r="R2467" s="67"/>
      <c r="S2467" s="67"/>
      <c r="T2467" s="161"/>
      <c r="U2467" s="69"/>
      <c r="V2467" s="73"/>
      <c r="W2467" s="71"/>
      <c r="X2467" s="194"/>
      <c r="Y2467" s="216"/>
      <c r="Z2467" s="73"/>
      <c r="AA2467" s="73"/>
      <c r="AB2467" s="73"/>
      <c r="AC2467" s="73"/>
      <c r="AD2467" s="73"/>
      <c r="AE2467" s="73"/>
      <c r="AF2467" s="73"/>
      <c r="AG2467" s="73"/>
      <c r="AH2467" s="73"/>
      <c r="AI2467" s="73"/>
      <c r="AJ2467" s="161"/>
      <c r="AK2467" s="236"/>
      <c r="AL2467" s="269"/>
      <c r="AM2467" s="161"/>
      <c r="AN2467" s="161"/>
      <c r="AO2467" s="161"/>
      <c r="AP2467" s="161"/>
      <c r="AQ2467" s="161"/>
      <c r="AR2467" s="161"/>
      <c r="AS2467" s="161"/>
      <c r="AT2467" s="161"/>
      <c r="AU2467" s="89"/>
      <c r="AV2467" s="162"/>
      <c r="AW2467" s="73"/>
    </row>
    <row r="2468" ht="15.75" customHeight="1">
      <c r="A2468" s="216"/>
      <c r="B2468" s="73"/>
      <c r="C2468" s="216"/>
      <c r="D2468" s="241"/>
      <c r="E2468" s="241"/>
      <c r="F2468" s="89"/>
      <c r="G2468" s="476"/>
      <c r="H2468" s="73"/>
      <c r="I2468" s="551"/>
      <c r="J2468" s="476"/>
      <c r="K2468" s="69"/>
      <c r="L2468" s="61"/>
      <c r="M2468" s="61"/>
      <c r="N2468" s="73"/>
      <c r="O2468" s="66"/>
      <c r="P2468" s="67"/>
      <c r="Q2468" s="67"/>
      <c r="R2468" s="67"/>
      <c r="S2468" s="67"/>
      <c r="T2468" s="161"/>
      <c r="U2468" s="69"/>
      <c r="V2468" s="73"/>
      <c r="W2468" s="71"/>
      <c r="X2468" s="194"/>
      <c r="Y2468" s="216"/>
      <c r="Z2468" s="73"/>
      <c r="AA2468" s="73"/>
      <c r="AB2468" s="73"/>
      <c r="AC2468" s="73"/>
      <c r="AD2468" s="73"/>
      <c r="AE2468" s="73"/>
      <c r="AF2468" s="73"/>
      <c r="AG2468" s="73"/>
      <c r="AH2468" s="73"/>
      <c r="AI2468" s="73"/>
      <c r="AJ2468" s="161"/>
      <c r="AK2468" s="236"/>
      <c r="AL2468" s="269"/>
      <c r="AM2468" s="161"/>
      <c r="AN2468" s="161"/>
      <c r="AO2468" s="161"/>
      <c r="AP2468" s="161"/>
      <c r="AQ2468" s="161"/>
      <c r="AR2468" s="161"/>
      <c r="AS2468" s="161"/>
      <c r="AT2468" s="161"/>
      <c r="AU2468" s="89"/>
      <c r="AV2468" s="162"/>
      <c r="AW2468" s="73"/>
    </row>
    <row r="2469" ht="15.75" customHeight="1">
      <c r="A2469" s="216"/>
      <c r="B2469" s="73"/>
      <c r="C2469" s="216"/>
      <c r="D2469" s="241"/>
      <c r="E2469" s="241"/>
      <c r="F2469" s="89"/>
      <c r="G2469" s="476"/>
      <c r="H2469" s="73"/>
      <c r="I2469" s="551"/>
      <c r="J2469" s="476"/>
      <c r="K2469" s="69"/>
      <c r="L2469" s="61"/>
      <c r="M2469" s="61"/>
      <c r="N2469" s="73"/>
      <c r="O2469" s="66"/>
      <c r="P2469" s="67"/>
      <c r="Q2469" s="67"/>
      <c r="R2469" s="67"/>
      <c r="S2469" s="67"/>
      <c r="T2469" s="161"/>
      <c r="U2469" s="69"/>
      <c r="V2469" s="73"/>
      <c r="W2469" s="71"/>
      <c r="X2469" s="194"/>
      <c r="Y2469" s="216"/>
      <c r="Z2469" s="73"/>
      <c r="AA2469" s="73"/>
      <c r="AB2469" s="73"/>
      <c r="AC2469" s="73"/>
      <c r="AD2469" s="73"/>
      <c r="AE2469" s="73"/>
      <c r="AF2469" s="73"/>
      <c r="AG2469" s="73"/>
      <c r="AH2469" s="73"/>
      <c r="AI2469" s="73"/>
      <c r="AJ2469" s="161"/>
      <c r="AK2469" s="236"/>
      <c r="AL2469" s="269"/>
      <c r="AM2469" s="161"/>
      <c r="AN2469" s="161"/>
      <c r="AO2469" s="161"/>
      <c r="AP2469" s="161"/>
      <c r="AQ2469" s="161"/>
      <c r="AR2469" s="161"/>
      <c r="AS2469" s="161"/>
      <c r="AT2469" s="161"/>
      <c r="AU2469" s="89"/>
      <c r="AV2469" s="162"/>
      <c r="AW2469" s="73"/>
    </row>
    <row r="2470" ht="15.75" customHeight="1">
      <c r="A2470" s="216"/>
      <c r="B2470" s="73"/>
      <c r="C2470" s="216"/>
      <c r="D2470" s="241"/>
      <c r="E2470" s="241"/>
      <c r="F2470" s="89"/>
      <c r="G2470" s="476"/>
      <c r="H2470" s="73"/>
      <c r="I2470" s="551"/>
      <c r="J2470" s="476"/>
      <c r="K2470" s="69"/>
      <c r="L2470" s="61"/>
      <c r="M2470" s="61"/>
      <c r="N2470" s="73"/>
      <c r="O2470" s="66"/>
      <c r="P2470" s="67"/>
      <c r="Q2470" s="67"/>
      <c r="R2470" s="67"/>
      <c r="S2470" s="67"/>
      <c r="T2470" s="161"/>
      <c r="U2470" s="69"/>
      <c r="V2470" s="73"/>
      <c r="W2470" s="71"/>
      <c r="X2470" s="194"/>
      <c r="Y2470" s="216"/>
      <c r="Z2470" s="73"/>
      <c r="AA2470" s="73"/>
      <c r="AB2470" s="73"/>
      <c r="AC2470" s="73"/>
      <c r="AD2470" s="73"/>
      <c r="AE2470" s="73"/>
      <c r="AF2470" s="73"/>
      <c r="AG2470" s="73"/>
      <c r="AH2470" s="73"/>
      <c r="AI2470" s="73"/>
      <c r="AJ2470" s="161"/>
      <c r="AK2470" s="236"/>
      <c r="AL2470" s="269"/>
      <c r="AM2470" s="161"/>
      <c r="AN2470" s="161"/>
      <c r="AO2470" s="161"/>
      <c r="AP2470" s="161"/>
      <c r="AQ2470" s="161"/>
      <c r="AR2470" s="161"/>
      <c r="AS2470" s="161"/>
      <c r="AT2470" s="161"/>
      <c r="AU2470" s="89"/>
      <c r="AV2470" s="162"/>
      <c r="AW2470" s="73"/>
    </row>
    <row r="2471" ht="15.75" customHeight="1">
      <c r="A2471" s="216"/>
      <c r="B2471" s="73"/>
      <c r="C2471" s="216"/>
      <c r="D2471" s="241"/>
      <c r="E2471" s="241"/>
      <c r="F2471" s="89"/>
      <c r="G2471" s="476"/>
      <c r="H2471" s="73"/>
      <c r="I2471" s="551"/>
      <c r="J2471" s="476"/>
      <c r="K2471" s="69"/>
      <c r="L2471" s="61"/>
      <c r="M2471" s="61"/>
      <c r="N2471" s="73"/>
      <c r="O2471" s="66"/>
      <c r="P2471" s="67"/>
      <c r="Q2471" s="67"/>
      <c r="R2471" s="67"/>
      <c r="S2471" s="67"/>
      <c r="T2471" s="161"/>
      <c r="U2471" s="69"/>
      <c r="V2471" s="73"/>
      <c r="W2471" s="71"/>
      <c r="X2471" s="194"/>
      <c r="Y2471" s="216"/>
      <c r="Z2471" s="73"/>
      <c r="AA2471" s="73"/>
      <c r="AB2471" s="73"/>
      <c r="AC2471" s="73"/>
      <c r="AD2471" s="73"/>
      <c r="AE2471" s="73"/>
      <c r="AF2471" s="73"/>
      <c r="AG2471" s="73"/>
      <c r="AH2471" s="73"/>
      <c r="AI2471" s="73"/>
      <c r="AJ2471" s="161"/>
      <c r="AK2471" s="236"/>
      <c r="AL2471" s="269"/>
      <c r="AM2471" s="161"/>
      <c r="AN2471" s="161"/>
      <c r="AO2471" s="161"/>
      <c r="AP2471" s="161"/>
      <c r="AQ2471" s="161"/>
      <c r="AR2471" s="161"/>
      <c r="AS2471" s="161"/>
      <c r="AT2471" s="161"/>
      <c r="AU2471" s="89"/>
      <c r="AV2471" s="162"/>
      <c r="AW2471" s="73"/>
    </row>
    <row r="2472" ht="15.75" customHeight="1">
      <c r="A2472" s="216"/>
      <c r="B2472" s="73"/>
      <c r="C2472" s="216"/>
      <c r="D2472" s="241"/>
      <c r="E2472" s="241"/>
      <c r="F2472" s="89"/>
      <c r="G2472" s="476"/>
      <c r="H2472" s="73"/>
      <c r="I2472" s="551"/>
      <c r="J2472" s="476"/>
      <c r="K2472" s="69"/>
      <c r="L2472" s="61"/>
      <c r="M2472" s="61"/>
      <c r="N2472" s="73"/>
      <c r="O2472" s="66"/>
      <c r="P2472" s="67"/>
      <c r="Q2472" s="67"/>
      <c r="R2472" s="67"/>
      <c r="S2472" s="67"/>
      <c r="T2472" s="161"/>
      <c r="U2472" s="69"/>
      <c r="V2472" s="73"/>
      <c r="W2472" s="71"/>
      <c r="X2472" s="194"/>
      <c r="Y2472" s="216"/>
      <c r="Z2472" s="73"/>
      <c r="AA2472" s="73"/>
      <c r="AB2472" s="73"/>
      <c r="AC2472" s="73"/>
      <c r="AD2472" s="73"/>
      <c r="AE2472" s="73"/>
      <c r="AF2472" s="73"/>
      <c r="AG2472" s="73"/>
      <c r="AH2472" s="73"/>
      <c r="AI2472" s="73"/>
      <c r="AJ2472" s="161"/>
      <c r="AK2472" s="236"/>
      <c r="AL2472" s="269"/>
      <c r="AM2472" s="161"/>
      <c r="AN2472" s="161"/>
      <c r="AO2472" s="161"/>
      <c r="AP2472" s="161"/>
      <c r="AQ2472" s="161"/>
      <c r="AR2472" s="161"/>
      <c r="AS2472" s="161"/>
      <c r="AT2472" s="161"/>
      <c r="AU2472" s="89"/>
      <c r="AV2472" s="162"/>
      <c r="AW2472" s="73"/>
    </row>
    <row r="2473" ht="15.75" customHeight="1">
      <c r="A2473" s="216"/>
      <c r="B2473" s="73"/>
      <c r="C2473" s="216"/>
      <c r="D2473" s="241"/>
      <c r="E2473" s="241"/>
      <c r="F2473" s="89"/>
      <c r="G2473" s="476"/>
      <c r="H2473" s="73"/>
      <c r="I2473" s="551"/>
      <c r="J2473" s="476"/>
      <c r="K2473" s="69"/>
      <c r="L2473" s="61"/>
      <c r="M2473" s="61"/>
      <c r="N2473" s="73"/>
      <c r="O2473" s="66"/>
      <c r="P2473" s="67"/>
      <c r="Q2473" s="67"/>
      <c r="R2473" s="67"/>
      <c r="S2473" s="67"/>
      <c r="T2473" s="161"/>
      <c r="U2473" s="69"/>
      <c r="V2473" s="73"/>
      <c r="W2473" s="71"/>
      <c r="X2473" s="194"/>
      <c r="Y2473" s="216"/>
      <c r="Z2473" s="73"/>
      <c r="AA2473" s="73"/>
      <c r="AB2473" s="73"/>
      <c r="AC2473" s="73"/>
      <c r="AD2473" s="73"/>
      <c r="AE2473" s="73"/>
      <c r="AF2473" s="73"/>
      <c r="AG2473" s="73"/>
      <c r="AH2473" s="73"/>
      <c r="AI2473" s="73"/>
      <c r="AJ2473" s="161"/>
      <c r="AK2473" s="236"/>
      <c r="AL2473" s="269"/>
      <c r="AM2473" s="161"/>
      <c r="AN2473" s="161"/>
      <c r="AO2473" s="161"/>
      <c r="AP2473" s="161"/>
      <c r="AQ2473" s="161"/>
      <c r="AR2473" s="161"/>
      <c r="AS2473" s="161"/>
      <c r="AT2473" s="161"/>
      <c r="AU2473" s="89"/>
      <c r="AV2473" s="162"/>
      <c r="AW2473" s="73"/>
    </row>
    <row r="2474" ht="15.75" customHeight="1">
      <c r="A2474" s="216"/>
      <c r="B2474" s="73"/>
      <c r="C2474" s="216"/>
      <c r="D2474" s="241"/>
      <c r="E2474" s="241"/>
      <c r="F2474" s="89"/>
      <c r="G2474" s="476"/>
      <c r="H2474" s="73"/>
      <c r="I2474" s="551"/>
      <c r="J2474" s="476"/>
      <c r="K2474" s="69"/>
      <c r="L2474" s="61"/>
      <c r="M2474" s="61"/>
      <c r="N2474" s="73"/>
      <c r="O2474" s="66"/>
      <c r="P2474" s="67"/>
      <c r="Q2474" s="67"/>
      <c r="R2474" s="67"/>
      <c r="S2474" s="67"/>
      <c r="T2474" s="161"/>
      <c r="U2474" s="69"/>
      <c r="V2474" s="73"/>
      <c r="W2474" s="71"/>
      <c r="X2474" s="194"/>
      <c r="Y2474" s="216"/>
      <c r="Z2474" s="73"/>
      <c r="AA2474" s="73"/>
      <c r="AB2474" s="73"/>
      <c r="AC2474" s="73"/>
      <c r="AD2474" s="73"/>
      <c r="AE2474" s="73"/>
      <c r="AF2474" s="73"/>
      <c r="AG2474" s="73"/>
      <c r="AH2474" s="73"/>
      <c r="AI2474" s="73"/>
      <c r="AJ2474" s="161"/>
      <c r="AK2474" s="236"/>
      <c r="AL2474" s="269"/>
      <c r="AM2474" s="161"/>
      <c r="AN2474" s="161"/>
      <c r="AO2474" s="161"/>
      <c r="AP2474" s="161"/>
      <c r="AQ2474" s="161"/>
      <c r="AR2474" s="161"/>
      <c r="AS2474" s="161"/>
      <c r="AT2474" s="161"/>
      <c r="AU2474" s="89"/>
      <c r="AV2474" s="162"/>
      <c r="AW2474" s="73"/>
    </row>
    <row r="2475" ht="15.75" customHeight="1">
      <c r="A2475" s="216"/>
      <c r="B2475" s="73"/>
      <c r="C2475" s="216"/>
      <c r="D2475" s="241"/>
      <c r="E2475" s="241"/>
      <c r="F2475" s="89"/>
      <c r="G2475" s="476"/>
      <c r="H2475" s="73"/>
      <c r="I2475" s="551"/>
      <c r="J2475" s="476"/>
      <c r="K2475" s="69"/>
      <c r="L2475" s="61"/>
      <c r="M2475" s="61"/>
      <c r="N2475" s="73"/>
      <c r="O2475" s="66"/>
      <c r="P2475" s="67"/>
      <c r="Q2475" s="67"/>
      <c r="R2475" s="67"/>
      <c r="S2475" s="67"/>
      <c r="T2475" s="161"/>
      <c r="U2475" s="69"/>
      <c r="V2475" s="73"/>
      <c r="W2475" s="71"/>
      <c r="X2475" s="194"/>
      <c r="Y2475" s="216"/>
      <c r="Z2475" s="73"/>
      <c r="AA2475" s="73"/>
      <c r="AB2475" s="73"/>
      <c r="AC2475" s="73"/>
      <c r="AD2475" s="73"/>
      <c r="AE2475" s="73"/>
      <c r="AF2475" s="73"/>
      <c r="AG2475" s="73"/>
      <c r="AH2475" s="73"/>
      <c r="AI2475" s="73"/>
      <c r="AJ2475" s="161"/>
      <c r="AK2475" s="236"/>
      <c r="AL2475" s="269"/>
      <c r="AM2475" s="161"/>
      <c r="AN2475" s="161"/>
      <c r="AO2475" s="161"/>
      <c r="AP2475" s="161"/>
      <c r="AQ2475" s="161"/>
      <c r="AR2475" s="161"/>
      <c r="AS2475" s="161"/>
      <c r="AT2475" s="161"/>
      <c r="AU2475" s="89"/>
      <c r="AV2475" s="162"/>
      <c r="AW2475" s="73"/>
    </row>
    <row r="2476" ht="15.75" customHeight="1">
      <c r="A2476" s="216"/>
      <c r="B2476" s="73"/>
      <c r="C2476" s="216"/>
      <c r="D2476" s="241"/>
      <c r="E2476" s="241"/>
      <c r="F2476" s="89"/>
      <c r="G2476" s="476"/>
      <c r="H2476" s="73"/>
      <c r="I2476" s="551"/>
      <c r="J2476" s="476"/>
      <c r="K2476" s="69"/>
      <c r="L2476" s="61"/>
      <c r="M2476" s="61"/>
      <c r="N2476" s="73"/>
      <c r="O2476" s="66"/>
      <c r="P2476" s="67"/>
      <c r="Q2476" s="67"/>
      <c r="R2476" s="67"/>
      <c r="S2476" s="67"/>
      <c r="T2476" s="161"/>
      <c r="U2476" s="69"/>
      <c r="V2476" s="73"/>
      <c r="W2476" s="71"/>
      <c r="X2476" s="194"/>
      <c r="Y2476" s="216"/>
      <c r="Z2476" s="73"/>
      <c r="AA2476" s="73"/>
      <c r="AB2476" s="73"/>
      <c r="AC2476" s="73"/>
      <c r="AD2476" s="73"/>
      <c r="AE2476" s="73"/>
      <c r="AF2476" s="73"/>
      <c r="AG2476" s="73"/>
      <c r="AH2476" s="73"/>
      <c r="AI2476" s="73"/>
      <c r="AJ2476" s="161"/>
      <c r="AK2476" s="236"/>
      <c r="AL2476" s="269"/>
      <c r="AM2476" s="161"/>
      <c r="AN2476" s="161"/>
      <c r="AO2476" s="161"/>
      <c r="AP2476" s="161"/>
      <c r="AQ2476" s="161"/>
      <c r="AR2476" s="161"/>
      <c r="AS2476" s="161"/>
      <c r="AT2476" s="161"/>
      <c r="AU2476" s="89"/>
      <c r="AV2476" s="162"/>
      <c r="AW2476" s="73"/>
    </row>
    <row r="2477" ht="15.75" customHeight="1">
      <c r="A2477" s="216"/>
      <c r="B2477" s="73"/>
      <c r="C2477" s="216"/>
      <c r="D2477" s="241"/>
      <c r="E2477" s="241"/>
      <c r="F2477" s="89"/>
      <c r="G2477" s="476"/>
      <c r="H2477" s="73"/>
      <c r="I2477" s="551"/>
      <c r="J2477" s="476"/>
      <c r="K2477" s="69"/>
      <c r="L2477" s="61"/>
      <c r="M2477" s="61"/>
      <c r="N2477" s="73"/>
      <c r="O2477" s="66"/>
      <c r="P2477" s="67"/>
      <c r="Q2477" s="67"/>
      <c r="R2477" s="67"/>
      <c r="S2477" s="67"/>
      <c r="T2477" s="161"/>
      <c r="U2477" s="69"/>
      <c r="V2477" s="73"/>
      <c r="W2477" s="71"/>
      <c r="X2477" s="194"/>
      <c r="Y2477" s="216"/>
      <c r="Z2477" s="73"/>
      <c r="AA2477" s="73"/>
      <c r="AB2477" s="73"/>
      <c r="AC2477" s="73"/>
      <c r="AD2477" s="73"/>
      <c r="AE2477" s="73"/>
      <c r="AF2477" s="73"/>
      <c r="AG2477" s="73"/>
      <c r="AH2477" s="73"/>
      <c r="AI2477" s="73"/>
      <c r="AJ2477" s="161"/>
      <c r="AK2477" s="236"/>
      <c r="AL2477" s="269"/>
      <c r="AM2477" s="161"/>
      <c r="AN2477" s="161"/>
      <c r="AO2477" s="161"/>
      <c r="AP2477" s="161"/>
      <c r="AQ2477" s="161"/>
      <c r="AR2477" s="161"/>
      <c r="AS2477" s="161"/>
      <c r="AT2477" s="161"/>
      <c r="AU2477" s="89"/>
      <c r="AV2477" s="162"/>
      <c r="AW2477" s="73"/>
    </row>
    <row r="2478" ht="15.75" customHeight="1">
      <c r="A2478" s="216"/>
      <c r="B2478" s="73"/>
      <c r="C2478" s="216"/>
      <c r="D2478" s="241"/>
      <c r="E2478" s="241"/>
      <c r="F2478" s="89"/>
      <c r="G2478" s="476"/>
      <c r="H2478" s="73"/>
      <c r="I2478" s="551"/>
      <c r="J2478" s="476"/>
      <c r="K2478" s="69"/>
      <c r="L2478" s="61"/>
      <c r="M2478" s="61"/>
      <c r="N2478" s="73"/>
      <c r="O2478" s="66"/>
      <c r="P2478" s="67"/>
      <c r="Q2478" s="67"/>
      <c r="R2478" s="67"/>
      <c r="S2478" s="67"/>
      <c r="T2478" s="161"/>
      <c r="U2478" s="69"/>
      <c r="V2478" s="73"/>
      <c r="W2478" s="71"/>
      <c r="X2478" s="194"/>
      <c r="Y2478" s="216"/>
      <c r="Z2478" s="73"/>
      <c r="AA2478" s="73"/>
      <c r="AB2478" s="73"/>
      <c r="AC2478" s="73"/>
      <c r="AD2478" s="73"/>
      <c r="AE2478" s="73"/>
      <c r="AF2478" s="73"/>
      <c r="AG2478" s="73"/>
      <c r="AH2478" s="73"/>
      <c r="AI2478" s="73"/>
      <c r="AJ2478" s="161"/>
      <c r="AK2478" s="236"/>
      <c r="AL2478" s="269"/>
      <c r="AM2478" s="161"/>
      <c r="AN2478" s="161"/>
      <c r="AO2478" s="161"/>
      <c r="AP2478" s="161"/>
      <c r="AQ2478" s="161"/>
      <c r="AR2478" s="161"/>
      <c r="AS2478" s="161"/>
      <c r="AT2478" s="161"/>
      <c r="AU2478" s="89"/>
      <c r="AV2478" s="162"/>
      <c r="AW2478" s="73"/>
    </row>
    <row r="2479" ht="15.75" customHeight="1">
      <c r="A2479" s="216"/>
      <c r="B2479" s="73"/>
      <c r="C2479" s="216"/>
      <c r="D2479" s="241"/>
      <c r="E2479" s="241"/>
      <c r="F2479" s="89"/>
      <c r="G2479" s="476"/>
      <c r="H2479" s="73"/>
      <c r="I2479" s="551"/>
      <c r="J2479" s="476"/>
      <c r="K2479" s="69"/>
      <c r="L2479" s="61"/>
      <c r="M2479" s="61"/>
      <c r="N2479" s="73"/>
      <c r="O2479" s="66"/>
      <c r="P2479" s="67"/>
      <c r="Q2479" s="67"/>
      <c r="R2479" s="67"/>
      <c r="S2479" s="67"/>
      <c r="T2479" s="161"/>
      <c r="U2479" s="69"/>
      <c r="V2479" s="73"/>
      <c r="W2479" s="71"/>
      <c r="X2479" s="194"/>
      <c r="Y2479" s="216"/>
      <c r="Z2479" s="73"/>
      <c r="AA2479" s="73"/>
      <c r="AB2479" s="73"/>
      <c r="AC2479" s="73"/>
      <c r="AD2479" s="73"/>
      <c r="AE2479" s="73"/>
      <c r="AF2479" s="73"/>
      <c r="AG2479" s="73"/>
      <c r="AH2479" s="73"/>
      <c r="AI2479" s="73"/>
      <c r="AJ2479" s="161"/>
      <c r="AK2479" s="236"/>
      <c r="AL2479" s="269"/>
      <c r="AM2479" s="161"/>
      <c r="AN2479" s="161"/>
      <c r="AO2479" s="161"/>
      <c r="AP2479" s="161"/>
      <c r="AQ2479" s="161"/>
      <c r="AR2479" s="161"/>
      <c r="AS2479" s="161"/>
      <c r="AT2479" s="161"/>
      <c r="AU2479" s="89"/>
      <c r="AV2479" s="162"/>
      <c r="AW2479" s="73"/>
    </row>
    <row r="2480" ht="15.75" customHeight="1">
      <c r="A2480" s="216"/>
      <c r="B2480" s="73"/>
      <c r="C2480" s="216"/>
      <c r="D2480" s="241"/>
      <c r="E2480" s="241"/>
      <c r="F2480" s="89"/>
      <c r="G2480" s="476"/>
      <c r="H2480" s="73"/>
      <c r="I2480" s="551"/>
      <c r="J2480" s="476"/>
      <c r="K2480" s="69"/>
      <c r="L2480" s="61"/>
      <c r="M2480" s="61"/>
      <c r="N2480" s="73"/>
      <c r="O2480" s="66"/>
      <c r="P2480" s="67"/>
      <c r="Q2480" s="67"/>
      <c r="R2480" s="67"/>
      <c r="S2480" s="67"/>
      <c r="T2480" s="161"/>
      <c r="U2480" s="69"/>
      <c r="V2480" s="73"/>
      <c r="W2480" s="71"/>
      <c r="X2480" s="194"/>
      <c r="Y2480" s="216"/>
      <c r="Z2480" s="73"/>
      <c r="AA2480" s="73"/>
      <c r="AB2480" s="73"/>
      <c r="AC2480" s="73"/>
      <c r="AD2480" s="73"/>
      <c r="AE2480" s="73"/>
      <c r="AF2480" s="73"/>
      <c r="AG2480" s="73"/>
      <c r="AH2480" s="73"/>
      <c r="AI2480" s="73"/>
      <c r="AJ2480" s="161"/>
      <c r="AK2480" s="236"/>
      <c r="AL2480" s="269"/>
      <c r="AM2480" s="161"/>
      <c r="AN2480" s="161"/>
      <c r="AO2480" s="161"/>
      <c r="AP2480" s="161"/>
      <c r="AQ2480" s="161"/>
      <c r="AR2480" s="161"/>
      <c r="AS2480" s="161"/>
      <c r="AT2480" s="161"/>
      <c r="AU2480" s="89"/>
      <c r="AV2480" s="162"/>
      <c r="AW2480" s="73"/>
    </row>
    <row r="2481" ht="15.75" customHeight="1">
      <c r="A2481" s="216"/>
      <c r="B2481" s="73"/>
      <c r="C2481" s="216"/>
      <c r="D2481" s="241"/>
      <c r="E2481" s="241"/>
      <c r="F2481" s="89"/>
      <c r="G2481" s="476"/>
      <c r="H2481" s="73"/>
      <c r="I2481" s="551"/>
      <c r="J2481" s="476"/>
      <c r="K2481" s="69"/>
      <c r="L2481" s="61"/>
      <c r="M2481" s="61"/>
      <c r="N2481" s="73"/>
      <c r="O2481" s="66"/>
      <c r="P2481" s="67"/>
      <c r="Q2481" s="67"/>
      <c r="R2481" s="67"/>
      <c r="S2481" s="67"/>
      <c r="T2481" s="161"/>
      <c r="U2481" s="69"/>
      <c r="V2481" s="73"/>
      <c r="W2481" s="71"/>
      <c r="X2481" s="194"/>
      <c r="Y2481" s="216"/>
      <c r="Z2481" s="73"/>
      <c r="AA2481" s="73"/>
      <c r="AB2481" s="73"/>
      <c r="AC2481" s="73"/>
      <c r="AD2481" s="73"/>
      <c r="AE2481" s="73"/>
      <c r="AF2481" s="73"/>
      <c r="AG2481" s="73"/>
      <c r="AH2481" s="73"/>
      <c r="AI2481" s="73"/>
      <c r="AJ2481" s="161"/>
      <c r="AK2481" s="236"/>
      <c r="AL2481" s="269"/>
      <c r="AM2481" s="161"/>
      <c r="AN2481" s="161"/>
      <c r="AO2481" s="161"/>
      <c r="AP2481" s="161"/>
      <c r="AQ2481" s="161"/>
      <c r="AR2481" s="161"/>
      <c r="AS2481" s="161"/>
      <c r="AT2481" s="161"/>
      <c r="AU2481" s="89"/>
      <c r="AV2481" s="162"/>
      <c r="AW2481" s="73"/>
    </row>
    <row r="2482" ht="15.75" customHeight="1">
      <c r="A2482" s="216"/>
      <c r="B2482" s="73"/>
      <c r="C2482" s="216"/>
      <c r="D2482" s="241"/>
      <c r="E2482" s="241"/>
      <c r="F2482" s="89"/>
      <c r="G2482" s="476"/>
      <c r="H2482" s="73"/>
      <c r="I2482" s="551"/>
      <c r="J2482" s="476"/>
      <c r="K2482" s="69"/>
      <c r="L2482" s="61"/>
      <c r="M2482" s="61"/>
      <c r="N2482" s="73"/>
      <c r="O2482" s="66"/>
      <c r="P2482" s="67"/>
      <c r="Q2482" s="67"/>
      <c r="R2482" s="67"/>
      <c r="S2482" s="67"/>
      <c r="T2482" s="161"/>
      <c r="U2482" s="69"/>
      <c r="V2482" s="73"/>
      <c r="W2482" s="71"/>
      <c r="X2482" s="194"/>
      <c r="Y2482" s="216"/>
      <c r="Z2482" s="73"/>
      <c r="AA2482" s="73"/>
      <c r="AB2482" s="73"/>
      <c r="AC2482" s="73"/>
      <c r="AD2482" s="73"/>
      <c r="AE2482" s="73"/>
      <c r="AF2482" s="73"/>
      <c r="AG2482" s="73"/>
      <c r="AH2482" s="73"/>
      <c r="AI2482" s="73"/>
      <c r="AJ2482" s="161"/>
      <c r="AK2482" s="236"/>
      <c r="AL2482" s="269"/>
      <c r="AM2482" s="161"/>
      <c r="AN2482" s="161"/>
      <c r="AO2482" s="161"/>
      <c r="AP2482" s="161"/>
      <c r="AQ2482" s="161"/>
      <c r="AR2482" s="161"/>
      <c r="AS2482" s="161"/>
      <c r="AT2482" s="161"/>
      <c r="AU2482" s="89"/>
      <c r="AV2482" s="162"/>
      <c r="AW2482" s="73"/>
    </row>
    <row r="2483" ht="15.75" customHeight="1">
      <c r="A2483" s="216"/>
      <c r="B2483" s="73"/>
      <c r="C2483" s="216"/>
      <c r="D2483" s="241"/>
      <c r="E2483" s="241"/>
      <c r="F2483" s="89"/>
      <c r="G2483" s="476"/>
      <c r="H2483" s="73"/>
      <c r="I2483" s="551"/>
      <c r="J2483" s="476"/>
      <c r="K2483" s="69"/>
      <c r="L2483" s="61"/>
      <c r="M2483" s="61"/>
      <c r="N2483" s="73"/>
      <c r="O2483" s="66"/>
      <c r="P2483" s="67"/>
      <c r="Q2483" s="67"/>
      <c r="R2483" s="67"/>
      <c r="S2483" s="67"/>
      <c r="T2483" s="161"/>
      <c r="U2483" s="69"/>
      <c r="V2483" s="73"/>
      <c r="W2483" s="71"/>
      <c r="X2483" s="194"/>
      <c r="Y2483" s="216"/>
      <c r="Z2483" s="73"/>
      <c r="AA2483" s="73"/>
      <c r="AB2483" s="73"/>
      <c r="AC2483" s="73"/>
      <c r="AD2483" s="73"/>
      <c r="AE2483" s="73"/>
      <c r="AF2483" s="73"/>
      <c r="AG2483" s="73"/>
      <c r="AH2483" s="73"/>
      <c r="AI2483" s="73"/>
      <c r="AJ2483" s="161"/>
      <c r="AK2483" s="236"/>
      <c r="AL2483" s="269"/>
      <c r="AM2483" s="161"/>
      <c r="AN2483" s="161"/>
      <c r="AO2483" s="161"/>
      <c r="AP2483" s="161"/>
      <c r="AQ2483" s="161"/>
      <c r="AR2483" s="161"/>
      <c r="AS2483" s="161"/>
      <c r="AT2483" s="161"/>
      <c r="AU2483" s="89"/>
      <c r="AV2483" s="162"/>
      <c r="AW2483" s="73"/>
    </row>
    <row r="2484" ht="15.75" customHeight="1">
      <c r="A2484" s="216"/>
      <c r="B2484" s="73"/>
      <c r="C2484" s="216"/>
      <c r="D2484" s="241"/>
      <c r="E2484" s="241"/>
      <c r="F2484" s="89"/>
      <c r="G2484" s="476"/>
      <c r="H2484" s="73"/>
      <c r="I2484" s="551"/>
      <c r="J2484" s="476"/>
      <c r="K2484" s="69"/>
      <c r="L2484" s="61"/>
      <c r="M2484" s="61"/>
      <c r="N2484" s="73"/>
      <c r="O2484" s="66"/>
      <c r="P2484" s="67"/>
      <c r="Q2484" s="67"/>
      <c r="R2484" s="67"/>
      <c r="S2484" s="67"/>
      <c r="T2484" s="161"/>
      <c r="U2484" s="69"/>
      <c r="V2484" s="73"/>
      <c r="W2484" s="71"/>
      <c r="X2484" s="194"/>
      <c r="Y2484" s="216"/>
      <c r="Z2484" s="73"/>
      <c r="AA2484" s="73"/>
      <c r="AB2484" s="73"/>
      <c r="AC2484" s="73"/>
      <c r="AD2484" s="73"/>
      <c r="AE2484" s="73"/>
      <c r="AF2484" s="73"/>
      <c r="AG2484" s="73"/>
      <c r="AH2484" s="73"/>
      <c r="AI2484" s="73"/>
      <c r="AJ2484" s="161"/>
      <c r="AK2484" s="236"/>
      <c r="AL2484" s="269"/>
      <c r="AM2484" s="161"/>
      <c r="AN2484" s="161"/>
      <c r="AO2484" s="161"/>
      <c r="AP2484" s="161"/>
      <c r="AQ2484" s="161"/>
      <c r="AR2484" s="161"/>
      <c r="AS2484" s="161"/>
      <c r="AT2484" s="161"/>
      <c r="AU2484" s="89"/>
      <c r="AV2484" s="162"/>
      <c r="AW2484" s="73"/>
    </row>
    <row r="2485" ht="15.75" customHeight="1">
      <c r="A2485" s="216"/>
      <c r="B2485" s="73"/>
      <c r="C2485" s="216"/>
      <c r="D2485" s="241"/>
      <c r="E2485" s="241"/>
      <c r="F2485" s="89"/>
      <c r="G2485" s="476"/>
      <c r="H2485" s="73"/>
      <c r="I2485" s="551"/>
      <c r="J2485" s="476"/>
      <c r="K2485" s="69"/>
      <c r="L2485" s="61"/>
      <c r="M2485" s="61"/>
      <c r="N2485" s="73"/>
      <c r="O2485" s="66"/>
      <c r="P2485" s="67"/>
      <c r="Q2485" s="67"/>
      <c r="R2485" s="67"/>
      <c r="S2485" s="67"/>
      <c r="T2485" s="161"/>
      <c r="U2485" s="69"/>
      <c r="V2485" s="73"/>
      <c r="W2485" s="71"/>
      <c r="X2485" s="194"/>
      <c r="Y2485" s="216"/>
      <c r="Z2485" s="73"/>
      <c r="AA2485" s="73"/>
      <c r="AB2485" s="73"/>
      <c r="AC2485" s="73"/>
      <c r="AD2485" s="73"/>
      <c r="AE2485" s="73"/>
      <c r="AF2485" s="73"/>
      <c r="AG2485" s="73"/>
      <c r="AH2485" s="73"/>
      <c r="AI2485" s="73"/>
      <c r="AJ2485" s="161"/>
      <c r="AK2485" s="236"/>
      <c r="AL2485" s="269"/>
      <c r="AM2485" s="161"/>
      <c r="AN2485" s="161"/>
      <c r="AO2485" s="161"/>
      <c r="AP2485" s="161"/>
      <c r="AQ2485" s="161"/>
      <c r="AR2485" s="161"/>
      <c r="AS2485" s="161"/>
      <c r="AT2485" s="161"/>
      <c r="AU2485" s="89"/>
      <c r="AV2485" s="162"/>
      <c r="AW2485" s="73"/>
    </row>
    <row r="2486" ht="15.75" customHeight="1">
      <c r="A2486" s="216"/>
      <c r="B2486" s="73"/>
      <c r="C2486" s="216"/>
      <c r="D2486" s="241"/>
      <c r="E2486" s="241"/>
      <c r="F2486" s="89"/>
      <c r="G2486" s="476"/>
      <c r="H2486" s="73"/>
      <c r="I2486" s="551"/>
      <c r="J2486" s="476"/>
      <c r="K2486" s="69"/>
      <c r="L2486" s="61"/>
      <c r="M2486" s="61"/>
      <c r="N2486" s="73"/>
      <c r="O2486" s="66"/>
      <c r="P2486" s="67"/>
      <c r="Q2486" s="67"/>
      <c r="R2486" s="67"/>
      <c r="S2486" s="67"/>
      <c r="T2486" s="161"/>
      <c r="U2486" s="69"/>
      <c r="V2486" s="73"/>
      <c r="W2486" s="71"/>
      <c r="X2486" s="194"/>
      <c r="Y2486" s="216"/>
      <c r="Z2486" s="73"/>
      <c r="AA2486" s="73"/>
      <c r="AB2486" s="73"/>
      <c r="AC2486" s="73"/>
      <c r="AD2486" s="73"/>
      <c r="AE2486" s="73"/>
      <c r="AF2486" s="73"/>
      <c r="AG2486" s="73"/>
      <c r="AH2486" s="73"/>
      <c r="AI2486" s="73"/>
      <c r="AJ2486" s="161"/>
      <c r="AK2486" s="236"/>
      <c r="AL2486" s="269"/>
      <c r="AM2486" s="161"/>
      <c r="AN2486" s="161"/>
      <c r="AO2486" s="161"/>
      <c r="AP2486" s="161"/>
      <c r="AQ2486" s="161"/>
      <c r="AR2486" s="161"/>
      <c r="AS2486" s="161"/>
      <c r="AT2486" s="161"/>
      <c r="AU2486" s="89"/>
      <c r="AV2486" s="162"/>
      <c r="AW2486" s="73"/>
    </row>
    <row r="2487" ht="15.75" customHeight="1">
      <c r="A2487" s="216"/>
      <c r="B2487" s="73"/>
      <c r="C2487" s="216"/>
      <c r="D2487" s="241"/>
      <c r="E2487" s="241"/>
      <c r="F2487" s="89"/>
      <c r="G2487" s="476"/>
      <c r="H2487" s="73"/>
      <c r="I2487" s="551"/>
      <c r="J2487" s="476"/>
      <c r="K2487" s="69"/>
      <c r="L2487" s="61"/>
      <c r="M2487" s="61"/>
      <c r="N2487" s="73"/>
      <c r="O2487" s="66"/>
      <c r="P2487" s="67"/>
      <c r="Q2487" s="67"/>
      <c r="R2487" s="67"/>
      <c r="S2487" s="67"/>
      <c r="T2487" s="161"/>
      <c r="U2487" s="69"/>
      <c r="V2487" s="73"/>
      <c r="W2487" s="71"/>
      <c r="X2487" s="194"/>
      <c r="Y2487" s="216"/>
      <c r="Z2487" s="73"/>
      <c r="AA2487" s="73"/>
      <c r="AB2487" s="73"/>
      <c r="AC2487" s="73"/>
      <c r="AD2487" s="73"/>
      <c r="AE2487" s="73"/>
      <c r="AF2487" s="73"/>
      <c r="AG2487" s="73"/>
      <c r="AH2487" s="73"/>
      <c r="AI2487" s="73"/>
      <c r="AJ2487" s="161"/>
      <c r="AK2487" s="236"/>
      <c r="AL2487" s="269"/>
      <c r="AM2487" s="161"/>
      <c r="AN2487" s="161"/>
      <c r="AO2487" s="161"/>
      <c r="AP2487" s="161"/>
      <c r="AQ2487" s="161"/>
      <c r="AR2487" s="161"/>
      <c r="AS2487" s="161"/>
      <c r="AT2487" s="161"/>
      <c r="AU2487" s="89"/>
      <c r="AV2487" s="162"/>
      <c r="AW2487" s="73"/>
    </row>
    <row r="2488" ht="15.75" customHeight="1">
      <c r="A2488" s="216"/>
      <c r="B2488" s="73"/>
      <c r="C2488" s="216"/>
      <c r="D2488" s="241"/>
      <c r="E2488" s="241"/>
      <c r="F2488" s="89"/>
      <c r="G2488" s="476"/>
      <c r="H2488" s="73"/>
      <c r="I2488" s="551"/>
      <c r="J2488" s="476"/>
      <c r="K2488" s="69"/>
      <c r="L2488" s="61"/>
      <c r="M2488" s="61"/>
      <c r="N2488" s="73"/>
      <c r="O2488" s="66"/>
      <c r="P2488" s="67"/>
      <c r="Q2488" s="67"/>
      <c r="R2488" s="67"/>
      <c r="S2488" s="67"/>
      <c r="T2488" s="161"/>
      <c r="U2488" s="69"/>
      <c r="V2488" s="73"/>
      <c r="W2488" s="71"/>
      <c r="X2488" s="194"/>
      <c r="Y2488" s="216"/>
      <c r="Z2488" s="73"/>
      <c r="AA2488" s="73"/>
      <c r="AB2488" s="73"/>
      <c r="AC2488" s="73"/>
      <c r="AD2488" s="73"/>
      <c r="AE2488" s="73"/>
      <c r="AF2488" s="73"/>
      <c r="AG2488" s="73"/>
      <c r="AH2488" s="73"/>
      <c r="AI2488" s="73"/>
      <c r="AJ2488" s="161"/>
      <c r="AK2488" s="236"/>
      <c r="AL2488" s="269"/>
      <c r="AM2488" s="161"/>
      <c r="AN2488" s="161"/>
      <c r="AO2488" s="161"/>
      <c r="AP2488" s="161"/>
      <c r="AQ2488" s="161"/>
      <c r="AR2488" s="161"/>
      <c r="AS2488" s="161"/>
      <c r="AT2488" s="161"/>
      <c r="AU2488" s="89"/>
      <c r="AV2488" s="162"/>
      <c r="AW2488" s="73"/>
    </row>
    <row r="2489" ht="15.75" customHeight="1">
      <c r="A2489" s="216"/>
      <c r="B2489" s="73"/>
      <c r="C2489" s="216"/>
      <c r="D2489" s="241"/>
      <c r="E2489" s="241"/>
      <c r="F2489" s="89"/>
      <c r="G2489" s="476"/>
      <c r="H2489" s="73"/>
      <c r="I2489" s="551"/>
      <c r="J2489" s="476"/>
      <c r="K2489" s="69"/>
      <c r="L2489" s="61"/>
      <c r="M2489" s="61"/>
      <c r="N2489" s="73"/>
      <c r="O2489" s="66"/>
      <c r="P2489" s="67"/>
      <c r="Q2489" s="67"/>
      <c r="R2489" s="67"/>
      <c r="S2489" s="67"/>
      <c r="T2489" s="161"/>
      <c r="U2489" s="69"/>
      <c r="V2489" s="73"/>
      <c r="W2489" s="71"/>
      <c r="X2489" s="194"/>
      <c r="Y2489" s="216"/>
      <c r="Z2489" s="73"/>
      <c r="AA2489" s="73"/>
      <c r="AB2489" s="73"/>
      <c r="AC2489" s="73"/>
      <c r="AD2489" s="73"/>
      <c r="AE2489" s="73"/>
      <c r="AF2489" s="73"/>
      <c r="AG2489" s="73"/>
      <c r="AH2489" s="73"/>
      <c r="AI2489" s="73"/>
      <c r="AJ2489" s="161"/>
      <c r="AK2489" s="236"/>
      <c r="AL2489" s="269"/>
      <c r="AM2489" s="161"/>
      <c r="AN2489" s="161"/>
      <c r="AO2489" s="161"/>
      <c r="AP2489" s="161"/>
      <c r="AQ2489" s="161"/>
      <c r="AR2489" s="161"/>
      <c r="AS2489" s="161"/>
      <c r="AT2489" s="161"/>
      <c r="AU2489" s="89"/>
      <c r="AV2489" s="162"/>
      <c r="AW2489" s="73"/>
    </row>
    <row r="2490" ht="15.75" customHeight="1">
      <c r="A2490" s="216"/>
      <c r="B2490" s="73"/>
      <c r="C2490" s="216"/>
      <c r="D2490" s="241"/>
      <c r="E2490" s="241"/>
      <c r="F2490" s="89"/>
      <c r="G2490" s="476"/>
      <c r="H2490" s="73"/>
      <c r="I2490" s="551"/>
      <c r="J2490" s="476"/>
      <c r="K2490" s="69"/>
      <c r="L2490" s="61"/>
      <c r="M2490" s="61"/>
      <c r="N2490" s="73"/>
      <c r="O2490" s="66"/>
      <c r="P2490" s="67"/>
      <c r="Q2490" s="67"/>
      <c r="R2490" s="67"/>
      <c r="S2490" s="67"/>
      <c r="T2490" s="161"/>
      <c r="U2490" s="69"/>
      <c r="V2490" s="73"/>
      <c r="W2490" s="71"/>
      <c r="X2490" s="194"/>
      <c r="Y2490" s="216"/>
      <c r="Z2490" s="73"/>
      <c r="AA2490" s="73"/>
      <c r="AB2490" s="73"/>
      <c r="AC2490" s="73"/>
      <c r="AD2490" s="73"/>
      <c r="AE2490" s="73"/>
      <c r="AF2490" s="73"/>
      <c r="AG2490" s="73"/>
      <c r="AH2490" s="73"/>
      <c r="AI2490" s="73"/>
      <c r="AJ2490" s="161"/>
      <c r="AK2490" s="236"/>
      <c r="AL2490" s="269"/>
      <c r="AM2490" s="161"/>
      <c r="AN2490" s="161"/>
      <c r="AO2490" s="161"/>
      <c r="AP2490" s="161"/>
      <c r="AQ2490" s="161"/>
      <c r="AR2490" s="161"/>
      <c r="AS2490" s="161"/>
      <c r="AT2490" s="161"/>
      <c r="AU2490" s="89"/>
      <c r="AV2490" s="162"/>
      <c r="AW2490" s="73"/>
    </row>
    <row r="2491" ht="15.75" customHeight="1">
      <c r="A2491" s="216"/>
      <c r="B2491" s="73"/>
      <c r="C2491" s="216"/>
      <c r="D2491" s="241"/>
      <c r="E2491" s="241"/>
      <c r="F2491" s="89"/>
      <c r="G2491" s="476"/>
      <c r="H2491" s="73"/>
      <c r="I2491" s="551"/>
      <c r="J2491" s="476"/>
      <c r="K2491" s="69"/>
      <c r="L2491" s="61"/>
      <c r="M2491" s="61"/>
      <c r="N2491" s="73"/>
      <c r="O2491" s="66"/>
      <c r="P2491" s="67"/>
      <c r="Q2491" s="67"/>
      <c r="R2491" s="67"/>
      <c r="S2491" s="67"/>
      <c r="T2491" s="161"/>
      <c r="U2491" s="69"/>
      <c r="V2491" s="73"/>
      <c r="W2491" s="71"/>
      <c r="X2491" s="194"/>
      <c r="Y2491" s="216"/>
      <c r="Z2491" s="73"/>
      <c r="AA2491" s="73"/>
      <c r="AB2491" s="73"/>
      <c r="AC2491" s="73"/>
      <c r="AD2491" s="73"/>
      <c r="AE2491" s="73"/>
      <c r="AF2491" s="73"/>
      <c r="AG2491" s="73"/>
      <c r="AH2491" s="73"/>
      <c r="AI2491" s="73"/>
      <c r="AJ2491" s="161"/>
      <c r="AK2491" s="236"/>
      <c r="AL2491" s="269"/>
      <c r="AM2491" s="161"/>
      <c r="AN2491" s="161"/>
      <c r="AO2491" s="161"/>
      <c r="AP2491" s="161"/>
      <c r="AQ2491" s="161"/>
      <c r="AR2491" s="161"/>
      <c r="AS2491" s="161"/>
      <c r="AT2491" s="161"/>
      <c r="AU2491" s="89"/>
      <c r="AV2491" s="162"/>
      <c r="AW2491" s="73"/>
    </row>
    <row r="2492" ht="15.75" customHeight="1">
      <c r="A2492" s="216"/>
      <c r="B2492" s="73"/>
      <c r="C2492" s="216"/>
      <c r="D2492" s="241"/>
      <c r="E2492" s="241"/>
      <c r="F2492" s="89"/>
      <c r="G2492" s="476"/>
      <c r="H2492" s="73"/>
      <c r="I2492" s="551"/>
      <c r="J2492" s="476"/>
      <c r="K2492" s="69"/>
      <c r="L2492" s="61"/>
      <c r="M2492" s="61"/>
      <c r="N2492" s="73"/>
      <c r="O2492" s="66"/>
      <c r="P2492" s="67"/>
      <c r="Q2492" s="67"/>
      <c r="R2492" s="67"/>
      <c r="S2492" s="67"/>
      <c r="T2492" s="161"/>
      <c r="U2492" s="69"/>
      <c r="V2492" s="73"/>
      <c r="W2492" s="71"/>
      <c r="X2492" s="194"/>
      <c r="Y2492" s="216"/>
      <c r="Z2492" s="73"/>
      <c r="AA2492" s="73"/>
      <c r="AB2492" s="73"/>
      <c r="AC2492" s="73"/>
      <c r="AD2492" s="73"/>
      <c r="AE2492" s="73"/>
      <c r="AF2492" s="73"/>
      <c r="AG2492" s="73"/>
      <c r="AH2492" s="73"/>
      <c r="AI2492" s="73"/>
      <c r="AJ2492" s="161"/>
      <c r="AK2492" s="236"/>
      <c r="AL2492" s="269"/>
      <c r="AM2492" s="161"/>
      <c r="AN2492" s="161"/>
      <c r="AO2492" s="161"/>
      <c r="AP2492" s="161"/>
      <c r="AQ2492" s="161"/>
      <c r="AR2492" s="161"/>
      <c r="AS2492" s="161"/>
      <c r="AT2492" s="161"/>
      <c r="AU2492" s="89"/>
      <c r="AV2492" s="162"/>
      <c r="AW2492" s="73"/>
    </row>
    <row r="2493" ht="15.75" customHeight="1">
      <c r="A2493" s="216"/>
      <c r="B2493" s="73"/>
      <c r="C2493" s="216"/>
      <c r="D2493" s="241"/>
      <c r="E2493" s="241"/>
      <c r="F2493" s="89"/>
      <c r="G2493" s="476"/>
      <c r="H2493" s="73"/>
      <c r="I2493" s="551"/>
      <c r="J2493" s="476"/>
      <c r="K2493" s="69"/>
      <c r="L2493" s="61"/>
      <c r="M2493" s="61"/>
      <c r="N2493" s="73"/>
      <c r="O2493" s="66"/>
      <c r="P2493" s="67"/>
      <c r="Q2493" s="67"/>
      <c r="R2493" s="67"/>
      <c r="S2493" s="67"/>
      <c r="T2493" s="161"/>
      <c r="U2493" s="69"/>
      <c r="V2493" s="73"/>
      <c r="W2493" s="71"/>
      <c r="X2493" s="194"/>
      <c r="Y2493" s="216"/>
      <c r="Z2493" s="73"/>
      <c r="AA2493" s="73"/>
      <c r="AB2493" s="73"/>
      <c r="AC2493" s="73"/>
      <c r="AD2493" s="73"/>
      <c r="AE2493" s="73"/>
      <c r="AF2493" s="73"/>
      <c r="AG2493" s="73"/>
      <c r="AH2493" s="73"/>
      <c r="AI2493" s="73"/>
      <c r="AJ2493" s="161"/>
      <c r="AK2493" s="236"/>
      <c r="AL2493" s="269"/>
      <c r="AM2493" s="161"/>
      <c r="AN2493" s="161"/>
      <c r="AO2493" s="161"/>
      <c r="AP2493" s="161"/>
      <c r="AQ2493" s="161"/>
      <c r="AR2493" s="161"/>
      <c r="AS2493" s="161"/>
      <c r="AT2493" s="161"/>
      <c r="AU2493" s="89"/>
      <c r="AV2493" s="162"/>
      <c r="AW2493" s="73"/>
    </row>
    <row r="2494" ht="15.75" customHeight="1">
      <c r="A2494" s="216"/>
      <c r="B2494" s="73"/>
      <c r="C2494" s="216"/>
      <c r="D2494" s="241"/>
      <c r="E2494" s="241"/>
      <c r="F2494" s="89"/>
      <c r="G2494" s="476"/>
      <c r="H2494" s="73"/>
      <c r="I2494" s="551"/>
      <c r="J2494" s="476"/>
      <c r="K2494" s="69"/>
      <c r="L2494" s="61"/>
      <c r="M2494" s="61"/>
      <c r="N2494" s="73"/>
      <c r="O2494" s="66"/>
      <c r="P2494" s="67"/>
      <c r="Q2494" s="67"/>
      <c r="R2494" s="67"/>
      <c r="S2494" s="67"/>
      <c r="T2494" s="161"/>
      <c r="U2494" s="69"/>
      <c r="V2494" s="73"/>
      <c r="W2494" s="71"/>
      <c r="X2494" s="194"/>
      <c r="Y2494" s="216"/>
      <c r="Z2494" s="73"/>
      <c r="AA2494" s="73"/>
      <c r="AB2494" s="73"/>
      <c r="AC2494" s="73"/>
      <c r="AD2494" s="73"/>
      <c r="AE2494" s="73"/>
      <c r="AF2494" s="73"/>
      <c r="AG2494" s="73"/>
      <c r="AH2494" s="73"/>
      <c r="AI2494" s="73"/>
      <c r="AJ2494" s="161"/>
      <c r="AK2494" s="236"/>
      <c r="AL2494" s="269"/>
      <c r="AM2494" s="161"/>
      <c r="AN2494" s="161"/>
      <c r="AO2494" s="161"/>
      <c r="AP2494" s="161"/>
      <c r="AQ2494" s="161"/>
      <c r="AR2494" s="161"/>
      <c r="AS2494" s="161"/>
      <c r="AT2494" s="161"/>
      <c r="AU2494" s="89"/>
      <c r="AV2494" s="162"/>
      <c r="AW2494" s="73"/>
    </row>
    <row r="2495" ht="15.75" customHeight="1">
      <c r="A2495" s="216"/>
      <c r="B2495" s="73"/>
      <c r="C2495" s="216"/>
      <c r="D2495" s="241"/>
      <c r="E2495" s="241"/>
      <c r="F2495" s="89"/>
      <c r="G2495" s="476"/>
      <c r="H2495" s="73"/>
      <c r="I2495" s="551"/>
      <c r="J2495" s="476"/>
      <c r="K2495" s="69"/>
      <c r="L2495" s="61"/>
      <c r="M2495" s="61"/>
      <c r="N2495" s="73"/>
      <c r="O2495" s="66"/>
      <c r="P2495" s="67"/>
      <c r="Q2495" s="67"/>
      <c r="R2495" s="67"/>
      <c r="S2495" s="67"/>
      <c r="T2495" s="161"/>
      <c r="U2495" s="69"/>
      <c r="V2495" s="73"/>
      <c r="W2495" s="71"/>
      <c r="X2495" s="194"/>
      <c r="Y2495" s="216"/>
      <c r="Z2495" s="73"/>
      <c r="AA2495" s="73"/>
      <c r="AB2495" s="73"/>
      <c r="AC2495" s="73"/>
      <c r="AD2495" s="73"/>
      <c r="AE2495" s="73"/>
      <c r="AF2495" s="73"/>
      <c r="AG2495" s="73"/>
      <c r="AH2495" s="73"/>
      <c r="AI2495" s="73"/>
      <c r="AJ2495" s="161"/>
      <c r="AK2495" s="236"/>
      <c r="AL2495" s="269"/>
      <c r="AM2495" s="161"/>
      <c r="AN2495" s="161"/>
      <c r="AO2495" s="161"/>
      <c r="AP2495" s="161"/>
      <c r="AQ2495" s="161"/>
      <c r="AR2495" s="161"/>
      <c r="AS2495" s="161"/>
      <c r="AT2495" s="161"/>
      <c r="AU2495" s="89"/>
      <c r="AV2495" s="162"/>
      <c r="AW2495" s="73"/>
    </row>
    <row r="2496" ht="15.75" customHeight="1">
      <c r="A2496" s="216"/>
      <c r="B2496" s="73"/>
      <c r="C2496" s="216"/>
      <c r="D2496" s="241"/>
      <c r="E2496" s="241"/>
      <c r="F2496" s="89"/>
      <c r="G2496" s="476"/>
      <c r="H2496" s="73"/>
      <c r="I2496" s="551"/>
      <c r="J2496" s="476"/>
      <c r="K2496" s="69"/>
      <c r="L2496" s="61"/>
      <c r="M2496" s="61"/>
      <c r="N2496" s="73"/>
      <c r="O2496" s="66"/>
      <c r="P2496" s="67"/>
      <c r="Q2496" s="67"/>
      <c r="R2496" s="67"/>
      <c r="S2496" s="67"/>
      <c r="T2496" s="161"/>
      <c r="U2496" s="69"/>
      <c r="V2496" s="73"/>
      <c r="W2496" s="71"/>
      <c r="X2496" s="194"/>
      <c r="Y2496" s="216"/>
      <c r="Z2496" s="73"/>
      <c r="AA2496" s="73"/>
      <c r="AB2496" s="73"/>
      <c r="AC2496" s="73"/>
      <c r="AD2496" s="73"/>
      <c r="AE2496" s="73"/>
      <c r="AF2496" s="73"/>
      <c r="AG2496" s="73"/>
      <c r="AH2496" s="73"/>
      <c r="AI2496" s="73"/>
      <c r="AJ2496" s="161"/>
      <c r="AK2496" s="236"/>
      <c r="AL2496" s="269"/>
      <c r="AM2496" s="161"/>
      <c r="AN2496" s="161"/>
      <c r="AO2496" s="161"/>
      <c r="AP2496" s="161"/>
      <c r="AQ2496" s="161"/>
      <c r="AR2496" s="161"/>
      <c r="AS2496" s="161"/>
      <c r="AT2496" s="161"/>
      <c r="AU2496" s="89"/>
      <c r="AV2496" s="162"/>
      <c r="AW2496" s="73"/>
    </row>
    <row r="2497" ht="15.75" customHeight="1">
      <c r="A2497" s="216"/>
      <c r="B2497" s="73"/>
      <c r="C2497" s="216"/>
      <c r="D2497" s="241"/>
      <c r="E2497" s="241"/>
      <c r="F2497" s="89"/>
      <c r="G2497" s="476"/>
      <c r="H2497" s="73"/>
      <c r="I2497" s="551"/>
      <c r="J2497" s="476"/>
      <c r="K2497" s="69"/>
      <c r="L2497" s="61"/>
      <c r="M2497" s="61"/>
      <c r="N2497" s="73"/>
      <c r="O2497" s="66"/>
      <c r="P2497" s="67"/>
      <c r="Q2497" s="67"/>
      <c r="R2497" s="67"/>
      <c r="S2497" s="67"/>
      <c r="T2497" s="161"/>
      <c r="U2497" s="69"/>
      <c r="V2497" s="73"/>
      <c r="W2497" s="71"/>
      <c r="X2497" s="194"/>
      <c r="Y2497" s="216"/>
      <c r="Z2497" s="73"/>
      <c r="AA2497" s="73"/>
      <c r="AB2497" s="73"/>
      <c r="AC2497" s="73"/>
      <c r="AD2497" s="73"/>
      <c r="AE2497" s="73"/>
      <c r="AF2497" s="73"/>
      <c r="AG2497" s="73"/>
      <c r="AH2497" s="73"/>
      <c r="AI2497" s="73"/>
      <c r="AJ2497" s="161"/>
      <c r="AK2497" s="236"/>
      <c r="AL2497" s="269"/>
      <c r="AM2497" s="161"/>
      <c r="AN2497" s="161"/>
      <c r="AO2497" s="161"/>
      <c r="AP2497" s="161"/>
      <c r="AQ2497" s="161"/>
      <c r="AR2497" s="161"/>
      <c r="AS2497" s="161"/>
      <c r="AT2497" s="161"/>
      <c r="AU2497" s="89"/>
      <c r="AV2497" s="162"/>
      <c r="AW2497" s="73"/>
    </row>
    <row r="2498" ht="15.75" customHeight="1">
      <c r="A2498" s="216"/>
      <c r="B2498" s="73"/>
      <c r="C2498" s="216"/>
      <c r="D2498" s="241"/>
      <c r="E2498" s="241"/>
      <c r="F2498" s="89"/>
      <c r="G2498" s="476"/>
      <c r="H2498" s="73"/>
      <c r="I2498" s="551"/>
      <c r="J2498" s="476"/>
      <c r="K2498" s="69"/>
      <c r="L2498" s="61"/>
      <c r="M2498" s="61"/>
      <c r="N2498" s="73"/>
      <c r="O2498" s="66"/>
      <c r="P2498" s="67"/>
      <c r="Q2498" s="67"/>
      <c r="R2498" s="67"/>
      <c r="S2498" s="67"/>
      <c r="T2498" s="161"/>
      <c r="U2498" s="69"/>
      <c r="V2498" s="73"/>
      <c r="W2498" s="71"/>
      <c r="X2498" s="194"/>
      <c r="Y2498" s="216"/>
      <c r="Z2498" s="73"/>
      <c r="AA2498" s="73"/>
      <c r="AB2498" s="73"/>
      <c r="AC2498" s="73"/>
      <c r="AD2498" s="73"/>
      <c r="AE2498" s="73"/>
      <c r="AF2498" s="73"/>
      <c r="AG2498" s="73"/>
      <c r="AH2498" s="73"/>
      <c r="AI2498" s="73"/>
      <c r="AJ2498" s="161"/>
      <c r="AK2498" s="236"/>
      <c r="AL2498" s="269"/>
      <c r="AM2498" s="161"/>
      <c r="AN2498" s="161"/>
      <c r="AO2498" s="161"/>
      <c r="AP2498" s="161"/>
      <c r="AQ2498" s="161"/>
      <c r="AR2498" s="161"/>
      <c r="AS2498" s="161"/>
      <c r="AT2498" s="161"/>
      <c r="AU2498" s="89"/>
      <c r="AV2498" s="162"/>
      <c r="AW2498" s="73"/>
    </row>
    <row r="2499" ht="15.75" customHeight="1">
      <c r="A2499" s="216"/>
      <c r="B2499" s="73"/>
      <c r="C2499" s="216"/>
      <c r="D2499" s="241"/>
      <c r="E2499" s="241"/>
      <c r="F2499" s="89"/>
      <c r="G2499" s="476"/>
      <c r="H2499" s="73"/>
      <c r="I2499" s="551"/>
      <c r="J2499" s="476"/>
      <c r="K2499" s="69"/>
      <c r="L2499" s="61"/>
      <c r="M2499" s="61"/>
      <c r="N2499" s="73"/>
      <c r="O2499" s="66"/>
      <c r="P2499" s="67"/>
      <c r="Q2499" s="67"/>
      <c r="R2499" s="67"/>
      <c r="S2499" s="67"/>
      <c r="T2499" s="161"/>
      <c r="U2499" s="69"/>
      <c r="V2499" s="73"/>
      <c r="W2499" s="71"/>
      <c r="X2499" s="194"/>
      <c r="Y2499" s="216"/>
      <c r="Z2499" s="73"/>
      <c r="AA2499" s="73"/>
      <c r="AB2499" s="73"/>
      <c r="AC2499" s="73"/>
      <c r="AD2499" s="73"/>
      <c r="AE2499" s="73"/>
      <c r="AF2499" s="73"/>
      <c r="AG2499" s="73"/>
      <c r="AH2499" s="73"/>
      <c r="AI2499" s="73"/>
      <c r="AJ2499" s="161"/>
      <c r="AK2499" s="236"/>
      <c r="AL2499" s="269"/>
      <c r="AM2499" s="161"/>
      <c r="AN2499" s="161"/>
      <c r="AO2499" s="161"/>
      <c r="AP2499" s="161"/>
      <c r="AQ2499" s="161"/>
      <c r="AR2499" s="161"/>
      <c r="AS2499" s="161"/>
      <c r="AT2499" s="161"/>
      <c r="AU2499" s="89"/>
      <c r="AV2499" s="162"/>
      <c r="AW2499" s="73"/>
    </row>
    <row r="2500" ht="15.75" customHeight="1">
      <c r="A2500" s="216"/>
      <c r="B2500" s="73"/>
      <c r="C2500" s="216"/>
      <c r="D2500" s="241"/>
      <c r="E2500" s="241"/>
      <c r="F2500" s="89"/>
      <c r="G2500" s="476"/>
      <c r="H2500" s="73"/>
      <c r="I2500" s="551"/>
      <c r="J2500" s="476"/>
      <c r="K2500" s="69"/>
      <c r="L2500" s="61"/>
      <c r="M2500" s="61"/>
      <c r="N2500" s="73"/>
      <c r="O2500" s="66"/>
      <c r="P2500" s="67"/>
      <c r="Q2500" s="67"/>
      <c r="R2500" s="67"/>
      <c r="S2500" s="67"/>
      <c r="T2500" s="161"/>
      <c r="U2500" s="69"/>
      <c r="V2500" s="73"/>
      <c r="W2500" s="71"/>
      <c r="X2500" s="194"/>
      <c r="Y2500" s="216"/>
      <c r="Z2500" s="73"/>
      <c r="AA2500" s="73"/>
      <c r="AB2500" s="73"/>
      <c r="AC2500" s="73"/>
      <c r="AD2500" s="73"/>
      <c r="AE2500" s="73"/>
      <c r="AF2500" s="73"/>
      <c r="AG2500" s="73"/>
      <c r="AH2500" s="73"/>
      <c r="AI2500" s="73"/>
      <c r="AJ2500" s="161"/>
      <c r="AK2500" s="236"/>
      <c r="AL2500" s="269"/>
      <c r="AM2500" s="161"/>
      <c r="AN2500" s="161"/>
      <c r="AO2500" s="161"/>
      <c r="AP2500" s="161"/>
      <c r="AQ2500" s="161"/>
      <c r="AR2500" s="161"/>
      <c r="AS2500" s="161"/>
      <c r="AT2500" s="161"/>
      <c r="AU2500" s="89"/>
      <c r="AV2500" s="162"/>
      <c r="AW2500" s="73"/>
    </row>
    <row r="2501" ht="15.75" customHeight="1">
      <c r="A2501" s="216"/>
      <c r="B2501" s="73"/>
      <c r="C2501" s="216"/>
      <c r="D2501" s="241"/>
      <c r="E2501" s="241"/>
      <c r="F2501" s="89"/>
      <c r="G2501" s="476"/>
      <c r="H2501" s="73"/>
      <c r="I2501" s="551"/>
      <c r="J2501" s="476"/>
      <c r="K2501" s="69"/>
      <c r="L2501" s="61"/>
      <c r="M2501" s="61"/>
      <c r="N2501" s="73"/>
      <c r="O2501" s="66"/>
      <c r="P2501" s="67"/>
      <c r="Q2501" s="67"/>
      <c r="R2501" s="67"/>
      <c r="S2501" s="67"/>
      <c r="T2501" s="161"/>
      <c r="U2501" s="69"/>
      <c r="V2501" s="73"/>
      <c r="W2501" s="71"/>
      <c r="X2501" s="194"/>
      <c r="Y2501" s="216"/>
      <c r="Z2501" s="73"/>
      <c r="AA2501" s="73"/>
      <c r="AB2501" s="73"/>
      <c r="AC2501" s="73"/>
      <c r="AD2501" s="73"/>
      <c r="AE2501" s="73"/>
      <c r="AF2501" s="73"/>
      <c r="AG2501" s="73"/>
      <c r="AH2501" s="73"/>
      <c r="AI2501" s="73"/>
      <c r="AJ2501" s="161"/>
      <c r="AK2501" s="236"/>
      <c r="AL2501" s="269"/>
      <c r="AM2501" s="161"/>
      <c r="AN2501" s="161"/>
      <c r="AO2501" s="161"/>
      <c r="AP2501" s="161"/>
      <c r="AQ2501" s="161"/>
      <c r="AR2501" s="161"/>
      <c r="AS2501" s="161"/>
      <c r="AT2501" s="161"/>
      <c r="AU2501" s="89"/>
      <c r="AV2501" s="162"/>
      <c r="AW2501" s="73"/>
    </row>
    <row r="2502" ht="15.75" customHeight="1">
      <c r="A2502" s="216"/>
      <c r="B2502" s="73"/>
      <c r="C2502" s="216"/>
      <c r="D2502" s="241"/>
      <c r="E2502" s="241"/>
      <c r="F2502" s="89"/>
      <c r="G2502" s="476"/>
      <c r="H2502" s="73"/>
      <c r="I2502" s="551"/>
      <c r="J2502" s="476"/>
      <c r="K2502" s="69"/>
      <c r="L2502" s="61"/>
      <c r="M2502" s="61"/>
      <c r="N2502" s="73"/>
      <c r="O2502" s="66"/>
      <c r="P2502" s="67"/>
      <c r="Q2502" s="67"/>
      <c r="R2502" s="67"/>
      <c r="S2502" s="67"/>
      <c r="T2502" s="161"/>
      <c r="U2502" s="69"/>
      <c r="V2502" s="73"/>
      <c r="W2502" s="71"/>
      <c r="X2502" s="194"/>
      <c r="Y2502" s="216"/>
      <c r="Z2502" s="73"/>
      <c r="AA2502" s="73"/>
      <c r="AB2502" s="73"/>
      <c r="AC2502" s="73"/>
      <c r="AD2502" s="73"/>
      <c r="AE2502" s="73"/>
      <c r="AF2502" s="73"/>
      <c r="AG2502" s="73"/>
      <c r="AH2502" s="73"/>
      <c r="AI2502" s="73"/>
      <c r="AJ2502" s="161"/>
      <c r="AK2502" s="236"/>
      <c r="AL2502" s="269"/>
      <c r="AM2502" s="161"/>
      <c r="AN2502" s="161"/>
      <c r="AO2502" s="161"/>
      <c r="AP2502" s="161"/>
      <c r="AQ2502" s="161"/>
      <c r="AR2502" s="161"/>
      <c r="AS2502" s="161"/>
      <c r="AT2502" s="161"/>
      <c r="AU2502" s="89"/>
      <c r="AV2502" s="162"/>
      <c r="AW2502" s="73"/>
    </row>
    <row r="2503" ht="15.75" customHeight="1">
      <c r="A2503" s="216"/>
      <c r="B2503" s="73"/>
      <c r="C2503" s="216"/>
      <c r="D2503" s="241"/>
      <c r="E2503" s="241"/>
      <c r="F2503" s="89"/>
      <c r="G2503" s="476"/>
      <c r="H2503" s="73"/>
      <c r="I2503" s="551"/>
      <c r="J2503" s="476"/>
      <c r="K2503" s="69"/>
      <c r="L2503" s="61"/>
      <c r="M2503" s="61"/>
      <c r="N2503" s="73"/>
      <c r="O2503" s="66"/>
      <c r="P2503" s="67"/>
      <c r="Q2503" s="67"/>
      <c r="R2503" s="67"/>
      <c r="S2503" s="67"/>
      <c r="T2503" s="161"/>
      <c r="U2503" s="69"/>
      <c r="V2503" s="73"/>
      <c r="W2503" s="71"/>
      <c r="X2503" s="194"/>
      <c r="Y2503" s="216"/>
      <c r="Z2503" s="73"/>
      <c r="AA2503" s="73"/>
      <c r="AB2503" s="73"/>
      <c r="AC2503" s="73"/>
      <c r="AD2503" s="73"/>
      <c r="AE2503" s="73"/>
      <c r="AF2503" s="73"/>
      <c r="AG2503" s="73"/>
      <c r="AH2503" s="73"/>
      <c r="AI2503" s="73"/>
      <c r="AJ2503" s="161"/>
      <c r="AK2503" s="236"/>
      <c r="AL2503" s="269"/>
      <c r="AM2503" s="161"/>
      <c r="AN2503" s="161"/>
      <c r="AO2503" s="161"/>
      <c r="AP2503" s="161"/>
      <c r="AQ2503" s="161"/>
      <c r="AR2503" s="161"/>
      <c r="AS2503" s="161"/>
      <c r="AT2503" s="161"/>
      <c r="AU2503" s="89"/>
      <c r="AV2503" s="162"/>
      <c r="AW2503" s="73"/>
    </row>
    <row r="2504" ht="15.75" customHeight="1">
      <c r="A2504" s="216"/>
      <c r="B2504" s="73"/>
      <c r="C2504" s="216"/>
      <c r="D2504" s="241"/>
      <c r="E2504" s="241"/>
      <c r="F2504" s="89"/>
      <c r="G2504" s="476"/>
      <c r="H2504" s="73"/>
      <c r="I2504" s="551"/>
      <c r="J2504" s="476"/>
      <c r="K2504" s="69"/>
      <c r="L2504" s="61"/>
      <c r="M2504" s="61"/>
      <c r="N2504" s="73"/>
      <c r="O2504" s="66"/>
      <c r="P2504" s="67"/>
      <c r="Q2504" s="67"/>
      <c r="R2504" s="67"/>
      <c r="S2504" s="67"/>
      <c r="T2504" s="161"/>
      <c r="U2504" s="69"/>
      <c r="V2504" s="73"/>
      <c r="W2504" s="71"/>
      <c r="X2504" s="194"/>
      <c r="Y2504" s="216"/>
      <c r="Z2504" s="73"/>
      <c r="AA2504" s="73"/>
      <c r="AB2504" s="73"/>
      <c r="AC2504" s="73"/>
      <c r="AD2504" s="73"/>
      <c r="AE2504" s="73"/>
      <c r="AF2504" s="73"/>
      <c r="AG2504" s="73"/>
      <c r="AH2504" s="73"/>
      <c r="AI2504" s="73"/>
      <c r="AJ2504" s="161"/>
      <c r="AK2504" s="236"/>
      <c r="AL2504" s="269"/>
      <c r="AM2504" s="161"/>
      <c r="AN2504" s="161"/>
      <c r="AO2504" s="161"/>
      <c r="AP2504" s="161"/>
      <c r="AQ2504" s="161"/>
      <c r="AR2504" s="161"/>
      <c r="AS2504" s="161"/>
      <c r="AT2504" s="161"/>
      <c r="AU2504" s="89"/>
      <c r="AV2504" s="162"/>
      <c r="AW2504" s="73"/>
    </row>
    <row r="2505" ht="15.75" customHeight="1">
      <c r="A2505" s="216"/>
      <c r="B2505" s="73"/>
      <c r="C2505" s="216"/>
      <c r="D2505" s="241"/>
      <c r="E2505" s="241"/>
      <c r="F2505" s="89"/>
      <c r="G2505" s="476"/>
      <c r="H2505" s="73"/>
      <c r="I2505" s="551"/>
      <c r="J2505" s="476"/>
      <c r="K2505" s="69"/>
      <c r="L2505" s="61"/>
      <c r="M2505" s="61"/>
      <c r="N2505" s="73"/>
      <c r="O2505" s="66"/>
      <c r="P2505" s="67"/>
      <c r="Q2505" s="67"/>
      <c r="R2505" s="67"/>
      <c r="S2505" s="67"/>
      <c r="T2505" s="161"/>
      <c r="U2505" s="69"/>
      <c r="V2505" s="73"/>
      <c r="W2505" s="71"/>
      <c r="X2505" s="194"/>
      <c r="Y2505" s="216"/>
      <c r="Z2505" s="73"/>
      <c r="AA2505" s="73"/>
      <c r="AB2505" s="73"/>
      <c r="AC2505" s="73"/>
      <c r="AD2505" s="73"/>
      <c r="AE2505" s="73"/>
      <c r="AF2505" s="73"/>
      <c r="AG2505" s="73"/>
      <c r="AH2505" s="73"/>
      <c r="AI2505" s="73"/>
      <c r="AJ2505" s="161"/>
      <c r="AK2505" s="236"/>
      <c r="AL2505" s="269"/>
      <c r="AM2505" s="161"/>
      <c r="AN2505" s="161"/>
      <c r="AO2505" s="161"/>
      <c r="AP2505" s="161"/>
      <c r="AQ2505" s="161"/>
      <c r="AR2505" s="161"/>
      <c r="AS2505" s="161"/>
      <c r="AT2505" s="161"/>
      <c r="AU2505" s="89"/>
      <c r="AV2505" s="162"/>
      <c r="AW2505" s="73"/>
    </row>
    <row r="2506" ht="15.75" customHeight="1">
      <c r="A2506" s="216"/>
      <c r="B2506" s="73"/>
      <c r="C2506" s="216"/>
      <c r="D2506" s="241"/>
      <c r="E2506" s="241"/>
      <c r="F2506" s="89"/>
      <c r="G2506" s="476"/>
      <c r="H2506" s="73"/>
      <c r="I2506" s="551"/>
      <c r="J2506" s="476"/>
      <c r="K2506" s="69"/>
      <c r="L2506" s="61"/>
      <c r="M2506" s="61"/>
      <c r="N2506" s="73"/>
      <c r="O2506" s="66"/>
      <c r="P2506" s="67"/>
      <c r="Q2506" s="67"/>
      <c r="R2506" s="67"/>
      <c r="S2506" s="67"/>
      <c r="T2506" s="161"/>
      <c r="U2506" s="69"/>
      <c r="V2506" s="73"/>
      <c r="W2506" s="71"/>
      <c r="X2506" s="194"/>
      <c r="Y2506" s="216"/>
      <c r="Z2506" s="73"/>
      <c r="AA2506" s="73"/>
      <c r="AB2506" s="73"/>
      <c r="AC2506" s="73"/>
      <c r="AD2506" s="73"/>
      <c r="AE2506" s="73"/>
      <c r="AF2506" s="73"/>
      <c r="AG2506" s="73"/>
      <c r="AH2506" s="73"/>
      <c r="AI2506" s="73"/>
      <c r="AJ2506" s="161"/>
      <c r="AK2506" s="236"/>
      <c r="AL2506" s="269"/>
      <c r="AM2506" s="161"/>
      <c r="AN2506" s="161"/>
      <c r="AO2506" s="161"/>
      <c r="AP2506" s="161"/>
      <c r="AQ2506" s="161"/>
      <c r="AR2506" s="161"/>
      <c r="AS2506" s="161"/>
      <c r="AT2506" s="161"/>
      <c r="AU2506" s="89"/>
      <c r="AV2506" s="162"/>
      <c r="AW2506" s="73"/>
    </row>
    <row r="2507" ht="15.75" customHeight="1">
      <c r="A2507" s="216"/>
      <c r="B2507" s="73"/>
      <c r="C2507" s="216"/>
      <c r="D2507" s="241"/>
      <c r="E2507" s="241"/>
      <c r="F2507" s="89"/>
      <c r="G2507" s="476"/>
      <c r="H2507" s="73"/>
      <c r="I2507" s="551"/>
      <c r="J2507" s="476"/>
      <c r="K2507" s="69"/>
      <c r="L2507" s="61"/>
      <c r="M2507" s="61"/>
      <c r="N2507" s="73"/>
      <c r="O2507" s="66"/>
      <c r="P2507" s="67"/>
      <c r="Q2507" s="67"/>
      <c r="R2507" s="67"/>
      <c r="S2507" s="67"/>
      <c r="T2507" s="161"/>
      <c r="U2507" s="69"/>
      <c r="V2507" s="73"/>
      <c r="W2507" s="71"/>
      <c r="X2507" s="194"/>
      <c r="Y2507" s="216"/>
      <c r="Z2507" s="73"/>
      <c r="AA2507" s="73"/>
      <c r="AB2507" s="73"/>
      <c r="AC2507" s="73"/>
      <c r="AD2507" s="73"/>
      <c r="AE2507" s="73"/>
      <c r="AF2507" s="73"/>
      <c r="AG2507" s="73"/>
      <c r="AH2507" s="73"/>
      <c r="AI2507" s="73"/>
      <c r="AJ2507" s="161"/>
      <c r="AK2507" s="236"/>
      <c r="AL2507" s="269"/>
      <c r="AM2507" s="161"/>
      <c r="AN2507" s="161"/>
      <c r="AO2507" s="161"/>
      <c r="AP2507" s="161"/>
      <c r="AQ2507" s="161"/>
      <c r="AR2507" s="161"/>
      <c r="AS2507" s="161"/>
      <c r="AT2507" s="161"/>
      <c r="AU2507" s="89"/>
      <c r="AV2507" s="162"/>
      <c r="AW2507" s="73"/>
    </row>
    <row r="2508" ht="15.75" customHeight="1">
      <c r="A2508" s="216"/>
      <c r="B2508" s="73"/>
      <c r="C2508" s="216"/>
      <c r="D2508" s="241"/>
      <c r="E2508" s="241"/>
      <c r="F2508" s="89"/>
      <c r="G2508" s="476"/>
      <c r="H2508" s="73"/>
      <c r="I2508" s="551"/>
      <c r="J2508" s="476"/>
      <c r="K2508" s="69"/>
      <c r="L2508" s="61"/>
      <c r="M2508" s="61"/>
      <c r="N2508" s="73"/>
      <c r="O2508" s="66"/>
      <c r="P2508" s="67"/>
      <c r="Q2508" s="67"/>
      <c r="R2508" s="67"/>
      <c r="S2508" s="67"/>
      <c r="T2508" s="161"/>
      <c r="U2508" s="69"/>
      <c r="V2508" s="73"/>
      <c r="W2508" s="71"/>
      <c r="X2508" s="194"/>
      <c r="Y2508" s="216"/>
      <c r="Z2508" s="73"/>
      <c r="AA2508" s="73"/>
      <c r="AB2508" s="73"/>
      <c r="AC2508" s="73"/>
      <c r="AD2508" s="73"/>
      <c r="AE2508" s="73"/>
      <c r="AF2508" s="73"/>
      <c r="AG2508" s="73"/>
      <c r="AH2508" s="73"/>
      <c r="AI2508" s="73"/>
      <c r="AJ2508" s="161"/>
      <c r="AK2508" s="236"/>
      <c r="AL2508" s="269"/>
      <c r="AM2508" s="161"/>
      <c r="AN2508" s="161"/>
      <c r="AO2508" s="161"/>
      <c r="AP2508" s="161"/>
      <c r="AQ2508" s="161"/>
      <c r="AR2508" s="161"/>
      <c r="AS2508" s="161"/>
      <c r="AT2508" s="161"/>
      <c r="AU2508" s="89"/>
      <c r="AV2508" s="162"/>
      <c r="AW2508" s="73"/>
    </row>
    <row r="2509" ht="15.75" customHeight="1">
      <c r="A2509" s="216"/>
      <c r="B2509" s="73"/>
      <c r="C2509" s="216"/>
      <c r="D2509" s="241"/>
      <c r="E2509" s="241"/>
      <c r="F2509" s="89"/>
      <c r="G2509" s="476"/>
      <c r="H2509" s="73"/>
      <c r="I2509" s="551"/>
      <c r="J2509" s="476"/>
      <c r="K2509" s="69"/>
      <c r="L2509" s="61"/>
      <c r="M2509" s="61"/>
      <c r="N2509" s="73"/>
      <c r="O2509" s="66"/>
      <c r="P2509" s="67"/>
      <c r="Q2509" s="67"/>
      <c r="R2509" s="67"/>
      <c r="S2509" s="67"/>
      <c r="T2509" s="161"/>
      <c r="U2509" s="69"/>
      <c r="V2509" s="73"/>
      <c r="W2509" s="71"/>
      <c r="X2509" s="194"/>
      <c r="Y2509" s="216"/>
      <c r="Z2509" s="73"/>
      <c r="AA2509" s="73"/>
      <c r="AB2509" s="73"/>
      <c r="AC2509" s="73"/>
      <c r="AD2509" s="73"/>
      <c r="AE2509" s="73"/>
      <c r="AF2509" s="73"/>
      <c r="AG2509" s="73"/>
      <c r="AH2509" s="73"/>
      <c r="AI2509" s="73"/>
      <c r="AJ2509" s="161"/>
      <c r="AK2509" s="236"/>
      <c r="AL2509" s="269"/>
      <c r="AM2509" s="161"/>
      <c r="AN2509" s="161"/>
      <c r="AO2509" s="161"/>
      <c r="AP2509" s="161"/>
      <c r="AQ2509" s="161"/>
      <c r="AR2509" s="161"/>
      <c r="AS2509" s="161"/>
      <c r="AT2509" s="161"/>
      <c r="AU2509" s="89"/>
      <c r="AV2509" s="162"/>
      <c r="AW2509" s="73"/>
    </row>
    <row r="2510" ht="15.75" customHeight="1">
      <c r="A2510" s="216"/>
      <c r="B2510" s="73"/>
      <c r="C2510" s="216"/>
      <c r="D2510" s="241"/>
      <c r="E2510" s="241"/>
      <c r="F2510" s="89"/>
      <c r="G2510" s="476"/>
      <c r="H2510" s="73"/>
      <c r="I2510" s="551"/>
      <c r="J2510" s="476"/>
      <c r="K2510" s="69"/>
      <c r="L2510" s="61"/>
      <c r="M2510" s="61"/>
      <c r="N2510" s="73"/>
      <c r="O2510" s="66"/>
      <c r="P2510" s="67"/>
      <c r="Q2510" s="67"/>
      <c r="R2510" s="67"/>
      <c r="S2510" s="67"/>
      <c r="T2510" s="161"/>
      <c r="U2510" s="69"/>
      <c r="V2510" s="73"/>
      <c r="W2510" s="71"/>
      <c r="X2510" s="194"/>
      <c r="Y2510" s="216"/>
      <c r="Z2510" s="73"/>
      <c r="AA2510" s="73"/>
      <c r="AB2510" s="73"/>
      <c r="AC2510" s="73"/>
      <c r="AD2510" s="73"/>
      <c r="AE2510" s="73"/>
      <c r="AF2510" s="73"/>
      <c r="AG2510" s="73"/>
      <c r="AH2510" s="73"/>
      <c r="AI2510" s="73"/>
      <c r="AJ2510" s="161"/>
      <c r="AK2510" s="236"/>
      <c r="AL2510" s="269"/>
      <c r="AM2510" s="161"/>
      <c r="AN2510" s="161"/>
      <c r="AO2510" s="161"/>
      <c r="AP2510" s="161"/>
      <c r="AQ2510" s="161"/>
      <c r="AR2510" s="161"/>
      <c r="AS2510" s="161"/>
      <c r="AT2510" s="161"/>
      <c r="AU2510" s="89"/>
      <c r="AV2510" s="162"/>
      <c r="AW2510" s="73"/>
    </row>
    <row r="2511" ht="15.75" customHeight="1">
      <c r="A2511" s="216"/>
      <c r="B2511" s="73"/>
      <c r="C2511" s="216"/>
      <c r="D2511" s="241"/>
      <c r="E2511" s="241"/>
      <c r="F2511" s="89"/>
      <c r="G2511" s="476"/>
      <c r="H2511" s="73"/>
      <c r="I2511" s="551"/>
      <c r="J2511" s="476"/>
      <c r="K2511" s="69"/>
      <c r="L2511" s="61"/>
      <c r="M2511" s="61"/>
      <c r="N2511" s="73"/>
      <c r="O2511" s="66"/>
      <c r="P2511" s="67"/>
      <c r="Q2511" s="67"/>
      <c r="R2511" s="67"/>
      <c r="S2511" s="67"/>
      <c r="T2511" s="161"/>
      <c r="U2511" s="69"/>
      <c r="V2511" s="73"/>
      <c r="W2511" s="71"/>
      <c r="X2511" s="194"/>
      <c r="Y2511" s="216"/>
      <c r="Z2511" s="73"/>
      <c r="AA2511" s="73"/>
      <c r="AB2511" s="73"/>
      <c r="AC2511" s="73"/>
      <c r="AD2511" s="73"/>
      <c r="AE2511" s="73"/>
      <c r="AF2511" s="73"/>
      <c r="AG2511" s="73"/>
      <c r="AH2511" s="73"/>
      <c r="AI2511" s="73"/>
      <c r="AJ2511" s="161"/>
      <c r="AK2511" s="236"/>
      <c r="AL2511" s="269"/>
      <c r="AM2511" s="161"/>
      <c r="AN2511" s="161"/>
      <c r="AO2511" s="161"/>
      <c r="AP2511" s="161"/>
      <c r="AQ2511" s="161"/>
      <c r="AR2511" s="161"/>
      <c r="AS2511" s="161"/>
      <c r="AT2511" s="161"/>
      <c r="AU2511" s="89"/>
      <c r="AV2511" s="162"/>
      <c r="AW2511" s="73"/>
    </row>
    <row r="2512" ht="15.75" customHeight="1">
      <c r="A2512" s="216"/>
      <c r="B2512" s="73"/>
      <c r="C2512" s="216"/>
      <c r="D2512" s="241"/>
      <c r="E2512" s="241"/>
      <c r="F2512" s="89"/>
      <c r="G2512" s="476"/>
      <c r="H2512" s="73"/>
      <c r="I2512" s="551"/>
      <c r="J2512" s="476"/>
      <c r="K2512" s="69"/>
      <c r="L2512" s="61"/>
      <c r="M2512" s="61"/>
      <c r="N2512" s="73"/>
      <c r="O2512" s="66"/>
      <c r="P2512" s="67"/>
      <c r="Q2512" s="67"/>
      <c r="R2512" s="67"/>
      <c r="S2512" s="67"/>
      <c r="T2512" s="161"/>
      <c r="U2512" s="69"/>
      <c r="V2512" s="73"/>
      <c r="W2512" s="71"/>
      <c r="X2512" s="194"/>
      <c r="Y2512" s="216"/>
      <c r="Z2512" s="73"/>
      <c r="AA2512" s="73"/>
      <c r="AB2512" s="73"/>
      <c r="AC2512" s="73"/>
      <c r="AD2512" s="73"/>
      <c r="AE2512" s="73"/>
      <c r="AF2512" s="73"/>
      <c r="AG2512" s="73"/>
      <c r="AH2512" s="73"/>
      <c r="AI2512" s="73"/>
      <c r="AJ2512" s="161"/>
      <c r="AK2512" s="236"/>
      <c r="AL2512" s="269"/>
      <c r="AM2512" s="161"/>
      <c r="AN2512" s="161"/>
      <c r="AO2512" s="161"/>
      <c r="AP2512" s="161"/>
      <c r="AQ2512" s="161"/>
      <c r="AR2512" s="161"/>
      <c r="AS2512" s="161"/>
      <c r="AT2512" s="161"/>
      <c r="AU2512" s="89"/>
      <c r="AV2512" s="162"/>
      <c r="AW2512" s="73"/>
    </row>
    <row r="2513" ht="15.75" customHeight="1">
      <c r="A2513" s="216"/>
      <c r="B2513" s="73"/>
      <c r="C2513" s="216"/>
      <c r="D2513" s="241"/>
      <c r="E2513" s="241"/>
      <c r="F2513" s="89"/>
      <c r="G2513" s="476"/>
      <c r="H2513" s="73"/>
      <c r="I2513" s="551"/>
      <c r="J2513" s="476"/>
      <c r="K2513" s="69"/>
      <c r="L2513" s="61"/>
      <c r="M2513" s="61"/>
      <c r="N2513" s="73"/>
      <c r="O2513" s="66"/>
      <c r="P2513" s="67"/>
      <c r="Q2513" s="67"/>
      <c r="R2513" s="67"/>
      <c r="S2513" s="67"/>
      <c r="T2513" s="161"/>
      <c r="U2513" s="69"/>
      <c r="V2513" s="73"/>
      <c r="W2513" s="71"/>
      <c r="X2513" s="194"/>
      <c r="Y2513" s="216"/>
      <c r="Z2513" s="73"/>
      <c r="AA2513" s="73"/>
      <c r="AB2513" s="73"/>
      <c r="AC2513" s="73"/>
      <c r="AD2513" s="73"/>
      <c r="AE2513" s="73"/>
      <c r="AF2513" s="73"/>
      <c r="AG2513" s="73"/>
      <c r="AH2513" s="73"/>
      <c r="AI2513" s="73"/>
      <c r="AJ2513" s="161"/>
      <c r="AK2513" s="236"/>
      <c r="AL2513" s="269"/>
      <c r="AM2513" s="161"/>
      <c r="AN2513" s="161"/>
      <c r="AO2513" s="161"/>
      <c r="AP2513" s="161"/>
      <c r="AQ2513" s="161"/>
      <c r="AR2513" s="161"/>
      <c r="AS2513" s="161"/>
      <c r="AT2513" s="161"/>
      <c r="AU2513" s="89"/>
      <c r="AV2513" s="162"/>
      <c r="AW2513" s="73"/>
    </row>
    <row r="2514" ht="15.75" customHeight="1">
      <c r="A2514" s="216"/>
      <c r="B2514" s="73"/>
      <c r="C2514" s="216"/>
      <c r="D2514" s="241"/>
      <c r="E2514" s="241"/>
      <c r="F2514" s="89"/>
      <c r="G2514" s="476"/>
      <c r="H2514" s="73"/>
      <c r="I2514" s="551"/>
      <c r="J2514" s="476"/>
      <c r="K2514" s="69"/>
      <c r="L2514" s="61"/>
      <c r="M2514" s="61"/>
      <c r="N2514" s="73"/>
      <c r="O2514" s="66"/>
      <c r="P2514" s="67"/>
      <c r="Q2514" s="67"/>
      <c r="R2514" s="67"/>
      <c r="S2514" s="67"/>
      <c r="T2514" s="161"/>
      <c r="U2514" s="69"/>
      <c r="V2514" s="73"/>
      <c r="W2514" s="71"/>
      <c r="X2514" s="194"/>
      <c r="Y2514" s="216"/>
      <c r="Z2514" s="73"/>
      <c r="AA2514" s="73"/>
      <c r="AB2514" s="73"/>
      <c r="AC2514" s="73"/>
      <c r="AD2514" s="73"/>
      <c r="AE2514" s="73"/>
      <c r="AF2514" s="73"/>
      <c r="AG2514" s="73"/>
      <c r="AH2514" s="73"/>
      <c r="AI2514" s="73"/>
      <c r="AJ2514" s="161"/>
      <c r="AK2514" s="236"/>
      <c r="AL2514" s="269"/>
      <c r="AM2514" s="161"/>
      <c r="AN2514" s="161"/>
      <c r="AO2514" s="161"/>
      <c r="AP2514" s="161"/>
      <c r="AQ2514" s="161"/>
      <c r="AR2514" s="161"/>
      <c r="AS2514" s="161"/>
      <c r="AT2514" s="161"/>
      <c r="AU2514" s="89"/>
      <c r="AV2514" s="162"/>
      <c r="AW2514" s="73"/>
    </row>
    <row r="2515" ht="15.75" customHeight="1">
      <c r="A2515" s="216"/>
      <c r="B2515" s="73"/>
      <c r="C2515" s="216"/>
      <c r="D2515" s="241"/>
      <c r="E2515" s="241"/>
      <c r="F2515" s="89"/>
      <c r="G2515" s="476"/>
      <c r="H2515" s="73"/>
      <c r="I2515" s="551"/>
      <c r="J2515" s="476"/>
      <c r="K2515" s="69"/>
      <c r="L2515" s="61"/>
      <c r="M2515" s="61"/>
      <c r="N2515" s="73"/>
      <c r="O2515" s="66"/>
      <c r="P2515" s="67"/>
      <c r="Q2515" s="67"/>
      <c r="R2515" s="67"/>
      <c r="S2515" s="67"/>
      <c r="T2515" s="161"/>
      <c r="U2515" s="69"/>
      <c r="V2515" s="73"/>
      <c r="W2515" s="71"/>
      <c r="X2515" s="194"/>
      <c r="Y2515" s="216"/>
      <c r="Z2515" s="73"/>
      <c r="AA2515" s="73"/>
      <c r="AB2515" s="73"/>
      <c r="AC2515" s="73"/>
      <c r="AD2515" s="73"/>
      <c r="AE2515" s="73"/>
      <c r="AF2515" s="73"/>
      <c r="AG2515" s="73"/>
      <c r="AH2515" s="73"/>
      <c r="AI2515" s="73"/>
      <c r="AJ2515" s="161"/>
      <c r="AK2515" s="236"/>
      <c r="AL2515" s="269"/>
      <c r="AM2515" s="161"/>
      <c r="AN2515" s="161"/>
      <c r="AO2515" s="161"/>
      <c r="AP2515" s="161"/>
      <c r="AQ2515" s="161"/>
      <c r="AR2515" s="161"/>
      <c r="AS2515" s="161"/>
      <c r="AT2515" s="161"/>
      <c r="AU2515" s="89"/>
      <c r="AV2515" s="162"/>
      <c r="AW2515" s="73"/>
    </row>
    <row r="2516" ht="15.75" customHeight="1">
      <c r="A2516" s="216"/>
      <c r="B2516" s="73"/>
      <c r="C2516" s="216"/>
      <c r="D2516" s="241"/>
      <c r="E2516" s="241"/>
      <c r="F2516" s="89"/>
      <c r="G2516" s="476"/>
      <c r="H2516" s="73"/>
      <c r="I2516" s="551"/>
      <c r="J2516" s="476"/>
      <c r="K2516" s="69"/>
      <c r="L2516" s="61"/>
      <c r="M2516" s="61"/>
      <c r="N2516" s="73"/>
      <c r="O2516" s="66"/>
      <c r="P2516" s="67"/>
      <c r="Q2516" s="67"/>
      <c r="R2516" s="67"/>
      <c r="S2516" s="67"/>
      <c r="T2516" s="161"/>
      <c r="U2516" s="69"/>
      <c r="V2516" s="73"/>
      <c r="W2516" s="71"/>
      <c r="X2516" s="194"/>
      <c r="Y2516" s="216"/>
      <c r="Z2516" s="73"/>
      <c r="AA2516" s="73"/>
      <c r="AB2516" s="73"/>
      <c r="AC2516" s="73"/>
      <c r="AD2516" s="73"/>
      <c r="AE2516" s="73"/>
      <c r="AF2516" s="73"/>
      <c r="AG2516" s="73"/>
      <c r="AH2516" s="73"/>
      <c r="AI2516" s="73"/>
      <c r="AJ2516" s="161"/>
      <c r="AK2516" s="236"/>
      <c r="AL2516" s="269"/>
      <c r="AM2516" s="161"/>
      <c r="AN2516" s="161"/>
      <c r="AO2516" s="161"/>
      <c r="AP2516" s="161"/>
      <c r="AQ2516" s="161"/>
      <c r="AR2516" s="161"/>
      <c r="AS2516" s="161"/>
      <c r="AT2516" s="161"/>
      <c r="AU2516" s="89"/>
      <c r="AV2516" s="162"/>
      <c r="AW2516" s="73"/>
    </row>
    <row r="2517" ht="15.75" customHeight="1">
      <c r="A2517" s="216"/>
      <c r="B2517" s="73"/>
      <c r="C2517" s="216"/>
      <c r="D2517" s="241"/>
      <c r="E2517" s="241"/>
      <c r="F2517" s="89"/>
      <c r="G2517" s="476"/>
      <c r="H2517" s="73"/>
      <c r="I2517" s="551"/>
      <c r="J2517" s="476"/>
      <c r="K2517" s="69"/>
      <c r="L2517" s="61"/>
      <c r="M2517" s="61"/>
      <c r="N2517" s="73"/>
      <c r="O2517" s="66"/>
      <c r="P2517" s="67"/>
      <c r="Q2517" s="67"/>
      <c r="R2517" s="67"/>
      <c r="S2517" s="67"/>
      <c r="T2517" s="161"/>
      <c r="U2517" s="69"/>
      <c r="V2517" s="73"/>
      <c r="W2517" s="71"/>
      <c r="X2517" s="194"/>
      <c r="Y2517" s="216"/>
      <c r="Z2517" s="73"/>
      <c r="AA2517" s="73"/>
      <c r="AB2517" s="73"/>
      <c r="AC2517" s="73"/>
      <c r="AD2517" s="73"/>
      <c r="AE2517" s="73"/>
      <c r="AF2517" s="73"/>
      <c r="AG2517" s="73"/>
      <c r="AH2517" s="73"/>
      <c r="AI2517" s="73"/>
      <c r="AJ2517" s="161"/>
      <c r="AK2517" s="236"/>
      <c r="AL2517" s="269"/>
      <c r="AM2517" s="161"/>
      <c r="AN2517" s="161"/>
      <c r="AO2517" s="161"/>
      <c r="AP2517" s="161"/>
      <c r="AQ2517" s="161"/>
      <c r="AR2517" s="161"/>
      <c r="AS2517" s="161"/>
      <c r="AT2517" s="161"/>
      <c r="AU2517" s="89"/>
      <c r="AV2517" s="162"/>
      <c r="AW2517" s="73"/>
    </row>
    <row r="2518" ht="15.75" customHeight="1">
      <c r="A2518" s="216"/>
      <c r="B2518" s="73"/>
      <c r="C2518" s="216"/>
      <c r="D2518" s="241"/>
      <c r="E2518" s="241"/>
      <c r="F2518" s="89"/>
      <c r="G2518" s="476"/>
      <c r="H2518" s="73"/>
      <c r="I2518" s="551"/>
      <c r="J2518" s="476"/>
      <c r="K2518" s="69"/>
      <c r="L2518" s="61"/>
      <c r="M2518" s="61"/>
      <c r="N2518" s="73"/>
      <c r="O2518" s="66"/>
      <c r="P2518" s="67"/>
      <c r="Q2518" s="67"/>
      <c r="R2518" s="67"/>
      <c r="S2518" s="67"/>
      <c r="T2518" s="161"/>
      <c r="U2518" s="69"/>
      <c r="V2518" s="73"/>
      <c r="W2518" s="71"/>
      <c r="X2518" s="194"/>
      <c r="Y2518" s="216"/>
      <c r="Z2518" s="73"/>
      <c r="AA2518" s="73"/>
      <c r="AB2518" s="73"/>
      <c r="AC2518" s="73"/>
      <c r="AD2518" s="73"/>
      <c r="AE2518" s="73"/>
      <c r="AF2518" s="73"/>
      <c r="AG2518" s="73"/>
      <c r="AH2518" s="73"/>
      <c r="AI2518" s="73"/>
      <c r="AJ2518" s="161"/>
      <c r="AK2518" s="236"/>
      <c r="AL2518" s="269"/>
      <c r="AM2518" s="161"/>
      <c r="AN2518" s="161"/>
      <c r="AO2518" s="161"/>
      <c r="AP2518" s="161"/>
      <c r="AQ2518" s="161"/>
      <c r="AR2518" s="161"/>
      <c r="AS2518" s="161"/>
      <c r="AT2518" s="161"/>
      <c r="AU2518" s="89"/>
      <c r="AV2518" s="162"/>
      <c r="AW2518" s="73"/>
    </row>
    <row r="2519" ht="15.75" customHeight="1">
      <c r="A2519" s="216"/>
      <c r="B2519" s="73"/>
      <c r="C2519" s="216"/>
      <c r="D2519" s="241"/>
      <c r="E2519" s="241"/>
      <c r="F2519" s="89"/>
      <c r="G2519" s="476"/>
      <c r="H2519" s="73"/>
      <c r="I2519" s="551"/>
      <c r="J2519" s="476"/>
      <c r="K2519" s="69"/>
      <c r="L2519" s="61"/>
      <c r="M2519" s="61"/>
      <c r="N2519" s="73"/>
      <c r="O2519" s="66"/>
      <c r="P2519" s="67"/>
      <c r="Q2519" s="67"/>
      <c r="R2519" s="67"/>
      <c r="S2519" s="67"/>
      <c r="T2519" s="161"/>
      <c r="U2519" s="69"/>
      <c r="V2519" s="73"/>
      <c r="W2519" s="71"/>
      <c r="X2519" s="194"/>
      <c r="Y2519" s="216"/>
      <c r="Z2519" s="73"/>
      <c r="AA2519" s="73"/>
      <c r="AB2519" s="73"/>
      <c r="AC2519" s="73"/>
      <c r="AD2519" s="73"/>
      <c r="AE2519" s="73"/>
      <c r="AF2519" s="73"/>
      <c r="AG2519" s="73"/>
      <c r="AH2519" s="73"/>
      <c r="AI2519" s="73"/>
      <c r="AJ2519" s="161"/>
      <c r="AK2519" s="236"/>
      <c r="AL2519" s="269"/>
      <c r="AM2519" s="161"/>
      <c r="AN2519" s="161"/>
      <c r="AO2519" s="161"/>
      <c r="AP2519" s="161"/>
      <c r="AQ2519" s="161"/>
      <c r="AR2519" s="161"/>
      <c r="AS2519" s="161"/>
      <c r="AT2519" s="161"/>
      <c r="AU2519" s="89"/>
      <c r="AV2519" s="162"/>
      <c r="AW2519" s="73"/>
    </row>
    <row r="2520" ht="15.75" customHeight="1">
      <c r="A2520" s="216"/>
      <c r="B2520" s="73"/>
      <c r="C2520" s="216"/>
      <c r="D2520" s="241"/>
      <c r="E2520" s="241"/>
      <c r="F2520" s="89"/>
      <c r="G2520" s="476"/>
      <c r="H2520" s="73"/>
      <c r="I2520" s="551"/>
      <c r="J2520" s="476"/>
      <c r="K2520" s="69"/>
      <c r="L2520" s="61"/>
      <c r="M2520" s="61"/>
      <c r="N2520" s="73"/>
      <c r="O2520" s="66"/>
      <c r="P2520" s="67"/>
      <c r="Q2520" s="67"/>
      <c r="R2520" s="67"/>
      <c r="S2520" s="67"/>
      <c r="T2520" s="161"/>
      <c r="U2520" s="69"/>
      <c r="V2520" s="73"/>
      <c r="W2520" s="71"/>
      <c r="X2520" s="194"/>
      <c r="Y2520" s="216"/>
      <c r="Z2520" s="73"/>
      <c r="AA2520" s="73"/>
      <c r="AB2520" s="73"/>
      <c r="AC2520" s="73"/>
      <c r="AD2520" s="73"/>
      <c r="AE2520" s="73"/>
      <c r="AF2520" s="73"/>
      <c r="AG2520" s="73"/>
      <c r="AH2520" s="73"/>
      <c r="AI2520" s="73"/>
      <c r="AJ2520" s="161"/>
      <c r="AK2520" s="236"/>
      <c r="AL2520" s="269"/>
      <c r="AM2520" s="161"/>
      <c r="AN2520" s="161"/>
      <c r="AO2520" s="161"/>
      <c r="AP2520" s="161"/>
      <c r="AQ2520" s="161"/>
      <c r="AR2520" s="161"/>
      <c r="AS2520" s="161"/>
      <c r="AT2520" s="161"/>
      <c r="AU2520" s="89"/>
      <c r="AV2520" s="162"/>
      <c r="AW2520" s="73"/>
    </row>
    <row r="2521" ht="15.75" customHeight="1">
      <c r="A2521" s="216"/>
      <c r="B2521" s="73"/>
      <c r="C2521" s="216"/>
      <c r="D2521" s="241"/>
      <c r="E2521" s="241"/>
      <c r="F2521" s="89"/>
      <c r="G2521" s="476"/>
      <c r="H2521" s="73"/>
      <c r="I2521" s="551"/>
      <c r="J2521" s="476"/>
      <c r="K2521" s="69"/>
      <c r="L2521" s="61"/>
      <c r="M2521" s="61"/>
      <c r="N2521" s="73"/>
      <c r="O2521" s="66"/>
      <c r="P2521" s="67"/>
      <c r="Q2521" s="67"/>
      <c r="R2521" s="67"/>
      <c r="S2521" s="67"/>
      <c r="T2521" s="161"/>
      <c r="U2521" s="69"/>
      <c r="V2521" s="73"/>
      <c r="W2521" s="71"/>
      <c r="X2521" s="194"/>
      <c r="Y2521" s="216"/>
      <c r="Z2521" s="73"/>
      <c r="AA2521" s="73"/>
      <c r="AB2521" s="73"/>
      <c r="AC2521" s="73"/>
      <c r="AD2521" s="73"/>
      <c r="AE2521" s="73"/>
      <c r="AF2521" s="73"/>
      <c r="AG2521" s="73"/>
      <c r="AH2521" s="73"/>
      <c r="AI2521" s="73"/>
      <c r="AJ2521" s="161"/>
      <c r="AK2521" s="236"/>
      <c r="AL2521" s="269"/>
      <c r="AM2521" s="161"/>
      <c r="AN2521" s="161"/>
      <c r="AO2521" s="161"/>
      <c r="AP2521" s="161"/>
      <c r="AQ2521" s="161"/>
      <c r="AR2521" s="161"/>
      <c r="AS2521" s="161"/>
      <c r="AT2521" s="161"/>
      <c r="AU2521" s="89"/>
      <c r="AV2521" s="162"/>
      <c r="AW2521" s="73"/>
    </row>
    <row r="2522" ht="15.75" customHeight="1">
      <c r="A2522" s="216"/>
      <c r="B2522" s="73"/>
      <c r="C2522" s="216"/>
      <c r="D2522" s="241"/>
      <c r="E2522" s="241"/>
      <c r="F2522" s="89"/>
      <c r="G2522" s="476"/>
      <c r="H2522" s="73"/>
      <c r="I2522" s="551"/>
      <c r="J2522" s="476"/>
      <c r="K2522" s="69"/>
      <c r="L2522" s="61"/>
      <c r="M2522" s="61"/>
      <c r="N2522" s="73"/>
      <c r="O2522" s="66"/>
      <c r="P2522" s="67"/>
      <c r="Q2522" s="67"/>
      <c r="R2522" s="67"/>
      <c r="S2522" s="67"/>
      <c r="T2522" s="161"/>
      <c r="U2522" s="69"/>
      <c r="V2522" s="73"/>
      <c r="W2522" s="71"/>
      <c r="X2522" s="194"/>
      <c r="Y2522" s="216"/>
      <c r="Z2522" s="73"/>
      <c r="AA2522" s="73"/>
      <c r="AB2522" s="73"/>
      <c r="AC2522" s="73"/>
      <c r="AD2522" s="73"/>
      <c r="AE2522" s="73"/>
      <c r="AF2522" s="73"/>
      <c r="AG2522" s="73"/>
      <c r="AH2522" s="73"/>
      <c r="AI2522" s="73"/>
      <c r="AJ2522" s="161"/>
      <c r="AK2522" s="236"/>
      <c r="AL2522" s="269"/>
      <c r="AM2522" s="161"/>
      <c r="AN2522" s="161"/>
      <c r="AO2522" s="161"/>
      <c r="AP2522" s="161"/>
      <c r="AQ2522" s="161"/>
      <c r="AR2522" s="161"/>
      <c r="AS2522" s="161"/>
      <c r="AT2522" s="161"/>
      <c r="AU2522" s="89"/>
      <c r="AV2522" s="162"/>
      <c r="AW2522" s="73"/>
    </row>
    <row r="2523" ht="15.75" customHeight="1">
      <c r="A2523" s="216"/>
      <c r="B2523" s="73"/>
      <c r="C2523" s="216"/>
      <c r="D2523" s="241"/>
      <c r="E2523" s="241"/>
      <c r="F2523" s="89"/>
      <c r="G2523" s="476"/>
      <c r="H2523" s="73"/>
      <c r="I2523" s="551"/>
      <c r="J2523" s="476"/>
      <c r="K2523" s="69"/>
      <c r="L2523" s="61"/>
      <c r="M2523" s="61"/>
      <c r="N2523" s="73"/>
      <c r="O2523" s="66"/>
      <c r="P2523" s="67"/>
      <c r="Q2523" s="67"/>
      <c r="R2523" s="67"/>
      <c r="S2523" s="67"/>
      <c r="T2523" s="161"/>
      <c r="U2523" s="69"/>
      <c r="V2523" s="73"/>
      <c r="W2523" s="71"/>
      <c r="X2523" s="194"/>
      <c r="Y2523" s="216"/>
      <c r="Z2523" s="73"/>
      <c r="AA2523" s="73"/>
      <c r="AB2523" s="73"/>
      <c r="AC2523" s="73"/>
      <c r="AD2523" s="73"/>
      <c r="AE2523" s="73"/>
      <c r="AF2523" s="73"/>
      <c r="AG2523" s="73"/>
      <c r="AH2523" s="73"/>
      <c r="AI2523" s="73"/>
      <c r="AJ2523" s="161"/>
      <c r="AK2523" s="236"/>
      <c r="AL2523" s="269"/>
      <c r="AM2523" s="161"/>
      <c r="AN2523" s="161"/>
      <c r="AO2523" s="161"/>
      <c r="AP2523" s="161"/>
      <c r="AQ2523" s="161"/>
      <c r="AR2523" s="161"/>
      <c r="AS2523" s="161"/>
      <c r="AT2523" s="161"/>
      <c r="AU2523" s="89"/>
      <c r="AV2523" s="162"/>
      <c r="AW2523" s="73"/>
    </row>
    <row r="2524" ht="15.75" customHeight="1">
      <c r="A2524" s="216"/>
      <c r="B2524" s="73"/>
      <c r="C2524" s="216"/>
      <c r="D2524" s="241"/>
      <c r="E2524" s="241"/>
      <c r="F2524" s="89"/>
      <c r="G2524" s="476"/>
      <c r="H2524" s="73"/>
      <c r="I2524" s="551"/>
      <c r="J2524" s="476"/>
      <c r="K2524" s="69"/>
      <c r="L2524" s="61"/>
      <c r="M2524" s="61"/>
      <c r="N2524" s="73"/>
      <c r="O2524" s="66"/>
      <c r="P2524" s="67"/>
      <c r="Q2524" s="67"/>
      <c r="R2524" s="67"/>
      <c r="S2524" s="67"/>
      <c r="T2524" s="161"/>
      <c r="U2524" s="69"/>
      <c r="V2524" s="73"/>
      <c r="W2524" s="71"/>
      <c r="X2524" s="194"/>
      <c r="Y2524" s="216"/>
      <c r="Z2524" s="73"/>
      <c r="AA2524" s="73"/>
      <c r="AB2524" s="73"/>
      <c r="AC2524" s="73"/>
      <c r="AD2524" s="73"/>
      <c r="AE2524" s="73"/>
      <c r="AF2524" s="73"/>
      <c r="AG2524" s="73"/>
      <c r="AH2524" s="73"/>
      <c r="AI2524" s="73"/>
      <c r="AJ2524" s="161"/>
      <c r="AK2524" s="236"/>
      <c r="AL2524" s="269"/>
      <c r="AM2524" s="161"/>
      <c r="AN2524" s="161"/>
      <c r="AO2524" s="161"/>
      <c r="AP2524" s="161"/>
      <c r="AQ2524" s="161"/>
      <c r="AR2524" s="161"/>
      <c r="AS2524" s="161"/>
      <c r="AT2524" s="161"/>
      <c r="AU2524" s="89"/>
      <c r="AV2524" s="162"/>
      <c r="AW2524" s="73"/>
    </row>
    <row r="2525" ht="15.75" customHeight="1">
      <c r="A2525" s="216"/>
      <c r="B2525" s="73"/>
      <c r="C2525" s="216"/>
      <c r="D2525" s="241"/>
      <c r="E2525" s="241"/>
      <c r="F2525" s="89"/>
      <c r="G2525" s="476"/>
      <c r="H2525" s="73"/>
      <c r="I2525" s="551"/>
      <c r="J2525" s="476"/>
      <c r="K2525" s="69"/>
      <c r="L2525" s="61"/>
      <c r="M2525" s="61"/>
      <c r="N2525" s="73"/>
      <c r="O2525" s="66"/>
      <c r="P2525" s="67"/>
      <c r="Q2525" s="67"/>
      <c r="R2525" s="67"/>
      <c r="S2525" s="67"/>
      <c r="T2525" s="161"/>
      <c r="U2525" s="69"/>
      <c r="V2525" s="73"/>
      <c r="W2525" s="71"/>
      <c r="X2525" s="194"/>
      <c r="Y2525" s="216"/>
      <c r="Z2525" s="73"/>
      <c r="AA2525" s="73"/>
      <c r="AB2525" s="73"/>
      <c r="AC2525" s="73"/>
      <c r="AD2525" s="73"/>
      <c r="AE2525" s="73"/>
      <c r="AF2525" s="73"/>
      <c r="AG2525" s="73"/>
      <c r="AH2525" s="73"/>
      <c r="AI2525" s="73"/>
      <c r="AJ2525" s="161"/>
      <c r="AK2525" s="236"/>
      <c r="AL2525" s="269"/>
      <c r="AM2525" s="161"/>
      <c r="AN2525" s="161"/>
      <c r="AO2525" s="161"/>
      <c r="AP2525" s="161"/>
      <c r="AQ2525" s="161"/>
      <c r="AR2525" s="161"/>
      <c r="AS2525" s="161"/>
      <c r="AT2525" s="161"/>
      <c r="AU2525" s="89"/>
      <c r="AV2525" s="162"/>
      <c r="AW2525" s="73"/>
    </row>
    <row r="2526" ht="15.75" customHeight="1">
      <c r="A2526" s="216"/>
      <c r="B2526" s="73"/>
      <c r="C2526" s="216"/>
      <c r="D2526" s="241"/>
      <c r="E2526" s="241"/>
      <c r="F2526" s="89"/>
      <c r="G2526" s="476"/>
      <c r="H2526" s="73"/>
      <c r="I2526" s="551"/>
      <c r="J2526" s="476"/>
      <c r="K2526" s="69"/>
      <c r="L2526" s="61"/>
      <c r="M2526" s="61"/>
      <c r="N2526" s="73"/>
      <c r="O2526" s="66"/>
      <c r="P2526" s="67"/>
      <c r="Q2526" s="67"/>
      <c r="R2526" s="67"/>
      <c r="S2526" s="67"/>
      <c r="T2526" s="161"/>
      <c r="U2526" s="69"/>
      <c r="V2526" s="73"/>
      <c r="W2526" s="71"/>
      <c r="X2526" s="194"/>
      <c r="Y2526" s="216"/>
      <c r="Z2526" s="73"/>
      <c r="AA2526" s="73"/>
      <c r="AB2526" s="73"/>
      <c r="AC2526" s="73"/>
      <c r="AD2526" s="73"/>
      <c r="AE2526" s="73"/>
      <c r="AF2526" s="73"/>
      <c r="AG2526" s="73"/>
      <c r="AH2526" s="73"/>
      <c r="AI2526" s="73"/>
      <c r="AJ2526" s="161"/>
      <c r="AK2526" s="236"/>
      <c r="AL2526" s="269"/>
      <c r="AM2526" s="161"/>
      <c r="AN2526" s="161"/>
      <c r="AO2526" s="161"/>
      <c r="AP2526" s="161"/>
      <c r="AQ2526" s="161"/>
      <c r="AR2526" s="161"/>
      <c r="AS2526" s="161"/>
      <c r="AT2526" s="161"/>
      <c r="AU2526" s="89"/>
      <c r="AV2526" s="162"/>
      <c r="AW2526" s="73"/>
    </row>
    <row r="2527" ht="15.75" customHeight="1">
      <c r="A2527" s="216"/>
      <c r="B2527" s="73"/>
      <c r="C2527" s="216"/>
      <c r="D2527" s="241"/>
      <c r="E2527" s="241"/>
      <c r="F2527" s="89"/>
      <c r="G2527" s="476"/>
      <c r="H2527" s="73"/>
      <c r="I2527" s="551"/>
      <c r="J2527" s="476"/>
      <c r="K2527" s="69"/>
      <c r="L2527" s="61"/>
      <c r="M2527" s="61"/>
      <c r="N2527" s="73"/>
      <c r="O2527" s="66"/>
      <c r="P2527" s="67"/>
      <c r="Q2527" s="67"/>
      <c r="R2527" s="67"/>
      <c r="S2527" s="67"/>
      <c r="T2527" s="161"/>
      <c r="U2527" s="69"/>
      <c r="V2527" s="73"/>
      <c r="W2527" s="71"/>
      <c r="X2527" s="194"/>
      <c r="Y2527" s="216"/>
      <c r="Z2527" s="73"/>
      <c r="AA2527" s="73"/>
      <c r="AB2527" s="73"/>
      <c r="AC2527" s="73"/>
      <c r="AD2527" s="73"/>
      <c r="AE2527" s="73"/>
      <c r="AF2527" s="73"/>
      <c r="AG2527" s="73"/>
      <c r="AH2527" s="73"/>
      <c r="AI2527" s="73"/>
      <c r="AJ2527" s="161"/>
      <c r="AK2527" s="236"/>
      <c r="AL2527" s="269"/>
      <c r="AM2527" s="161"/>
      <c r="AN2527" s="161"/>
      <c r="AO2527" s="161"/>
      <c r="AP2527" s="161"/>
      <c r="AQ2527" s="161"/>
      <c r="AR2527" s="161"/>
      <c r="AS2527" s="161"/>
      <c r="AT2527" s="161"/>
      <c r="AU2527" s="89"/>
      <c r="AV2527" s="162"/>
      <c r="AW2527" s="73"/>
    </row>
    <row r="2528" ht="15.75" customHeight="1">
      <c r="A2528" s="216"/>
      <c r="B2528" s="73"/>
      <c r="C2528" s="216"/>
      <c r="D2528" s="241"/>
      <c r="E2528" s="241"/>
      <c r="F2528" s="89"/>
      <c r="G2528" s="476"/>
      <c r="H2528" s="73"/>
      <c r="I2528" s="551"/>
      <c r="J2528" s="476"/>
      <c r="K2528" s="69"/>
      <c r="L2528" s="61"/>
      <c r="M2528" s="61"/>
      <c r="N2528" s="73"/>
      <c r="O2528" s="66"/>
      <c r="P2528" s="67"/>
      <c r="Q2528" s="67"/>
      <c r="R2528" s="67"/>
      <c r="S2528" s="67"/>
      <c r="T2528" s="161"/>
      <c r="U2528" s="69"/>
      <c r="V2528" s="73"/>
      <c r="W2528" s="71"/>
      <c r="X2528" s="194"/>
      <c r="Y2528" s="216"/>
      <c r="Z2528" s="73"/>
      <c r="AA2528" s="73"/>
      <c r="AB2528" s="73"/>
      <c r="AC2528" s="73"/>
      <c r="AD2528" s="73"/>
      <c r="AE2528" s="73"/>
      <c r="AF2528" s="73"/>
      <c r="AG2528" s="73"/>
      <c r="AH2528" s="73"/>
      <c r="AI2528" s="73"/>
      <c r="AJ2528" s="161"/>
      <c r="AK2528" s="236"/>
      <c r="AL2528" s="269"/>
      <c r="AM2528" s="161"/>
      <c r="AN2528" s="161"/>
      <c r="AO2528" s="161"/>
      <c r="AP2528" s="161"/>
      <c r="AQ2528" s="161"/>
      <c r="AR2528" s="161"/>
      <c r="AS2528" s="161"/>
      <c r="AT2528" s="161"/>
      <c r="AU2528" s="89"/>
      <c r="AV2528" s="162"/>
      <c r="AW2528" s="73"/>
    </row>
    <row r="2529" ht="15.75" customHeight="1">
      <c r="A2529" s="216"/>
      <c r="B2529" s="73"/>
      <c r="C2529" s="216"/>
      <c r="D2529" s="241"/>
      <c r="E2529" s="241"/>
      <c r="F2529" s="89"/>
      <c r="G2529" s="476"/>
      <c r="H2529" s="73"/>
      <c r="I2529" s="551"/>
      <c r="J2529" s="476"/>
      <c r="K2529" s="69"/>
      <c r="L2529" s="61"/>
      <c r="M2529" s="61"/>
      <c r="N2529" s="73"/>
      <c r="O2529" s="66"/>
      <c r="P2529" s="67"/>
      <c r="Q2529" s="67"/>
      <c r="R2529" s="67"/>
      <c r="S2529" s="67"/>
      <c r="T2529" s="161"/>
      <c r="U2529" s="69"/>
      <c r="V2529" s="73"/>
      <c r="W2529" s="71"/>
      <c r="X2529" s="194"/>
      <c r="Y2529" s="216"/>
      <c r="Z2529" s="73"/>
      <c r="AA2529" s="73"/>
      <c r="AB2529" s="73"/>
      <c r="AC2529" s="73"/>
      <c r="AD2529" s="73"/>
      <c r="AE2529" s="73"/>
      <c r="AF2529" s="73"/>
      <c r="AG2529" s="73"/>
      <c r="AH2529" s="73"/>
      <c r="AI2529" s="73"/>
      <c r="AJ2529" s="161"/>
      <c r="AK2529" s="236"/>
      <c r="AL2529" s="269"/>
      <c r="AM2529" s="161"/>
      <c r="AN2529" s="161"/>
      <c r="AO2529" s="161"/>
      <c r="AP2529" s="161"/>
      <c r="AQ2529" s="161"/>
      <c r="AR2529" s="161"/>
      <c r="AS2529" s="161"/>
      <c r="AT2529" s="161"/>
      <c r="AU2529" s="89"/>
      <c r="AV2529" s="162"/>
      <c r="AW2529" s="73"/>
    </row>
    <row r="2530" ht="15.75" customHeight="1">
      <c r="A2530" s="216"/>
      <c r="B2530" s="73"/>
      <c r="C2530" s="216"/>
      <c r="D2530" s="241"/>
      <c r="E2530" s="241"/>
      <c r="F2530" s="89"/>
      <c r="G2530" s="476"/>
      <c r="H2530" s="73"/>
      <c r="I2530" s="551"/>
      <c r="J2530" s="476"/>
      <c r="K2530" s="69"/>
      <c r="L2530" s="61"/>
      <c r="M2530" s="61"/>
      <c r="N2530" s="73"/>
      <c r="O2530" s="66"/>
      <c r="P2530" s="67"/>
      <c r="Q2530" s="67"/>
      <c r="R2530" s="67"/>
      <c r="S2530" s="67"/>
      <c r="T2530" s="161"/>
      <c r="U2530" s="69"/>
      <c r="V2530" s="73"/>
      <c r="W2530" s="71"/>
      <c r="X2530" s="194"/>
      <c r="Y2530" s="216"/>
      <c r="Z2530" s="73"/>
      <c r="AA2530" s="73"/>
      <c r="AB2530" s="73"/>
      <c r="AC2530" s="73"/>
      <c r="AD2530" s="73"/>
      <c r="AE2530" s="73"/>
      <c r="AF2530" s="73"/>
      <c r="AG2530" s="73"/>
      <c r="AH2530" s="73"/>
      <c r="AI2530" s="73"/>
      <c r="AJ2530" s="161"/>
      <c r="AK2530" s="236"/>
      <c r="AL2530" s="269"/>
      <c r="AM2530" s="161"/>
      <c r="AN2530" s="161"/>
      <c r="AO2530" s="161"/>
      <c r="AP2530" s="161"/>
      <c r="AQ2530" s="161"/>
      <c r="AR2530" s="161"/>
      <c r="AS2530" s="161"/>
      <c r="AT2530" s="161"/>
      <c r="AU2530" s="89"/>
      <c r="AV2530" s="162"/>
      <c r="AW2530" s="73"/>
    </row>
    <row r="2531" ht="15.75" customHeight="1">
      <c r="A2531" s="216"/>
      <c r="B2531" s="73"/>
      <c r="C2531" s="216"/>
      <c r="D2531" s="241"/>
      <c r="E2531" s="241"/>
      <c r="F2531" s="89"/>
      <c r="G2531" s="476"/>
      <c r="H2531" s="73"/>
      <c r="I2531" s="551"/>
      <c r="J2531" s="476"/>
      <c r="K2531" s="69"/>
      <c r="L2531" s="61"/>
      <c r="M2531" s="61"/>
      <c r="N2531" s="73"/>
      <c r="O2531" s="66"/>
      <c r="P2531" s="67"/>
      <c r="Q2531" s="67"/>
      <c r="R2531" s="67"/>
      <c r="S2531" s="67"/>
      <c r="T2531" s="161"/>
      <c r="U2531" s="69"/>
      <c r="V2531" s="73"/>
      <c r="W2531" s="71"/>
      <c r="X2531" s="194"/>
      <c r="Y2531" s="216"/>
      <c r="Z2531" s="73"/>
      <c r="AA2531" s="73"/>
      <c r="AB2531" s="73"/>
      <c r="AC2531" s="73"/>
      <c r="AD2531" s="73"/>
      <c r="AE2531" s="73"/>
      <c r="AF2531" s="73"/>
      <c r="AG2531" s="73"/>
      <c r="AH2531" s="73"/>
      <c r="AI2531" s="73"/>
      <c r="AJ2531" s="161"/>
      <c r="AK2531" s="236"/>
      <c r="AL2531" s="269"/>
      <c r="AM2531" s="161"/>
      <c r="AN2531" s="161"/>
      <c r="AO2531" s="161"/>
      <c r="AP2531" s="161"/>
      <c r="AQ2531" s="161"/>
      <c r="AR2531" s="161"/>
      <c r="AS2531" s="161"/>
      <c r="AT2531" s="161"/>
      <c r="AU2531" s="89"/>
      <c r="AV2531" s="162"/>
      <c r="AW2531" s="73"/>
    </row>
    <row r="2532" ht="15.75" customHeight="1">
      <c r="A2532" s="216"/>
      <c r="B2532" s="73"/>
      <c r="C2532" s="216"/>
      <c r="D2532" s="241"/>
      <c r="E2532" s="241"/>
      <c r="F2532" s="89"/>
      <c r="G2532" s="476"/>
      <c r="H2532" s="73"/>
      <c r="I2532" s="551"/>
      <c r="J2532" s="476"/>
      <c r="K2532" s="69"/>
      <c r="L2532" s="61"/>
      <c r="M2532" s="61"/>
      <c r="N2532" s="73"/>
      <c r="O2532" s="66"/>
      <c r="P2532" s="67"/>
      <c r="Q2532" s="67"/>
      <c r="R2532" s="67"/>
      <c r="S2532" s="67"/>
      <c r="T2532" s="161"/>
      <c r="U2532" s="69"/>
      <c r="V2532" s="73"/>
      <c r="W2532" s="71"/>
      <c r="X2532" s="194"/>
      <c r="Y2532" s="216"/>
      <c r="Z2532" s="73"/>
      <c r="AA2532" s="73"/>
      <c r="AB2532" s="73"/>
      <c r="AC2532" s="73"/>
      <c r="AD2532" s="73"/>
      <c r="AE2532" s="73"/>
      <c r="AF2532" s="73"/>
      <c r="AG2532" s="73"/>
      <c r="AH2532" s="73"/>
      <c r="AI2532" s="73"/>
      <c r="AJ2532" s="161"/>
      <c r="AK2532" s="236"/>
      <c r="AL2532" s="269"/>
      <c r="AM2532" s="161"/>
      <c r="AN2532" s="161"/>
      <c r="AO2532" s="161"/>
      <c r="AP2532" s="161"/>
      <c r="AQ2532" s="161"/>
      <c r="AR2532" s="161"/>
      <c r="AS2532" s="161"/>
      <c r="AT2532" s="161"/>
      <c r="AU2532" s="89"/>
      <c r="AV2532" s="162"/>
      <c r="AW2532" s="73"/>
    </row>
    <row r="2533" ht="15.75" customHeight="1">
      <c r="A2533" s="216"/>
      <c r="B2533" s="73"/>
      <c r="C2533" s="216"/>
      <c r="D2533" s="241"/>
      <c r="E2533" s="241"/>
      <c r="F2533" s="89"/>
      <c r="G2533" s="476"/>
      <c r="H2533" s="73"/>
      <c r="I2533" s="551"/>
      <c r="J2533" s="476"/>
      <c r="K2533" s="69"/>
      <c r="L2533" s="61"/>
      <c r="M2533" s="61"/>
      <c r="N2533" s="73"/>
      <c r="O2533" s="66"/>
      <c r="P2533" s="67"/>
      <c r="Q2533" s="67"/>
      <c r="R2533" s="67"/>
      <c r="S2533" s="67"/>
      <c r="T2533" s="161"/>
      <c r="U2533" s="69"/>
      <c r="V2533" s="73"/>
      <c r="W2533" s="71"/>
      <c r="X2533" s="194"/>
      <c r="Y2533" s="216"/>
      <c r="Z2533" s="73"/>
      <c r="AA2533" s="73"/>
      <c r="AB2533" s="73"/>
      <c r="AC2533" s="73"/>
      <c r="AD2533" s="73"/>
      <c r="AE2533" s="73"/>
      <c r="AF2533" s="73"/>
      <c r="AG2533" s="73"/>
      <c r="AH2533" s="73"/>
      <c r="AI2533" s="73"/>
      <c r="AJ2533" s="161"/>
      <c r="AK2533" s="236"/>
      <c r="AL2533" s="269"/>
      <c r="AM2533" s="161"/>
      <c r="AN2533" s="161"/>
      <c r="AO2533" s="161"/>
      <c r="AP2533" s="161"/>
      <c r="AQ2533" s="161"/>
      <c r="AR2533" s="161"/>
      <c r="AS2533" s="161"/>
      <c r="AT2533" s="161"/>
      <c r="AU2533" s="89"/>
      <c r="AV2533" s="162"/>
      <c r="AW2533" s="73"/>
    </row>
    <row r="2534" ht="15.75" customHeight="1">
      <c r="A2534" s="216"/>
      <c r="B2534" s="73"/>
      <c r="C2534" s="216"/>
      <c r="D2534" s="241"/>
      <c r="E2534" s="241"/>
      <c r="F2534" s="89"/>
      <c r="G2534" s="476"/>
      <c r="H2534" s="73"/>
      <c r="I2534" s="551"/>
      <c r="J2534" s="476"/>
      <c r="K2534" s="69"/>
      <c r="L2534" s="61"/>
      <c r="M2534" s="61"/>
      <c r="N2534" s="73"/>
      <c r="O2534" s="66"/>
      <c r="P2534" s="67"/>
      <c r="Q2534" s="67"/>
      <c r="R2534" s="67"/>
      <c r="S2534" s="67"/>
      <c r="T2534" s="161"/>
      <c r="U2534" s="69"/>
      <c r="V2534" s="73"/>
      <c r="W2534" s="71"/>
      <c r="X2534" s="194"/>
      <c r="Y2534" s="216"/>
      <c r="Z2534" s="73"/>
      <c r="AA2534" s="73"/>
      <c r="AB2534" s="73"/>
      <c r="AC2534" s="73"/>
      <c r="AD2534" s="73"/>
      <c r="AE2534" s="73"/>
      <c r="AF2534" s="73"/>
      <c r="AG2534" s="73"/>
      <c r="AH2534" s="73"/>
      <c r="AI2534" s="73"/>
      <c r="AJ2534" s="161"/>
      <c r="AK2534" s="236"/>
      <c r="AL2534" s="269"/>
      <c r="AM2534" s="161"/>
      <c r="AN2534" s="161"/>
      <c r="AO2534" s="161"/>
      <c r="AP2534" s="161"/>
      <c r="AQ2534" s="161"/>
      <c r="AR2534" s="161"/>
      <c r="AS2534" s="161"/>
      <c r="AT2534" s="161"/>
      <c r="AU2534" s="89"/>
      <c r="AV2534" s="162"/>
      <c r="AW2534" s="73"/>
    </row>
    <row r="2535" ht="15.75" customHeight="1">
      <c r="A2535" s="216"/>
      <c r="B2535" s="73"/>
      <c r="C2535" s="216"/>
      <c r="D2535" s="241"/>
      <c r="E2535" s="241"/>
      <c r="F2535" s="89"/>
      <c r="G2535" s="476"/>
      <c r="H2535" s="73"/>
      <c r="I2535" s="551"/>
      <c r="J2535" s="476"/>
      <c r="K2535" s="69"/>
      <c r="L2535" s="61"/>
      <c r="M2535" s="61"/>
      <c r="N2535" s="73"/>
      <c r="O2535" s="66"/>
      <c r="P2535" s="67"/>
      <c r="Q2535" s="67"/>
      <c r="R2535" s="67"/>
      <c r="S2535" s="67"/>
      <c r="T2535" s="161"/>
      <c r="U2535" s="69"/>
      <c r="V2535" s="73"/>
      <c r="W2535" s="71"/>
      <c r="X2535" s="194"/>
      <c r="Y2535" s="216"/>
      <c r="Z2535" s="73"/>
      <c r="AA2535" s="73"/>
      <c r="AB2535" s="73"/>
      <c r="AC2535" s="73"/>
      <c r="AD2535" s="73"/>
      <c r="AE2535" s="73"/>
      <c r="AF2535" s="73"/>
      <c r="AG2535" s="73"/>
      <c r="AH2535" s="73"/>
      <c r="AI2535" s="73"/>
      <c r="AJ2535" s="161"/>
      <c r="AK2535" s="236"/>
      <c r="AL2535" s="269"/>
      <c r="AM2535" s="161"/>
      <c r="AN2535" s="161"/>
      <c r="AO2535" s="161"/>
      <c r="AP2535" s="161"/>
      <c r="AQ2535" s="161"/>
      <c r="AR2535" s="161"/>
      <c r="AS2535" s="161"/>
      <c r="AT2535" s="161"/>
      <c r="AU2535" s="89"/>
      <c r="AV2535" s="162"/>
      <c r="AW2535" s="73"/>
    </row>
    <row r="2536" ht="15.75" customHeight="1">
      <c r="A2536" s="216"/>
      <c r="B2536" s="73"/>
      <c r="C2536" s="216"/>
      <c r="D2536" s="241"/>
      <c r="E2536" s="241"/>
      <c r="F2536" s="89"/>
      <c r="G2536" s="476"/>
      <c r="H2536" s="73"/>
      <c r="I2536" s="551"/>
      <c r="J2536" s="476"/>
      <c r="K2536" s="69"/>
      <c r="L2536" s="61"/>
      <c r="M2536" s="61"/>
      <c r="N2536" s="73"/>
      <c r="O2536" s="66"/>
      <c r="P2536" s="67"/>
      <c r="Q2536" s="67"/>
      <c r="R2536" s="67"/>
      <c r="S2536" s="67"/>
      <c r="T2536" s="161"/>
      <c r="U2536" s="69"/>
      <c r="V2536" s="73"/>
      <c r="W2536" s="71"/>
      <c r="X2536" s="194"/>
      <c r="Y2536" s="216"/>
      <c r="Z2536" s="73"/>
      <c r="AA2536" s="73"/>
      <c r="AB2536" s="73"/>
      <c r="AC2536" s="73"/>
      <c r="AD2536" s="73"/>
      <c r="AE2536" s="73"/>
      <c r="AF2536" s="73"/>
      <c r="AG2536" s="73"/>
      <c r="AH2536" s="73"/>
      <c r="AI2536" s="73"/>
      <c r="AJ2536" s="161"/>
      <c r="AK2536" s="236"/>
      <c r="AL2536" s="269"/>
      <c r="AM2536" s="161"/>
      <c r="AN2536" s="161"/>
      <c r="AO2536" s="161"/>
      <c r="AP2536" s="161"/>
      <c r="AQ2536" s="161"/>
      <c r="AR2536" s="161"/>
      <c r="AS2536" s="161"/>
      <c r="AT2536" s="161"/>
      <c r="AU2536" s="89"/>
      <c r="AV2536" s="162"/>
      <c r="AW2536" s="73"/>
    </row>
    <row r="2537" ht="15.75" customHeight="1">
      <c r="A2537" s="216"/>
      <c r="B2537" s="73"/>
      <c r="C2537" s="216"/>
      <c r="D2537" s="241"/>
      <c r="E2537" s="241"/>
      <c r="F2537" s="89"/>
      <c r="G2537" s="476"/>
      <c r="H2537" s="73"/>
      <c r="I2537" s="551"/>
      <c r="J2537" s="476"/>
      <c r="K2537" s="69"/>
      <c r="L2537" s="61"/>
      <c r="M2537" s="61"/>
      <c r="N2537" s="73"/>
      <c r="O2537" s="66"/>
      <c r="P2537" s="67"/>
      <c r="Q2537" s="67"/>
      <c r="R2537" s="67"/>
      <c r="S2537" s="67"/>
      <c r="T2537" s="161"/>
      <c r="U2537" s="69"/>
      <c r="V2537" s="73"/>
      <c r="W2537" s="71"/>
      <c r="X2537" s="194"/>
      <c r="Y2537" s="216"/>
      <c r="Z2537" s="73"/>
      <c r="AA2537" s="73"/>
      <c r="AB2537" s="73"/>
      <c r="AC2537" s="73"/>
      <c r="AD2537" s="73"/>
      <c r="AE2537" s="73"/>
      <c r="AF2537" s="73"/>
      <c r="AG2537" s="73"/>
      <c r="AH2537" s="73"/>
      <c r="AI2537" s="73"/>
      <c r="AJ2537" s="161"/>
      <c r="AK2537" s="236"/>
      <c r="AL2537" s="269"/>
      <c r="AM2537" s="161"/>
      <c r="AN2537" s="161"/>
      <c r="AO2537" s="161"/>
      <c r="AP2537" s="161"/>
      <c r="AQ2537" s="161"/>
      <c r="AR2537" s="161"/>
      <c r="AS2537" s="161"/>
      <c r="AT2537" s="161"/>
      <c r="AU2537" s="89"/>
      <c r="AV2537" s="162"/>
      <c r="AW2537" s="73"/>
    </row>
    <row r="2538" ht="15.75" customHeight="1">
      <c r="A2538" s="216"/>
      <c r="B2538" s="73"/>
      <c r="C2538" s="216"/>
      <c r="D2538" s="241"/>
      <c r="E2538" s="241"/>
      <c r="F2538" s="89"/>
      <c r="G2538" s="476"/>
      <c r="H2538" s="73"/>
      <c r="I2538" s="551"/>
      <c r="J2538" s="476"/>
      <c r="K2538" s="69"/>
      <c r="L2538" s="61"/>
      <c r="M2538" s="61"/>
      <c r="N2538" s="73"/>
      <c r="O2538" s="66"/>
      <c r="P2538" s="67"/>
      <c r="Q2538" s="67"/>
      <c r="R2538" s="67"/>
      <c r="S2538" s="67"/>
      <c r="T2538" s="161"/>
      <c r="U2538" s="69"/>
      <c r="V2538" s="73"/>
      <c r="W2538" s="71"/>
      <c r="X2538" s="194"/>
      <c r="Y2538" s="216"/>
      <c r="Z2538" s="73"/>
      <c r="AA2538" s="73"/>
      <c r="AB2538" s="73"/>
      <c r="AC2538" s="73"/>
      <c r="AD2538" s="73"/>
      <c r="AE2538" s="73"/>
      <c r="AF2538" s="73"/>
      <c r="AG2538" s="73"/>
      <c r="AH2538" s="73"/>
      <c r="AI2538" s="73"/>
      <c r="AJ2538" s="161"/>
      <c r="AK2538" s="236"/>
      <c r="AL2538" s="269"/>
      <c r="AM2538" s="161"/>
      <c r="AN2538" s="161"/>
      <c r="AO2538" s="161"/>
      <c r="AP2538" s="161"/>
      <c r="AQ2538" s="161"/>
      <c r="AR2538" s="161"/>
      <c r="AS2538" s="161"/>
      <c r="AT2538" s="161"/>
      <c r="AU2538" s="89"/>
      <c r="AV2538" s="162"/>
      <c r="AW2538" s="73"/>
    </row>
    <row r="2539" ht="15.75" customHeight="1">
      <c r="A2539" s="216"/>
      <c r="B2539" s="73"/>
      <c r="C2539" s="216"/>
      <c r="D2539" s="241"/>
      <c r="E2539" s="241"/>
      <c r="F2539" s="89"/>
      <c r="G2539" s="476"/>
      <c r="H2539" s="73"/>
      <c r="I2539" s="551"/>
      <c r="J2539" s="476"/>
      <c r="K2539" s="69"/>
      <c r="L2539" s="61"/>
      <c r="M2539" s="61"/>
      <c r="N2539" s="73"/>
      <c r="O2539" s="66"/>
      <c r="P2539" s="67"/>
      <c r="Q2539" s="67"/>
      <c r="R2539" s="67"/>
      <c r="S2539" s="67"/>
      <c r="T2539" s="161"/>
      <c r="U2539" s="69"/>
      <c r="V2539" s="73"/>
      <c r="W2539" s="71"/>
      <c r="X2539" s="194"/>
      <c r="Y2539" s="216"/>
      <c r="Z2539" s="73"/>
      <c r="AA2539" s="73"/>
      <c r="AB2539" s="73"/>
      <c r="AC2539" s="73"/>
      <c r="AD2539" s="73"/>
      <c r="AE2539" s="73"/>
      <c r="AF2539" s="73"/>
      <c r="AG2539" s="73"/>
      <c r="AH2539" s="73"/>
      <c r="AI2539" s="73"/>
      <c r="AJ2539" s="161"/>
      <c r="AK2539" s="236"/>
      <c r="AL2539" s="269"/>
      <c r="AM2539" s="161"/>
      <c r="AN2539" s="161"/>
      <c r="AO2539" s="161"/>
      <c r="AP2539" s="161"/>
      <c r="AQ2539" s="161"/>
      <c r="AR2539" s="161"/>
      <c r="AS2539" s="161"/>
      <c r="AT2539" s="161"/>
      <c r="AU2539" s="89"/>
      <c r="AV2539" s="162"/>
      <c r="AW2539" s="73"/>
    </row>
    <row r="2540" ht="15.75" customHeight="1">
      <c r="A2540" s="216"/>
      <c r="B2540" s="73"/>
      <c r="C2540" s="216"/>
      <c r="D2540" s="241"/>
      <c r="E2540" s="241"/>
      <c r="F2540" s="89"/>
      <c r="G2540" s="476"/>
      <c r="H2540" s="73"/>
      <c r="I2540" s="551"/>
      <c r="J2540" s="476"/>
      <c r="K2540" s="69"/>
      <c r="L2540" s="61"/>
      <c r="M2540" s="61"/>
      <c r="N2540" s="73"/>
      <c r="O2540" s="66"/>
      <c r="P2540" s="67"/>
      <c r="Q2540" s="67"/>
      <c r="R2540" s="67"/>
      <c r="S2540" s="67"/>
      <c r="T2540" s="161"/>
      <c r="U2540" s="69"/>
      <c r="V2540" s="73"/>
      <c r="W2540" s="71"/>
      <c r="X2540" s="194"/>
      <c r="Y2540" s="216"/>
      <c r="Z2540" s="73"/>
      <c r="AA2540" s="73"/>
      <c r="AB2540" s="73"/>
      <c r="AC2540" s="73"/>
      <c r="AD2540" s="73"/>
      <c r="AE2540" s="73"/>
      <c r="AF2540" s="73"/>
      <c r="AG2540" s="73"/>
      <c r="AH2540" s="73"/>
      <c r="AI2540" s="73"/>
      <c r="AJ2540" s="161"/>
      <c r="AK2540" s="236"/>
      <c r="AL2540" s="269"/>
      <c r="AM2540" s="161"/>
      <c r="AN2540" s="161"/>
      <c r="AO2540" s="161"/>
      <c r="AP2540" s="161"/>
      <c r="AQ2540" s="161"/>
      <c r="AR2540" s="161"/>
      <c r="AS2540" s="161"/>
      <c r="AT2540" s="161"/>
      <c r="AU2540" s="89"/>
      <c r="AV2540" s="162"/>
      <c r="AW2540" s="73"/>
    </row>
    <row r="2541" ht="15.75" customHeight="1">
      <c r="A2541" s="216"/>
      <c r="B2541" s="73"/>
      <c r="C2541" s="216"/>
      <c r="D2541" s="241"/>
      <c r="E2541" s="241"/>
      <c r="F2541" s="89"/>
      <c r="G2541" s="476"/>
      <c r="H2541" s="73"/>
      <c r="I2541" s="551"/>
      <c r="J2541" s="476"/>
      <c r="K2541" s="69"/>
      <c r="L2541" s="61"/>
      <c r="M2541" s="61"/>
      <c r="N2541" s="73"/>
      <c r="O2541" s="66"/>
      <c r="P2541" s="67"/>
      <c r="Q2541" s="67"/>
      <c r="R2541" s="67"/>
      <c r="S2541" s="67"/>
      <c r="T2541" s="161"/>
      <c r="U2541" s="69"/>
      <c r="V2541" s="73"/>
      <c r="W2541" s="71"/>
      <c r="X2541" s="194"/>
      <c r="Y2541" s="216"/>
      <c r="Z2541" s="73"/>
      <c r="AA2541" s="73"/>
      <c r="AB2541" s="73"/>
      <c r="AC2541" s="73"/>
      <c r="AD2541" s="73"/>
      <c r="AE2541" s="73"/>
      <c r="AF2541" s="73"/>
      <c r="AG2541" s="73"/>
      <c r="AH2541" s="73"/>
      <c r="AI2541" s="73"/>
      <c r="AJ2541" s="161"/>
      <c r="AK2541" s="236"/>
      <c r="AL2541" s="269"/>
      <c r="AM2541" s="161"/>
      <c r="AN2541" s="161"/>
      <c r="AO2541" s="161"/>
      <c r="AP2541" s="161"/>
      <c r="AQ2541" s="161"/>
      <c r="AR2541" s="161"/>
      <c r="AS2541" s="161"/>
      <c r="AT2541" s="161"/>
      <c r="AU2541" s="89"/>
      <c r="AV2541" s="162"/>
      <c r="AW2541" s="73"/>
    </row>
    <row r="2542" ht="15.75" customHeight="1">
      <c r="A2542" s="216"/>
      <c r="B2542" s="73"/>
      <c r="C2542" s="216"/>
      <c r="D2542" s="241"/>
      <c r="E2542" s="241"/>
      <c r="F2542" s="89"/>
      <c r="G2542" s="476"/>
      <c r="H2542" s="73"/>
      <c r="I2542" s="551"/>
      <c r="J2542" s="476"/>
      <c r="K2542" s="69"/>
      <c r="L2542" s="61"/>
      <c r="M2542" s="61"/>
      <c r="N2542" s="73"/>
      <c r="O2542" s="66"/>
      <c r="P2542" s="67"/>
      <c r="Q2542" s="67"/>
      <c r="R2542" s="67"/>
      <c r="S2542" s="67"/>
      <c r="T2542" s="161"/>
      <c r="U2542" s="69"/>
      <c r="V2542" s="73"/>
      <c r="W2542" s="71"/>
      <c r="X2542" s="194"/>
      <c r="Y2542" s="216"/>
      <c r="Z2542" s="73"/>
      <c r="AA2542" s="73"/>
      <c r="AB2542" s="73"/>
      <c r="AC2542" s="73"/>
      <c r="AD2542" s="73"/>
      <c r="AE2542" s="73"/>
      <c r="AF2542" s="73"/>
      <c r="AG2542" s="73"/>
      <c r="AH2542" s="73"/>
      <c r="AI2542" s="73"/>
      <c r="AJ2542" s="161"/>
      <c r="AK2542" s="236"/>
      <c r="AL2542" s="269"/>
      <c r="AM2542" s="161"/>
      <c r="AN2542" s="161"/>
      <c r="AO2542" s="161"/>
      <c r="AP2542" s="161"/>
      <c r="AQ2542" s="161"/>
      <c r="AR2542" s="161"/>
      <c r="AS2542" s="161"/>
      <c r="AT2542" s="161"/>
      <c r="AU2542" s="89"/>
      <c r="AV2542" s="162"/>
      <c r="AW2542" s="73"/>
    </row>
    <row r="2543" ht="15.75" customHeight="1">
      <c r="A2543" s="216"/>
      <c r="B2543" s="73"/>
      <c r="C2543" s="216"/>
      <c r="D2543" s="241"/>
      <c r="E2543" s="241"/>
      <c r="F2543" s="89"/>
      <c r="G2543" s="476"/>
      <c r="H2543" s="73"/>
      <c r="I2543" s="551"/>
      <c r="J2543" s="476"/>
      <c r="K2543" s="69"/>
      <c r="L2543" s="61"/>
      <c r="M2543" s="61"/>
      <c r="N2543" s="73"/>
      <c r="O2543" s="66"/>
      <c r="P2543" s="67"/>
      <c r="Q2543" s="67"/>
      <c r="R2543" s="67"/>
      <c r="S2543" s="67"/>
      <c r="T2543" s="161"/>
      <c r="U2543" s="69"/>
      <c r="V2543" s="73"/>
      <c r="W2543" s="71"/>
      <c r="X2543" s="194"/>
      <c r="Y2543" s="216"/>
      <c r="Z2543" s="73"/>
      <c r="AA2543" s="73"/>
      <c r="AB2543" s="73"/>
      <c r="AC2543" s="73"/>
      <c r="AD2543" s="73"/>
      <c r="AE2543" s="73"/>
      <c r="AF2543" s="73"/>
      <c r="AG2543" s="73"/>
      <c r="AH2543" s="73"/>
      <c r="AI2543" s="73"/>
      <c r="AJ2543" s="161"/>
      <c r="AK2543" s="236"/>
      <c r="AL2543" s="269"/>
      <c r="AM2543" s="161"/>
      <c r="AN2543" s="161"/>
      <c r="AO2543" s="161"/>
      <c r="AP2543" s="161"/>
      <c r="AQ2543" s="161"/>
      <c r="AR2543" s="161"/>
      <c r="AS2543" s="161"/>
      <c r="AT2543" s="161"/>
      <c r="AU2543" s="89"/>
      <c r="AV2543" s="162"/>
      <c r="AW2543" s="73"/>
    </row>
    <row r="2544" ht="15.75" customHeight="1">
      <c r="A2544" s="216"/>
      <c r="B2544" s="73"/>
      <c r="C2544" s="216"/>
      <c r="D2544" s="241"/>
      <c r="E2544" s="241"/>
      <c r="F2544" s="89"/>
      <c r="G2544" s="476"/>
      <c r="H2544" s="73"/>
      <c r="I2544" s="551"/>
      <c r="J2544" s="476"/>
      <c r="K2544" s="69"/>
      <c r="L2544" s="61"/>
      <c r="M2544" s="61"/>
      <c r="N2544" s="73"/>
      <c r="O2544" s="66"/>
      <c r="P2544" s="67"/>
      <c r="Q2544" s="67"/>
      <c r="R2544" s="67"/>
      <c r="S2544" s="67"/>
      <c r="T2544" s="161"/>
      <c r="U2544" s="69"/>
      <c r="V2544" s="73"/>
      <c r="W2544" s="71"/>
      <c r="X2544" s="194"/>
      <c r="Y2544" s="216"/>
      <c r="Z2544" s="73"/>
      <c r="AA2544" s="73"/>
      <c r="AB2544" s="73"/>
      <c r="AC2544" s="73"/>
      <c r="AD2544" s="73"/>
      <c r="AE2544" s="73"/>
      <c r="AF2544" s="73"/>
      <c r="AG2544" s="73"/>
      <c r="AH2544" s="73"/>
      <c r="AI2544" s="73"/>
      <c r="AJ2544" s="161"/>
      <c r="AK2544" s="236"/>
      <c r="AL2544" s="269"/>
      <c r="AM2544" s="161"/>
      <c r="AN2544" s="161"/>
      <c r="AO2544" s="161"/>
      <c r="AP2544" s="161"/>
      <c r="AQ2544" s="161"/>
      <c r="AR2544" s="161"/>
      <c r="AS2544" s="161"/>
      <c r="AT2544" s="161"/>
      <c r="AU2544" s="89"/>
      <c r="AV2544" s="162"/>
      <c r="AW2544" s="73"/>
    </row>
    <row r="2545" ht="15.75" customHeight="1">
      <c r="A2545" s="216"/>
      <c r="B2545" s="73"/>
      <c r="C2545" s="216"/>
      <c r="D2545" s="241"/>
      <c r="E2545" s="241"/>
      <c r="F2545" s="89"/>
      <c r="G2545" s="476"/>
      <c r="H2545" s="73"/>
      <c r="I2545" s="551"/>
      <c r="J2545" s="476"/>
      <c r="K2545" s="69"/>
      <c r="L2545" s="61"/>
      <c r="M2545" s="61"/>
      <c r="N2545" s="73"/>
      <c r="O2545" s="66"/>
      <c r="P2545" s="67"/>
      <c r="Q2545" s="67"/>
      <c r="R2545" s="67"/>
      <c r="S2545" s="67"/>
      <c r="T2545" s="161"/>
      <c r="U2545" s="69"/>
      <c r="V2545" s="73"/>
      <c r="W2545" s="71"/>
      <c r="X2545" s="194"/>
      <c r="Y2545" s="216"/>
      <c r="Z2545" s="73"/>
      <c r="AA2545" s="73"/>
      <c r="AB2545" s="73"/>
      <c r="AC2545" s="73"/>
      <c r="AD2545" s="73"/>
      <c r="AE2545" s="73"/>
      <c r="AF2545" s="73"/>
      <c r="AG2545" s="73"/>
      <c r="AH2545" s="73"/>
      <c r="AI2545" s="73"/>
      <c r="AJ2545" s="161"/>
      <c r="AK2545" s="236"/>
      <c r="AL2545" s="269"/>
      <c r="AM2545" s="161"/>
      <c r="AN2545" s="161"/>
      <c r="AO2545" s="161"/>
      <c r="AP2545" s="161"/>
      <c r="AQ2545" s="161"/>
      <c r="AR2545" s="161"/>
      <c r="AS2545" s="161"/>
      <c r="AT2545" s="161"/>
      <c r="AU2545" s="89"/>
      <c r="AV2545" s="162"/>
      <c r="AW2545" s="73"/>
    </row>
    <row r="2546" ht="15.75" customHeight="1">
      <c r="A2546" s="216"/>
      <c r="B2546" s="73"/>
      <c r="C2546" s="216"/>
      <c r="D2546" s="241"/>
      <c r="E2546" s="241"/>
      <c r="F2546" s="89"/>
      <c r="G2546" s="476"/>
      <c r="H2546" s="73"/>
      <c r="I2546" s="551"/>
      <c r="J2546" s="476"/>
      <c r="K2546" s="69"/>
      <c r="L2546" s="61"/>
      <c r="M2546" s="61"/>
      <c r="N2546" s="73"/>
      <c r="O2546" s="66"/>
      <c r="P2546" s="67"/>
      <c r="Q2546" s="67"/>
      <c r="R2546" s="67"/>
      <c r="S2546" s="67"/>
      <c r="T2546" s="161"/>
      <c r="U2546" s="69"/>
      <c r="V2546" s="73"/>
      <c r="W2546" s="71"/>
      <c r="X2546" s="194"/>
      <c r="Y2546" s="216"/>
      <c r="Z2546" s="73"/>
      <c r="AA2546" s="73"/>
      <c r="AB2546" s="73"/>
      <c r="AC2546" s="73"/>
      <c r="AD2546" s="73"/>
      <c r="AE2546" s="73"/>
      <c r="AF2546" s="73"/>
      <c r="AG2546" s="73"/>
      <c r="AH2546" s="73"/>
      <c r="AI2546" s="73"/>
      <c r="AJ2546" s="161"/>
      <c r="AK2546" s="236"/>
      <c r="AL2546" s="269"/>
      <c r="AM2546" s="161"/>
      <c r="AN2546" s="161"/>
      <c r="AO2546" s="161"/>
      <c r="AP2546" s="161"/>
      <c r="AQ2546" s="161"/>
      <c r="AR2546" s="161"/>
      <c r="AS2546" s="161"/>
      <c r="AT2546" s="161"/>
      <c r="AU2546" s="89"/>
      <c r="AV2546" s="162"/>
      <c r="AW2546" s="73"/>
    </row>
    <row r="2547" ht="15.75" customHeight="1">
      <c r="A2547" s="216"/>
      <c r="B2547" s="73"/>
      <c r="C2547" s="216"/>
      <c r="D2547" s="241"/>
      <c r="E2547" s="241"/>
      <c r="F2547" s="89"/>
      <c r="G2547" s="476"/>
      <c r="H2547" s="73"/>
      <c r="I2547" s="551"/>
      <c r="J2547" s="476"/>
      <c r="K2547" s="69"/>
      <c r="L2547" s="61"/>
      <c r="M2547" s="61"/>
      <c r="N2547" s="73"/>
      <c r="O2547" s="66"/>
      <c r="P2547" s="67"/>
      <c r="Q2547" s="67"/>
      <c r="R2547" s="67"/>
      <c r="S2547" s="67"/>
      <c r="T2547" s="161"/>
      <c r="U2547" s="69"/>
      <c r="V2547" s="73"/>
      <c r="W2547" s="71"/>
      <c r="X2547" s="194"/>
      <c r="Y2547" s="216"/>
      <c r="Z2547" s="73"/>
      <c r="AA2547" s="73"/>
      <c r="AB2547" s="73"/>
      <c r="AC2547" s="73"/>
      <c r="AD2547" s="73"/>
      <c r="AE2547" s="73"/>
      <c r="AF2547" s="73"/>
      <c r="AG2547" s="73"/>
      <c r="AH2547" s="73"/>
      <c r="AI2547" s="73"/>
      <c r="AJ2547" s="161"/>
      <c r="AK2547" s="236"/>
      <c r="AL2547" s="269"/>
      <c r="AM2547" s="161"/>
      <c r="AN2547" s="161"/>
      <c r="AO2547" s="161"/>
      <c r="AP2547" s="161"/>
      <c r="AQ2547" s="161"/>
      <c r="AR2547" s="161"/>
      <c r="AS2547" s="161"/>
      <c r="AT2547" s="161"/>
      <c r="AU2547" s="89"/>
      <c r="AV2547" s="162"/>
      <c r="AW2547" s="73"/>
    </row>
    <row r="2548" ht="15.75" customHeight="1">
      <c r="A2548" s="216"/>
      <c r="B2548" s="73"/>
      <c r="C2548" s="216"/>
      <c r="D2548" s="241"/>
      <c r="E2548" s="241"/>
      <c r="F2548" s="89"/>
      <c r="G2548" s="476"/>
      <c r="H2548" s="73"/>
      <c r="I2548" s="551"/>
      <c r="J2548" s="476"/>
      <c r="K2548" s="69"/>
      <c r="L2548" s="61"/>
      <c r="M2548" s="61"/>
      <c r="N2548" s="73"/>
      <c r="O2548" s="66"/>
      <c r="P2548" s="67"/>
      <c r="Q2548" s="67"/>
      <c r="R2548" s="67"/>
      <c r="S2548" s="67"/>
      <c r="T2548" s="161"/>
      <c r="U2548" s="69"/>
      <c r="V2548" s="73"/>
      <c r="W2548" s="71"/>
      <c r="X2548" s="194"/>
      <c r="Y2548" s="216"/>
      <c r="Z2548" s="73"/>
      <c r="AA2548" s="73"/>
      <c r="AB2548" s="73"/>
      <c r="AC2548" s="73"/>
      <c r="AD2548" s="73"/>
      <c r="AE2548" s="73"/>
      <c r="AF2548" s="73"/>
      <c r="AG2548" s="73"/>
      <c r="AH2548" s="73"/>
      <c r="AI2548" s="73"/>
      <c r="AJ2548" s="161"/>
      <c r="AK2548" s="236"/>
      <c r="AL2548" s="269"/>
      <c r="AM2548" s="161"/>
      <c r="AN2548" s="161"/>
      <c r="AO2548" s="161"/>
      <c r="AP2548" s="161"/>
      <c r="AQ2548" s="161"/>
      <c r="AR2548" s="161"/>
      <c r="AS2548" s="161"/>
      <c r="AT2548" s="161"/>
      <c r="AU2548" s="89"/>
      <c r="AV2548" s="162"/>
      <c r="AW2548" s="73"/>
    </row>
    <row r="2549" ht="15.75" customHeight="1">
      <c r="A2549" s="216"/>
      <c r="B2549" s="73"/>
      <c r="C2549" s="216"/>
      <c r="D2549" s="241"/>
      <c r="E2549" s="241"/>
      <c r="F2549" s="89"/>
      <c r="G2549" s="476"/>
      <c r="H2549" s="73"/>
      <c r="I2549" s="551"/>
      <c r="J2549" s="476"/>
      <c r="K2549" s="69"/>
      <c r="L2549" s="61"/>
      <c r="M2549" s="61"/>
      <c r="N2549" s="73"/>
      <c r="O2549" s="66"/>
      <c r="P2549" s="67"/>
      <c r="Q2549" s="67"/>
      <c r="R2549" s="67"/>
      <c r="S2549" s="67"/>
      <c r="T2549" s="161"/>
      <c r="U2549" s="69"/>
      <c r="V2549" s="73"/>
      <c r="W2549" s="71"/>
      <c r="X2549" s="194"/>
      <c r="Y2549" s="216"/>
      <c r="Z2549" s="73"/>
      <c r="AA2549" s="73"/>
      <c r="AB2549" s="73"/>
      <c r="AC2549" s="73"/>
      <c r="AD2549" s="73"/>
      <c r="AE2549" s="73"/>
      <c r="AF2549" s="73"/>
      <c r="AG2549" s="73"/>
      <c r="AH2549" s="73"/>
      <c r="AI2549" s="73"/>
      <c r="AJ2549" s="161"/>
      <c r="AK2549" s="236"/>
      <c r="AL2549" s="269"/>
      <c r="AM2549" s="161"/>
      <c r="AN2549" s="161"/>
      <c r="AO2549" s="161"/>
      <c r="AP2549" s="161"/>
      <c r="AQ2549" s="161"/>
      <c r="AR2549" s="161"/>
      <c r="AS2549" s="161"/>
      <c r="AT2549" s="161"/>
      <c r="AU2549" s="89"/>
      <c r="AV2549" s="162"/>
      <c r="AW2549" s="73"/>
    </row>
    <row r="2550" ht="15.75" customHeight="1">
      <c r="A2550" s="216"/>
      <c r="B2550" s="73"/>
      <c r="C2550" s="216"/>
      <c r="D2550" s="241"/>
      <c r="E2550" s="241"/>
      <c r="F2550" s="89"/>
      <c r="G2550" s="476"/>
      <c r="H2550" s="73"/>
      <c r="I2550" s="551"/>
      <c r="J2550" s="476"/>
      <c r="K2550" s="69"/>
      <c r="L2550" s="61"/>
      <c r="M2550" s="61"/>
      <c r="N2550" s="73"/>
      <c r="O2550" s="66"/>
      <c r="P2550" s="67"/>
      <c r="Q2550" s="67"/>
      <c r="R2550" s="67"/>
      <c r="S2550" s="67"/>
      <c r="T2550" s="161"/>
      <c r="U2550" s="69"/>
      <c r="V2550" s="73"/>
      <c r="W2550" s="71"/>
      <c r="X2550" s="194"/>
      <c r="Y2550" s="216"/>
      <c r="Z2550" s="73"/>
      <c r="AA2550" s="73"/>
      <c r="AB2550" s="73"/>
      <c r="AC2550" s="73"/>
      <c r="AD2550" s="73"/>
      <c r="AE2550" s="73"/>
      <c r="AF2550" s="73"/>
      <c r="AG2550" s="73"/>
      <c r="AH2550" s="73"/>
      <c r="AI2550" s="73"/>
      <c r="AJ2550" s="161"/>
      <c r="AK2550" s="236"/>
      <c r="AL2550" s="269"/>
      <c r="AM2550" s="161"/>
      <c r="AN2550" s="161"/>
      <c r="AO2550" s="161"/>
      <c r="AP2550" s="161"/>
      <c r="AQ2550" s="161"/>
      <c r="AR2550" s="161"/>
      <c r="AS2550" s="161"/>
      <c r="AT2550" s="161"/>
      <c r="AU2550" s="89"/>
      <c r="AV2550" s="162"/>
      <c r="AW2550" s="73"/>
    </row>
    <row r="2551" ht="15.75" customHeight="1">
      <c r="A2551" s="216"/>
      <c r="B2551" s="73"/>
      <c r="C2551" s="216"/>
      <c r="D2551" s="241"/>
      <c r="E2551" s="241"/>
      <c r="F2551" s="89"/>
      <c r="G2551" s="476"/>
      <c r="H2551" s="73"/>
      <c r="I2551" s="551"/>
      <c r="J2551" s="476"/>
      <c r="K2551" s="69"/>
      <c r="L2551" s="61"/>
      <c r="M2551" s="61"/>
      <c r="N2551" s="73"/>
      <c r="O2551" s="66"/>
      <c r="P2551" s="67"/>
      <c r="Q2551" s="67"/>
      <c r="R2551" s="67"/>
      <c r="S2551" s="67"/>
      <c r="T2551" s="161"/>
      <c r="U2551" s="69"/>
      <c r="V2551" s="73"/>
      <c r="W2551" s="71"/>
      <c r="X2551" s="194"/>
      <c r="Y2551" s="216"/>
      <c r="Z2551" s="73"/>
      <c r="AA2551" s="73"/>
      <c r="AB2551" s="73"/>
      <c r="AC2551" s="73"/>
      <c r="AD2551" s="73"/>
      <c r="AE2551" s="73"/>
      <c r="AF2551" s="73"/>
      <c r="AG2551" s="73"/>
      <c r="AH2551" s="73"/>
      <c r="AI2551" s="73"/>
      <c r="AJ2551" s="161"/>
      <c r="AK2551" s="236"/>
      <c r="AL2551" s="269"/>
      <c r="AM2551" s="161"/>
      <c r="AN2551" s="161"/>
      <c r="AO2551" s="161"/>
      <c r="AP2551" s="161"/>
      <c r="AQ2551" s="161"/>
      <c r="AR2551" s="161"/>
      <c r="AS2551" s="161"/>
      <c r="AT2551" s="161"/>
      <c r="AU2551" s="89"/>
      <c r="AV2551" s="162"/>
      <c r="AW2551" s="73"/>
    </row>
    <row r="2552" ht="15.75" customHeight="1">
      <c r="A2552" s="216"/>
      <c r="B2552" s="73"/>
      <c r="C2552" s="216"/>
      <c r="D2552" s="241"/>
      <c r="E2552" s="241"/>
      <c r="F2552" s="89"/>
      <c r="G2552" s="476"/>
      <c r="H2552" s="73"/>
      <c r="I2552" s="551"/>
      <c r="J2552" s="476"/>
      <c r="K2552" s="69"/>
      <c r="L2552" s="61"/>
      <c r="M2552" s="61"/>
      <c r="N2552" s="73"/>
      <c r="O2552" s="66"/>
      <c r="P2552" s="67"/>
      <c r="Q2552" s="67"/>
      <c r="R2552" s="67"/>
      <c r="S2552" s="67"/>
      <c r="T2552" s="161"/>
      <c r="U2552" s="69"/>
      <c r="V2552" s="73"/>
      <c r="W2552" s="71"/>
      <c r="X2552" s="194"/>
      <c r="Y2552" s="216"/>
      <c r="Z2552" s="73"/>
      <c r="AA2552" s="73"/>
      <c r="AB2552" s="73"/>
      <c r="AC2552" s="73"/>
      <c r="AD2552" s="73"/>
      <c r="AE2552" s="73"/>
      <c r="AF2552" s="73"/>
      <c r="AG2552" s="73"/>
      <c r="AH2552" s="73"/>
      <c r="AI2552" s="73"/>
      <c r="AJ2552" s="161"/>
      <c r="AK2552" s="236"/>
      <c r="AL2552" s="269"/>
      <c r="AM2552" s="161"/>
      <c r="AN2552" s="161"/>
      <c r="AO2552" s="161"/>
      <c r="AP2552" s="161"/>
      <c r="AQ2552" s="161"/>
      <c r="AR2552" s="161"/>
      <c r="AS2552" s="161"/>
      <c r="AT2552" s="161"/>
      <c r="AU2552" s="89"/>
      <c r="AV2552" s="162"/>
      <c r="AW2552" s="73"/>
    </row>
    <row r="2553" ht="15.75" customHeight="1">
      <c r="A2553" s="216"/>
      <c r="B2553" s="73"/>
      <c r="C2553" s="216"/>
      <c r="D2553" s="241"/>
      <c r="E2553" s="241"/>
      <c r="F2553" s="89"/>
      <c r="G2553" s="476"/>
      <c r="H2553" s="73"/>
      <c r="I2553" s="551"/>
      <c r="J2553" s="476"/>
      <c r="K2553" s="69"/>
      <c r="L2553" s="61"/>
      <c r="M2553" s="61"/>
      <c r="N2553" s="73"/>
      <c r="O2553" s="66"/>
      <c r="P2553" s="67"/>
      <c r="Q2553" s="67"/>
      <c r="R2553" s="67"/>
      <c r="S2553" s="67"/>
      <c r="T2553" s="161"/>
      <c r="U2553" s="69"/>
      <c r="V2553" s="73"/>
      <c r="W2553" s="71"/>
      <c r="X2553" s="194"/>
      <c r="Y2553" s="216"/>
      <c r="Z2553" s="73"/>
      <c r="AA2553" s="73"/>
      <c r="AB2553" s="73"/>
      <c r="AC2553" s="73"/>
      <c r="AD2553" s="73"/>
      <c r="AE2553" s="73"/>
      <c r="AF2553" s="73"/>
      <c r="AG2553" s="73"/>
      <c r="AH2553" s="73"/>
      <c r="AI2553" s="73"/>
      <c r="AJ2553" s="161"/>
      <c r="AK2553" s="236"/>
      <c r="AL2553" s="269"/>
      <c r="AM2553" s="161"/>
      <c r="AN2553" s="161"/>
      <c r="AO2553" s="161"/>
      <c r="AP2553" s="161"/>
      <c r="AQ2553" s="161"/>
      <c r="AR2553" s="161"/>
      <c r="AS2553" s="161"/>
      <c r="AT2553" s="161"/>
      <c r="AU2553" s="89"/>
      <c r="AV2553" s="162"/>
      <c r="AW2553" s="73"/>
    </row>
    <row r="2554" ht="15.75" customHeight="1">
      <c r="A2554" s="216"/>
      <c r="B2554" s="73"/>
      <c r="C2554" s="216"/>
      <c r="D2554" s="241"/>
      <c r="E2554" s="241"/>
      <c r="F2554" s="89"/>
      <c r="G2554" s="476"/>
      <c r="H2554" s="73"/>
      <c r="I2554" s="551"/>
      <c r="J2554" s="476"/>
      <c r="K2554" s="69"/>
      <c r="L2554" s="61"/>
      <c r="M2554" s="61"/>
      <c r="N2554" s="73"/>
      <c r="O2554" s="66"/>
      <c r="P2554" s="67"/>
      <c r="Q2554" s="67"/>
      <c r="R2554" s="67"/>
      <c r="S2554" s="67"/>
      <c r="T2554" s="161"/>
      <c r="U2554" s="69"/>
      <c r="V2554" s="73"/>
      <c r="W2554" s="71"/>
      <c r="X2554" s="194"/>
      <c r="Y2554" s="216"/>
      <c r="Z2554" s="73"/>
      <c r="AA2554" s="73"/>
      <c r="AB2554" s="73"/>
      <c r="AC2554" s="73"/>
      <c r="AD2554" s="73"/>
      <c r="AE2554" s="73"/>
      <c r="AF2554" s="73"/>
      <c r="AG2554" s="73"/>
      <c r="AH2554" s="73"/>
      <c r="AI2554" s="73"/>
      <c r="AJ2554" s="161"/>
      <c r="AK2554" s="236"/>
      <c r="AL2554" s="269"/>
      <c r="AM2554" s="161"/>
      <c r="AN2554" s="161"/>
      <c r="AO2554" s="161"/>
      <c r="AP2554" s="161"/>
      <c r="AQ2554" s="161"/>
      <c r="AR2554" s="161"/>
      <c r="AS2554" s="161"/>
      <c r="AT2554" s="161"/>
      <c r="AU2554" s="89"/>
      <c r="AV2554" s="162"/>
      <c r="AW2554" s="73"/>
    </row>
    <row r="2555" ht="15.75" customHeight="1">
      <c r="A2555" s="216"/>
      <c r="B2555" s="73"/>
      <c r="C2555" s="216"/>
      <c r="D2555" s="241"/>
      <c r="E2555" s="241"/>
      <c r="F2555" s="89"/>
      <c r="G2555" s="476"/>
      <c r="H2555" s="73"/>
      <c r="I2555" s="551"/>
      <c r="J2555" s="476"/>
      <c r="K2555" s="69"/>
      <c r="L2555" s="61"/>
      <c r="M2555" s="61"/>
      <c r="N2555" s="73"/>
      <c r="O2555" s="66"/>
      <c r="P2555" s="67"/>
      <c r="Q2555" s="67"/>
      <c r="R2555" s="67"/>
      <c r="S2555" s="67"/>
      <c r="T2555" s="161"/>
      <c r="U2555" s="69"/>
      <c r="V2555" s="73"/>
      <c r="W2555" s="71"/>
      <c r="X2555" s="194"/>
      <c r="Y2555" s="216"/>
      <c r="Z2555" s="73"/>
      <c r="AA2555" s="73"/>
      <c r="AB2555" s="73"/>
      <c r="AC2555" s="73"/>
      <c r="AD2555" s="73"/>
      <c r="AE2555" s="73"/>
      <c r="AF2555" s="73"/>
      <c r="AG2555" s="73"/>
      <c r="AH2555" s="73"/>
      <c r="AI2555" s="73"/>
      <c r="AJ2555" s="161"/>
      <c r="AK2555" s="236"/>
      <c r="AL2555" s="269"/>
      <c r="AM2555" s="161"/>
      <c r="AN2555" s="161"/>
      <c r="AO2555" s="161"/>
      <c r="AP2555" s="161"/>
      <c r="AQ2555" s="161"/>
      <c r="AR2555" s="161"/>
      <c r="AS2555" s="161"/>
      <c r="AT2555" s="161"/>
      <c r="AU2555" s="89"/>
      <c r="AV2555" s="162"/>
      <c r="AW2555" s="73"/>
    </row>
    <row r="2556" ht="15.75" customHeight="1">
      <c r="A2556" s="216"/>
      <c r="B2556" s="73"/>
      <c r="C2556" s="216"/>
      <c r="D2556" s="241"/>
      <c r="E2556" s="241"/>
      <c r="F2556" s="89"/>
      <c r="G2556" s="476"/>
      <c r="H2556" s="73"/>
      <c r="I2556" s="551"/>
      <c r="J2556" s="476"/>
      <c r="K2556" s="69"/>
      <c r="L2556" s="61"/>
      <c r="M2556" s="61"/>
      <c r="N2556" s="73"/>
      <c r="O2556" s="66"/>
      <c r="P2556" s="67"/>
      <c r="Q2556" s="67"/>
      <c r="R2556" s="67"/>
      <c r="S2556" s="67"/>
      <c r="T2556" s="161"/>
      <c r="U2556" s="69"/>
      <c r="V2556" s="73"/>
      <c r="W2556" s="71"/>
      <c r="X2556" s="194"/>
      <c r="Y2556" s="216"/>
      <c r="Z2556" s="73"/>
      <c r="AA2556" s="73"/>
      <c r="AB2556" s="73"/>
      <c r="AC2556" s="73"/>
      <c r="AD2556" s="73"/>
      <c r="AE2556" s="73"/>
      <c r="AF2556" s="73"/>
      <c r="AG2556" s="73"/>
      <c r="AH2556" s="73"/>
      <c r="AI2556" s="73"/>
      <c r="AJ2556" s="161"/>
      <c r="AK2556" s="236"/>
      <c r="AL2556" s="269"/>
      <c r="AM2556" s="161"/>
      <c r="AN2556" s="161"/>
      <c r="AO2556" s="161"/>
      <c r="AP2556" s="161"/>
      <c r="AQ2556" s="161"/>
      <c r="AR2556" s="161"/>
      <c r="AS2556" s="161"/>
      <c r="AT2556" s="161"/>
      <c r="AU2556" s="89"/>
      <c r="AV2556" s="162"/>
      <c r="AW2556" s="73"/>
    </row>
    <row r="2557" ht="15.75" customHeight="1">
      <c r="A2557" s="216"/>
      <c r="B2557" s="73"/>
      <c r="C2557" s="216"/>
      <c r="D2557" s="241"/>
      <c r="E2557" s="241"/>
      <c r="F2557" s="89"/>
      <c r="G2557" s="476"/>
      <c r="H2557" s="73"/>
      <c r="I2557" s="551"/>
      <c r="J2557" s="476"/>
      <c r="K2557" s="69"/>
      <c r="L2557" s="61"/>
      <c r="M2557" s="61"/>
      <c r="N2557" s="73"/>
      <c r="O2557" s="66"/>
      <c r="P2557" s="67"/>
      <c r="Q2557" s="67"/>
      <c r="R2557" s="67"/>
      <c r="S2557" s="67"/>
      <c r="T2557" s="161"/>
      <c r="U2557" s="69"/>
      <c r="V2557" s="73"/>
      <c r="W2557" s="71"/>
      <c r="X2557" s="194"/>
      <c r="Y2557" s="216"/>
      <c r="Z2557" s="73"/>
      <c r="AA2557" s="73"/>
      <c r="AB2557" s="73"/>
      <c r="AC2557" s="73"/>
      <c r="AD2557" s="73"/>
      <c r="AE2557" s="73"/>
      <c r="AF2557" s="73"/>
      <c r="AG2557" s="73"/>
      <c r="AH2557" s="73"/>
      <c r="AI2557" s="73"/>
      <c r="AJ2557" s="161"/>
      <c r="AK2557" s="236"/>
      <c r="AL2557" s="269"/>
      <c r="AM2557" s="161"/>
      <c r="AN2557" s="161"/>
      <c r="AO2557" s="161"/>
      <c r="AP2557" s="161"/>
      <c r="AQ2557" s="161"/>
      <c r="AR2557" s="161"/>
      <c r="AS2557" s="161"/>
      <c r="AT2557" s="161"/>
      <c r="AU2557" s="89"/>
      <c r="AV2557" s="162"/>
      <c r="AW2557" s="73"/>
    </row>
    <row r="2558" ht="15.75" customHeight="1">
      <c r="A2558" s="216"/>
      <c r="B2558" s="73"/>
      <c r="C2558" s="216"/>
      <c r="D2558" s="241"/>
      <c r="E2558" s="241"/>
      <c r="F2558" s="89"/>
      <c r="G2558" s="476"/>
      <c r="H2558" s="73"/>
      <c r="I2558" s="551"/>
      <c r="J2558" s="476"/>
      <c r="K2558" s="69"/>
      <c r="L2558" s="61"/>
      <c r="M2558" s="61"/>
      <c r="N2558" s="73"/>
      <c r="O2558" s="66"/>
      <c r="P2558" s="67"/>
      <c r="Q2558" s="67"/>
      <c r="R2558" s="67"/>
      <c r="S2558" s="67"/>
      <c r="T2558" s="161"/>
      <c r="U2558" s="69"/>
      <c r="V2558" s="73"/>
      <c r="W2558" s="71"/>
      <c r="X2558" s="194"/>
      <c r="Y2558" s="216"/>
      <c r="Z2558" s="73"/>
      <c r="AA2558" s="73"/>
      <c r="AB2558" s="73"/>
      <c r="AC2558" s="73"/>
      <c r="AD2558" s="73"/>
      <c r="AE2558" s="73"/>
      <c r="AF2558" s="73"/>
      <c r="AG2558" s="73"/>
      <c r="AH2558" s="73"/>
      <c r="AI2558" s="73"/>
      <c r="AJ2558" s="161"/>
      <c r="AK2558" s="236"/>
      <c r="AL2558" s="269"/>
      <c r="AM2558" s="161"/>
      <c r="AN2558" s="161"/>
      <c r="AO2558" s="161"/>
      <c r="AP2558" s="161"/>
      <c r="AQ2558" s="161"/>
      <c r="AR2558" s="161"/>
      <c r="AS2558" s="161"/>
      <c r="AT2558" s="161"/>
      <c r="AU2558" s="89"/>
      <c r="AV2558" s="162"/>
      <c r="AW2558" s="73"/>
    </row>
    <row r="2559" ht="15.75" customHeight="1">
      <c r="A2559" s="216"/>
      <c r="B2559" s="73"/>
      <c r="C2559" s="216"/>
      <c r="D2559" s="241"/>
      <c r="E2559" s="241"/>
      <c r="F2559" s="89"/>
      <c r="G2559" s="476"/>
      <c r="H2559" s="73"/>
      <c r="I2559" s="551"/>
      <c r="J2559" s="476"/>
      <c r="K2559" s="69"/>
      <c r="L2559" s="61"/>
      <c r="M2559" s="61"/>
      <c r="N2559" s="73"/>
      <c r="O2559" s="66"/>
      <c r="P2559" s="67"/>
      <c r="Q2559" s="67"/>
      <c r="R2559" s="67"/>
      <c r="S2559" s="67"/>
      <c r="T2559" s="161"/>
      <c r="U2559" s="69"/>
      <c r="V2559" s="73"/>
      <c r="W2559" s="71"/>
      <c r="X2559" s="194"/>
      <c r="Y2559" s="216"/>
      <c r="Z2559" s="73"/>
      <c r="AA2559" s="73"/>
      <c r="AB2559" s="73"/>
      <c r="AC2559" s="73"/>
      <c r="AD2559" s="73"/>
      <c r="AE2559" s="73"/>
      <c r="AF2559" s="73"/>
      <c r="AG2559" s="73"/>
      <c r="AH2559" s="73"/>
      <c r="AI2559" s="73"/>
      <c r="AJ2559" s="161"/>
      <c r="AK2559" s="236"/>
      <c r="AL2559" s="269"/>
      <c r="AM2559" s="161"/>
      <c r="AN2559" s="161"/>
      <c r="AO2559" s="161"/>
      <c r="AP2559" s="161"/>
      <c r="AQ2559" s="161"/>
      <c r="AR2559" s="161"/>
      <c r="AS2559" s="161"/>
      <c r="AT2559" s="161"/>
      <c r="AU2559" s="89"/>
      <c r="AV2559" s="162"/>
      <c r="AW2559" s="73"/>
    </row>
    <row r="2560" ht="15.75" customHeight="1">
      <c r="A2560" s="216"/>
      <c r="B2560" s="73"/>
      <c r="C2560" s="216"/>
      <c r="D2560" s="241"/>
      <c r="E2560" s="241"/>
      <c r="F2560" s="89"/>
      <c r="G2560" s="476"/>
      <c r="H2560" s="73"/>
      <c r="I2560" s="551"/>
      <c r="J2560" s="476"/>
      <c r="K2560" s="69"/>
      <c r="L2560" s="61"/>
      <c r="M2560" s="61"/>
      <c r="N2560" s="73"/>
      <c r="O2560" s="66"/>
      <c r="P2560" s="67"/>
      <c r="Q2560" s="67"/>
      <c r="R2560" s="67"/>
      <c r="S2560" s="67"/>
      <c r="T2560" s="161"/>
      <c r="U2560" s="69"/>
      <c r="V2560" s="73"/>
      <c r="W2560" s="71"/>
      <c r="X2560" s="194"/>
      <c r="Y2560" s="216"/>
      <c r="Z2560" s="73"/>
      <c r="AA2560" s="73"/>
      <c r="AB2560" s="73"/>
      <c r="AC2560" s="73"/>
      <c r="AD2560" s="73"/>
      <c r="AE2560" s="73"/>
      <c r="AF2560" s="73"/>
      <c r="AG2560" s="73"/>
      <c r="AH2560" s="73"/>
      <c r="AI2560" s="73"/>
      <c r="AJ2560" s="161"/>
      <c r="AK2560" s="236"/>
      <c r="AL2560" s="269"/>
      <c r="AM2560" s="161"/>
      <c r="AN2560" s="161"/>
      <c r="AO2560" s="161"/>
      <c r="AP2560" s="161"/>
      <c r="AQ2560" s="161"/>
      <c r="AR2560" s="161"/>
      <c r="AS2560" s="161"/>
      <c r="AT2560" s="161"/>
      <c r="AU2560" s="89"/>
      <c r="AV2560" s="162"/>
      <c r="AW2560" s="73"/>
    </row>
    <row r="2561" ht="15.75" customHeight="1">
      <c r="A2561" s="216"/>
      <c r="B2561" s="73"/>
      <c r="C2561" s="216"/>
      <c r="D2561" s="241"/>
      <c r="E2561" s="241"/>
      <c r="F2561" s="89"/>
      <c r="G2561" s="476"/>
      <c r="H2561" s="73"/>
      <c r="I2561" s="551"/>
      <c r="J2561" s="476"/>
      <c r="K2561" s="69"/>
      <c r="L2561" s="61"/>
      <c r="M2561" s="61"/>
      <c r="N2561" s="73"/>
      <c r="O2561" s="66"/>
      <c r="P2561" s="67"/>
      <c r="Q2561" s="67"/>
      <c r="R2561" s="67"/>
      <c r="S2561" s="67"/>
      <c r="T2561" s="161"/>
      <c r="U2561" s="69"/>
      <c r="V2561" s="73"/>
      <c r="W2561" s="71"/>
      <c r="X2561" s="194"/>
      <c r="Y2561" s="216"/>
      <c r="Z2561" s="73"/>
      <c r="AA2561" s="73"/>
      <c r="AB2561" s="73"/>
      <c r="AC2561" s="73"/>
      <c r="AD2561" s="73"/>
      <c r="AE2561" s="73"/>
      <c r="AF2561" s="73"/>
      <c r="AG2561" s="73"/>
      <c r="AH2561" s="73"/>
      <c r="AI2561" s="73"/>
      <c r="AJ2561" s="161"/>
      <c r="AK2561" s="236"/>
      <c r="AL2561" s="269"/>
      <c r="AM2561" s="161"/>
      <c r="AN2561" s="161"/>
      <c r="AO2561" s="161"/>
      <c r="AP2561" s="161"/>
      <c r="AQ2561" s="161"/>
      <c r="AR2561" s="161"/>
      <c r="AS2561" s="161"/>
      <c r="AT2561" s="161"/>
      <c r="AU2561" s="89"/>
      <c r="AV2561" s="162"/>
      <c r="AW2561" s="73"/>
    </row>
    <row r="2562" ht="15.75" customHeight="1">
      <c r="A2562" s="216"/>
      <c r="B2562" s="73"/>
      <c r="C2562" s="216"/>
      <c r="D2562" s="241"/>
      <c r="E2562" s="241"/>
      <c r="F2562" s="89"/>
      <c r="G2562" s="476"/>
      <c r="H2562" s="73"/>
      <c r="I2562" s="551"/>
      <c r="J2562" s="476"/>
      <c r="K2562" s="69"/>
      <c r="L2562" s="61"/>
      <c r="M2562" s="61"/>
      <c r="N2562" s="73"/>
      <c r="O2562" s="66"/>
      <c r="P2562" s="67"/>
      <c r="Q2562" s="67"/>
      <c r="R2562" s="67"/>
      <c r="S2562" s="67"/>
      <c r="T2562" s="161"/>
      <c r="U2562" s="69"/>
      <c r="V2562" s="73"/>
      <c r="W2562" s="71"/>
      <c r="X2562" s="194"/>
      <c r="Y2562" s="216"/>
      <c r="Z2562" s="73"/>
      <c r="AA2562" s="73"/>
      <c r="AB2562" s="73"/>
      <c r="AC2562" s="73"/>
      <c r="AD2562" s="73"/>
      <c r="AE2562" s="73"/>
      <c r="AF2562" s="73"/>
      <c r="AG2562" s="73"/>
      <c r="AH2562" s="73"/>
      <c r="AI2562" s="73"/>
      <c r="AJ2562" s="161"/>
      <c r="AK2562" s="236"/>
      <c r="AL2562" s="269"/>
      <c r="AM2562" s="161"/>
      <c r="AN2562" s="161"/>
      <c r="AO2562" s="161"/>
      <c r="AP2562" s="161"/>
      <c r="AQ2562" s="161"/>
      <c r="AR2562" s="161"/>
      <c r="AS2562" s="161"/>
      <c r="AT2562" s="161"/>
      <c r="AU2562" s="89"/>
      <c r="AV2562" s="162"/>
      <c r="AW2562" s="73"/>
    </row>
    <row r="2563" ht="15.75" customHeight="1">
      <c r="A2563" s="216"/>
      <c r="B2563" s="73"/>
      <c r="C2563" s="216"/>
      <c r="D2563" s="241"/>
      <c r="E2563" s="241"/>
      <c r="F2563" s="89"/>
      <c r="G2563" s="476"/>
      <c r="H2563" s="73"/>
      <c r="I2563" s="551"/>
      <c r="J2563" s="476"/>
      <c r="K2563" s="69"/>
      <c r="L2563" s="61"/>
      <c r="M2563" s="61"/>
      <c r="N2563" s="73"/>
      <c r="O2563" s="66"/>
      <c r="P2563" s="67"/>
      <c r="Q2563" s="67"/>
      <c r="R2563" s="67"/>
      <c r="S2563" s="67"/>
      <c r="T2563" s="161"/>
      <c r="U2563" s="69"/>
      <c r="V2563" s="73"/>
      <c r="W2563" s="71"/>
      <c r="X2563" s="194"/>
      <c r="Y2563" s="216"/>
      <c r="Z2563" s="73"/>
      <c r="AA2563" s="73"/>
      <c r="AB2563" s="73"/>
      <c r="AC2563" s="73"/>
      <c r="AD2563" s="73"/>
      <c r="AE2563" s="73"/>
      <c r="AF2563" s="73"/>
      <c r="AG2563" s="73"/>
      <c r="AH2563" s="73"/>
      <c r="AI2563" s="73"/>
      <c r="AJ2563" s="161"/>
      <c r="AK2563" s="236"/>
      <c r="AL2563" s="269"/>
      <c r="AM2563" s="161"/>
      <c r="AN2563" s="161"/>
      <c r="AO2563" s="161"/>
      <c r="AP2563" s="161"/>
      <c r="AQ2563" s="161"/>
      <c r="AR2563" s="161"/>
      <c r="AS2563" s="161"/>
      <c r="AT2563" s="161"/>
      <c r="AU2563" s="89"/>
      <c r="AV2563" s="162"/>
      <c r="AW2563" s="73"/>
    </row>
    <row r="2564" ht="15.75" customHeight="1">
      <c r="A2564" s="216"/>
      <c r="B2564" s="73"/>
      <c r="C2564" s="216"/>
      <c r="D2564" s="241"/>
      <c r="E2564" s="241"/>
      <c r="F2564" s="89"/>
      <c r="G2564" s="476"/>
      <c r="H2564" s="73"/>
      <c r="I2564" s="551"/>
      <c r="J2564" s="476"/>
      <c r="K2564" s="69"/>
      <c r="L2564" s="61"/>
      <c r="M2564" s="61"/>
      <c r="N2564" s="73"/>
      <c r="O2564" s="66"/>
      <c r="P2564" s="67"/>
      <c r="Q2564" s="67"/>
      <c r="R2564" s="67"/>
      <c r="S2564" s="67"/>
      <c r="T2564" s="161"/>
      <c r="U2564" s="69"/>
      <c r="V2564" s="73"/>
      <c r="W2564" s="71"/>
      <c r="X2564" s="194"/>
      <c r="Y2564" s="216"/>
      <c r="Z2564" s="73"/>
      <c r="AA2564" s="73"/>
      <c r="AB2564" s="73"/>
      <c r="AC2564" s="73"/>
      <c r="AD2564" s="73"/>
      <c r="AE2564" s="73"/>
      <c r="AF2564" s="73"/>
      <c r="AG2564" s="73"/>
      <c r="AH2564" s="73"/>
      <c r="AI2564" s="73"/>
      <c r="AJ2564" s="161"/>
      <c r="AK2564" s="236"/>
      <c r="AL2564" s="269"/>
      <c r="AM2564" s="161"/>
      <c r="AN2564" s="161"/>
      <c r="AO2564" s="161"/>
      <c r="AP2564" s="161"/>
      <c r="AQ2564" s="161"/>
      <c r="AR2564" s="161"/>
      <c r="AS2564" s="161"/>
      <c r="AT2564" s="161"/>
      <c r="AU2564" s="89"/>
      <c r="AV2564" s="162"/>
      <c r="AW2564" s="73"/>
    </row>
    <row r="2565" ht="15.75" customHeight="1">
      <c r="A2565" s="216"/>
      <c r="B2565" s="73"/>
      <c r="C2565" s="216"/>
      <c r="D2565" s="241"/>
      <c r="E2565" s="241"/>
      <c r="F2565" s="89"/>
      <c r="G2565" s="476"/>
      <c r="H2565" s="73"/>
      <c r="I2565" s="551"/>
      <c r="J2565" s="476"/>
      <c r="K2565" s="69"/>
      <c r="L2565" s="61"/>
      <c r="M2565" s="61"/>
      <c r="N2565" s="73"/>
      <c r="O2565" s="66"/>
      <c r="P2565" s="67"/>
      <c r="Q2565" s="67"/>
      <c r="R2565" s="67"/>
      <c r="S2565" s="67"/>
      <c r="T2565" s="161"/>
      <c r="U2565" s="69"/>
      <c r="V2565" s="73"/>
      <c r="W2565" s="71"/>
      <c r="X2565" s="194"/>
      <c r="Y2565" s="216"/>
      <c r="Z2565" s="73"/>
      <c r="AA2565" s="73"/>
      <c r="AB2565" s="73"/>
      <c r="AC2565" s="73"/>
      <c r="AD2565" s="73"/>
      <c r="AE2565" s="73"/>
      <c r="AF2565" s="73"/>
      <c r="AG2565" s="73"/>
      <c r="AH2565" s="73"/>
      <c r="AI2565" s="73"/>
      <c r="AJ2565" s="161"/>
      <c r="AK2565" s="236"/>
      <c r="AL2565" s="269"/>
      <c r="AM2565" s="161"/>
      <c r="AN2565" s="161"/>
      <c r="AO2565" s="161"/>
      <c r="AP2565" s="161"/>
      <c r="AQ2565" s="161"/>
      <c r="AR2565" s="161"/>
      <c r="AS2565" s="161"/>
      <c r="AT2565" s="161"/>
      <c r="AU2565" s="89"/>
      <c r="AV2565" s="162"/>
      <c r="AW2565" s="73"/>
    </row>
    <row r="2566" ht="15.75" customHeight="1">
      <c r="A2566" s="216"/>
      <c r="B2566" s="73"/>
      <c r="C2566" s="216"/>
      <c r="D2566" s="241"/>
      <c r="E2566" s="241"/>
      <c r="F2566" s="89"/>
      <c r="G2566" s="476"/>
      <c r="H2566" s="73"/>
      <c r="I2566" s="551"/>
      <c r="J2566" s="476"/>
      <c r="K2566" s="69"/>
      <c r="L2566" s="61"/>
      <c r="M2566" s="61"/>
      <c r="N2566" s="73"/>
      <c r="O2566" s="66"/>
      <c r="P2566" s="67"/>
      <c r="Q2566" s="67"/>
      <c r="R2566" s="67"/>
      <c r="S2566" s="67"/>
      <c r="T2566" s="161"/>
      <c r="U2566" s="69"/>
      <c r="V2566" s="73"/>
      <c r="W2566" s="71"/>
      <c r="X2566" s="194"/>
      <c r="Y2566" s="216"/>
      <c r="Z2566" s="73"/>
      <c r="AA2566" s="73"/>
      <c r="AB2566" s="73"/>
      <c r="AC2566" s="73"/>
      <c r="AD2566" s="73"/>
      <c r="AE2566" s="73"/>
      <c r="AF2566" s="73"/>
      <c r="AG2566" s="73"/>
      <c r="AH2566" s="73"/>
      <c r="AI2566" s="73"/>
      <c r="AJ2566" s="161"/>
      <c r="AK2566" s="236"/>
      <c r="AL2566" s="269"/>
      <c r="AM2566" s="161"/>
      <c r="AN2566" s="161"/>
      <c r="AO2566" s="161"/>
      <c r="AP2566" s="161"/>
      <c r="AQ2566" s="161"/>
      <c r="AR2566" s="161"/>
      <c r="AS2566" s="161"/>
      <c r="AT2566" s="161"/>
      <c r="AU2566" s="89"/>
      <c r="AV2566" s="162"/>
      <c r="AW2566" s="73"/>
    </row>
    <row r="2567" ht="15.75" customHeight="1">
      <c r="A2567" s="216"/>
      <c r="B2567" s="73"/>
      <c r="C2567" s="216"/>
      <c r="D2567" s="241"/>
      <c r="E2567" s="241"/>
      <c r="F2567" s="89"/>
      <c r="G2567" s="476"/>
      <c r="H2567" s="73"/>
      <c r="I2567" s="551"/>
      <c r="J2567" s="476"/>
      <c r="K2567" s="69"/>
      <c r="L2567" s="61"/>
      <c r="M2567" s="61"/>
      <c r="N2567" s="73"/>
      <c r="O2567" s="66"/>
      <c r="P2567" s="67"/>
      <c r="Q2567" s="67"/>
      <c r="R2567" s="67"/>
      <c r="S2567" s="67"/>
      <c r="T2567" s="161"/>
      <c r="U2567" s="69"/>
      <c r="V2567" s="73"/>
      <c r="W2567" s="71"/>
      <c r="X2567" s="194"/>
      <c r="Y2567" s="216"/>
      <c r="Z2567" s="73"/>
      <c r="AA2567" s="73"/>
      <c r="AB2567" s="73"/>
      <c r="AC2567" s="73"/>
      <c r="AD2567" s="73"/>
      <c r="AE2567" s="73"/>
      <c r="AF2567" s="73"/>
      <c r="AG2567" s="73"/>
      <c r="AH2567" s="73"/>
      <c r="AI2567" s="73"/>
      <c r="AJ2567" s="161"/>
      <c r="AK2567" s="236"/>
      <c r="AL2567" s="269"/>
      <c r="AM2567" s="161"/>
      <c r="AN2567" s="161"/>
      <c r="AO2567" s="161"/>
      <c r="AP2567" s="161"/>
      <c r="AQ2567" s="161"/>
      <c r="AR2567" s="161"/>
      <c r="AS2567" s="161"/>
      <c r="AT2567" s="161"/>
      <c r="AU2567" s="89"/>
      <c r="AV2567" s="162"/>
      <c r="AW2567" s="73"/>
    </row>
    <row r="2568" ht="15.75" customHeight="1">
      <c r="A2568" s="216"/>
      <c r="B2568" s="73"/>
      <c r="C2568" s="216"/>
      <c r="D2568" s="241"/>
      <c r="E2568" s="241"/>
      <c r="F2568" s="89"/>
      <c r="G2568" s="476"/>
      <c r="H2568" s="73"/>
      <c r="I2568" s="551"/>
      <c r="J2568" s="476"/>
      <c r="K2568" s="69"/>
      <c r="L2568" s="61"/>
      <c r="M2568" s="61"/>
      <c r="N2568" s="73"/>
      <c r="O2568" s="66"/>
      <c r="P2568" s="67"/>
      <c r="Q2568" s="67"/>
      <c r="R2568" s="67"/>
      <c r="S2568" s="67"/>
      <c r="T2568" s="161"/>
      <c r="U2568" s="69"/>
      <c r="V2568" s="73"/>
      <c r="W2568" s="71"/>
      <c r="X2568" s="194"/>
      <c r="Y2568" s="216"/>
      <c r="Z2568" s="73"/>
      <c r="AA2568" s="73"/>
      <c r="AB2568" s="73"/>
      <c r="AC2568" s="73"/>
      <c r="AD2568" s="73"/>
      <c r="AE2568" s="73"/>
      <c r="AF2568" s="73"/>
      <c r="AG2568" s="73"/>
      <c r="AH2568" s="73"/>
      <c r="AI2568" s="73"/>
      <c r="AJ2568" s="161"/>
      <c r="AK2568" s="236"/>
      <c r="AL2568" s="269"/>
      <c r="AM2568" s="161"/>
      <c r="AN2568" s="161"/>
      <c r="AO2568" s="161"/>
      <c r="AP2568" s="161"/>
      <c r="AQ2568" s="161"/>
      <c r="AR2568" s="161"/>
      <c r="AS2568" s="161"/>
      <c r="AT2568" s="161"/>
      <c r="AU2568" s="89"/>
      <c r="AV2568" s="162"/>
      <c r="AW2568" s="73"/>
    </row>
    <row r="2569" ht="15.75" customHeight="1">
      <c r="A2569" s="216"/>
      <c r="B2569" s="73"/>
      <c r="C2569" s="216"/>
      <c r="D2569" s="241"/>
      <c r="E2569" s="241"/>
      <c r="F2569" s="89"/>
      <c r="G2569" s="476"/>
      <c r="H2569" s="73"/>
      <c r="I2569" s="551"/>
      <c r="J2569" s="476"/>
      <c r="K2569" s="69"/>
      <c r="L2569" s="61"/>
      <c r="M2569" s="61"/>
      <c r="N2569" s="73"/>
      <c r="O2569" s="66"/>
      <c r="P2569" s="67"/>
      <c r="Q2569" s="67"/>
      <c r="R2569" s="67"/>
      <c r="S2569" s="67"/>
      <c r="T2569" s="161"/>
      <c r="U2569" s="69"/>
      <c r="V2569" s="73"/>
      <c r="W2569" s="71"/>
      <c r="X2569" s="194"/>
      <c r="Y2569" s="216"/>
      <c r="Z2569" s="73"/>
      <c r="AA2569" s="73"/>
      <c r="AB2569" s="73"/>
      <c r="AC2569" s="73"/>
      <c r="AD2569" s="73"/>
      <c r="AE2569" s="73"/>
      <c r="AF2569" s="73"/>
      <c r="AG2569" s="73"/>
      <c r="AH2569" s="73"/>
      <c r="AI2569" s="73"/>
      <c r="AJ2569" s="161"/>
      <c r="AK2569" s="236"/>
      <c r="AL2569" s="269"/>
      <c r="AM2569" s="161"/>
      <c r="AN2569" s="161"/>
      <c r="AO2569" s="161"/>
      <c r="AP2569" s="161"/>
      <c r="AQ2569" s="161"/>
      <c r="AR2569" s="161"/>
      <c r="AS2569" s="161"/>
      <c r="AT2569" s="161"/>
      <c r="AU2569" s="89"/>
      <c r="AV2569" s="162"/>
      <c r="AW2569" s="73"/>
    </row>
    <row r="2570" ht="15.75" customHeight="1">
      <c r="A2570" s="216"/>
      <c r="B2570" s="73"/>
      <c r="C2570" s="216"/>
      <c r="D2570" s="241"/>
      <c r="E2570" s="241"/>
      <c r="F2570" s="89"/>
      <c r="G2570" s="476"/>
      <c r="H2570" s="73"/>
      <c r="I2570" s="551"/>
      <c r="J2570" s="476"/>
      <c r="K2570" s="69"/>
      <c r="L2570" s="61"/>
      <c r="M2570" s="61"/>
      <c r="N2570" s="73"/>
      <c r="O2570" s="66"/>
      <c r="P2570" s="67"/>
      <c r="Q2570" s="67"/>
      <c r="R2570" s="67"/>
      <c r="S2570" s="67"/>
      <c r="T2570" s="161"/>
      <c r="U2570" s="69"/>
      <c r="V2570" s="73"/>
      <c r="W2570" s="71"/>
      <c r="X2570" s="194"/>
      <c r="Y2570" s="216"/>
      <c r="Z2570" s="73"/>
      <c r="AA2570" s="73"/>
      <c r="AB2570" s="73"/>
      <c r="AC2570" s="73"/>
      <c r="AD2570" s="73"/>
      <c r="AE2570" s="73"/>
      <c r="AF2570" s="73"/>
      <c r="AG2570" s="73"/>
      <c r="AH2570" s="73"/>
      <c r="AI2570" s="73"/>
      <c r="AJ2570" s="161"/>
      <c r="AK2570" s="236"/>
      <c r="AL2570" s="269"/>
      <c r="AM2570" s="161"/>
      <c r="AN2570" s="161"/>
      <c r="AO2570" s="161"/>
      <c r="AP2570" s="161"/>
      <c r="AQ2570" s="161"/>
      <c r="AR2570" s="161"/>
      <c r="AS2570" s="161"/>
      <c r="AT2570" s="161"/>
      <c r="AU2570" s="89"/>
      <c r="AV2570" s="162"/>
      <c r="AW2570" s="73"/>
    </row>
    <row r="2571" ht="15.75" customHeight="1">
      <c r="A2571" s="216"/>
      <c r="B2571" s="73"/>
      <c r="C2571" s="216"/>
      <c r="D2571" s="241"/>
      <c r="E2571" s="241"/>
      <c r="F2571" s="89"/>
      <c r="G2571" s="476"/>
      <c r="H2571" s="73"/>
      <c r="I2571" s="551"/>
      <c r="J2571" s="476"/>
      <c r="K2571" s="69"/>
      <c r="L2571" s="61"/>
      <c r="M2571" s="61"/>
      <c r="N2571" s="73"/>
      <c r="O2571" s="66"/>
      <c r="P2571" s="67"/>
      <c r="Q2571" s="67"/>
      <c r="R2571" s="67"/>
      <c r="S2571" s="67"/>
      <c r="T2571" s="161"/>
      <c r="U2571" s="69"/>
      <c r="V2571" s="73"/>
      <c r="W2571" s="71"/>
      <c r="X2571" s="194"/>
      <c r="Y2571" s="216"/>
      <c r="Z2571" s="73"/>
      <c r="AA2571" s="73"/>
      <c r="AB2571" s="73"/>
      <c r="AC2571" s="73"/>
      <c r="AD2571" s="73"/>
      <c r="AE2571" s="73"/>
      <c r="AF2571" s="73"/>
      <c r="AG2571" s="73"/>
      <c r="AH2571" s="73"/>
      <c r="AI2571" s="73"/>
      <c r="AJ2571" s="161"/>
      <c r="AK2571" s="236"/>
      <c r="AL2571" s="269"/>
      <c r="AM2571" s="161"/>
      <c r="AN2571" s="161"/>
      <c r="AO2571" s="161"/>
      <c r="AP2571" s="161"/>
      <c r="AQ2571" s="161"/>
      <c r="AR2571" s="161"/>
      <c r="AS2571" s="161"/>
      <c r="AT2571" s="161"/>
      <c r="AU2571" s="89"/>
      <c r="AV2571" s="162"/>
      <c r="AW2571" s="73"/>
    </row>
    <row r="2572" ht="15.75" customHeight="1">
      <c r="A2572" s="216"/>
      <c r="B2572" s="73"/>
      <c r="C2572" s="216"/>
      <c r="D2572" s="241"/>
      <c r="E2572" s="241"/>
      <c r="F2572" s="89"/>
      <c r="G2572" s="476"/>
      <c r="H2572" s="73"/>
      <c r="I2572" s="551"/>
      <c r="J2572" s="476"/>
      <c r="K2572" s="69"/>
      <c r="L2572" s="61"/>
      <c r="M2572" s="61"/>
      <c r="N2572" s="73"/>
      <c r="O2572" s="66"/>
      <c r="P2572" s="67"/>
      <c r="Q2572" s="67"/>
      <c r="R2572" s="67"/>
      <c r="S2572" s="67"/>
      <c r="T2572" s="161"/>
      <c r="U2572" s="69"/>
      <c r="V2572" s="73"/>
      <c r="W2572" s="71"/>
      <c r="X2572" s="194"/>
      <c r="Y2572" s="216"/>
      <c r="Z2572" s="73"/>
      <c r="AA2572" s="73"/>
      <c r="AB2572" s="73"/>
      <c r="AC2572" s="73"/>
      <c r="AD2572" s="73"/>
      <c r="AE2572" s="73"/>
      <c r="AF2572" s="73"/>
      <c r="AG2572" s="73"/>
      <c r="AH2572" s="73"/>
      <c r="AI2572" s="73"/>
      <c r="AJ2572" s="161"/>
      <c r="AK2572" s="236"/>
      <c r="AL2572" s="269"/>
      <c r="AM2572" s="161"/>
      <c r="AN2572" s="161"/>
      <c r="AO2572" s="161"/>
      <c r="AP2572" s="161"/>
      <c r="AQ2572" s="161"/>
      <c r="AR2572" s="161"/>
      <c r="AS2572" s="161"/>
      <c r="AT2572" s="161"/>
      <c r="AU2572" s="89"/>
      <c r="AV2572" s="162"/>
      <c r="AW2572" s="73"/>
    </row>
    <row r="2573" ht="15.75" customHeight="1">
      <c r="A2573" s="216"/>
      <c r="B2573" s="73"/>
      <c r="C2573" s="216"/>
      <c r="D2573" s="241"/>
      <c r="E2573" s="241"/>
      <c r="F2573" s="89"/>
      <c r="G2573" s="476"/>
      <c r="H2573" s="73"/>
      <c r="I2573" s="551"/>
      <c r="J2573" s="476"/>
      <c r="K2573" s="69"/>
      <c r="L2573" s="61"/>
      <c r="M2573" s="61"/>
      <c r="N2573" s="73"/>
      <c r="O2573" s="66"/>
      <c r="P2573" s="67"/>
      <c r="Q2573" s="67"/>
      <c r="R2573" s="67"/>
      <c r="S2573" s="67"/>
      <c r="T2573" s="161"/>
      <c r="U2573" s="69"/>
      <c r="V2573" s="73"/>
      <c r="W2573" s="71"/>
      <c r="X2573" s="194"/>
      <c r="Y2573" s="216"/>
      <c r="Z2573" s="73"/>
      <c r="AA2573" s="73"/>
      <c r="AB2573" s="73"/>
      <c r="AC2573" s="73"/>
      <c r="AD2573" s="73"/>
      <c r="AE2573" s="73"/>
      <c r="AF2573" s="73"/>
      <c r="AG2573" s="73"/>
      <c r="AH2573" s="73"/>
      <c r="AI2573" s="73"/>
      <c r="AJ2573" s="161"/>
      <c r="AK2573" s="236"/>
      <c r="AL2573" s="269"/>
      <c r="AM2573" s="161"/>
      <c r="AN2573" s="161"/>
      <c r="AO2573" s="161"/>
      <c r="AP2573" s="161"/>
      <c r="AQ2573" s="161"/>
      <c r="AR2573" s="161"/>
      <c r="AS2573" s="161"/>
      <c r="AT2573" s="161"/>
      <c r="AU2573" s="89"/>
      <c r="AV2573" s="162"/>
      <c r="AW2573" s="73"/>
    </row>
    <row r="2574" ht="15.75" customHeight="1">
      <c r="A2574" s="216"/>
      <c r="B2574" s="73"/>
      <c r="C2574" s="216"/>
      <c r="D2574" s="241"/>
      <c r="E2574" s="241"/>
      <c r="F2574" s="89"/>
      <c r="G2574" s="476"/>
      <c r="H2574" s="73"/>
      <c r="I2574" s="551"/>
      <c r="J2574" s="476"/>
      <c r="K2574" s="69"/>
      <c r="L2574" s="61"/>
      <c r="M2574" s="61"/>
      <c r="N2574" s="73"/>
      <c r="O2574" s="66"/>
      <c r="P2574" s="67"/>
      <c r="Q2574" s="67"/>
      <c r="R2574" s="67"/>
      <c r="S2574" s="67"/>
      <c r="T2574" s="161"/>
      <c r="U2574" s="69"/>
      <c r="V2574" s="73"/>
      <c r="W2574" s="71"/>
      <c r="X2574" s="194"/>
      <c r="Y2574" s="216"/>
      <c r="Z2574" s="73"/>
      <c r="AA2574" s="73"/>
      <c r="AB2574" s="73"/>
      <c r="AC2574" s="73"/>
      <c r="AD2574" s="73"/>
      <c r="AE2574" s="73"/>
      <c r="AF2574" s="73"/>
      <c r="AG2574" s="73"/>
      <c r="AH2574" s="73"/>
      <c r="AI2574" s="73"/>
      <c r="AJ2574" s="161"/>
      <c r="AK2574" s="236"/>
      <c r="AL2574" s="269"/>
      <c r="AM2574" s="161"/>
      <c r="AN2574" s="161"/>
      <c r="AO2574" s="161"/>
      <c r="AP2574" s="161"/>
      <c r="AQ2574" s="161"/>
      <c r="AR2574" s="161"/>
      <c r="AS2574" s="161"/>
      <c r="AT2574" s="161"/>
      <c r="AU2574" s="89"/>
      <c r="AV2574" s="162"/>
      <c r="AW2574" s="73"/>
    </row>
    <row r="2575" ht="15.75" customHeight="1">
      <c r="A2575" s="216"/>
      <c r="B2575" s="73"/>
      <c r="C2575" s="216"/>
      <c r="D2575" s="241"/>
      <c r="E2575" s="241"/>
      <c r="F2575" s="89"/>
      <c r="G2575" s="476"/>
      <c r="H2575" s="73"/>
      <c r="I2575" s="551"/>
      <c r="J2575" s="476"/>
      <c r="K2575" s="69"/>
      <c r="L2575" s="61"/>
      <c r="M2575" s="61"/>
      <c r="N2575" s="73"/>
      <c r="O2575" s="66"/>
      <c r="P2575" s="67"/>
      <c r="Q2575" s="67"/>
      <c r="R2575" s="67"/>
      <c r="S2575" s="67"/>
      <c r="T2575" s="161"/>
      <c r="U2575" s="69"/>
      <c r="V2575" s="73"/>
      <c r="W2575" s="71"/>
      <c r="X2575" s="194"/>
      <c r="Y2575" s="216"/>
      <c r="Z2575" s="73"/>
      <c r="AA2575" s="73"/>
      <c r="AB2575" s="73"/>
      <c r="AC2575" s="73"/>
      <c r="AD2575" s="73"/>
      <c r="AE2575" s="73"/>
      <c r="AF2575" s="73"/>
      <c r="AG2575" s="73"/>
      <c r="AH2575" s="73"/>
      <c r="AI2575" s="73"/>
      <c r="AJ2575" s="161"/>
      <c r="AK2575" s="236"/>
      <c r="AL2575" s="269"/>
      <c r="AM2575" s="161"/>
      <c r="AN2575" s="161"/>
      <c r="AO2575" s="161"/>
      <c r="AP2575" s="161"/>
      <c r="AQ2575" s="161"/>
      <c r="AR2575" s="161"/>
      <c r="AS2575" s="161"/>
      <c r="AT2575" s="161"/>
      <c r="AU2575" s="89"/>
      <c r="AV2575" s="162"/>
      <c r="AW2575" s="73"/>
    </row>
    <row r="2576" ht="15.75" customHeight="1">
      <c r="A2576" s="216"/>
      <c r="B2576" s="73"/>
      <c r="C2576" s="216"/>
      <c r="D2576" s="241"/>
      <c r="E2576" s="241"/>
      <c r="F2576" s="89"/>
      <c r="G2576" s="476"/>
      <c r="H2576" s="73"/>
      <c r="I2576" s="551"/>
      <c r="J2576" s="476"/>
      <c r="K2576" s="69"/>
      <c r="L2576" s="61"/>
      <c r="M2576" s="61"/>
      <c r="N2576" s="73"/>
      <c r="O2576" s="66"/>
      <c r="P2576" s="67"/>
      <c r="Q2576" s="67"/>
      <c r="R2576" s="67"/>
      <c r="S2576" s="67"/>
      <c r="T2576" s="161"/>
      <c r="U2576" s="575"/>
      <c r="V2576" s="73"/>
      <c r="W2576" s="71"/>
      <c r="X2576" s="194"/>
      <c r="Y2576" s="216"/>
      <c r="Z2576" s="73"/>
      <c r="AA2576" s="73"/>
      <c r="AB2576" s="73"/>
      <c r="AC2576" s="73"/>
      <c r="AD2576" s="73"/>
      <c r="AE2576" s="73"/>
      <c r="AF2576" s="73"/>
      <c r="AG2576" s="73"/>
      <c r="AH2576" s="73"/>
      <c r="AI2576" s="73"/>
      <c r="AJ2576" s="161"/>
      <c r="AK2576" s="236"/>
      <c r="AL2576" s="269"/>
      <c r="AM2576" s="161"/>
      <c r="AN2576" s="161"/>
      <c r="AO2576" s="161"/>
      <c r="AP2576" s="161"/>
      <c r="AQ2576" s="161"/>
      <c r="AR2576" s="161"/>
      <c r="AS2576" s="161"/>
      <c r="AT2576" s="161"/>
      <c r="AU2576" s="89"/>
      <c r="AV2576" s="80"/>
      <c r="AW2576" s="73"/>
    </row>
  </sheetData>
  <customSheetViews>
    <customSheetView guid="{4DC02477-FA32-4096-A05F-9E915F895EAD}" filter="1" showAutoFilter="1">
      <autoFilter ref="$A$1:$AW$1969">
        <filterColumn colId="23">
          <colorFilter dxfId="1"/>
        </filterColumn>
      </autoFilter>
    </customSheetView>
    <customSheetView guid="{08033B68-94CC-40C2-801A-95D29235795E}" filter="1" showAutoFilter="1">
      <autoFilter ref="$A$1:$AW$2576">
        <filterColumn colId="23">
          <colorFilter dxfId="2"/>
        </filterColumn>
        <filterColumn colId="47">
          <filters>
            <filter val="BS"/>
            <filter val="Done"/>
            <filter val="OR"/>
            <filter val="BEN"/>
            <filter val="Reviewer"/>
            <filter val="kangoo"/>
            <filter val="BP"/>
            <filter val="BEN B"/>
          </filters>
        </filterColumn>
      </autoFilter>
    </customSheetView>
    <customSheetView guid="{EE3E0F9C-0AAF-4AF7-A6A9-28E468788F27}" filter="1" showAutoFilter="1">
      <autoFilter ref="$A$1:$AW$2576">
        <filterColumn colId="23">
          <colorFilter dxfId="3"/>
        </filterColumn>
      </autoFilter>
    </customSheetView>
    <customSheetView guid="{4518233D-80F9-4CB9-91D1-C4CC5D644157}" filter="1" showAutoFilter="1">
      <autoFilter ref="$A$1:$AW$2576">
        <filterColumn colId="23">
          <colorFilter dxfId="2"/>
        </filterColumn>
      </autoFilter>
    </customSheetView>
    <customSheetView guid="{13C65BB3-9611-4E4E-8E86-82258D478922}" filter="1" showAutoFilter="1">
      <autoFilter ref="$A$1:$AW$2576">
        <filterColumn colId="46">
          <filters>
            <filter val="gav, finished entry"/>
          </filters>
        </filterColumn>
      </autoFilter>
    </customSheetView>
  </customSheetViews>
  <conditionalFormatting sqref="AW3:AW2018">
    <cfRule type="containsText" dxfId="4" priority="1" operator="containsText" text="TRUE">
      <formula>NOT(ISERROR(SEARCH(("TRUE"),(AW3))))</formula>
    </cfRule>
  </conditionalFormatting>
  <conditionalFormatting sqref="G3:G738 H739 G740:G812 G816:G881 K880 G883:G2576 K1350 A1612 A1624 A1654:A1655 A1659 A1666 K1937">
    <cfRule type="expression" dxfId="5" priority="2">
      <formula>countif($G$3:$G$20396,G3)&gt;1</formula>
    </cfRule>
  </conditionalFormatting>
  <conditionalFormatting sqref="F1:F1070 F1072:F1083 F1085 F1088:F2576">
    <cfRule type="cellIs" dxfId="6" priority="3" operator="equal">
      <formula>1</formula>
    </cfRule>
  </conditionalFormatting>
  <conditionalFormatting sqref="F1:F1070 F1072:F1083 F1085 F1088:F2576">
    <cfRule type="cellIs" dxfId="7" priority="4" operator="equal">
      <formula>2</formula>
    </cfRule>
  </conditionalFormatting>
  <conditionalFormatting sqref="F1:F1070 F1072:F1083 F1085 F1088:F2576">
    <cfRule type="cellIs" dxfId="8" priority="5" operator="equal">
      <formula>3</formula>
    </cfRule>
  </conditionalFormatting>
  <conditionalFormatting sqref="F1:F1070 F1072:F1083 F1085 F1088:F2576">
    <cfRule type="cellIs" dxfId="9" priority="6" operator="equal">
      <formula>4</formula>
    </cfRule>
  </conditionalFormatting>
  <conditionalFormatting sqref="F1:F1070 F1072:F1083 F1085 F1088:F2576">
    <cfRule type="cellIs" dxfId="10" priority="7" operator="equal">
      <formula>5</formula>
    </cfRule>
  </conditionalFormatting>
  <conditionalFormatting sqref="Q1:S2576">
    <cfRule type="containsText" dxfId="5" priority="8" operator="containsText" text="bad coordinate">
      <formula>NOT(ISERROR(SEARCH(("bad coordinate"),(Q1))))</formula>
    </cfRule>
  </conditionalFormatting>
  <hyperlinks>
    <hyperlink r:id="rId1" ref="G3"/>
    <hyperlink r:id="rId2" ref="T3"/>
    <hyperlink r:id="rId3" ref="AL3"/>
    <hyperlink r:id="rId4" ref="AN3"/>
    <hyperlink r:id="rId5" ref="AQ3"/>
    <hyperlink r:id="rId6" ref="G4"/>
    <hyperlink r:id="rId7" ref="T4"/>
    <hyperlink r:id="rId8" ref="AL4"/>
    <hyperlink r:id="rId9" ref="AN4"/>
    <hyperlink r:id="rId10" ref="G5"/>
    <hyperlink r:id="rId11" ref="T5"/>
    <hyperlink r:id="rId12" ref="AL5"/>
    <hyperlink r:id="rId13" ref="AN5"/>
    <hyperlink r:id="rId14" ref="AQ5"/>
    <hyperlink r:id="rId15" ref="G6"/>
    <hyperlink r:id="rId16" ref="AL6"/>
    <hyperlink r:id="rId17" ref="AN6"/>
    <hyperlink r:id="rId18" ref="AQ6"/>
    <hyperlink r:id="rId19" ref="G7"/>
    <hyperlink r:id="rId20" ref="K7"/>
    <hyperlink r:id="rId21" ref="AL7"/>
    <hyperlink r:id="rId22" ref="AN7"/>
    <hyperlink r:id="rId23" ref="AQ7"/>
    <hyperlink r:id="rId24" ref="G8"/>
    <hyperlink r:id="rId25" ref="AL8"/>
    <hyperlink r:id="rId26" ref="AN8"/>
    <hyperlink r:id="rId27" ref="AQ8"/>
    <hyperlink r:id="rId28" ref="G9"/>
    <hyperlink r:id="rId29" ref="T9"/>
    <hyperlink r:id="rId30" ref="AL9"/>
    <hyperlink r:id="rId31" ref="AN9"/>
    <hyperlink r:id="rId32" ref="AQ9"/>
    <hyperlink r:id="rId33" ref="G10"/>
    <hyperlink r:id="rId34" ref="K10"/>
    <hyperlink r:id="rId35" ref="AL10"/>
    <hyperlink r:id="rId36" ref="AN10"/>
    <hyperlink r:id="rId37" ref="G11"/>
    <hyperlink r:id="rId38" ref="K11"/>
    <hyperlink r:id="rId39" ref="AL11"/>
    <hyperlink r:id="rId40" ref="AN11"/>
    <hyperlink r:id="rId41" ref="AQ11"/>
    <hyperlink r:id="rId42" ref="G12"/>
    <hyperlink r:id="rId43" ref="K12"/>
    <hyperlink r:id="rId44" ref="AL12"/>
    <hyperlink r:id="rId45" ref="AN12"/>
    <hyperlink r:id="rId46" ref="AQ12"/>
    <hyperlink r:id="rId47" ref="G13"/>
    <hyperlink r:id="rId48" ref="AL13"/>
    <hyperlink r:id="rId49" ref="AN13"/>
    <hyperlink r:id="rId50" ref="AQ13"/>
    <hyperlink r:id="rId51" ref="G14"/>
    <hyperlink r:id="rId52" ref="AL14"/>
    <hyperlink r:id="rId53" ref="AN14"/>
    <hyperlink r:id="rId54" ref="AQ14"/>
    <hyperlink r:id="rId55" ref="G15"/>
    <hyperlink r:id="rId56" ref="AL15"/>
    <hyperlink r:id="rId57" ref="AN15"/>
    <hyperlink r:id="rId58" ref="AQ15"/>
    <hyperlink r:id="rId59" ref="G16"/>
    <hyperlink r:id="rId60" ref="AL16"/>
    <hyperlink r:id="rId61" ref="AN16"/>
    <hyperlink r:id="rId62" ref="AQ16"/>
    <hyperlink r:id="rId63" ref="G17"/>
    <hyperlink r:id="rId64" ref="AL17"/>
    <hyperlink r:id="rId65" ref="AN17"/>
    <hyperlink r:id="rId66" ref="AQ17"/>
    <hyperlink r:id="rId67" ref="G18"/>
    <hyperlink r:id="rId68" ref="AL18"/>
    <hyperlink r:id="rId69" ref="AN18"/>
    <hyperlink r:id="rId70" ref="AQ18"/>
    <hyperlink r:id="rId71" ref="G19"/>
    <hyperlink r:id="rId72" ref="AL19"/>
    <hyperlink r:id="rId73" ref="AN19"/>
    <hyperlink r:id="rId74" ref="AQ19"/>
    <hyperlink r:id="rId75" ref="G20"/>
    <hyperlink r:id="rId76" ref="AL20"/>
    <hyperlink r:id="rId77" ref="AN20"/>
    <hyperlink r:id="rId78" ref="AQ20"/>
    <hyperlink r:id="rId79" ref="G21"/>
    <hyperlink r:id="rId80" ref="AL21"/>
    <hyperlink r:id="rId81" ref="AN21"/>
    <hyperlink r:id="rId82" ref="AQ21"/>
    <hyperlink r:id="rId83" ref="G22"/>
    <hyperlink r:id="rId84" ref="AL22"/>
    <hyperlink r:id="rId85" ref="AN22"/>
    <hyperlink r:id="rId86" ref="AQ22"/>
    <hyperlink r:id="rId87" ref="G23"/>
    <hyperlink r:id="rId88" ref="AL23"/>
    <hyperlink r:id="rId89" ref="AN23"/>
    <hyperlink r:id="rId90" ref="AQ23"/>
    <hyperlink r:id="rId91" ref="G24"/>
    <hyperlink r:id="rId92" ref="AL24"/>
    <hyperlink r:id="rId93" ref="AN24"/>
    <hyperlink r:id="rId94" ref="AQ24"/>
    <hyperlink r:id="rId95" ref="G25"/>
    <hyperlink r:id="rId96" ref="AL25"/>
    <hyperlink r:id="rId97" ref="AN25"/>
    <hyperlink r:id="rId98" ref="AQ25"/>
    <hyperlink r:id="rId99" ref="G26"/>
    <hyperlink r:id="rId100" ref="K26"/>
    <hyperlink r:id="rId101" ref="AL26"/>
    <hyperlink r:id="rId102" ref="AN26"/>
    <hyperlink r:id="rId103" ref="AQ26"/>
    <hyperlink r:id="rId104" ref="G27"/>
    <hyperlink r:id="rId105" ref="AL27"/>
    <hyperlink r:id="rId106" ref="AN27"/>
    <hyperlink r:id="rId107" ref="AQ27"/>
    <hyperlink r:id="rId108" ref="G28"/>
    <hyperlink r:id="rId109" ref="AL28"/>
    <hyperlink r:id="rId110" ref="AN28"/>
    <hyperlink r:id="rId111" ref="AQ28"/>
    <hyperlink r:id="rId112" ref="G29"/>
    <hyperlink r:id="rId113" ref="AL29"/>
    <hyperlink r:id="rId114" ref="AN29"/>
    <hyperlink r:id="rId115" ref="AQ29"/>
    <hyperlink r:id="rId116" ref="G30"/>
    <hyperlink r:id="rId117" ref="AL30"/>
    <hyperlink r:id="rId118" ref="AN30"/>
    <hyperlink r:id="rId119" ref="AQ30"/>
    <hyperlink r:id="rId120" ref="G31"/>
    <hyperlink r:id="rId121" ref="AL31"/>
    <hyperlink r:id="rId122" ref="AN31"/>
    <hyperlink r:id="rId123" ref="AQ31"/>
    <hyperlink r:id="rId124" ref="G32"/>
    <hyperlink r:id="rId125" ref="AL32"/>
    <hyperlink r:id="rId126" ref="AN32"/>
    <hyperlink r:id="rId127" ref="AQ32"/>
    <hyperlink r:id="rId128" ref="G33"/>
    <hyperlink r:id="rId129" ref="AL33"/>
    <hyperlink r:id="rId130" ref="AN33"/>
    <hyperlink r:id="rId131" ref="AQ33"/>
    <hyperlink r:id="rId132" ref="G34"/>
    <hyperlink r:id="rId133" ref="K34"/>
    <hyperlink r:id="rId134" ref="AL34"/>
    <hyperlink r:id="rId135" ref="AN34"/>
    <hyperlink r:id="rId136" ref="AQ34"/>
    <hyperlink r:id="rId137" ref="G35"/>
    <hyperlink r:id="rId138" ref="K35"/>
    <hyperlink r:id="rId139" ref="AL35"/>
    <hyperlink r:id="rId140" ref="AN35"/>
    <hyperlink r:id="rId141" ref="AQ35"/>
    <hyperlink r:id="rId142" ref="G36"/>
    <hyperlink r:id="rId143" ref="AL36"/>
    <hyperlink r:id="rId144" ref="AN36"/>
    <hyperlink r:id="rId145" ref="AQ36"/>
    <hyperlink r:id="rId146" ref="G37"/>
    <hyperlink r:id="rId147" ref="K37"/>
    <hyperlink r:id="rId148" ref="AL37"/>
    <hyperlink r:id="rId149" ref="AN37"/>
    <hyperlink r:id="rId150" ref="AQ37"/>
    <hyperlink r:id="rId151" ref="G38"/>
    <hyperlink r:id="rId152" ref="K38"/>
    <hyperlink r:id="rId153" ref="AL38"/>
    <hyperlink r:id="rId154" ref="AN38"/>
    <hyperlink r:id="rId155" ref="AQ38"/>
    <hyperlink r:id="rId156" ref="G39"/>
    <hyperlink r:id="rId157" ref="AL39"/>
    <hyperlink r:id="rId158" ref="AN39"/>
    <hyperlink r:id="rId159" ref="G40"/>
    <hyperlink r:id="rId160" ref="K40"/>
    <hyperlink r:id="rId161" ref="AL40"/>
    <hyperlink r:id="rId162" ref="AN40"/>
    <hyperlink r:id="rId163" ref="AQ40"/>
    <hyperlink r:id="rId164" ref="G41"/>
    <hyperlink r:id="rId165" ref="K41"/>
    <hyperlink r:id="rId166" ref="AL41"/>
    <hyperlink r:id="rId167" ref="AN41"/>
    <hyperlink r:id="rId168" ref="AQ41"/>
    <hyperlink r:id="rId169" ref="G42"/>
    <hyperlink r:id="rId170" ref="K42"/>
    <hyperlink r:id="rId171" ref="AL42"/>
    <hyperlink r:id="rId172" ref="AN42"/>
    <hyperlink r:id="rId173" ref="AQ42"/>
    <hyperlink r:id="rId174" ref="G43"/>
    <hyperlink r:id="rId175" ref="AL43"/>
    <hyperlink r:id="rId176" ref="AN43"/>
    <hyperlink r:id="rId177" ref="AQ43"/>
    <hyperlink r:id="rId178" ref="G44"/>
    <hyperlink r:id="rId179" ref="AL44"/>
    <hyperlink r:id="rId180" ref="AN44"/>
    <hyperlink r:id="rId181" ref="AQ44"/>
    <hyperlink r:id="rId182" ref="G45"/>
    <hyperlink r:id="rId183" ref="K45"/>
    <hyperlink r:id="rId184" ref="AL45"/>
    <hyperlink r:id="rId185" ref="AN45"/>
    <hyperlink r:id="rId186" ref="AQ45"/>
    <hyperlink r:id="rId187" ref="G46"/>
    <hyperlink r:id="rId188" ref="K46"/>
    <hyperlink r:id="rId189" ref="AL46"/>
    <hyperlink r:id="rId190" ref="AN46"/>
    <hyperlink r:id="rId191" ref="AQ46"/>
    <hyperlink r:id="rId192" ref="G47"/>
    <hyperlink r:id="rId193" ref="K47"/>
    <hyperlink r:id="rId194" ref="AL47"/>
    <hyperlink r:id="rId195" ref="AN47"/>
    <hyperlink r:id="rId196" ref="AQ47"/>
    <hyperlink r:id="rId197" ref="G48"/>
    <hyperlink r:id="rId198" ref="AL48"/>
    <hyperlink r:id="rId199" ref="AN48"/>
    <hyperlink r:id="rId200" ref="AQ48"/>
    <hyperlink r:id="rId201" ref="G49"/>
    <hyperlink r:id="rId202" ref="AL49"/>
    <hyperlink r:id="rId203" ref="AN49"/>
    <hyperlink r:id="rId204" ref="AQ49"/>
    <hyperlink r:id="rId205" ref="G50"/>
    <hyperlink r:id="rId206" ref="K50"/>
    <hyperlink r:id="rId207" ref="AL50"/>
    <hyperlink r:id="rId208" ref="AN50"/>
    <hyperlink r:id="rId209" ref="AQ50"/>
    <hyperlink r:id="rId210" ref="G51"/>
    <hyperlink r:id="rId211" ref="K51"/>
    <hyperlink r:id="rId212" ref="AL51"/>
    <hyperlink r:id="rId213" ref="AN51"/>
    <hyperlink r:id="rId214" ref="AQ51"/>
    <hyperlink r:id="rId215" ref="G52"/>
    <hyperlink r:id="rId216" ref="K52"/>
    <hyperlink r:id="rId217" ref="AL52"/>
    <hyperlink r:id="rId218" ref="AN52"/>
    <hyperlink r:id="rId219" ref="AQ52"/>
    <hyperlink r:id="rId220" ref="G53"/>
    <hyperlink r:id="rId221" ref="AL53"/>
    <hyperlink r:id="rId222" ref="AN53"/>
    <hyperlink r:id="rId223" ref="AQ53"/>
    <hyperlink r:id="rId224" ref="G54"/>
    <hyperlink r:id="rId225" ref="AL54"/>
    <hyperlink r:id="rId226" ref="AN54"/>
    <hyperlink r:id="rId227" ref="AQ54"/>
    <hyperlink r:id="rId228" ref="G55"/>
    <hyperlink r:id="rId229" ref="AL55"/>
    <hyperlink r:id="rId230" ref="AN55"/>
    <hyperlink r:id="rId231" ref="AQ55"/>
    <hyperlink r:id="rId232" ref="G56"/>
    <hyperlink r:id="rId233" ref="AL56"/>
    <hyperlink r:id="rId234" ref="AN56"/>
    <hyperlink r:id="rId235" ref="AQ56"/>
    <hyperlink r:id="rId236" ref="G57"/>
    <hyperlink r:id="rId237" ref="K57"/>
    <hyperlink r:id="rId238" ref="AL57"/>
    <hyperlink r:id="rId239" ref="AN57"/>
    <hyperlink r:id="rId240" ref="AQ57"/>
    <hyperlink r:id="rId241" ref="G58"/>
    <hyperlink r:id="rId242" ref="K58"/>
    <hyperlink r:id="rId243" ref="AL58"/>
    <hyperlink r:id="rId244" ref="AN58"/>
    <hyperlink r:id="rId245" ref="AQ58"/>
    <hyperlink r:id="rId246" ref="G59"/>
    <hyperlink r:id="rId247" ref="AL59"/>
    <hyperlink r:id="rId248" ref="AN59"/>
    <hyperlink r:id="rId249" ref="AQ59"/>
    <hyperlink r:id="rId250" ref="G60"/>
    <hyperlink r:id="rId251" ref="K60"/>
    <hyperlink r:id="rId252" ref="AL60"/>
    <hyperlink r:id="rId253" ref="AN60"/>
    <hyperlink r:id="rId254" ref="AQ60"/>
    <hyperlink r:id="rId255" ref="G61"/>
    <hyperlink r:id="rId256" ref="K61"/>
    <hyperlink r:id="rId257" ref="AL61"/>
    <hyperlink r:id="rId258" ref="AN61"/>
    <hyperlink r:id="rId259" ref="AQ61"/>
    <hyperlink r:id="rId260" ref="G62"/>
    <hyperlink r:id="rId261" ref="AL62"/>
    <hyperlink r:id="rId262" ref="AN62"/>
    <hyperlink r:id="rId263" ref="AQ62"/>
    <hyperlink r:id="rId264" ref="G63"/>
    <hyperlink r:id="rId265" ref="AL63"/>
    <hyperlink r:id="rId266" ref="AN63"/>
    <hyperlink r:id="rId267" ref="AQ63"/>
    <hyperlink r:id="rId268" ref="G64"/>
    <hyperlink r:id="rId269" ref="AL64"/>
    <hyperlink r:id="rId270" ref="AN64"/>
    <hyperlink r:id="rId271" ref="AQ64"/>
    <hyperlink r:id="rId272" ref="G65"/>
    <hyperlink r:id="rId273" ref="K65"/>
    <hyperlink r:id="rId274" ref="AL65"/>
    <hyperlink r:id="rId275" ref="AN65"/>
    <hyperlink r:id="rId276" ref="AQ65"/>
    <hyperlink r:id="rId277" ref="G66"/>
    <hyperlink r:id="rId278" ref="K66"/>
    <hyperlink r:id="rId279" ref="AL66"/>
    <hyperlink r:id="rId280" ref="AN66"/>
    <hyperlink r:id="rId281" ref="AQ66"/>
    <hyperlink r:id="rId282" ref="G67"/>
    <hyperlink r:id="rId283" ref="K67"/>
    <hyperlink r:id="rId284" ref="AL67"/>
    <hyperlink r:id="rId285" ref="AN67"/>
    <hyperlink r:id="rId286" ref="AQ67"/>
    <hyperlink r:id="rId287" ref="G68"/>
    <hyperlink r:id="rId288" ref="AL68"/>
    <hyperlink r:id="rId289" ref="AN68"/>
    <hyperlink r:id="rId290" ref="AQ68"/>
    <hyperlink r:id="rId291" ref="G69"/>
    <hyperlink r:id="rId292" ref="AL69"/>
    <hyperlink r:id="rId293" ref="AN69"/>
    <hyperlink r:id="rId294" ref="AQ69"/>
    <hyperlink r:id="rId295" ref="G70"/>
    <hyperlink r:id="rId296" ref="K70"/>
    <hyperlink r:id="rId297" ref="AL70"/>
    <hyperlink r:id="rId298" ref="AN70"/>
    <hyperlink r:id="rId299" ref="AQ70"/>
    <hyperlink r:id="rId300" ref="G71"/>
    <hyperlink r:id="rId301" ref="K71"/>
    <hyperlink r:id="rId302" ref="AL71"/>
    <hyperlink r:id="rId303" ref="AN71"/>
    <hyperlink r:id="rId304" ref="AQ71"/>
    <hyperlink r:id="rId305" ref="G72"/>
    <hyperlink r:id="rId306" ref="K72"/>
    <hyperlink r:id="rId307" ref="AL72"/>
    <hyperlink r:id="rId308" ref="AN72"/>
    <hyperlink r:id="rId309" ref="AQ72"/>
    <hyperlink r:id="rId310" ref="G73"/>
    <hyperlink r:id="rId311" ref="K73"/>
    <hyperlink r:id="rId312" ref="AL73"/>
    <hyperlink r:id="rId313" ref="AN73"/>
    <hyperlink r:id="rId314" ref="AQ73"/>
    <hyperlink r:id="rId315" ref="G74"/>
    <hyperlink r:id="rId316" ref="K74"/>
    <hyperlink r:id="rId317" ref="AL74"/>
    <hyperlink r:id="rId318" ref="AN74"/>
    <hyperlink r:id="rId319" ref="AQ74"/>
    <hyperlink r:id="rId320" ref="G75"/>
    <hyperlink r:id="rId321" ref="AL75"/>
    <hyperlink r:id="rId322" ref="AN75"/>
    <hyperlink r:id="rId323" ref="AQ75"/>
    <hyperlink r:id="rId324" ref="G76"/>
    <hyperlink r:id="rId325" ref="AL76"/>
    <hyperlink r:id="rId326" ref="AN76"/>
    <hyperlink r:id="rId327" ref="AQ76"/>
    <hyperlink r:id="rId328" ref="G77"/>
    <hyperlink r:id="rId329" ref="K77"/>
    <hyperlink r:id="rId330" ref="AL77"/>
    <hyperlink r:id="rId331" ref="AN77"/>
    <hyperlink r:id="rId332" ref="AQ77"/>
    <hyperlink r:id="rId333" ref="G78"/>
    <hyperlink r:id="rId334" ref="K78"/>
    <hyperlink r:id="rId335" ref="G79"/>
    <hyperlink r:id="rId336" ref="K79"/>
    <hyperlink r:id="rId337" ref="AL79"/>
    <hyperlink r:id="rId338" ref="AN79"/>
    <hyperlink r:id="rId339" ref="AQ79"/>
    <hyperlink r:id="rId340" ref="G80"/>
    <hyperlink r:id="rId341" ref="K80"/>
    <hyperlink r:id="rId342" ref="AL80"/>
    <hyperlink r:id="rId343" ref="AN80"/>
    <hyperlink r:id="rId344" ref="AQ80"/>
    <hyperlink r:id="rId345" ref="G81"/>
    <hyperlink r:id="rId346" ref="K81"/>
    <hyperlink r:id="rId347" ref="AL81"/>
    <hyperlink r:id="rId348" ref="AN81"/>
    <hyperlink r:id="rId349" ref="AQ81"/>
    <hyperlink r:id="rId350" ref="G82"/>
    <hyperlink r:id="rId351" ref="K82"/>
    <hyperlink r:id="rId352" ref="AL82"/>
    <hyperlink r:id="rId353" ref="AN82"/>
    <hyperlink r:id="rId354" ref="AQ82"/>
    <hyperlink r:id="rId355" ref="G83"/>
    <hyperlink r:id="rId356" ref="AL83"/>
    <hyperlink r:id="rId357" ref="AN83"/>
    <hyperlink r:id="rId358" ref="AQ83"/>
    <hyperlink r:id="rId359" ref="G84"/>
    <hyperlink r:id="rId360" ref="K84"/>
    <hyperlink r:id="rId361" ref="AL84"/>
    <hyperlink r:id="rId362" ref="AN84"/>
    <hyperlink r:id="rId363" ref="AQ84"/>
    <hyperlink r:id="rId364" ref="G85"/>
    <hyperlink r:id="rId365" ref="K85"/>
    <hyperlink r:id="rId366" ref="AL85"/>
    <hyperlink r:id="rId367" ref="AN85"/>
    <hyperlink r:id="rId368" ref="AQ85"/>
    <hyperlink r:id="rId369" ref="G86"/>
    <hyperlink r:id="rId370" ref="K86"/>
    <hyperlink r:id="rId371" ref="AL86"/>
    <hyperlink r:id="rId372" ref="AN86"/>
    <hyperlink r:id="rId373" ref="AQ86"/>
    <hyperlink r:id="rId374" ref="G87"/>
    <hyperlink r:id="rId375" ref="K87"/>
    <hyperlink r:id="rId376" ref="AL87"/>
    <hyperlink r:id="rId377" ref="AN87"/>
    <hyperlink r:id="rId378" ref="AQ87"/>
    <hyperlink r:id="rId379" ref="G88"/>
    <hyperlink r:id="rId380" ref="K88"/>
    <hyperlink r:id="rId381" ref="AL88"/>
    <hyperlink r:id="rId382" ref="AN88"/>
    <hyperlink r:id="rId383" ref="AQ88"/>
    <hyperlink r:id="rId384" ref="G89"/>
    <hyperlink r:id="rId385" ref="K89"/>
    <hyperlink r:id="rId386" ref="AL89"/>
    <hyperlink r:id="rId387" ref="AN89"/>
    <hyperlink r:id="rId388" ref="AQ89"/>
    <hyperlink r:id="rId389" ref="G90"/>
    <hyperlink r:id="rId390" ref="K90"/>
    <hyperlink r:id="rId391" ref="AL90"/>
    <hyperlink r:id="rId392" ref="AN90"/>
    <hyperlink r:id="rId393" ref="AQ90"/>
    <hyperlink r:id="rId394" ref="G91"/>
    <hyperlink r:id="rId395" ref="K91"/>
    <hyperlink r:id="rId396" ref="AL91"/>
    <hyperlink r:id="rId397" ref="AN91"/>
    <hyperlink r:id="rId398" ref="AQ91"/>
    <hyperlink r:id="rId399" ref="G92"/>
    <hyperlink r:id="rId400" ref="K92"/>
    <hyperlink r:id="rId401" ref="AL92"/>
    <hyperlink r:id="rId402" ref="AN92"/>
    <hyperlink r:id="rId403" ref="AQ92"/>
    <hyperlink r:id="rId404" ref="G93"/>
    <hyperlink r:id="rId405" ref="AL93"/>
    <hyperlink r:id="rId406" ref="AN93"/>
    <hyperlink r:id="rId407" ref="AQ93"/>
    <hyperlink r:id="rId408" ref="G94"/>
    <hyperlink r:id="rId409" ref="AL94"/>
    <hyperlink r:id="rId410" ref="AN94"/>
    <hyperlink r:id="rId411" ref="AQ94"/>
    <hyperlink r:id="rId412" ref="G95"/>
    <hyperlink r:id="rId413" ref="K95"/>
    <hyperlink r:id="rId414" ref="AL95"/>
    <hyperlink r:id="rId415" ref="AN95"/>
    <hyperlink r:id="rId416" ref="AQ95"/>
    <hyperlink r:id="rId417" ref="G96"/>
    <hyperlink r:id="rId418" ref="K96"/>
    <hyperlink r:id="rId419" ref="AL96"/>
    <hyperlink r:id="rId420" ref="AN96"/>
    <hyperlink r:id="rId421" ref="AQ96"/>
    <hyperlink r:id="rId422" ref="G97"/>
    <hyperlink r:id="rId423" ref="AL97"/>
    <hyperlink r:id="rId424" ref="AN97"/>
    <hyperlink r:id="rId425" ref="AQ97"/>
    <hyperlink r:id="rId426" ref="G98"/>
    <hyperlink r:id="rId427" ref="K98"/>
    <hyperlink r:id="rId428" ref="AL98"/>
    <hyperlink r:id="rId429" ref="AN98"/>
    <hyperlink r:id="rId430" ref="AQ98"/>
    <hyperlink r:id="rId431" ref="G99"/>
    <hyperlink r:id="rId432" ref="AL99"/>
    <hyperlink r:id="rId433" ref="AN99"/>
    <hyperlink r:id="rId434" ref="AQ99"/>
    <hyperlink r:id="rId435" ref="G100"/>
    <hyperlink r:id="rId436" ref="K100"/>
    <hyperlink r:id="rId437" ref="AL100"/>
    <hyperlink r:id="rId438" ref="AN100"/>
    <hyperlink r:id="rId439" ref="AQ100"/>
    <hyperlink r:id="rId440" ref="G101"/>
    <hyperlink r:id="rId441" ref="AL101"/>
    <hyperlink r:id="rId442" ref="AN101"/>
    <hyperlink r:id="rId443" ref="AQ101"/>
    <hyperlink r:id="rId444" ref="G102"/>
    <hyperlink r:id="rId445" ref="K102"/>
    <hyperlink r:id="rId446" ref="AL102"/>
    <hyperlink r:id="rId447" ref="AN102"/>
    <hyperlink r:id="rId448" ref="G103"/>
    <hyperlink r:id="rId449" ref="K103"/>
    <hyperlink r:id="rId450" ref="AL103"/>
    <hyperlink r:id="rId451" ref="AN103"/>
    <hyperlink r:id="rId452" ref="AQ103"/>
    <hyperlink r:id="rId453" ref="G104"/>
    <hyperlink r:id="rId454" ref="K104"/>
    <hyperlink r:id="rId455" ref="AL104"/>
    <hyperlink r:id="rId456" ref="AN104"/>
    <hyperlink r:id="rId457" ref="AQ104"/>
    <hyperlink r:id="rId458" ref="G105"/>
    <hyperlink r:id="rId459" ref="K105"/>
    <hyperlink r:id="rId460" ref="AL105"/>
    <hyperlink r:id="rId461" ref="AN105"/>
    <hyperlink r:id="rId462" ref="AQ105"/>
    <hyperlink r:id="rId463" ref="G106"/>
    <hyperlink r:id="rId464" ref="K106"/>
    <hyperlink r:id="rId465" ref="AL106"/>
    <hyperlink r:id="rId466" ref="AN106"/>
    <hyperlink r:id="rId467" ref="AQ106"/>
    <hyperlink r:id="rId468" ref="G107"/>
    <hyperlink r:id="rId469" ref="K107"/>
    <hyperlink r:id="rId470" ref="AL107"/>
    <hyperlink r:id="rId471" ref="AN107"/>
    <hyperlink r:id="rId472" ref="AQ107"/>
    <hyperlink r:id="rId473" ref="G108"/>
    <hyperlink r:id="rId474" ref="K108"/>
    <hyperlink r:id="rId475" ref="AL108"/>
    <hyperlink r:id="rId476" ref="AN108"/>
    <hyperlink r:id="rId477" ref="G109"/>
    <hyperlink r:id="rId478" ref="K109"/>
    <hyperlink r:id="rId479" ref="AL109"/>
    <hyperlink r:id="rId480" ref="AN109"/>
    <hyperlink r:id="rId481" ref="AQ109"/>
    <hyperlink r:id="rId482" ref="G110"/>
    <hyperlink r:id="rId483" ref="K110"/>
    <hyperlink r:id="rId484" ref="AL110"/>
    <hyperlink r:id="rId485" ref="AN110"/>
    <hyperlink r:id="rId486" ref="AQ110"/>
    <hyperlink r:id="rId487" ref="G111"/>
    <hyperlink r:id="rId488" ref="K111"/>
    <hyperlink r:id="rId489" ref="AL111"/>
    <hyperlink r:id="rId490" ref="AN111"/>
    <hyperlink r:id="rId491" ref="AQ111"/>
    <hyperlink r:id="rId492" ref="G112"/>
    <hyperlink r:id="rId493" ref="K112"/>
    <hyperlink r:id="rId494" ref="AL112"/>
    <hyperlink r:id="rId495" ref="AN112"/>
    <hyperlink r:id="rId496" ref="AQ112"/>
    <hyperlink r:id="rId497" ref="G113"/>
    <hyperlink r:id="rId498" ref="K113"/>
    <hyperlink r:id="rId499" ref="AL113"/>
    <hyperlink r:id="rId500" ref="AN113"/>
    <hyperlink r:id="rId501" ref="AQ113"/>
    <hyperlink r:id="rId502" ref="G114"/>
    <hyperlink r:id="rId503" ref="K114"/>
    <hyperlink r:id="rId504" ref="AL114"/>
    <hyperlink r:id="rId505" ref="AN114"/>
    <hyperlink r:id="rId506" ref="AQ114"/>
    <hyperlink r:id="rId507" ref="G115"/>
    <hyperlink r:id="rId508" ref="K115"/>
    <hyperlink r:id="rId509" ref="AL115"/>
    <hyperlink r:id="rId510" ref="AN115"/>
    <hyperlink r:id="rId511" ref="AQ115"/>
    <hyperlink r:id="rId512" ref="G116"/>
    <hyperlink r:id="rId513" ref="K116"/>
    <hyperlink r:id="rId514" ref="AL116"/>
    <hyperlink r:id="rId515" ref="AN116"/>
    <hyperlink r:id="rId516" ref="AQ116"/>
    <hyperlink r:id="rId517" ref="G117"/>
    <hyperlink r:id="rId518" ref="K117"/>
    <hyperlink r:id="rId519" ref="AL117"/>
    <hyperlink r:id="rId520" ref="AN117"/>
    <hyperlink r:id="rId521" ref="AQ117"/>
    <hyperlink r:id="rId522" ref="G118"/>
    <hyperlink r:id="rId523" ref="K118"/>
    <hyperlink r:id="rId524" ref="AL118"/>
    <hyperlink r:id="rId525" ref="AN118"/>
    <hyperlink r:id="rId526" ref="AQ118"/>
    <hyperlink r:id="rId527" ref="G119"/>
    <hyperlink r:id="rId528" ref="K119"/>
    <hyperlink r:id="rId529" ref="AL119"/>
    <hyperlink r:id="rId530" ref="AN119"/>
    <hyperlink r:id="rId531" ref="AQ119"/>
    <hyperlink r:id="rId532" ref="G120"/>
    <hyperlink r:id="rId533" ref="K120"/>
    <hyperlink r:id="rId534" ref="AL120"/>
    <hyperlink r:id="rId535" ref="AN120"/>
    <hyperlink r:id="rId536" ref="AQ120"/>
    <hyperlink r:id="rId537" ref="G121"/>
    <hyperlink r:id="rId538" ref="K121"/>
    <hyperlink r:id="rId539" ref="AL121"/>
    <hyperlink r:id="rId540" ref="AN121"/>
    <hyperlink r:id="rId541" ref="AQ121"/>
    <hyperlink r:id="rId542" ref="G122"/>
    <hyperlink r:id="rId543" ref="K122"/>
    <hyperlink r:id="rId544" ref="AL122"/>
    <hyperlink r:id="rId545" ref="AN122"/>
    <hyperlink r:id="rId546" ref="AQ122"/>
    <hyperlink r:id="rId547" ref="G123"/>
    <hyperlink r:id="rId548" ref="K123"/>
    <hyperlink r:id="rId549" ref="AL123"/>
    <hyperlink r:id="rId550" ref="AN123"/>
    <hyperlink r:id="rId551" ref="AQ123"/>
    <hyperlink r:id="rId552" ref="G124"/>
    <hyperlink r:id="rId553" ref="K124"/>
    <hyperlink r:id="rId554" ref="AL124"/>
    <hyperlink r:id="rId555" ref="AN124"/>
    <hyperlink r:id="rId556" ref="AQ124"/>
    <hyperlink r:id="rId557" ref="G125"/>
    <hyperlink r:id="rId558" ref="K125"/>
    <hyperlink r:id="rId559" ref="AL125"/>
    <hyperlink r:id="rId560" ref="AN125"/>
    <hyperlink r:id="rId561" ref="AQ125"/>
    <hyperlink r:id="rId562" ref="G126"/>
    <hyperlink r:id="rId563" ref="K126"/>
    <hyperlink r:id="rId564" ref="AL126"/>
    <hyperlink r:id="rId565" ref="AN126"/>
    <hyperlink r:id="rId566" ref="AQ126"/>
    <hyperlink r:id="rId567" ref="G127"/>
    <hyperlink r:id="rId568" ref="K127"/>
    <hyperlink r:id="rId569" ref="AL127"/>
    <hyperlink r:id="rId570" ref="AN127"/>
    <hyperlink r:id="rId571" ref="AQ127"/>
    <hyperlink r:id="rId572" ref="G128"/>
    <hyperlink r:id="rId573" ref="K128"/>
    <hyperlink r:id="rId574" ref="AL128"/>
    <hyperlink r:id="rId575" ref="AN128"/>
    <hyperlink r:id="rId576" ref="AQ128"/>
    <hyperlink r:id="rId577" ref="G129"/>
    <hyperlink r:id="rId578" ref="K129"/>
    <hyperlink r:id="rId579" ref="AL129"/>
    <hyperlink r:id="rId580" ref="AN129"/>
    <hyperlink r:id="rId581" ref="AQ129"/>
    <hyperlink r:id="rId582" ref="G130"/>
    <hyperlink r:id="rId583" ref="K130"/>
    <hyperlink r:id="rId584" ref="AL130"/>
    <hyperlink r:id="rId585" ref="AN130"/>
    <hyperlink r:id="rId586" ref="AQ130"/>
    <hyperlink r:id="rId587" ref="G131"/>
    <hyperlink r:id="rId588" ref="K131"/>
    <hyperlink r:id="rId589" ref="AL131"/>
    <hyperlink r:id="rId590" ref="AN131"/>
    <hyperlink r:id="rId591" ref="AQ131"/>
    <hyperlink r:id="rId592" ref="G132"/>
    <hyperlink r:id="rId593" ref="K132"/>
    <hyperlink r:id="rId594" ref="AL132"/>
    <hyperlink r:id="rId595" ref="AN132"/>
    <hyperlink r:id="rId596" ref="AQ132"/>
    <hyperlink r:id="rId597" ref="G133"/>
    <hyperlink r:id="rId598" ref="K133"/>
    <hyperlink r:id="rId599" ref="AL133"/>
    <hyperlink r:id="rId600" ref="AN133"/>
    <hyperlink r:id="rId601" ref="AQ133"/>
    <hyperlink r:id="rId602" ref="G134"/>
    <hyperlink r:id="rId603" ref="K134"/>
    <hyperlink r:id="rId604" ref="AL134"/>
    <hyperlink r:id="rId605" ref="AN134"/>
    <hyperlink r:id="rId606" ref="AQ134"/>
    <hyperlink r:id="rId607" ref="G135"/>
    <hyperlink r:id="rId608" ref="K135"/>
    <hyperlink r:id="rId609" ref="AL135"/>
    <hyperlink r:id="rId610" ref="AN135"/>
    <hyperlink r:id="rId611" ref="AQ135"/>
    <hyperlink r:id="rId612" ref="G136"/>
    <hyperlink r:id="rId613" ref="K136"/>
    <hyperlink r:id="rId614" ref="AL136"/>
    <hyperlink r:id="rId615" ref="AN136"/>
    <hyperlink r:id="rId616" ref="AQ136"/>
    <hyperlink r:id="rId617" ref="G137"/>
    <hyperlink r:id="rId618" ref="K137"/>
    <hyperlink r:id="rId619" ref="AL137"/>
    <hyperlink r:id="rId620" ref="AN137"/>
    <hyperlink r:id="rId621" ref="AQ137"/>
    <hyperlink r:id="rId622" ref="G138"/>
    <hyperlink r:id="rId623" ref="K138"/>
    <hyperlink r:id="rId624" ref="AL138"/>
    <hyperlink r:id="rId625" ref="AN138"/>
    <hyperlink r:id="rId626" ref="AQ138"/>
    <hyperlink r:id="rId627" ref="G139"/>
    <hyperlink r:id="rId628" ref="K139"/>
    <hyperlink r:id="rId629" ref="AL139"/>
    <hyperlink r:id="rId630" ref="AN139"/>
    <hyperlink r:id="rId631" ref="AQ139"/>
    <hyperlink r:id="rId632" ref="G140"/>
    <hyperlink r:id="rId633" ref="K140"/>
    <hyperlink r:id="rId634" ref="AL140"/>
    <hyperlink r:id="rId635" ref="AN140"/>
    <hyperlink r:id="rId636" ref="AQ140"/>
    <hyperlink r:id="rId637" ref="G141"/>
    <hyperlink r:id="rId638" ref="K141"/>
    <hyperlink r:id="rId639" ref="AL141"/>
    <hyperlink r:id="rId640" ref="AN141"/>
    <hyperlink r:id="rId641" ref="AQ141"/>
    <hyperlink r:id="rId642" ref="G142"/>
    <hyperlink r:id="rId643" ref="K142"/>
    <hyperlink r:id="rId644" ref="AL142"/>
    <hyperlink r:id="rId645" ref="AN142"/>
    <hyperlink r:id="rId646" ref="AQ142"/>
    <hyperlink r:id="rId647" ref="G143"/>
    <hyperlink r:id="rId648" ref="K143"/>
    <hyperlink r:id="rId649" ref="AL143"/>
    <hyperlink r:id="rId650" ref="AN143"/>
    <hyperlink r:id="rId651" ref="AQ143"/>
    <hyperlink r:id="rId652" ref="G144"/>
    <hyperlink r:id="rId653" ref="K144"/>
    <hyperlink r:id="rId654" ref="AL144"/>
    <hyperlink r:id="rId655" ref="AN144"/>
    <hyperlink r:id="rId656" ref="AQ144"/>
    <hyperlink r:id="rId657" ref="G145"/>
    <hyperlink r:id="rId658" ref="K145"/>
    <hyperlink r:id="rId659" ref="AL145"/>
    <hyperlink r:id="rId660" ref="AN145"/>
    <hyperlink r:id="rId661" ref="AQ145"/>
    <hyperlink r:id="rId662" ref="G146"/>
    <hyperlink r:id="rId663" ref="K146"/>
    <hyperlink r:id="rId664" ref="AL146"/>
    <hyperlink r:id="rId665" ref="AN146"/>
    <hyperlink r:id="rId666" ref="AQ146"/>
    <hyperlink r:id="rId667" ref="G147"/>
    <hyperlink r:id="rId668" ref="K147"/>
    <hyperlink r:id="rId669" ref="AL147"/>
    <hyperlink r:id="rId670" ref="AN147"/>
    <hyperlink r:id="rId671" ref="AQ147"/>
    <hyperlink r:id="rId672" ref="G148"/>
    <hyperlink r:id="rId673" ref="K148"/>
    <hyperlink r:id="rId674" ref="AL148"/>
    <hyperlink r:id="rId675" ref="AN148"/>
    <hyperlink r:id="rId676" ref="AQ148"/>
    <hyperlink r:id="rId677" ref="G149"/>
    <hyperlink r:id="rId678" ref="K149"/>
    <hyperlink r:id="rId679" ref="AL149"/>
    <hyperlink r:id="rId680" ref="AN149"/>
    <hyperlink r:id="rId681" ref="AQ149"/>
    <hyperlink r:id="rId682" ref="G150"/>
    <hyperlink r:id="rId683" ref="K150"/>
    <hyperlink r:id="rId684" ref="AL150"/>
    <hyperlink r:id="rId685" ref="AN150"/>
    <hyperlink r:id="rId686" ref="AQ150"/>
    <hyperlink r:id="rId687" ref="G151"/>
    <hyperlink r:id="rId688" ref="K151"/>
    <hyperlink r:id="rId689" ref="AL151"/>
    <hyperlink r:id="rId690" ref="AN151"/>
    <hyperlink r:id="rId691" ref="AQ151"/>
    <hyperlink r:id="rId692" ref="G152"/>
    <hyperlink r:id="rId693" ref="K152"/>
    <hyperlink r:id="rId694" ref="AL152"/>
    <hyperlink r:id="rId695" ref="AN152"/>
    <hyperlink r:id="rId696" ref="AQ152"/>
    <hyperlink r:id="rId697" ref="G153"/>
    <hyperlink r:id="rId698" ref="K153"/>
    <hyperlink r:id="rId699" ref="AL153"/>
    <hyperlink r:id="rId700" ref="AN153"/>
    <hyperlink r:id="rId701" ref="AQ153"/>
    <hyperlink r:id="rId702" ref="G154"/>
    <hyperlink r:id="rId703" ref="K154"/>
    <hyperlink r:id="rId704" ref="AL154"/>
    <hyperlink r:id="rId705" ref="AN154"/>
    <hyperlink r:id="rId706" ref="AQ154"/>
    <hyperlink r:id="rId707" ref="G155"/>
    <hyperlink r:id="rId708" ref="K155"/>
    <hyperlink r:id="rId709" ref="AL155"/>
    <hyperlink r:id="rId710" ref="AN155"/>
    <hyperlink r:id="rId711" ref="AQ155"/>
    <hyperlink r:id="rId712" ref="G156"/>
    <hyperlink r:id="rId713" ref="K156"/>
    <hyperlink r:id="rId714" ref="AL156"/>
    <hyperlink r:id="rId715" ref="AN156"/>
    <hyperlink r:id="rId716" ref="AQ156"/>
    <hyperlink r:id="rId717" ref="G157"/>
    <hyperlink r:id="rId718" ref="K157"/>
    <hyperlink r:id="rId719" ref="AL157"/>
    <hyperlink r:id="rId720" ref="AN157"/>
    <hyperlink r:id="rId721" ref="AQ157"/>
    <hyperlink r:id="rId722" ref="G158"/>
    <hyperlink r:id="rId723" ref="K158"/>
    <hyperlink r:id="rId724" ref="AL158"/>
    <hyperlink r:id="rId725" ref="AN158"/>
    <hyperlink r:id="rId726" ref="AQ158"/>
    <hyperlink r:id="rId727" ref="G159"/>
    <hyperlink r:id="rId728" ref="K159"/>
    <hyperlink r:id="rId729" ref="AL159"/>
    <hyperlink r:id="rId730" ref="AN159"/>
    <hyperlink r:id="rId731" ref="AQ159"/>
    <hyperlink r:id="rId732" ref="G160"/>
    <hyperlink r:id="rId733" ref="K160"/>
    <hyperlink r:id="rId734" ref="AL160"/>
    <hyperlink r:id="rId735" ref="AN160"/>
    <hyperlink r:id="rId736" ref="AQ160"/>
    <hyperlink r:id="rId737" ref="G161"/>
    <hyperlink r:id="rId738" ref="K161"/>
    <hyperlink r:id="rId739" ref="AL161"/>
    <hyperlink r:id="rId740" ref="AN161"/>
    <hyperlink r:id="rId741" ref="G162"/>
    <hyperlink r:id="rId742" ref="K162"/>
    <hyperlink r:id="rId743" ref="AL162"/>
    <hyperlink r:id="rId744" ref="AN162"/>
    <hyperlink r:id="rId745" ref="AQ162"/>
    <hyperlink r:id="rId746" ref="G163"/>
    <hyperlink r:id="rId747" ref="K163"/>
    <hyperlink r:id="rId748" ref="AL163"/>
    <hyperlink r:id="rId749" ref="AN163"/>
    <hyperlink r:id="rId750" ref="G164"/>
    <hyperlink r:id="rId751" ref="AL164"/>
    <hyperlink r:id="rId752" ref="AN164"/>
    <hyperlink r:id="rId753" ref="AQ164"/>
    <hyperlink r:id="rId754" ref="G165"/>
    <hyperlink r:id="rId755" ref="K165"/>
    <hyperlink r:id="rId756" ref="AL165"/>
    <hyperlink r:id="rId757" ref="AN165"/>
    <hyperlink r:id="rId758" ref="AQ165"/>
    <hyperlink r:id="rId759" ref="G166"/>
    <hyperlink r:id="rId760" ref="K166"/>
    <hyperlink r:id="rId761" ref="AL166"/>
    <hyperlink r:id="rId762" ref="AN166"/>
    <hyperlink r:id="rId763" ref="AQ166"/>
    <hyperlink r:id="rId764" ref="G167"/>
    <hyperlink r:id="rId765" ref="K167"/>
    <hyperlink r:id="rId766" ref="AL167"/>
    <hyperlink r:id="rId767" ref="AN167"/>
    <hyperlink r:id="rId768" ref="AQ167"/>
    <hyperlink r:id="rId769" ref="G168"/>
    <hyperlink r:id="rId770" ref="K168"/>
    <hyperlink r:id="rId771" ref="AL168"/>
    <hyperlink r:id="rId772" ref="AN168"/>
    <hyperlink r:id="rId773" ref="AQ168"/>
    <hyperlink r:id="rId774" ref="G169"/>
    <hyperlink r:id="rId775" ref="K169"/>
    <hyperlink r:id="rId776" ref="AL169"/>
    <hyperlink r:id="rId777" ref="AN169"/>
    <hyperlink r:id="rId778" ref="AQ169"/>
    <hyperlink r:id="rId779" ref="G170"/>
    <hyperlink r:id="rId780" ref="K170"/>
    <hyperlink r:id="rId781" ref="AL170"/>
    <hyperlink r:id="rId782" ref="AN170"/>
    <hyperlink r:id="rId783" ref="AQ170"/>
    <hyperlink r:id="rId784" ref="G171"/>
    <hyperlink r:id="rId785" ref="K171"/>
    <hyperlink r:id="rId786" ref="AL171"/>
    <hyperlink r:id="rId787" ref="AN171"/>
    <hyperlink r:id="rId788" ref="AQ171"/>
    <hyperlink r:id="rId789" ref="G172"/>
    <hyperlink r:id="rId790" ref="K172"/>
    <hyperlink r:id="rId791" ref="AL172"/>
    <hyperlink r:id="rId792" ref="AN172"/>
    <hyperlink r:id="rId793" ref="AQ172"/>
    <hyperlink r:id="rId794" ref="G173"/>
    <hyperlink r:id="rId795" ref="K173"/>
    <hyperlink r:id="rId796" ref="AL173"/>
    <hyperlink r:id="rId797" ref="AN173"/>
    <hyperlink r:id="rId798" ref="AQ173"/>
    <hyperlink r:id="rId799" ref="G174"/>
    <hyperlink r:id="rId800" ref="K174"/>
    <hyperlink r:id="rId801" ref="AL174"/>
    <hyperlink r:id="rId802" ref="AN174"/>
    <hyperlink r:id="rId803" ref="AQ174"/>
    <hyperlink r:id="rId804" ref="G175"/>
    <hyperlink r:id="rId805" ref="K175"/>
    <hyperlink r:id="rId806" ref="AL175"/>
    <hyperlink r:id="rId807" ref="AN175"/>
    <hyperlink r:id="rId808" ref="AQ175"/>
    <hyperlink r:id="rId809" ref="G176"/>
    <hyperlink r:id="rId810" ref="K176"/>
    <hyperlink r:id="rId811" ref="AL176"/>
    <hyperlink r:id="rId812" ref="AN176"/>
    <hyperlink r:id="rId813" ref="AQ176"/>
    <hyperlink r:id="rId814" ref="G177"/>
    <hyperlink r:id="rId815" ref="K177"/>
    <hyperlink r:id="rId816" ref="AL177"/>
    <hyperlink r:id="rId817" ref="AN177"/>
    <hyperlink r:id="rId818" ref="AQ177"/>
    <hyperlink r:id="rId819" ref="G178"/>
    <hyperlink r:id="rId820" ref="AL178"/>
    <hyperlink r:id="rId821" ref="AN178"/>
    <hyperlink r:id="rId822" ref="G179"/>
    <hyperlink r:id="rId823" ref="K179"/>
    <hyperlink r:id="rId824" ref="AL179"/>
    <hyperlink r:id="rId825" ref="AN179"/>
    <hyperlink r:id="rId826" ref="AQ179"/>
    <hyperlink r:id="rId827" ref="G180"/>
    <hyperlink r:id="rId828" ref="K180"/>
    <hyperlink r:id="rId829" ref="AL180"/>
    <hyperlink r:id="rId830" ref="AN180"/>
    <hyperlink r:id="rId831" ref="AQ180"/>
    <hyperlink r:id="rId832" ref="G181"/>
    <hyperlink r:id="rId833" ref="K181"/>
    <hyperlink r:id="rId834" ref="AL181"/>
    <hyperlink r:id="rId835" ref="AN181"/>
    <hyperlink r:id="rId836" ref="AQ181"/>
    <hyperlink r:id="rId837" ref="G182"/>
    <hyperlink r:id="rId838" ref="K182"/>
    <hyperlink r:id="rId839" ref="AL182"/>
    <hyperlink r:id="rId840" ref="AN182"/>
    <hyperlink r:id="rId841" ref="AQ182"/>
    <hyperlink r:id="rId842" ref="G183"/>
    <hyperlink r:id="rId843" ref="K183"/>
    <hyperlink r:id="rId844" ref="AL183"/>
    <hyperlink r:id="rId845" ref="AN183"/>
    <hyperlink r:id="rId846" ref="AQ183"/>
    <hyperlink r:id="rId847" ref="G184"/>
    <hyperlink r:id="rId848" ref="K184"/>
    <hyperlink r:id="rId849" ref="AL184"/>
    <hyperlink r:id="rId850" ref="AN184"/>
    <hyperlink r:id="rId851" ref="AQ184"/>
    <hyperlink r:id="rId852" ref="G185"/>
    <hyperlink r:id="rId853" ref="K185"/>
    <hyperlink r:id="rId854" ref="AL185"/>
    <hyperlink r:id="rId855" ref="AN185"/>
    <hyperlink r:id="rId856" ref="AQ185"/>
    <hyperlink r:id="rId857" ref="G186"/>
    <hyperlink r:id="rId858" ref="K186"/>
    <hyperlink r:id="rId859" ref="AL186"/>
    <hyperlink r:id="rId860" ref="AN186"/>
    <hyperlink r:id="rId861" ref="AQ186"/>
    <hyperlink r:id="rId862" ref="G187"/>
    <hyperlink r:id="rId863" ref="K187"/>
    <hyperlink r:id="rId864" ref="AL187"/>
    <hyperlink r:id="rId865" ref="AN187"/>
    <hyperlink r:id="rId866" ref="AQ187"/>
    <hyperlink r:id="rId867" ref="G188"/>
    <hyperlink r:id="rId868" ref="K188"/>
    <hyperlink r:id="rId869" ref="AL188"/>
    <hyperlink r:id="rId870" ref="AN188"/>
    <hyperlink r:id="rId871" ref="AQ188"/>
    <hyperlink r:id="rId872" ref="G189"/>
    <hyperlink r:id="rId873" ref="K189"/>
    <hyperlink r:id="rId874" ref="AL189"/>
    <hyperlink r:id="rId875" ref="AN189"/>
    <hyperlink r:id="rId876" ref="G190"/>
    <hyperlink r:id="rId877" ref="K190"/>
    <hyperlink r:id="rId878" ref="AL190"/>
    <hyperlink r:id="rId879" ref="AN190"/>
    <hyperlink r:id="rId880" ref="G191"/>
    <hyperlink r:id="rId881" ref="K191"/>
    <hyperlink r:id="rId882" ref="AL191"/>
    <hyperlink r:id="rId883" ref="AN191"/>
    <hyperlink r:id="rId884" ref="AQ191"/>
    <hyperlink r:id="rId885" ref="G192"/>
    <hyperlink r:id="rId886" ref="K192"/>
    <hyperlink r:id="rId887" ref="AL192"/>
    <hyperlink r:id="rId888" ref="AN192"/>
    <hyperlink r:id="rId889" ref="AQ192"/>
    <hyperlink r:id="rId890" ref="G193"/>
    <hyperlink r:id="rId891" ref="K193"/>
    <hyperlink r:id="rId892" ref="AL193"/>
    <hyperlink r:id="rId893" ref="AN193"/>
    <hyperlink r:id="rId894" ref="AQ193"/>
    <hyperlink r:id="rId895" ref="G194"/>
    <hyperlink r:id="rId896" ref="K194"/>
    <hyperlink r:id="rId897" ref="AL194"/>
    <hyperlink r:id="rId898" ref="AN194"/>
    <hyperlink r:id="rId899" ref="AQ194"/>
    <hyperlink r:id="rId900" ref="G195"/>
    <hyperlink r:id="rId901" ref="K195"/>
    <hyperlink r:id="rId902" ref="AL195"/>
    <hyperlink r:id="rId903" ref="AN195"/>
    <hyperlink r:id="rId904" ref="AQ195"/>
    <hyperlink r:id="rId905" ref="G196"/>
    <hyperlink r:id="rId906" ref="K196"/>
    <hyperlink r:id="rId907" ref="AL196"/>
    <hyperlink r:id="rId908" ref="AN196"/>
    <hyperlink r:id="rId909" ref="G197"/>
    <hyperlink r:id="rId910" ref="K197"/>
    <hyperlink r:id="rId911" ref="AL197"/>
    <hyperlink r:id="rId912" ref="AN197"/>
    <hyperlink r:id="rId913" ref="AQ197"/>
    <hyperlink r:id="rId914" ref="G198"/>
    <hyperlink r:id="rId915" ref="AL198"/>
    <hyperlink r:id="rId916" ref="AN198"/>
    <hyperlink r:id="rId917" ref="AQ198"/>
    <hyperlink r:id="rId918" ref="G199"/>
    <hyperlink r:id="rId919" ref="AL199"/>
    <hyperlink r:id="rId920" ref="AN199"/>
    <hyperlink r:id="rId921" ref="AQ199"/>
    <hyperlink r:id="rId922" ref="G200"/>
    <hyperlink r:id="rId923" ref="AL200"/>
    <hyperlink r:id="rId924" ref="AN200"/>
    <hyperlink r:id="rId925" ref="AQ200"/>
    <hyperlink r:id="rId926" ref="G201"/>
    <hyperlink r:id="rId927" ref="AL201"/>
    <hyperlink r:id="rId928" ref="AN201"/>
    <hyperlink r:id="rId929" ref="AQ201"/>
    <hyperlink r:id="rId930" ref="G202"/>
    <hyperlink r:id="rId931" ref="AL202"/>
    <hyperlink r:id="rId932" ref="AN202"/>
    <hyperlink r:id="rId933" ref="AQ202"/>
    <hyperlink r:id="rId934" ref="G203"/>
    <hyperlink r:id="rId935" ref="K203"/>
    <hyperlink r:id="rId936" ref="AL203"/>
    <hyperlink r:id="rId937" ref="AN203"/>
    <hyperlink r:id="rId938" ref="AQ203"/>
    <hyperlink r:id="rId939" ref="G204"/>
    <hyperlink r:id="rId940" ref="AL204"/>
    <hyperlink r:id="rId941" ref="AN204"/>
    <hyperlink r:id="rId942" ref="AQ204"/>
    <hyperlink r:id="rId943" ref="G205"/>
    <hyperlink r:id="rId944" ref="K205"/>
    <hyperlink r:id="rId945" ref="AL205"/>
    <hyperlink r:id="rId946" ref="AN205"/>
    <hyperlink r:id="rId947" ref="AQ205"/>
    <hyperlink r:id="rId948" ref="G206"/>
    <hyperlink r:id="rId949" ref="K206"/>
    <hyperlink r:id="rId950" ref="AL206"/>
    <hyperlink r:id="rId951" ref="AN206"/>
    <hyperlink r:id="rId952" ref="AQ206"/>
    <hyperlink r:id="rId953" ref="G207"/>
    <hyperlink r:id="rId954" ref="K207"/>
    <hyperlink r:id="rId955" ref="AL207"/>
    <hyperlink r:id="rId956" ref="AN207"/>
    <hyperlink r:id="rId957" ref="AQ207"/>
    <hyperlink r:id="rId958" ref="G208"/>
    <hyperlink r:id="rId959" ref="K208"/>
    <hyperlink r:id="rId960" ref="AL208"/>
    <hyperlink r:id="rId961" ref="AN208"/>
    <hyperlink r:id="rId962" ref="AQ208"/>
    <hyperlink r:id="rId963" ref="G209"/>
    <hyperlink r:id="rId964" ref="K209"/>
    <hyperlink r:id="rId965" ref="AL209"/>
    <hyperlink r:id="rId966" ref="AN209"/>
    <hyperlink r:id="rId967" ref="AQ209"/>
    <hyperlink r:id="rId968" ref="G210"/>
    <hyperlink r:id="rId969" ref="G211"/>
    <hyperlink r:id="rId970" ref="AL211"/>
    <hyperlink r:id="rId971" ref="AN211"/>
    <hyperlink r:id="rId972" ref="G212"/>
    <hyperlink r:id="rId973" ref="AL212"/>
    <hyperlink r:id="rId974" ref="AN212"/>
    <hyperlink r:id="rId975" ref="G213"/>
    <hyperlink r:id="rId976" ref="AL213"/>
    <hyperlink r:id="rId977" ref="AN213"/>
    <hyperlink r:id="rId978" ref="AQ213"/>
    <hyperlink r:id="rId979" ref="G214"/>
    <hyperlink r:id="rId980" ref="AL214"/>
    <hyperlink r:id="rId981" ref="AN214"/>
    <hyperlink r:id="rId982" ref="AQ214"/>
    <hyperlink r:id="rId983" ref="G215"/>
    <hyperlink r:id="rId984" ref="K215"/>
    <hyperlink r:id="rId985" ref="AL215"/>
    <hyperlink r:id="rId986" ref="AN215"/>
    <hyperlink r:id="rId987" ref="AQ215"/>
    <hyperlink r:id="rId988" ref="G216"/>
    <hyperlink r:id="rId989" ref="AL216"/>
    <hyperlink r:id="rId990" ref="AN216"/>
    <hyperlink r:id="rId991" ref="AQ216"/>
    <hyperlink r:id="rId992" ref="G217"/>
    <hyperlink r:id="rId993" ref="AL217"/>
    <hyperlink r:id="rId994" ref="AN217"/>
    <hyperlink r:id="rId995" ref="AQ217"/>
    <hyperlink r:id="rId996" ref="G218"/>
    <hyperlink r:id="rId997" ref="K218"/>
    <hyperlink r:id="rId998" ref="AL218"/>
    <hyperlink r:id="rId999" ref="AN218"/>
    <hyperlink r:id="rId1000" ref="G219"/>
    <hyperlink r:id="rId1001" ref="K219"/>
    <hyperlink r:id="rId1002" ref="AL219"/>
    <hyperlink r:id="rId1003" ref="AN219"/>
    <hyperlink r:id="rId1004" ref="AQ219"/>
    <hyperlink r:id="rId1005" ref="G220"/>
    <hyperlink r:id="rId1006" ref="K220"/>
    <hyperlink r:id="rId1007" ref="AL220"/>
    <hyperlink r:id="rId1008" ref="AN220"/>
    <hyperlink r:id="rId1009" ref="AQ220"/>
    <hyperlink r:id="rId1010" ref="G221"/>
    <hyperlink r:id="rId1011" ref="AL221"/>
    <hyperlink r:id="rId1012" ref="AN221"/>
    <hyperlink r:id="rId1013" ref="AQ221"/>
    <hyperlink r:id="rId1014" ref="G222"/>
    <hyperlink r:id="rId1015" ref="AL222"/>
    <hyperlink r:id="rId1016" ref="AN222"/>
    <hyperlink r:id="rId1017" ref="AQ222"/>
    <hyperlink r:id="rId1018" ref="G223"/>
    <hyperlink r:id="rId1019" ref="K223"/>
    <hyperlink r:id="rId1020" ref="AL223"/>
    <hyperlink r:id="rId1021" ref="AN223"/>
    <hyperlink r:id="rId1022" ref="AQ223"/>
    <hyperlink r:id="rId1023" ref="G224"/>
    <hyperlink r:id="rId1024" ref="K224"/>
    <hyperlink r:id="rId1025" ref="AL224"/>
    <hyperlink r:id="rId1026" ref="AN224"/>
    <hyperlink r:id="rId1027" ref="AQ224"/>
    <hyperlink r:id="rId1028" ref="G225"/>
    <hyperlink r:id="rId1029" ref="K225"/>
    <hyperlink r:id="rId1030" ref="AL225"/>
    <hyperlink r:id="rId1031" ref="AN225"/>
    <hyperlink r:id="rId1032" ref="AQ225"/>
    <hyperlink r:id="rId1033" ref="G226"/>
    <hyperlink r:id="rId1034" ref="K226"/>
    <hyperlink r:id="rId1035" ref="AL226"/>
    <hyperlink r:id="rId1036" ref="AN226"/>
    <hyperlink r:id="rId1037" ref="AQ226"/>
    <hyperlink r:id="rId1038" ref="G227"/>
    <hyperlink r:id="rId1039" ref="K227"/>
    <hyperlink r:id="rId1040" ref="AL227"/>
    <hyperlink r:id="rId1041" ref="AN227"/>
    <hyperlink r:id="rId1042" ref="AQ227"/>
    <hyperlink r:id="rId1043" ref="G228"/>
    <hyperlink r:id="rId1044" ref="K228"/>
    <hyperlink r:id="rId1045" ref="AL228"/>
    <hyperlink r:id="rId1046" ref="AN228"/>
    <hyperlink r:id="rId1047" ref="AQ228"/>
    <hyperlink r:id="rId1048" ref="G229"/>
    <hyperlink r:id="rId1049" ref="K229"/>
    <hyperlink r:id="rId1050" ref="AL229"/>
    <hyperlink r:id="rId1051" ref="AN229"/>
    <hyperlink r:id="rId1052" ref="AQ229"/>
    <hyperlink r:id="rId1053" ref="G230"/>
    <hyperlink r:id="rId1054" ref="K230"/>
    <hyperlink r:id="rId1055" ref="AL230"/>
    <hyperlink r:id="rId1056" ref="AN230"/>
    <hyperlink r:id="rId1057" ref="AQ230"/>
    <hyperlink r:id="rId1058" ref="G231"/>
    <hyperlink r:id="rId1059" ref="K231"/>
    <hyperlink r:id="rId1060" ref="AL231"/>
    <hyperlink r:id="rId1061" ref="AN231"/>
    <hyperlink r:id="rId1062" ref="G232"/>
    <hyperlink r:id="rId1063" ref="K232"/>
    <hyperlink r:id="rId1064" ref="AL232"/>
    <hyperlink r:id="rId1065" ref="AN232"/>
    <hyperlink r:id="rId1066" ref="AQ232"/>
    <hyperlink r:id="rId1067" ref="G233"/>
    <hyperlink r:id="rId1068" ref="K233"/>
    <hyperlink r:id="rId1069" ref="AL233"/>
    <hyperlink r:id="rId1070" ref="AN233"/>
    <hyperlink r:id="rId1071" ref="AQ233"/>
    <hyperlink r:id="rId1072" ref="G234"/>
    <hyperlink r:id="rId1073" ref="K234"/>
    <hyperlink r:id="rId1074" ref="AL234"/>
    <hyperlink r:id="rId1075" ref="AN234"/>
    <hyperlink r:id="rId1076" ref="AQ234"/>
    <hyperlink r:id="rId1077" ref="G235"/>
    <hyperlink r:id="rId1078" ref="K235"/>
    <hyperlink r:id="rId1079" ref="AL235"/>
    <hyperlink r:id="rId1080" ref="AN235"/>
    <hyperlink r:id="rId1081" ref="AQ235"/>
    <hyperlink r:id="rId1082" ref="G236"/>
    <hyperlink r:id="rId1083" ref="K236"/>
    <hyperlink r:id="rId1084" ref="AL236"/>
    <hyperlink r:id="rId1085" ref="AN236"/>
    <hyperlink r:id="rId1086" ref="G237"/>
    <hyperlink r:id="rId1087" ref="K237"/>
    <hyperlink r:id="rId1088" ref="AL237"/>
    <hyperlink r:id="rId1089" ref="AN237"/>
    <hyperlink r:id="rId1090" ref="G238"/>
    <hyperlink r:id="rId1091" ref="K238"/>
    <hyperlink r:id="rId1092" ref="AL238"/>
    <hyperlink r:id="rId1093" ref="AN238"/>
    <hyperlink r:id="rId1094" ref="G239"/>
    <hyperlink r:id="rId1095" ref="K239"/>
    <hyperlink r:id="rId1096" ref="AL239"/>
    <hyperlink r:id="rId1097" ref="AN239"/>
    <hyperlink r:id="rId1098" ref="AQ239"/>
    <hyperlink r:id="rId1099" ref="G240"/>
    <hyperlink r:id="rId1100" ref="K240"/>
    <hyperlink r:id="rId1101" ref="AL240"/>
    <hyperlink r:id="rId1102" ref="AN240"/>
    <hyperlink r:id="rId1103" ref="AQ240"/>
    <hyperlink r:id="rId1104" ref="G241"/>
    <hyperlink r:id="rId1105" ref="K241"/>
    <hyperlink r:id="rId1106" ref="AL241"/>
    <hyperlink r:id="rId1107" ref="AN241"/>
    <hyperlink r:id="rId1108" ref="AQ241"/>
    <hyperlink r:id="rId1109" ref="G242"/>
    <hyperlink r:id="rId1110" ref="K242"/>
    <hyperlink r:id="rId1111" ref="AL242"/>
    <hyperlink r:id="rId1112" ref="AN242"/>
    <hyperlink r:id="rId1113" ref="AQ242"/>
    <hyperlink r:id="rId1114" ref="G243"/>
    <hyperlink r:id="rId1115" ref="K243"/>
    <hyperlink r:id="rId1116" ref="AL243"/>
    <hyperlink r:id="rId1117" ref="AN243"/>
    <hyperlink r:id="rId1118" ref="AQ243"/>
    <hyperlink r:id="rId1119" ref="G244"/>
    <hyperlink r:id="rId1120" ref="K244"/>
    <hyperlink r:id="rId1121" ref="AL244"/>
    <hyperlink r:id="rId1122" ref="AN244"/>
    <hyperlink r:id="rId1123" ref="AQ244"/>
    <hyperlink r:id="rId1124" ref="G245"/>
    <hyperlink r:id="rId1125" ref="K245"/>
    <hyperlink r:id="rId1126" ref="AL245"/>
    <hyperlink r:id="rId1127" ref="AN245"/>
    <hyperlink r:id="rId1128" ref="AQ245"/>
    <hyperlink r:id="rId1129" ref="G246"/>
    <hyperlink r:id="rId1130" ref="K246"/>
    <hyperlink r:id="rId1131" ref="AL246"/>
    <hyperlink r:id="rId1132" ref="AN246"/>
    <hyperlink r:id="rId1133" ref="AQ246"/>
    <hyperlink r:id="rId1134" ref="G247"/>
    <hyperlink r:id="rId1135" ref="K247"/>
    <hyperlink r:id="rId1136" ref="AL247"/>
    <hyperlink r:id="rId1137" ref="AN247"/>
    <hyperlink r:id="rId1138" ref="AQ247"/>
    <hyperlink r:id="rId1139" ref="G248"/>
    <hyperlink r:id="rId1140" ref="K248"/>
    <hyperlink r:id="rId1141" ref="AL248"/>
    <hyperlink r:id="rId1142" ref="AN248"/>
    <hyperlink r:id="rId1143" ref="AQ248"/>
    <hyperlink r:id="rId1144" ref="G249"/>
    <hyperlink r:id="rId1145" ref="K249"/>
    <hyperlink r:id="rId1146" ref="AL249"/>
    <hyperlink r:id="rId1147" ref="AN249"/>
    <hyperlink r:id="rId1148" ref="AQ249"/>
    <hyperlink r:id="rId1149" ref="G250"/>
    <hyperlink r:id="rId1150" ref="K250"/>
    <hyperlink r:id="rId1151" ref="AL250"/>
    <hyperlink r:id="rId1152" ref="AN250"/>
    <hyperlink r:id="rId1153" ref="AQ250"/>
    <hyperlink r:id="rId1154" ref="G251"/>
    <hyperlink r:id="rId1155" ref="K251"/>
    <hyperlink r:id="rId1156" ref="AL251"/>
    <hyperlink r:id="rId1157" ref="AN251"/>
    <hyperlink r:id="rId1158" ref="AQ251"/>
    <hyperlink r:id="rId1159" ref="G252"/>
    <hyperlink r:id="rId1160" ref="K252"/>
    <hyperlink r:id="rId1161" ref="AL252"/>
    <hyperlink r:id="rId1162" ref="AN252"/>
    <hyperlink r:id="rId1163" ref="AQ252"/>
    <hyperlink r:id="rId1164" ref="G253"/>
    <hyperlink r:id="rId1165" ref="K253"/>
    <hyperlink r:id="rId1166" ref="AL253"/>
    <hyperlink r:id="rId1167" ref="AN253"/>
    <hyperlink r:id="rId1168" ref="AQ253"/>
    <hyperlink r:id="rId1169" ref="G254"/>
    <hyperlink r:id="rId1170" ref="AL254"/>
    <hyperlink r:id="rId1171" ref="AN254"/>
    <hyperlink r:id="rId1172" ref="AQ254"/>
    <hyperlink r:id="rId1173" ref="G255"/>
    <hyperlink r:id="rId1174" ref="K255"/>
    <hyperlink r:id="rId1175" ref="AL255"/>
    <hyperlink r:id="rId1176" ref="AN255"/>
    <hyperlink r:id="rId1177" ref="AQ255"/>
    <hyperlink r:id="rId1178" ref="G256"/>
    <hyperlink r:id="rId1179" ref="K256"/>
    <hyperlink r:id="rId1180" ref="AL256"/>
    <hyperlink r:id="rId1181" ref="AN256"/>
    <hyperlink r:id="rId1182" ref="AQ256"/>
    <hyperlink r:id="rId1183" ref="G257"/>
    <hyperlink r:id="rId1184" ref="K257"/>
    <hyperlink r:id="rId1185" ref="AL257"/>
    <hyperlink r:id="rId1186" ref="AN257"/>
    <hyperlink r:id="rId1187" ref="AQ257"/>
    <hyperlink r:id="rId1188" ref="G258"/>
    <hyperlink r:id="rId1189" ref="K258"/>
    <hyperlink r:id="rId1190" ref="AL258"/>
    <hyperlink r:id="rId1191" ref="AN258"/>
    <hyperlink r:id="rId1192" ref="AQ258"/>
    <hyperlink r:id="rId1193" ref="G259"/>
    <hyperlink r:id="rId1194" ref="K259"/>
    <hyperlink r:id="rId1195" ref="AL259"/>
    <hyperlink r:id="rId1196" ref="AN259"/>
    <hyperlink r:id="rId1197" ref="AQ259"/>
    <hyperlink r:id="rId1198" ref="G260"/>
    <hyperlink r:id="rId1199" ref="K260"/>
    <hyperlink r:id="rId1200" ref="AL260"/>
    <hyperlink r:id="rId1201" ref="AN260"/>
    <hyperlink r:id="rId1202" ref="AQ260"/>
    <hyperlink r:id="rId1203" ref="G261"/>
    <hyperlink r:id="rId1204" ref="K261"/>
    <hyperlink r:id="rId1205" ref="AL261"/>
    <hyperlink r:id="rId1206" ref="AN261"/>
    <hyperlink r:id="rId1207" ref="AQ261"/>
    <hyperlink r:id="rId1208" ref="G262"/>
    <hyperlink r:id="rId1209" ref="K262"/>
    <hyperlink r:id="rId1210" ref="AL262"/>
    <hyperlink r:id="rId1211" ref="AN262"/>
    <hyperlink r:id="rId1212" ref="AQ262"/>
    <hyperlink r:id="rId1213" ref="G263"/>
    <hyperlink r:id="rId1214" ref="K263"/>
    <hyperlink r:id="rId1215" ref="AL263"/>
    <hyperlink r:id="rId1216" ref="AN263"/>
    <hyperlink r:id="rId1217" ref="AQ263"/>
    <hyperlink r:id="rId1218" ref="G264"/>
    <hyperlink r:id="rId1219" ref="K264"/>
    <hyperlink r:id="rId1220" ref="AL264"/>
    <hyperlink r:id="rId1221" ref="AN264"/>
    <hyperlink r:id="rId1222" ref="AQ264"/>
    <hyperlink r:id="rId1223" ref="G265"/>
    <hyperlink r:id="rId1224" ref="AL265"/>
    <hyperlink r:id="rId1225" ref="AN265"/>
    <hyperlink r:id="rId1226" ref="AQ265"/>
    <hyperlink r:id="rId1227" ref="G266"/>
    <hyperlink r:id="rId1228" ref="AL266"/>
    <hyperlink r:id="rId1229" ref="AN266"/>
    <hyperlink r:id="rId1230" ref="AQ266"/>
    <hyperlink r:id="rId1231" ref="G267"/>
    <hyperlink r:id="rId1232" ref="AL267"/>
    <hyperlink r:id="rId1233" ref="AN267"/>
    <hyperlink r:id="rId1234" ref="AQ267"/>
    <hyperlink r:id="rId1235" ref="G268"/>
    <hyperlink r:id="rId1236" ref="AL268"/>
    <hyperlink r:id="rId1237" ref="AN268"/>
    <hyperlink r:id="rId1238" ref="AQ268"/>
    <hyperlink r:id="rId1239" ref="G269"/>
    <hyperlink r:id="rId1240" ref="G270"/>
    <hyperlink r:id="rId1241" ref="K270"/>
    <hyperlink r:id="rId1242" ref="AL270"/>
    <hyperlink r:id="rId1243" ref="AN270"/>
    <hyperlink r:id="rId1244" ref="AQ270"/>
    <hyperlink r:id="rId1245" ref="G271"/>
    <hyperlink r:id="rId1246" ref="K271"/>
    <hyperlink r:id="rId1247" ref="AL271"/>
    <hyperlink r:id="rId1248" ref="AN271"/>
    <hyperlink r:id="rId1249" ref="AQ271"/>
    <hyperlink r:id="rId1250" ref="G272"/>
    <hyperlink r:id="rId1251" ref="K272"/>
    <hyperlink r:id="rId1252" ref="AL272"/>
    <hyperlink r:id="rId1253" ref="AN272"/>
    <hyperlink r:id="rId1254" ref="AQ272"/>
    <hyperlink r:id="rId1255" ref="G273"/>
    <hyperlink r:id="rId1256" ref="K273"/>
    <hyperlink r:id="rId1257" ref="AL273"/>
    <hyperlink r:id="rId1258" ref="AN273"/>
    <hyperlink r:id="rId1259" ref="G274"/>
    <hyperlink r:id="rId1260" ref="K274"/>
    <hyperlink r:id="rId1261" ref="AL274"/>
    <hyperlink r:id="rId1262" ref="AN274"/>
    <hyperlink r:id="rId1263" ref="AQ274"/>
    <hyperlink r:id="rId1264" ref="G275"/>
    <hyperlink r:id="rId1265" ref="K275"/>
    <hyperlink r:id="rId1266" ref="AL275"/>
    <hyperlink r:id="rId1267" ref="AN275"/>
    <hyperlink r:id="rId1268" ref="AQ275"/>
    <hyperlink r:id="rId1269" ref="G276"/>
    <hyperlink r:id="rId1270" ref="K276"/>
    <hyperlink r:id="rId1271" ref="AL276"/>
    <hyperlink r:id="rId1272" ref="AN276"/>
    <hyperlink r:id="rId1273" ref="AQ276"/>
    <hyperlink r:id="rId1274" ref="G277"/>
    <hyperlink r:id="rId1275" ref="K277"/>
    <hyperlink r:id="rId1276" ref="AL277"/>
    <hyperlink r:id="rId1277" ref="AN277"/>
    <hyperlink r:id="rId1278" ref="AQ277"/>
    <hyperlink r:id="rId1279" ref="G278"/>
    <hyperlink r:id="rId1280" ref="K278"/>
    <hyperlink r:id="rId1281" ref="AL278"/>
    <hyperlink r:id="rId1282" ref="AN278"/>
    <hyperlink r:id="rId1283" ref="AQ278"/>
    <hyperlink r:id="rId1284" ref="G279"/>
    <hyperlink r:id="rId1285" ref="K279"/>
    <hyperlink r:id="rId1286" ref="AL279"/>
    <hyperlink r:id="rId1287" ref="AN279"/>
    <hyperlink r:id="rId1288" ref="AQ279"/>
    <hyperlink r:id="rId1289" ref="G280"/>
    <hyperlink r:id="rId1290" ref="K280"/>
    <hyperlink r:id="rId1291" ref="AL280"/>
    <hyperlink r:id="rId1292" ref="AN280"/>
    <hyperlink r:id="rId1293" ref="AQ280"/>
    <hyperlink r:id="rId1294" ref="G281"/>
    <hyperlink r:id="rId1295" ref="K281"/>
    <hyperlink r:id="rId1296" ref="AL281"/>
    <hyperlink r:id="rId1297" ref="AN281"/>
    <hyperlink r:id="rId1298" ref="AQ281"/>
    <hyperlink r:id="rId1299" ref="G282"/>
    <hyperlink r:id="rId1300" ref="K282"/>
    <hyperlink r:id="rId1301" ref="AL282"/>
    <hyperlink r:id="rId1302" ref="AN282"/>
    <hyperlink r:id="rId1303" ref="AQ282"/>
    <hyperlink r:id="rId1304" ref="G283"/>
    <hyperlink r:id="rId1305" ref="K283"/>
    <hyperlink r:id="rId1306" ref="AL283"/>
    <hyperlink r:id="rId1307" ref="AN283"/>
    <hyperlink r:id="rId1308" ref="AQ283"/>
    <hyperlink r:id="rId1309" ref="G284"/>
    <hyperlink r:id="rId1310" ref="AL284"/>
    <hyperlink r:id="rId1311" ref="AN284"/>
    <hyperlink r:id="rId1312" ref="G285"/>
    <hyperlink r:id="rId1313" ref="AL285"/>
    <hyperlink r:id="rId1314" ref="AN285"/>
    <hyperlink r:id="rId1315" ref="G286"/>
    <hyperlink r:id="rId1316" ref="K286"/>
    <hyperlink r:id="rId1317" ref="AL286"/>
    <hyperlink r:id="rId1318" ref="AN286"/>
    <hyperlink r:id="rId1319" ref="AQ286"/>
    <hyperlink r:id="rId1320" ref="G287"/>
    <hyperlink r:id="rId1321" ref="K287"/>
    <hyperlink r:id="rId1322" ref="AL287"/>
    <hyperlink r:id="rId1323" ref="AN287"/>
    <hyperlink r:id="rId1324" ref="AQ287"/>
    <hyperlink r:id="rId1325" ref="G288"/>
    <hyperlink r:id="rId1326" ref="K288"/>
    <hyperlink r:id="rId1327" ref="AL288"/>
    <hyperlink r:id="rId1328" ref="AN288"/>
    <hyperlink r:id="rId1329" ref="AQ288"/>
    <hyperlink r:id="rId1330" ref="G289"/>
    <hyperlink r:id="rId1331" ref="AL289"/>
    <hyperlink r:id="rId1332" ref="AN289"/>
    <hyperlink r:id="rId1333" ref="AQ289"/>
    <hyperlink r:id="rId1334" ref="G290"/>
    <hyperlink r:id="rId1335" ref="K290"/>
    <hyperlink r:id="rId1336" ref="AL290"/>
    <hyperlink r:id="rId1337" ref="AN290"/>
    <hyperlink r:id="rId1338" ref="AQ290"/>
    <hyperlink r:id="rId1339" ref="G291"/>
    <hyperlink r:id="rId1340" ref="K291"/>
    <hyperlink r:id="rId1341" ref="AL291"/>
    <hyperlink r:id="rId1342" ref="AN291"/>
    <hyperlink r:id="rId1343" ref="AQ291"/>
    <hyperlink r:id="rId1344" ref="G292"/>
    <hyperlink r:id="rId1345" ref="K292"/>
    <hyperlink r:id="rId1346" ref="AL292"/>
    <hyperlink r:id="rId1347" ref="AN292"/>
    <hyperlink r:id="rId1348" ref="AQ292"/>
    <hyperlink r:id="rId1349" ref="G293"/>
    <hyperlink r:id="rId1350" ref="K293"/>
    <hyperlink r:id="rId1351" ref="AL293"/>
    <hyperlink r:id="rId1352" ref="AN293"/>
    <hyperlink r:id="rId1353" ref="AQ293"/>
    <hyperlink r:id="rId1354" ref="G294"/>
    <hyperlink r:id="rId1355" ref="K294"/>
    <hyperlink r:id="rId1356" ref="AL294"/>
    <hyperlink r:id="rId1357" ref="AN294"/>
    <hyperlink r:id="rId1358" ref="AQ294"/>
    <hyperlink r:id="rId1359" ref="G295"/>
    <hyperlink r:id="rId1360" ref="K295"/>
    <hyperlink r:id="rId1361" ref="AL295"/>
    <hyperlink r:id="rId1362" ref="AN295"/>
    <hyperlink r:id="rId1363" ref="AQ295"/>
    <hyperlink r:id="rId1364" ref="G296"/>
    <hyperlink r:id="rId1365" ref="K296"/>
    <hyperlink r:id="rId1366" ref="AL296"/>
    <hyperlink r:id="rId1367" ref="AN296"/>
    <hyperlink r:id="rId1368" ref="AQ296"/>
    <hyperlink r:id="rId1369" ref="G297"/>
    <hyperlink r:id="rId1370" ref="K297"/>
    <hyperlink r:id="rId1371" ref="AL297"/>
    <hyperlink r:id="rId1372" ref="AN297"/>
    <hyperlink r:id="rId1373" ref="AQ297"/>
    <hyperlink r:id="rId1374" ref="G298"/>
    <hyperlink r:id="rId1375" ref="K298"/>
    <hyperlink r:id="rId1376" ref="AL298"/>
    <hyperlink r:id="rId1377" ref="AN298"/>
    <hyperlink r:id="rId1378" ref="AQ298"/>
    <hyperlink r:id="rId1379" ref="G299"/>
    <hyperlink r:id="rId1380" ref="K299"/>
    <hyperlink r:id="rId1381" ref="AL299"/>
    <hyperlink r:id="rId1382" ref="AN299"/>
    <hyperlink r:id="rId1383" ref="AQ299"/>
    <hyperlink r:id="rId1384" ref="G300"/>
    <hyperlink r:id="rId1385" ref="K300"/>
    <hyperlink r:id="rId1386" ref="AL300"/>
    <hyperlink r:id="rId1387" ref="AN300"/>
    <hyperlink r:id="rId1388" ref="AQ300"/>
    <hyperlink r:id="rId1389" ref="G301"/>
    <hyperlink r:id="rId1390" ref="K301"/>
    <hyperlink r:id="rId1391" ref="AL301"/>
    <hyperlink r:id="rId1392" ref="AN301"/>
    <hyperlink r:id="rId1393" ref="AQ301"/>
    <hyperlink r:id="rId1394" ref="G302"/>
    <hyperlink r:id="rId1395" ref="K302"/>
    <hyperlink r:id="rId1396" ref="AL302"/>
    <hyperlink r:id="rId1397" ref="AN302"/>
    <hyperlink r:id="rId1398" ref="AQ302"/>
    <hyperlink r:id="rId1399" ref="G303"/>
    <hyperlink r:id="rId1400" ref="K303"/>
    <hyperlink r:id="rId1401" ref="AL303"/>
    <hyperlink r:id="rId1402" ref="AN303"/>
    <hyperlink r:id="rId1403" ref="AQ303"/>
    <hyperlink r:id="rId1404" ref="G304"/>
    <hyperlink r:id="rId1405" ref="K304"/>
    <hyperlink r:id="rId1406" ref="AL304"/>
    <hyperlink r:id="rId1407" ref="AN304"/>
    <hyperlink r:id="rId1408" ref="G305"/>
    <hyperlink r:id="rId1409" ref="K305"/>
    <hyperlink r:id="rId1410" ref="AL305"/>
    <hyperlink r:id="rId1411" ref="AN305"/>
    <hyperlink r:id="rId1412" ref="AQ305"/>
    <hyperlink r:id="rId1413" ref="G306"/>
    <hyperlink r:id="rId1414" ref="K306"/>
    <hyperlink r:id="rId1415" ref="AL306"/>
    <hyperlink r:id="rId1416" ref="AN306"/>
    <hyperlink r:id="rId1417" ref="AQ306"/>
    <hyperlink r:id="rId1418" ref="G307"/>
    <hyperlink r:id="rId1419" ref="K307"/>
    <hyperlink r:id="rId1420" ref="AL307"/>
    <hyperlink r:id="rId1421" ref="AN307"/>
    <hyperlink r:id="rId1422" ref="AQ307"/>
    <hyperlink r:id="rId1423" ref="G308"/>
    <hyperlink r:id="rId1424" ref="K308"/>
    <hyperlink r:id="rId1425" ref="AL308"/>
    <hyperlink r:id="rId1426" ref="AN308"/>
    <hyperlink r:id="rId1427" ref="AQ308"/>
    <hyperlink r:id="rId1428" ref="G309"/>
    <hyperlink r:id="rId1429" ref="AL309"/>
    <hyperlink r:id="rId1430" ref="AN309"/>
    <hyperlink r:id="rId1431" ref="AQ309"/>
    <hyperlink r:id="rId1432" ref="G310"/>
    <hyperlink r:id="rId1433" ref="K310"/>
    <hyperlink r:id="rId1434" ref="AL310"/>
    <hyperlink r:id="rId1435" ref="AN310"/>
    <hyperlink r:id="rId1436" ref="AQ310"/>
    <hyperlink r:id="rId1437" ref="G311"/>
    <hyperlink r:id="rId1438" ref="AL311"/>
    <hyperlink r:id="rId1439" ref="AN311"/>
    <hyperlink r:id="rId1440" ref="AQ311"/>
    <hyperlink r:id="rId1441" ref="G312"/>
    <hyperlink r:id="rId1442" ref="AL312"/>
    <hyperlink r:id="rId1443" ref="AN312"/>
    <hyperlink r:id="rId1444" ref="AQ312"/>
    <hyperlink r:id="rId1445" ref="G313"/>
    <hyperlink r:id="rId1446" ref="AL313"/>
    <hyperlink r:id="rId1447" ref="AN313"/>
    <hyperlink r:id="rId1448" ref="AQ313"/>
    <hyperlink r:id="rId1449" ref="G314"/>
    <hyperlink r:id="rId1450" ref="AL314"/>
    <hyperlink r:id="rId1451" ref="AN314"/>
    <hyperlink r:id="rId1452" ref="AQ314"/>
    <hyperlink r:id="rId1453" ref="G315"/>
    <hyperlink r:id="rId1454" ref="AL315"/>
    <hyperlink r:id="rId1455" ref="AN315"/>
    <hyperlink r:id="rId1456" ref="AQ315"/>
    <hyperlink r:id="rId1457" ref="G316"/>
    <hyperlink r:id="rId1458" ref="AL316"/>
    <hyperlink r:id="rId1459" ref="AN316"/>
    <hyperlink r:id="rId1460" ref="AQ316"/>
    <hyperlink r:id="rId1461" ref="G317"/>
    <hyperlink r:id="rId1462" ref="AL317"/>
    <hyperlink r:id="rId1463" ref="AN317"/>
    <hyperlink r:id="rId1464" ref="AQ317"/>
    <hyperlink r:id="rId1465" ref="G318"/>
    <hyperlink r:id="rId1466" ref="AL318"/>
    <hyperlink r:id="rId1467" ref="AN318"/>
    <hyperlink r:id="rId1468" ref="AQ318"/>
    <hyperlink r:id="rId1469" ref="G319"/>
    <hyperlink r:id="rId1470" ref="AL319"/>
    <hyperlink r:id="rId1471" ref="AN319"/>
    <hyperlink r:id="rId1472" ref="AQ319"/>
    <hyperlink r:id="rId1473" ref="G320"/>
    <hyperlink r:id="rId1474" ref="K320"/>
    <hyperlink r:id="rId1475" ref="AL320"/>
    <hyperlink r:id="rId1476" ref="AN320"/>
    <hyperlink r:id="rId1477" ref="AQ320"/>
    <hyperlink r:id="rId1478" ref="G321"/>
    <hyperlink r:id="rId1479" ref="K321"/>
    <hyperlink r:id="rId1480" ref="AL321"/>
    <hyperlink r:id="rId1481" ref="AN321"/>
    <hyperlink r:id="rId1482" ref="AQ321"/>
    <hyperlink r:id="rId1483" ref="G322"/>
    <hyperlink r:id="rId1484" ref="K322"/>
    <hyperlink r:id="rId1485" ref="AL322"/>
    <hyperlink r:id="rId1486" ref="AN322"/>
    <hyperlink r:id="rId1487" ref="AQ322"/>
    <hyperlink r:id="rId1488" ref="G323"/>
    <hyperlink r:id="rId1489" ref="K323"/>
    <hyperlink r:id="rId1490" ref="AL323"/>
    <hyperlink r:id="rId1491" ref="AN323"/>
    <hyperlink r:id="rId1492" ref="AQ323"/>
    <hyperlink r:id="rId1493" ref="G324"/>
    <hyperlink r:id="rId1494" ref="AL324"/>
    <hyperlink r:id="rId1495" ref="AN324"/>
    <hyperlink r:id="rId1496" ref="AQ324"/>
    <hyperlink r:id="rId1497" ref="G325"/>
    <hyperlink r:id="rId1498" ref="K325"/>
    <hyperlink r:id="rId1499" ref="AL325"/>
    <hyperlink r:id="rId1500" ref="AN325"/>
    <hyperlink r:id="rId1501" ref="AQ325"/>
    <hyperlink r:id="rId1502" ref="G326"/>
    <hyperlink r:id="rId1503" ref="K326"/>
    <hyperlink r:id="rId1504" ref="AL326"/>
    <hyperlink r:id="rId1505" ref="AN326"/>
    <hyperlink r:id="rId1506" ref="AQ326"/>
    <hyperlink r:id="rId1507" ref="G327"/>
    <hyperlink r:id="rId1508" ref="K327"/>
    <hyperlink r:id="rId1509" ref="AL327"/>
    <hyperlink r:id="rId1510" ref="AN327"/>
    <hyperlink r:id="rId1511" ref="AQ327"/>
    <hyperlink r:id="rId1512" ref="G328"/>
    <hyperlink r:id="rId1513" ref="K328"/>
    <hyperlink r:id="rId1514" ref="AL328"/>
    <hyperlink r:id="rId1515" ref="AN328"/>
    <hyperlink r:id="rId1516" ref="AQ328"/>
    <hyperlink r:id="rId1517" ref="G329"/>
    <hyperlink r:id="rId1518" ref="K329"/>
    <hyperlink r:id="rId1519" ref="AL329"/>
    <hyperlink r:id="rId1520" ref="AN329"/>
    <hyperlink r:id="rId1521" ref="G330"/>
    <hyperlink r:id="rId1522" ref="AL330"/>
    <hyperlink r:id="rId1523" ref="AN330"/>
    <hyperlink r:id="rId1524" ref="G331"/>
    <hyperlink r:id="rId1525" ref="K331"/>
    <hyperlink r:id="rId1526" ref="AL331"/>
    <hyperlink r:id="rId1527" ref="AN331"/>
    <hyperlink r:id="rId1528" ref="AQ331"/>
    <hyperlink r:id="rId1529" ref="G332"/>
    <hyperlink r:id="rId1530" ref="K332"/>
    <hyperlink r:id="rId1531" ref="AL332"/>
    <hyperlink r:id="rId1532" ref="AN332"/>
    <hyperlink r:id="rId1533" ref="AQ332"/>
    <hyperlink r:id="rId1534" ref="G333"/>
    <hyperlink r:id="rId1535" ref="K333"/>
    <hyperlink r:id="rId1536" ref="AL333"/>
    <hyperlink r:id="rId1537" ref="AN333"/>
    <hyperlink r:id="rId1538" ref="AQ333"/>
    <hyperlink r:id="rId1539" ref="G334"/>
    <hyperlink r:id="rId1540" ref="AL334"/>
    <hyperlink r:id="rId1541" ref="AN334"/>
    <hyperlink r:id="rId1542" ref="AQ334"/>
    <hyperlink r:id="rId1543" ref="G335"/>
    <hyperlink r:id="rId1544" ref="K335"/>
    <hyperlink r:id="rId1545" ref="AL335"/>
    <hyperlink r:id="rId1546" ref="AN335"/>
    <hyperlink r:id="rId1547" ref="AQ335"/>
    <hyperlink r:id="rId1548" ref="G336"/>
    <hyperlink r:id="rId1549" ref="AL336"/>
    <hyperlink r:id="rId1550" ref="AN336"/>
    <hyperlink r:id="rId1551" ref="G337"/>
    <hyperlink r:id="rId1552" ref="AL337"/>
    <hyperlink r:id="rId1553" ref="AN337"/>
    <hyperlink r:id="rId1554" ref="AQ337"/>
    <hyperlink r:id="rId1555" ref="G338"/>
    <hyperlink r:id="rId1556" ref="AL338"/>
    <hyperlink r:id="rId1557" ref="AN338"/>
    <hyperlink r:id="rId1558" ref="AQ338"/>
    <hyperlink r:id="rId1559" ref="G339"/>
    <hyperlink r:id="rId1560" ref="K339"/>
    <hyperlink r:id="rId1561" ref="AL339"/>
    <hyperlink r:id="rId1562" ref="AN339"/>
    <hyperlink r:id="rId1563" ref="AQ339"/>
    <hyperlink r:id="rId1564" ref="G340"/>
    <hyperlink r:id="rId1565" ref="K340"/>
    <hyperlink r:id="rId1566" ref="AL340"/>
    <hyperlink r:id="rId1567" ref="AN340"/>
    <hyperlink r:id="rId1568" ref="AQ340"/>
    <hyperlink r:id="rId1569" ref="G341"/>
    <hyperlink r:id="rId1570" ref="K341"/>
    <hyperlink r:id="rId1571" ref="AL341"/>
    <hyperlink r:id="rId1572" ref="AN341"/>
    <hyperlink r:id="rId1573" ref="AQ341"/>
    <hyperlink r:id="rId1574" ref="G342"/>
    <hyperlink r:id="rId1575" ref="K342"/>
    <hyperlink r:id="rId1576" ref="AL342"/>
    <hyperlink r:id="rId1577" ref="AN342"/>
    <hyperlink r:id="rId1578" ref="AQ342"/>
    <hyperlink r:id="rId1579" ref="G343"/>
    <hyperlink r:id="rId1580" ref="K343"/>
    <hyperlink r:id="rId1581" ref="AL343"/>
    <hyperlink r:id="rId1582" ref="AN343"/>
    <hyperlink r:id="rId1583" ref="AQ343"/>
    <hyperlink r:id="rId1584" ref="G344"/>
    <hyperlink r:id="rId1585" ref="K344"/>
    <hyperlink r:id="rId1586" ref="AL344"/>
    <hyperlink r:id="rId1587" ref="AN344"/>
    <hyperlink r:id="rId1588" ref="AQ344"/>
    <hyperlink r:id="rId1589" ref="G345"/>
    <hyperlink r:id="rId1590" ref="K345"/>
    <hyperlink r:id="rId1591" ref="AL345"/>
    <hyperlink r:id="rId1592" ref="AN345"/>
    <hyperlink r:id="rId1593" ref="AQ345"/>
    <hyperlink r:id="rId1594" ref="G346"/>
    <hyperlink r:id="rId1595" ref="AL346"/>
    <hyperlink r:id="rId1596" ref="AN346"/>
    <hyperlink r:id="rId1597" ref="AQ346"/>
    <hyperlink r:id="rId1598" ref="G347"/>
    <hyperlink r:id="rId1599" ref="AL347"/>
    <hyperlink r:id="rId1600" ref="AN347"/>
    <hyperlink r:id="rId1601" ref="AQ347"/>
    <hyperlink r:id="rId1602" ref="G348"/>
    <hyperlink r:id="rId1603" ref="K348"/>
    <hyperlink r:id="rId1604" ref="AL348"/>
    <hyperlink r:id="rId1605" ref="AN348"/>
    <hyperlink r:id="rId1606" ref="AQ348"/>
    <hyperlink r:id="rId1607" ref="G349"/>
    <hyperlink r:id="rId1608" ref="K349"/>
    <hyperlink r:id="rId1609" ref="AL349"/>
    <hyperlink r:id="rId1610" ref="AN349"/>
    <hyperlink r:id="rId1611" ref="AQ349"/>
    <hyperlink r:id="rId1612" ref="G350"/>
    <hyperlink r:id="rId1613" ref="K350"/>
    <hyperlink r:id="rId1614" ref="AL350"/>
    <hyperlink r:id="rId1615" ref="AN350"/>
    <hyperlink r:id="rId1616" ref="AQ350"/>
    <hyperlink r:id="rId1617" ref="G351"/>
    <hyperlink r:id="rId1618" ref="K351"/>
    <hyperlink r:id="rId1619" ref="AL351"/>
    <hyperlink r:id="rId1620" ref="AN351"/>
    <hyperlink r:id="rId1621" ref="AQ351"/>
    <hyperlink r:id="rId1622" ref="G352"/>
    <hyperlink r:id="rId1623" ref="K352"/>
    <hyperlink r:id="rId1624" ref="AL352"/>
    <hyperlink r:id="rId1625" ref="AN352"/>
    <hyperlink r:id="rId1626" ref="AQ352"/>
    <hyperlink r:id="rId1627" ref="G353"/>
    <hyperlink r:id="rId1628" ref="K353"/>
    <hyperlink r:id="rId1629" ref="AL353"/>
    <hyperlink r:id="rId1630" ref="AN353"/>
    <hyperlink r:id="rId1631" ref="AQ353"/>
    <hyperlink r:id="rId1632" ref="G354"/>
    <hyperlink r:id="rId1633" ref="G355"/>
    <hyperlink r:id="rId1634" ref="K355"/>
    <hyperlink r:id="rId1635" ref="AL355"/>
    <hyperlink r:id="rId1636" ref="AN355"/>
    <hyperlink r:id="rId1637" ref="AQ355"/>
    <hyperlink r:id="rId1638" ref="G356"/>
    <hyperlink r:id="rId1639" ref="K356"/>
    <hyperlink r:id="rId1640" ref="AL356"/>
    <hyperlink r:id="rId1641" ref="AN356"/>
    <hyperlink r:id="rId1642" ref="AQ356"/>
    <hyperlink r:id="rId1643" ref="G357"/>
    <hyperlink r:id="rId1644" ref="K357"/>
    <hyperlink r:id="rId1645" ref="AL357"/>
    <hyperlink r:id="rId1646" ref="AN357"/>
    <hyperlink r:id="rId1647" ref="AQ357"/>
    <hyperlink r:id="rId1648" ref="G358"/>
    <hyperlink r:id="rId1649" ref="K358"/>
    <hyperlink r:id="rId1650" ref="AL358"/>
    <hyperlink r:id="rId1651" ref="AN358"/>
    <hyperlink r:id="rId1652" ref="AQ358"/>
    <hyperlink r:id="rId1653" ref="G359"/>
    <hyperlink r:id="rId1654" ref="K359"/>
    <hyperlink r:id="rId1655" ref="AL359"/>
    <hyperlink r:id="rId1656" ref="AN359"/>
    <hyperlink r:id="rId1657" ref="AQ359"/>
    <hyperlink r:id="rId1658" ref="G360"/>
    <hyperlink r:id="rId1659" ref="K360"/>
    <hyperlink r:id="rId1660" ref="AL360"/>
    <hyperlink r:id="rId1661" ref="AN360"/>
    <hyperlink r:id="rId1662" ref="AQ360"/>
    <hyperlink r:id="rId1663" ref="G361"/>
    <hyperlink r:id="rId1664" ref="K361"/>
    <hyperlink r:id="rId1665" ref="AL361"/>
    <hyperlink r:id="rId1666" ref="AN361"/>
    <hyperlink r:id="rId1667" ref="AQ361"/>
    <hyperlink r:id="rId1668" ref="G362"/>
    <hyperlink r:id="rId1669" ref="K362"/>
    <hyperlink r:id="rId1670" ref="AL362"/>
    <hyperlink r:id="rId1671" ref="AN362"/>
    <hyperlink r:id="rId1672" ref="AQ362"/>
    <hyperlink r:id="rId1673" ref="G363"/>
    <hyperlink r:id="rId1674" ref="AL363"/>
    <hyperlink r:id="rId1675" ref="AN363"/>
    <hyperlink r:id="rId1676" ref="AQ363"/>
    <hyperlink r:id="rId1677" ref="G364"/>
    <hyperlink r:id="rId1678" ref="AL364"/>
    <hyperlink r:id="rId1679" ref="AN364"/>
    <hyperlink r:id="rId1680" ref="G365"/>
    <hyperlink r:id="rId1681" ref="AL365"/>
    <hyperlink r:id="rId1682" ref="AN365"/>
    <hyperlink r:id="rId1683" ref="AQ365"/>
    <hyperlink r:id="rId1684" ref="G366"/>
    <hyperlink r:id="rId1685" ref="K366"/>
    <hyperlink r:id="rId1686" ref="AL366"/>
    <hyperlink r:id="rId1687" ref="AN366"/>
    <hyperlink r:id="rId1688" ref="AQ366"/>
    <hyperlink r:id="rId1689" ref="G367"/>
    <hyperlink r:id="rId1690" ref="AL367"/>
    <hyperlink r:id="rId1691" ref="AN367"/>
    <hyperlink r:id="rId1692" ref="AQ367"/>
    <hyperlink r:id="rId1693" ref="G368"/>
    <hyperlink r:id="rId1694" ref="AL368"/>
    <hyperlink r:id="rId1695" ref="AN368"/>
    <hyperlink r:id="rId1696" ref="AQ368"/>
    <hyperlink r:id="rId1697" ref="G369"/>
    <hyperlink r:id="rId1698" ref="K369"/>
    <hyperlink r:id="rId1699" ref="AL369"/>
    <hyperlink r:id="rId1700" ref="AN369"/>
    <hyperlink r:id="rId1701" ref="G370"/>
    <hyperlink r:id="rId1702" ref="K370"/>
    <hyperlink r:id="rId1703" ref="AL370"/>
    <hyperlink r:id="rId1704" ref="AN370"/>
    <hyperlink r:id="rId1705" ref="AQ370"/>
    <hyperlink r:id="rId1706" ref="G371"/>
    <hyperlink r:id="rId1707" ref="K371"/>
    <hyperlink r:id="rId1708" ref="AL371"/>
    <hyperlink r:id="rId1709" ref="AN371"/>
    <hyperlink r:id="rId1710" ref="AQ371"/>
    <hyperlink r:id="rId1711" ref="G372"/>
    <hyperlink r:id="rId1712" ref="K372"/>
    <hyperlink r:id="rId1713" ref="AL372"/>
    <hyperlink r:id="rId1714" ref="AN372"/>
    <hyperlink r:id="rId1715" ref="AQ372"/>
    <hyperlink r:id="rId1716" ref="G373"/>
    <hyperlink r:id="rId1717" ref="K373"/>
    <hyperlink r:id="rId1718" ref="AL373"/>
    <hyperlink r:id="rId1719" ref="AN373"/>
    <hyperlink r:id="rId1720" ref="AQ373"/>
    <hyperlink r:id="rId1721" ref="G374"/>
    <hyperlink r:id="rId1722" ref="AL374"/>
    <hyperlink r:id="rId1723" ref="AN374"/>
    <hyperlink r:id="rId1724" ref="G375"/>
    <hyperlink r:id="rId1725" ref="K375"/>
    <hyperlink r:id="rId1726" ref="AL375"/>
    <hyperlink r:id="rId1727" ref="AN375"/>
    <hyperlink r:id="rId1728" ref="AQ375"/>
    <hyperlink r:id="rId1729" ref="G376"/>
    <hyperlink r:id="rId1730" ref="K376"/>
    <hyperlink r:id="rId1731" ref="AL376"/>
    <hyperlink r:id="rId1732" ref="AN376"/>
    <hyperlink r:id="rId1733" ref="AQ376"/>
    <hyperlink r:id="rId1734" ref="G377"/>
    <hyperlink r:id="rId1735" ref="K377"/>
    <hyperlink r:id="rId1736" ref="AL377"/>
    <hyperlink r:id="rId1737" ref="AN377"/>
    <hyperlink r:id="rId1738" ref="AQ377"/>
    <hyperlink r:id="rId1739" ref="G378"/>
    <hyperlink r:id="rId1740" ref="K378"/>
    <hyperlink r:id="rId1741" ref="AL378"/>
    <hyperlink r:id="rId1742" ref="AN378"/>
    <hyperlink r:id="rId1743" ref="AQ378"/>
    <hyperlink r:id="rId1744" ref="G379"/>
    <hyperlink r:id="rId1745" ref="K379"/>
    <hyperlink r:id="rId1746" ref="AL379"/>
    <hyperlink r:id="rId1747" ref="AN379"/>
    <hyperlink r:id="rId1748" ref="AQ379"/>
    <hyperlink r:id="rId1749" ref="G380"/>
    <hyperlink r:id="rId1750" ref="K380"/>
    <hyperlink r:id="rId1751" ref="AL380"/>
    <hyperlink r:id="rId1752" ref="AN380"/>
    <hyperlink r:id="rId1753" ref="AQ380"/>
    <hyperlink r:id="rId1754" ref="G381"/>
    <hyperlink r:id="rId1755" ref="K381"/>
    <hyperlink r:id="rId1756" ref="AL381"/>
    <hyperlink r:id="rId1757" ref="AN381"/>
    <hyperlink r:id="rId1758" ref="AQ381"/>
    <hyperlink r:id="rId1759" ref="G382"/>
    <hyperlink r:id="rId1760" ref="AL382"/>
    <hyperlink r:id="rId1761" ref="AN382"/>
    <hyperlink r:id="rId1762" ref="AQ382"/>
    <hyperlink r:id="rId1763" ref="G383"/>
    <hyperlink r:id="rId1764" ref="K383"/>
    <hyperlink r:id="rId1765" ref="AL383"/>
    <hyperlink r:id="rId1766" ref="AN383"/>
    <hyperlink r:id="rId1767" ref="AQ383"/>
    <hyperlink r:id="rId1768" ref="G384"/>
    <hyperlink r:id="rId1769" ref="K384"/>
    <hyperlink r:id="rId1770" ref="AL384"/>
    <hyperlink r:id="rId1771" ref="AN384"/>
    <hyperlink r:id="rId1772" ref="AQ384"/>
    <hyperlink r:id="rId1773" ref="G385"/>
    <hyperlink r:id="rId1774" ref="K385"/>
    <hyperlink r:id="rId1775" ref="AL385"/>
    <hyperlink r:id="rId1776" ref="AN385"/>
    <hyperlink r:id="rId1777" ref="AQ385"/>
    <hyperlink r:id="rId1778" ref="G386"/>
    <hyperlink r:id="rId1779" ref="K386"/>
    <hyperlink r:id="rId1780" ref="AL386"/>
    <hyperlink r:id="rId1781" ref="AN386"/>
    <hyperlink r:id="rId1782" ref="AQ386"/>
    <hyperlink r:id="rId1783" ref="G387"/>
    <hyperlink r:id="rId1784" ref="K387"/>
    <hyperlink r:id="rId1785" ref="AL387"/>
    <hyperlink r:id="rId1786" ref="AN387"/>
    <hyperlink r:id="rId1787" ref="AQ387"/>
    <hyperlink r:id="rId1788" ref="G388"/>
    <hyperlink r:id="rId1789" ref="K388"/>
    <hyperlink r:id="rId1790" ref="AL388"/>
    <hyperlink r:id="rId1791" ref="AN388"/>
    <hyperlink r:id="rId1792" ref="AQ388"/>
    <hyperlink r:id="rId1793" ref="G389"/>
    <hyperlink r:id="rId1794" ref="K389"/>
    <hyperlink r:id="rId1795" ref="AL389"/>
    <hyperlink r:id="rId1796" ref="AN389"/>
    <hyperlink r:id="rId1797" ref="AQ389"/>
    <hyperlink r:id="rId1798" ref="G390"/>
    <hyperlink r:id="rId1799" ref="K390"/>
    <hyperlink r:id="rId1800" ref="AL390"/>
    <hyperlink r:id="rId1801" ref="AN390"/>
    <hyperlink r:id="rId1802" ref="AQ390"/>
    <hyperlink r:id="rId1803" ref="G391"/>
    <hyperlink r:id="rId1804" ref="K391"/>
    <hyperlink r:id="rId1805" ref="AL391"/>
    <hyperlink r:id="rId1806" ref="AN391"/>
    <hyperlink r:id="rId1807" ref="AQ391"/>
    <hyperlink r:id="rId1808" ref="G392"/>
    <hyperlink r:id="rId1809" ref="K392"/>
    <hyperlink r:id="rId1810" ref="AL392"/>
    <hyperlink r:id="rId1811" ref="AN392"/>
    <hyperlink r:id="rId1812" ref="AQ392"/>
    <hyperlink r:id="rId1813" ref="G393"/>
    <hyperlink r:id="rId1814" ref="K393"/>
    <hyperlink r:id="rId1815" ref="AL393"/>
    <hyperlink r:id="rId1816" ref="AN393"/>
    <hyperlink r:id="rId1817" ref="AQ393"/>
    <hyperlink r:id="rId1818" ref="G394"/>
    <hyperlink r:id="rId1819" ref="K394"/>
    <hyperlink r:id="rId1820" ref="AL394"/>
    <hyperlink r:id="rId1821" ref="AN394"/>
    <hyperlink r:id="rId1822" ref="AQ394"/>
    <hyperlink r:id="rId1823" ref="G395"/>
    <hyperlink r:id="rId1824" ref="K395"/>
    <hyperlink r:id="rId1825" ref="AL395"/>
    <hyperlink r:id="rId1826" ref="AN395"/>
    <hyperlink r:id="rId1827" ref="AQ395"/>
    <hyperlink r:id="rId1828" ref="G396"/>
    <hyperlink r:id="rId1829" ref="K396"/>
    <hyperlink r:id="rId1830" ref="AL396"/>
    <hyperlink r:id="rId1831" ref="AN396"/>
    <hyperlink r:id="rId1832" ref="AQ396"/>
    <hyperlink r:id="rId1833" ref="G397"/>
    <hyperlink r:id="rId1834" ref="K397"/>
    <hyperlink r:id="rId1835" ref="AL397"/>
    <hyperlink r:id="rId1836" ref="AN397"/>
    <hyperlink r:id="rId1837" ref="AQ397"/>
    <hyperlink r:id="rId1838" ref="G398"/>
    <hyperlink r:id="rId1839" ref="K398"/>
    <hyperlink r:id="rId1840" ref="AL398"/>
    <hyperlink r:id="rId1841" ref="AN398"/>
    <hyperlink r:id="rId1842" ref="AQ398"/>
    <hyperlink r:id="rId1843" ref="G399"/>
    <hyperlink r:id="rId1844" ref="K399"/>
    <hyperlink r:id="rId1845" ref="AL399"/>
    <hyperlink r:id="rId1846" ref="AN399"/>
    <hyperlink r:id="rId1847" ref="AQ399"/>
    <hyperlink r:id="rId1848" ref="G400"/>
    <hyperlink r:id="rId1849" ref="K400"/>
    <hyperlink r:id="rId1850" ref="AL400"/>
    <hyperlink r:id="rId1851" ref="AN400"/>
    <hyperlink r:id="rId1852" ref="AQ400"/>
    <hyperlink r:id="rId1853" ref="G401"/>
    <hyperlink r:id="rId1854" ref="K401"/>
    <hyperlink r:id="rId1855" ref="AL401"/>
    <hyperlink r:id="rId1856" ref="AN401"/>
    <hyperlink r:id="rId1857" ref="AQ401"/>
    <hyperlink r:id="rId1858" ref="G402"/>
    <hyperlink r:id="rId1859" ref="K402"/>
    <hyperlink r:id="rId1860" ref="AL402"/>
    <hyperlink r:id="rId1861" ref="AN402"/>
    <hyperlink r:id="rId1862" ref="AQ402"/>
    <hyperlink r:id="rId1863" ref="G403"/>
    <hyperlink r:id="rId1864" ref="K403"/>
    <hyperlink r:id="rId1865" ref="AL403"/>
    <hyperlink r:id="rId1866" ref="AN403"/>
    <hyperlink r:id="rId1867" ref="AQ403"/>
    <hyperlink r:id="rId1868" ref="G404"/>
    <hyperlink r:id="rId1869" ref="K404"/>
    <hyperlink r:id="rId1870" ref="AL404"/>
    <hyperlink r:id="rId1871" ref="AN404"/>
    <hyperlink r:id="rId1872" ref="AQ404"/>
    <hyperlink r:id="rId1873" ref="G405"/>
    <hyperlink r:id="rId1874" ref="K405"/>
    <hyperlink r:id="rId1875" ref="AL405"/>
    <hyperlink r:id="rId1876" ref="AN405"/>
    <hyperlink r:id="rId1877" ref="AQ405"/>
    <hyperlink r:id="rId1878" ref="G406"/>
    <hyperlink r:id="rId1879" ref="K406"/>
    <hyperlink r:id="rId1880" ref="AL406"/>
    <hyperlink r:id="rId1881" ref="AN406"/>
    <hyperlink r:id="rId1882" ref="AQ406"/>
    <hyperlink r:id="rId1883" ref="AR406"/>
    <hyperlink r:id="rId1884" ref="G407"/>
    <hyperlink r:id="rId1885" ref="K407"/>
    <hyperlink r:id="rId1886" ref="AL407"/>
    <hyperlink r:id="rId1887" ref="AN407"/>
    <hyperlink r:id="rId1888" ref="AQ407"/>
    <hyperlink r:id="rId1889" ref="G408"/>
    <hyperlink r:id="rId1890" ref="K408"/>
    <hyperlink r:id="rId1891" ref="AL408"/>
    <hyperlink r:id="rId1892" ref="AN408"/>
    <hyperlink r:id="rId1893" ref="AQ408"/>
    <hyperlink r:id="rId1894" ref="G409"/>
    <hyperlink r:id="rId1895" ref="AL409"/>
    <hyperlink r:id="rId1896" ref="AN409"/>
    <hyperlink r:id="rId1897" ref="AQ409"/>
    <hyperlink r:id="rId1898" ref="G410"/>
    <hyperlink r:id="rId1899" ref="K410"/>
    <hyperlink r:id="rId1900" ref="AL410"/>
    <hyperlink r:id="rId1901" ref="AN410"/>
    <hyperlink r:id="rId1902" ref="AQ410"/>
    <hyperlink r:id="rId1903" ref="G411"/>
    <hyperlink r:id="rId1904" ref="AL411"/>
    <hyperlink r:id="rId1905" ref="AN411"/>
    <hyperlink r:id="rId1906" ref="AQ411"/>
    <hyperlink r:id="rId1907" ref="G412"/>
    <hyperlink r:id="rId1908" ref="AL412"/>
    <hyperlink r:id="rId1909" ref="AN412"/>
    <hyperlink r:id="rId1910" ref="AQ412"/>
    <hyperlink r:id="rId1911" ref="G413"/>
    <hyperlink r:id="rId1912" ref="K413"/>
    <hyperlink r:id="rId1913" ref="AL413"/>
    <hyperlink r:id="rId1914" ref="AN413"/>
    <hyperlink r:id="rId1915" ref="AQ413"/>
    <hyperlink r:id="rId1916" ref="G414"/>
    <hyperlink r:id="rId1917" ref="AL414"/>
    <hyperlink r:id="rId1918" ref="AN414"/>
    <hyperlink r:id="rId1919" ref="AQ414"/>
    <hyperlink r:id="rId1920" ref="G415"/>
    <hyperlink r:id="rId1921" ref="K415"/>
    <hyperlink r:id="rId1922" ref="AL415"/>
    <hyperlink r:id="rId1923" ref="AN415"/>
    <hyperlink r:id="rId1924" ref="AQ415"/>
    <hyperlink r:id="rId1925" ref="G416"/>
    <hyperlink r:id="rId1926" ref="K416"/>
    <hyperlink r:id="rId1927" ref="AL416"/>
    <hyperlink r:id="rId1928" ref="AN416"/>
    <hyperlink r:id="rId1929" ref="AQ416"/>
    <hyperlink r:id="rId1930" ref="G417"/>
    <hyperlink r:id="rId1931" ref="AL417"/>
    <hyperlink r:id="rId1932" ref="AN417"/>
    <hyperlink r:id="rId1933" ref="AQ417"/>
    <hyperlink r:id="rId1934" ref="G418"/>
    <hyperlink r:id="rId1935" ref="K418"/>
    <hyperlink r:id="rId1936" ref="AL418"/>
    <hyperlink r:id="rId1937" ref="AN418"/>
    <hyperlink r:id="rId1938" ref="AQ418"/>
    <hyperlink r:id="rId1939" ref="G419"/>
    <hyperlink r:id="rId1940" ref="AL419"/>
    <hyperlink r:id="rId1941" ref="AN419"/>
    <hyperlink r:id="rId1942" ref="AQ419"/>
    <hyperlink r:id="rId1943" ref="G420"/>
    <hyperlink r:id="rId1944" ref="AL420"/>
    <hyperlink r:id="rId1945" ref="AN420"/>
    <hyperlink r:id="rId1946" ref="AQ420"/>
    <hyperlink r:id="rId1947" ref="G421"/>
    <hyperlink r:id="rId1948" ref="K421"/>
    <hyperlink r:id="rId1949" ref="AL421"/>
    <hyperlink r:id="rId1950" ref="AN421"/>
    <hyperlink r:id="rId1951" ref="AQ421"/>
    <hyperlink r:id="rId1952" ref="G422"/>
    <hyperlink r:id="rId1953" ref="K422"/>
    <hyperlink r:id="rId1954" ref="AL422"/>
    <hyperlink r:id="rId1955" ref="AN422"/>
    <hyperlink r:id="rId1956" ref="AQ422"/>
    <hyperlink r:id="rId1957" ref="G423"/>
    <hyperlink r:id="rId1958" ref="K423"/>
    <hyperlink r:id="rId1959" ref="AL423"/>
    <hyperlink r:id="rId1960" ref="AN423"/>
    <hyperlink r:id="rId1961" ref="AQ423"/>
    <hyperlink r:id="rId1962" ref="G424"/>
    <hyperlink r:id="rId1963" ref="K424"/>
    <hyperlink r:id="rId1964" ref="AL424"/>
    <hyperlink r:id="rId1965" ref="AN424"/>
    <hyperlink r:id="rId1966" ref="AQ424"/>
    <hyperlink r:id="rId1967" ref="G425"/>
    <hyperlink r:id="rId1968" ref="K425"/>
    <hyperlink r:id="rId1969" ref="AL425"/>
    <hyperlink r:id="rId1970" ref="AN425"/>
    <hyperlink r:id="rId1971" ref="AQ425"/>
    <hyperlink r:id="rId1972" ref="G426"/>
    <hyperlink r:id="rId1973" ref="K426"/>
    <hyperlink r:id="rId1974" ref="AL426"/>
    <hyperlink r:id="rId1975" ref="AN426"/>
    <hyperlink r:id="rId1976" ref="AQ426"/>
    <hyperlink r:id="rId1977" ref="G427"/>
    <hyperlink r:id="rId1978" ref="K427"/>
    <hyperlink r:id="rId1979" ref="AL427"/>
    <hyperlink r:id="rId1980" ref="AN427"/>
    <hyperlink r:id="rId1981" ref="AQ427"/>
    <hyperlink r:id="rId1982" ref="G428"/>
    <hyperlink r:id="rId1983" ref="AL428"/>
    <hyperlink r:id="rId1984" ref="AN428"/>
    <hyperlink r:id="rId1985" ref="AQ428"/>
    <hyperlink r:id="rId1986" ref="G429"/>
    <hyperlink r:id="rId1987" ref="K429"/>
    <hyperlink r:id="rId1988" ref="AL429"/>
    <hyperlink r:id="rId1989" ref="AN429"/>
    <hyperlink r:id="rId1990" ref="AQ429"/>
    <hyperlink r:id="rId1991" ref="G430"/>
    <hyperlink r:id="rId1992" ref="K430"/>
    <hyperlink r:id="rId1993" ref="AL430"/>
    <hyperlink r:id="rId1994" ref="AN430"/>
    <hyperlink r:id="rId1995" ref="AQ430"/>
    <hyperlink r:id="rId1996" ref="G431"/>
    <hyperlink r:id="rId1997" ref="K431"/>
    <hyperlink r:id="rId1998" ref="AL431"/>
    <hyperlink r:id="rId1999" ref="AN431"/>
    <hyperlink r:id="rId2000" ref="AQ431"/>
    <hyperlink r:id="rId2001" ref="G432"/>
    <hyperlink r:id="rId2002" ref="K432"/>
    <hyperlink r:id="rId2003" ref="AL432"/>
    <hyperlink r:id="rId2004" ref="AN432"/>
    <hyperlink r:id="rId2005" ref="AQ432"/>
    <hyperlink r:id="rId2006" ref="G433"/>
    <hyperlink r:id="rId2007" ref="K433"/>
    <hyperlink r:id="rId2008" ref="AL433"/>
    <hyperlink r:id="rId2009" ref="AN433"/>
    <hyperlink r:id="rId2010" ref="AQ433"/>
    <hyperlink r:id="rId2011" ref="G434"/>
    <hyperlink r:id="rId2012" ref="AL434"/>
    <hyperlink r:id="rId2013" ref="AN434"/>
    <hyperlink r:id="rId2014" ref="AQ434"/>
    <hyperlink r:id="rId2015" ref="G435"/>
    <hyperlink r:id="rId2016" ref="AL435"/>
    <hyperlink r:id="rId2017" ref="AN435"/>
    <hyperlink r:id="rId2018" ref="AQ435"/>
    <hyperlink r:id="rId2019" ref="G436"/>
    <hyperlink r:id="rId2020" ref="K436"/>
    <hyperlink r:id="rId2021" ref="AL436"/>
    <hyperlink r:id="rId2022" ref="AN436"/>
    <hyperlink r:id="rId2023" ref="AQ436"/>
    <hyperlink r:id="rId2024" ref="G437"/>
    <hyperlink r:id="rId2025" ref="K437"/>
    <hyperlink r:id="rId2026" ref="AL437"/>
    <hyperlink r:id="rId2027" ref="AN437"/>
    <hyperlink r:id="rId2028" ref="AQ437"/>
    <hyperlink r:id="rId2029" ref="G438"/>
    <hyperlink r:id="rId2030" ref="K438"/>
    <hyperlink r:id="rId2031" ref="AL438"/>
    <hyperlink r:id="rId2032" ref="AN438"/>
    <hyperlink r:id="rId2033" ref="AQ438"/>
    <hyperlink r:id="rId2034" ref="G439"/>
    <hyperlink r:id="rId2035" ref="K439"/>
    <hyperlink r:id="rId2036" ref="AL439"/>
    <hyperlink r:id="rId2037" ref="AN439"/>
    <hyperlink r:id="rId2038" ref="AQ439"/>
    <hyperlink r:id="rId2039" ref="G440"/>
    <hyperlink r:id="rId2040" ref="AL440"/>
    <hyperlink r:id="rId2041" ref="AN440"/>
    <hyperlink r:id="rId2042" ref="AQ440"/>
    <hyperlink r:id="rId2043" ref="G441"/>
    <hyperlink r:id="rId2044" ref="K441"/>
    <hyperlink r:id="rId2045" ref="AL441"/>
    <hyperlink r:id="rId2046" ref="AN441"/>
    <hyperlink r:id="rId2047" ref="AQ441"/>
    <hyperlink r:id="rId2048" ref="G442"/>
    <hyperlink r:id="rId2049" ref="K442"/>
    <hyperlink r:id="rId2050" ref="AL442"/>
    <hyperlink r:id="rId2051" ref="AN442"/>
    <hyperlink r:id="rId2052" ref="AQ442"/>
    <hyperlink r:id="rId2053" ref="G443"/>
    <hyperlink r:id="rId2054" ref="K443"/>
    <hyperlink r:id="rId2055" ref="AL443"/>
    <hyperlink r:id="rId2056" ref="AN443"/>
    <hyperlink r:id="rId2057" ref="AQ443"/>
    <hyperlink r:id="rId2058" ref="G444"/>
    <hyperlink r:id="rId2059" ref="K444"/>
    <hyperlink r:id="rId2060" ref="AL444"/>
    <hyperlink r:id="rId2061" ref="AN444"/>
    <hyperlink r:id="rId2062" ref="AQ444"/>
    <hyperlink r:id="rId2063" ref="G445"/>
    <hyperlink r:id="rId2064" ref="K445"/>
    <hyperlink r:id="rId2065" ref="AL445"/>
    <hyperlink r:id="rId2066" ref="AN445"/>
    <hyperlink r:id="rId2067" ref="AQ445"/>
    <hyperlink r:id="rId2068" ref="G446"/>
    <hyperlink r:id="rId2069" ref="AL446"/>
    <hyperlink r:id="rId2070" ref="AN446"/>
    <hyperlink r:id="rId2071" ref="AQ446"/>
    <hyperlink r:id="rId2072" ref="G447"/>
    <hyperlink r:id="rId2073" ref="AL447"/>
    <hyperlink r:id="rId2074" ref="AN447"/>
    <hyperlink r:id="rId2075" ref="AQ447"/>
    <hyperlink r:id="rId2076" ref="G448"/>
    <hyperlink r:id="rId2077" ref="K448"/>
    <hyperlink r:id="rId2078" ref="AL448"/>
    <hyperlink r:id="rId2079" ref="AN448"/>
    <hyperlink r:id="rId2080" ref="AQ448"/>
    <hyperlink r:id="rId2081" ref="G449"/>
    <hyperlink r:id="rId2082" ref="K449"/>
    <hyperlink r:id="rId2083" ref="AL449"/>
    <hyperlink r:id="rId2084" ref="AN449"/>
    <hyperlink r:id="rId2085" ref="AQ449"/>
    <hyperlink r:id="rId2086" ref="G450"/>
    <hyperlink r:id="rId2087" ref="AL450"/>
    <hyperlink r:id="rId2088" ref="AN450"/>
    <hyperlink r:id="rId2089" ref="AQ450"/>
    <hyperlink r:id="rId2090" ref="G451"/>
    <hyperlink r:id="rId2091" ref="K451"/>
    <hyperlink r:id="rId2092" ref="AL451"/>
    <hyperlink r:id="rId2093" ref="AN451"/>
    <hyperlink r:id="rId2094" ref="AQ451"/>
    <hyperlink r:id="rId2095" ref="G452"/>
    <hyperlink r:id="rId2096" ref="K452"/>
    <hyperlink r:id="rId2097" ref="AL452"/>
    <hyperlink r:id="rId2098" ref="AN452"/>
    <hyperlink r:id="rId2099" ref="AQ452"/>
    <hyperlink r:id="rId2100" ref="G453"/>
    <hyperlink r:id="rId2101" ref="K453"/>
    <hyperlink r:id="rId2102" ref="AL453"/>
    <hyperlink r:id="rId2103" ref="AN453"/>
    <hyperlink r:id="rId2104" ref="AQ453"/>
    <hyperlink r:id="rId2105" ref="G454"/>
    <hyperlink r:id="rId2106" ref="K454"/>
    <hyperlink r:id="rId2107" ref="AL454"/>
    <hyperlink r:id="rId2108" ref="AN454"/>
    <hyperlink r:id="rId2109" ref="AQ454"/>
    <hyperlink r:id="rId2110" ref="G455"/>
    <hyperlink r:id="rId2111" ref="K455"/>
    <hyperlink r:id="rId2112" ref="AL455"/>
    <hyperlink r:id="rId2113" ref="AN455"/>
    <hyperlink r:id="rId2114" ref="AQ455"/>
    <hyperlink r:id="rId2115" ref="G456"/>
    <hyperlink r:id="rId2116" ref="K456"/>
    <hyperlink r:id="rId2117" ref="AL456"/>
    <hyperlink r:id="rId2118" ref="AN456"/>
    <hyperlink r:id="rId2119" ref="AQ456"/>
    <hyperlink r:id="rId2120" ref="G457"/>
    <hyperlink r:id="rId2121" ref="K457"/>
    <hyperlink r:id="rId2122" ref="AL457"/>
    <hyperlink r:id="rId2123" ref="AN457"/>
    <hyperlink r:id="rId2124" ref="AQ457"/>
    <hyperlink r:id="rId2125" ref="G458"/>
    <hyperlink r:id="rId2126" ref="K458"/>
    <hyperlink r:id="rId2127" ref="AL458"/>
    <hyperlink r:id="rId2128" ref="AN458"/>
    <hyperlink r:id="rId2129" ref="AQ458"/>
    <hyperlink r:id="rId2130" ref="G459"/>
    <hyperlink r:id="rId2131" ref="K459"/>
    <hyperlink r:id="rId2132" ref="AL459"/>
    <hyperlink r:id="rId2133" ref="AN459"/>
    <hyperlink r:id="rId2134" ref="AQ459"/>
    <hyperlink r:id="rId2135" ref="G460"/>
    <hyperlink r:id="rId2136" ref="K460"/>
    <hyperlink r:id="rId2137" ref="AL460"/>
    <hyperlink r:id="rId2138" ref="AN460"/>
    <hyperlink r:id="rId2139" ref="AQ460"/>
    <hyperlink r:id="rId2140" ref="G461"/>
    <hyperlink r:id="rId2141" ref="K461"/>
    <hyperlink r:id="rId2142" ref="AL461"/>
    <hyperlink r:id="rId2143" ref="AN461"/>
    <hyperlink r:id="rId2144" ref="AQ461"/>
    <hyperlink r:id="rId2145" ref="G462"/>
    <hyperlink r:id="rId2146" ref="K462"/>
    <hyperlink r:id="rId2147" ref="AL462"/>
    <hyperlink r:id="rId2148" ref="AN462"/>
    <hyperlink r:id="rId2149" ref="AQ462"/>
    <hyperlink r:id="rId2150" ref="G463"/>
    <hyperlink r:id="rId2151" ref="K463"/>
    <hyperlink r:id="rId2152" ref="AL463"/>
    <hyperlink r:id="rId2153" ref="AN463"/>
    <hyperlink r:id="rId2154" ref="AQ463"/>
    <hyperlink r:id="rId2155" ref="G464"/>
    <hyperlink r:id="rId2156" ref="K464"/>
    <hyperlink r:id="rId2157" ref="AL464"/>
    <hyperlink r:id="rId2158" ref="AN464"/>
    <hyperlink r:id="rId2159" ref="AQ464"/>
    <hyperlink r:id="rId2160" ref="G465"/>
    <hyperlink r:id="rId2161" ref="K465"/>
    <hyperlink r:id="rId2162" ref="AL465"/>
    <hyperlink r:id="rId2163" ref="AN465"/>
    <hyperlink r:id="rId2164" ref="AQ465"/>
    <hyperlink r:id="rId2165" ref="G466"/>
    <hyperlink r:id="rId2166" ref="K466"/>
    <hyperlink r:id="rId2167" ref="AL466"/>
    <hyperlink r:id="rId2168" ref="AN466"/>
    <hyperlink r:id="rId2169" ref="AQ466"/>
    <hyperlink r:id="rId2170" ref="G467"/>
    <hyperlink r:id="rId2171" ref="K467"/>
    <hyperlink r:id="rId2172" ref="AL467"/>
    <hyperlink r:id="rId2173" ref="AN467"/>
    <hyperlink r:id="rId2174" ref="AQ467"/>
    <hyperlink r:id="rId2175" ref="G468"/>
    <hyperlink r:id="rId2176" ref="K468"/>
    <hyperlink r:id="rId2177" ref="AL468"/>
    <hyperlink r:id="rId2178" ref="AN468"/>
    <hyperlink r:id="rId2179" ref="AQ468"/>
    <hyperlink r:id="rId2180" ref="G469"/>
    <hyperlink r:id="rId2181" ref="K469"/>
    <hyperlink r:id="rId2182" ref="AL469"/>
    <hyperlink r:id="rId2183" ref="AN469"/>
    <hyperlink r:id="rId2184" ref="AQ469"/>
    <hyperlink r:id="rId2185" ref="G470"/>
    <hyperlink r:id="rId2186" ref="K470"/>
    <hyperlink r:id="rId2187" ref="AL470"/>
    <hyperlink r:id="rId2188" ref="AN470"/>
    <hyperlink r:id="rId2189" ref="AQ470"/>
    <hyperlink r:id="rId2190" ref="G471"/>
    <hyperlink r:id="rId2191" ref="K471"/>
    <hyperlink r:id="rId2192" ref="AL471"/>
    <hyperlink r:id="rId2193" ref="AN471"/>
    <hyperlink r:id="rId2194" ref="AQ471"/>
    <hyperlink r:id="rId2195" ref="G472"/>
    <hyperlink r:id="rId2196" ref="K472"/>
    <hyperlink r:id="rId2197" ref="AL472"/>
    <hyperlink r:id="rId2198" ref="AN472"/>
    <hyperlink r:id="rId2199" ref="AQ472"/>
    <hyperlink r:id="rId2200" ref="G473"/>
    <hyperlink r:id="rId2201" ref="K473"/>
    <hyperlink r:id="rId2202" ref="AL473"/>
    <hyperlink r:id="rId2203" ref="AN473"/>
    <hyperlink r:id="rId2204" ref="AQ473"/>
    <hyperlink r:id="rId2205" ref="G474"/>
    <hyperlink r:id="rId2206" ref="K474"/>
    <hyperlink r:id="rId2207" ref="AL474"/>
    <hyperlink r:id="rId2208" ref="AN474"/>
    <hyperlink r:id="rId2209" ref="AQ474"/>
    <hyperlink r:id="rId2210" ref="G475"/>
    <hyperlink r:id="rId2211" ref="K475"/>
    <hyperlink r:id="rId2212" ref="AL475"/>
    <hyperlink r:id="rId2213" ref="AN475"/>
    <hyperlink r:id="rId2214" ref="AQ475"/>
    <hyperlink r:id="rId2215" ref="G476"/>
    <hyperlink r:id="rId2216" ref="K476"/>
    <hyperlink r:id="rId2217" ref="AL476"/>
    <hyperlink r:id="rId2218" ref="AN476"/>
    <hyperlink r:id="rId2219" ref="AQ476"/>
    <hyperlink r:id="rId2220" ref="G477"/>
    <hyperlink r:id="rId2221" ref="AL477"/>
    <hyperlink r:id="rId2222" ref="AN477"/>
    <hyperlink r:id="rId2223" ref="AQ477"/>
    <hyperlink r:id="rId2224" ref="G478"/>
    <hyperlink r:id="rId2225" ref="K478"/>
    <hyperlink r:id="rId2226" ref="AL478"/>
    <hyperlink r:id="rId2227" ref="AN478"/>
    <hyperlink r:id="rId2228" ref="AQ478"/>
    <hyperlink r:id="rId2229" ref="G479"/>
    <hyperlink r:id="rId2230" ref="K479"/>
    <hyperlink r:id="rId2231" ref="AL479"/>
    <hyperlink r:id="rId2232" ref="AN479"/>
    <hyperlink r:id="rId2233" ref="AQ479"/>
    <hyperlink r:id="rId2234" ref="G480"/>
    <hyperlink r:id="rId2235" ref="K480"/>
    <hyperlink r:id="rId2236" ref="AL480"/>
    <hyperlink r:id="rId2237" ref="AN480"/>
    <hyperlink r:id="rId2238" ref="AQ480"/>
    <hyperlink r:id="rId2239" ref="G481"/>
    <hyperlink r:id="rId2240" ref="K481"/>
    <hyperlink r:id="rId2241" ref="AL481"/>
    <hyperlink r:id="rId2242" ref="AN481"/>
    <hyperlink r:id="rId2243" ref="AQ481"/>
    <hyperlink r:id="rId2244" ref="G482"/>
    <hyperlink r:id="rId2245" ref="K482"/>
    <hyperlink r:id="rId2246" ref="AL482"/>
    <hyperlink r:id="rId2247" ref="AN482"/>
    <hyperlink r:id="rId2248" ref="AQ482"/>
    <hyperlink r:id="rId2249" ref="G483"/>
    <hyperlink r:id="rId2250" ref="K483"/>
    <hyperlink r:id="rId2251" ref="AL483"/>
    <hyperlink r:id="rId2252" ref="AN483"/>
    <hyperlink r:id="rId2253" ref="AQ483"/>
    <hyperlink r:id="rId2254" ref="G484"/>
    <hyperlink r:id="rId2255" ref="K484"/>
    <hyperlink r:id="rId2256" ref="AL484"/>
    <hyperlink r:id="rId2257" ref="AN484"/>
    <hyperlink r:id="rId2258" ref="AQ484"/>
    <hyperlink r:id="rId2259" ref="G485"/>
    <hyperlink r:id="rId2260" ref="K485"/>
    <hyperlink r:id="rId2261" ref="AL485"/>
    <hyperlink r:id="rId2262" ref="AN485"/>
    <hyperlink r:id="rId2263" ref="AQ485"/>
    <hyperlink r:id="rId2264" ref="G486"/>
    <hyperlink r:id="rId2265" ref="K486"/>
    <hyperlink r:id="rId2266" ref="AL486"/>
    <hyperlink r:id="rId2267" ref="AN486"/>
    <hyperlink r:id="rId2268" ref="G487"/>
    <hyperlink r:id="rId2269" ref="K487"/>
    <hyperlink r:id="rId2270" ref="AL487"/>
    <hyperlink r:id="rId2271" ref="AN487"/>
    <hyperlink r:id="rId2272" ref="AQ487"/>
    <hyperlink r:id="rId2273" ref="G488"/>
    <hyperlink r:id="rId2274" ref="K488"/>
    <hyperlink r:id="rId2275" ref="AL488"/>
    <hyperlink r:id="rId2276" ref="AN488"/>
    <hyperlink r:id="rId2277" ref="AQ488"/>
    <hyperlink r:id="rId2278" ref="G489"/>
    <hyperlink r:id="rId2279" ref="K489"/>
    <hyperlink r:id="rId2280" ref="AL489"/>
    <hyperlink r:id="rId2281" ref="AN489"/>
    <hyperlink r:id="rId2282" ref="AQ489"/>
    <hyperlink r:id="rId2283" ref="G490"/>
    <hyperlink r:id="rId2284" ref="K490"/>
    <hyperlink r:id="rId2285" ref="AL490"/>
    <hyperlink r:id="rId2286" ref="AN490"/>
    <hyperlink r:id="rId2287" ref="AQ490"/>
    <hyperlink r:id="rId2288" ref="G491"/>
    <hyperlink r:id="rId2289" ref="K491"/>
    <hyperlink r:id="rId2290" ref="AL491"/>
    <hyperlink r:id="rId2291" ref="AN491"/>
    <hyperlink r:id="rId2292" ref="AQ491"/>
    <hyperlink r:id="rId2293" ref="G492"/>
    <hyperlink r:id="rId2294" ref="AL492"/>
    <hyperlink r:id="rId2295" ref="AN492"/>
    <hyperlink r:id="rId2296" ref="AQ492"/>
    <hyperlink r:id="rId2297" ref="G493"/>
    <hyperlink r:id="rId2298" ref="K493"/>
    <hyperlink r:id="rId2299" ref="AL493"/>
    <hyperlink r:id="rId2300" ref="AN493"/>
    <hyperlink r:id="rId2301" ref="AQ493"/>
    <hyperlink r:id="rId2302" ref="G494"/>
    <hyperlink r:id="rId2303" ref="AL494"/>
    <hyperlink r:id="rId2304" ref="AN494"/>
    <hyperlink r:id="rId2305" ref="G495"/>
    <hyperlink r:id="rId2306" ref="AL495"/>
    <hyperlink r:id="rId2307" ref="AN495"/>
    <hyperlink r:id="rId2308" ref="G496"/>
    <hyperlink r:id="rId2309" ref="AL496"/>
    <hyperlink r:id="rId2310" ref="AN496"/>
    <hyperlink r:id="rId2311" ref="G497"/>
    <hyperlink r:id="rId2312" ref="AL497"/>
    <hyperlink r:id="rId2313" ref="AN497"/>
    <hyperlink r:id="rId2314" ref="G498"/>
    <hyperlink r:id="rId2315" ref="AL498"/>
    <hyperlink r:id="rId2316" ref="AN498"/>
    <hyperlink r:id="rId2317" ref="G499"/>
    <hyperlink r:id="rId2318" ref="AL499"/>
    <hyperlink r:id="rId2319" ref="AN499"/>
    <hyperlink r:id="rId2320" ref="G500"/>
    <hyperlink r:id="rId2321" ref="AL500"/>
    <hyperlink r:id="rId2322" ref="AN500"/>
    <hyperlink r:id="rId2323" ref="G501"/>
    <hyperlink r:id="rId2324" ref="AL501"/>
    <hyperlink r:id="rId2325" ref="AN501"/>
    <hyperlink r:id="rId2326" ref="G502"/>
    <hyperlink r:id="rId2327" ref="AL502"/>
    <hyperlink r:id="rId2328" ref="AN502"/>
    <hyperlink r:id="rId2329" ref="G503"/>
    <hyperlink r:id="rId2330" ref="K503"/>
    <hyperlink r:id="rId2331" ref="AL503"/>
    <hyperlink r:id="rId2332" ref="AN503"/>
    <hyperlink r:id="rId2333" ref="AQ503"/>
    <hyperlink r:id="rId2334" ref="G504"/>
    <hyperlink r:id="rId2335" ref="K504"/>
    <hyperlink r:id="rId2336" ref="AL504"/>
    <hyperlink r:id="rId2337" ref="AN504"/>
    <hyperlink r:id="rId2338" ref="AQ504"/>
    <hyperlink r:id="rId2339" ref="G505"/>
    <hyperlink r:id="rId2340" ref="K505"/>
    <hyperlink r:id="rId2341" ref="AL505"/>
    <hyperlink r:id="rId2342" ref="AN505"/>
    <hyperlink r:id="rId2343" ref="AQ505"/>
    <hyperlink r:id="rId2344" ref="G506"/>
    <hyperlink r:id="rId2345" ref="AL506"/>
    <hyperlink r:id="rId2346" ref="AN506"/>
    <hyperlink r:id="rId2347" ref="G507"/>
    <hyperlink r:id="rId2348" ref="AL507"/>
    <hyperlink r:id="rId2349" ref="AN507"/>
    <hyperlink r:id="rId2350" ref="G508"/>
    <hyperlink r:id="rId2351" ref="AL508"/>
    <hyperlink r:id="rId2352" ref="AN508"/>
    <hyperlink r:id="rId2353" ref="G509"/>
    <hyperlink r:id="rId2354" ref="K509"/>
    <hyperlink r:id="rId2355" ref="AL509"/>
    <hyperlink r:id="rId2356" ref="AN509"/>
    <hyperlink r:id="rId2357" ref="AQ509"/>
    <hyperlink r:id="rId2358" ref="G510"/>
    <hyperlink r:id="rId2359" ref="AL510"/>
    <hyperlink r:id="rId2360" ref="AN510"/>
    <hyperlink r:id="rId2361" ref="G511"/>
    <hyperlink r:id="rId2362" ref="K511"/>
    <hyperlink r:id="rId2363" ref="AL511"/>
    <hyperlink r:id="rId2364" ref="AN511"/>
    <hyperlink r:id="rId2365" ref="G512"/>
    <hyperlink r:id="rId2366" ref="K512"/>
    <hyperlink r:id="rId2367" ref="AL512"/>
    <hyperlink r:id="rId2368" ref="AN512"/>
    <hyperlink r:id="rId2369" ref="AQ512"/>
    <hyperlink r:id="rId2370" ref="G513"/>
    <hyperlink r:id="rId2371" ref="AL513"/>
    <hyperlink r:id="rId2372" ref="AN513"/>
    <hyperlink r:id="rId2373" ref="AQ513"/>
    <hyperlink r:id="rId2374" ref="G514"/>
    <hyperlink r:id="rId2375" ref="AL514"/>
    <hyperlink r:id="rId2376" ref="AN514"/>
    <hyperlink r:id="rId2377" ref="G515"/>
    <hyperlink r:id="rId2378" ref="AL515"/>
    <hyperlink r:id="rId2379" ref="AN515"/>
    <hyperlink r:id="rId2380" ref="AQ515"/>
    <hyperlink r:id="rId2381" ref="G516"/>
    <hyperlink r:id="rId2382" ref="K516"/>
    <hyperlink r:id="rId2383" ref="AL516"/>
    <hyperlink r:id="rId2384" ref="AN516"/>
    <hyperlink r:id="rId2385" ref="AQ516"/>
    <hyperlink r:id="rId2386" ref="G517"/>
    <hyperlink r:id="rId2387" ref="AL517"/>
    <hyperlink r:id="rId2388" ref="AN517"/>
    <hyperlink r:id="rId2389" ref="AQ517"/>
    <hyperlink r:id="rId2390" ref="G518"/>
    <hyperlink r:id="rId2391" ref="AL518"/>
    <hyperlink r:id="rId2392" ref="AN518"/>
    <hyperlink r:id="rId2393" ref="AQ518"/>
    <hyperlink r:id="rId2394" ref="G519"/>
    <hyperlink r:id="rId2395" ref="K519"/>
    <hyperlink r:id="rId2396" ref="AL519"/>
    <hyperlink r:id="rId2397" ref="AN519"/>
    <hyperlink r:id="rId2398" ref="AQ519"/>
    <hyperlink r:id="rId2399" ref="G520"/>
    <hyperlink r:id="rId2400" ref="AL520"/>
    <hyperlink r:id="rId2401" ref="AN520"/>
    <hyperlink r:id="rId2402" ref="AQ520"/>
    <hyperlink r:id="rId2403" ref="G521"/>
    <hyperlink r:id="rId2404" ref="K521"/>
    <hyperlink r:id="rId2405" ref="AL521"/>
    <hyperlink r:id="rId2406" ref="AN521"/>
    <hyperlink r:id="rId2407" ref="AQ521"/>
    <hyperlink r:id="rId2408" ref="G522"/>
    <hyperlink r:id="rId2409" ref="K522"/>
    <hyperlink r:id="rId2410" ref="AL522"/>
    <hyperlink r:id="rId2411" ref="AN522"/>
    <hyperlink r:id="rId2412" ref="G523"/>
    <hyperlink r:id="rId2413" ref="AL523"/>
    <hyperlink r:id="rId2414" ref="AN523"/>
    <hyperlink r:id="rId2415" ref="AQ523"/>
    <hyperlink r:id="rId2416" ref="G524"/>
    <hyperlink r:id="rId2417" ref="AL524"/>
    <hyperlink r:id="rId2418" ref="AN524"/>
    <hyperlink r:id="rId2419" ref="AQ524"/>
    <hyperlink r:id="rId2420" ref="G525"/>
    <hyperlink r:id="rId2421" ref="AL525"/>
    <hyperlink r:id="rId2422" ref="AN525"/>
    <hyperlink r:id="rId2423" ref="AQ525"/>
    <hyperlink r:id="rId2424" ref="G526"/>
    <hyperlink r:id="rId2425" ref="AL526"/>
    <hyperlink r:id="rId2426" ref="AN526"/>
    <hyperlink r:id="rId2427" ref="AQ526"/>
    <hyperlink r:id="rId2428" ref="G527"/>
    <hyperlink r:id="rId2429" ref="K527"/>
    <hyperlink r:id="rId2430" ref="AL527"/>
    <hyperlink r:id="rId2431" ref="AN527"/>
    <hyperlink r:id="rId2432" ref="AQ527"/>
    <hyperlink r:id="rId2433" ref="G528"/>
    <hyperlink r:id="rId2434" ref="K528"/>
    <hyperlink r:id="rId2435" ref="AL528"/>
    <hyperlink r:id="rId2436" ref="AN528"/>
    <hyperlink r:id="rId2437" ref="AQ528"/>
    <hyperlink r:id="rId2438" ref="G529"/>
    <hyperlink r:id="rId2439" ref="K529"/>
    <hyperlink r:id="rId2440" ref="AL529"/>
    <hyperlink r:id="rId2441" ref="AN529"/>
    <hyperlink r:id="rId2442" ref="G530"/>
    <hyperlink r:id="rId2443" ref="K530"/>
    <hyperlink r:id="rId2444" ref="AL530"/>
    <hyperlink r:id="rId2445" ref="AN530"/>
    <hyperlink r:id="rId2446" ref="AQ530"/>
    <hyperlink r:id="rId2447" ref="G531"/>
    <hyperlink r:id="rId2448" ref="AL531"/>
    <hyperlink r:id="rId2449" ref="AN531"/>
    <hyperlink r:id="rId2450" ref="G532"/>
    <hyperlink r:id="rId2451" ref="K532"/>
    <hyperlink r:id="rId2452" ref="AL532"/>
    <hyperlink r:id="rId2453" ref="AN532"/>
    <hyperlink r:id="rId2454" ref="AQ532"/>
    <hyperlink r:id="rId2455" ref="G533"/>
    <hyperlink r:id="rId2456" ref="K533"/>
    <hyperlink r:id="rId2457" ref="AL533"/>
    <hyperlink r:id="rId2458" ref="AN533"/>
    <hyperlink r:id="rId2459" ref="AQ533"/>
    <hyperlink r:id="rId2460" ref="G534"/>
    <hyperlink r:id="rId2461" ref="K534"/>
    <hyperlink r:id="rId2462" ref="AL534"/>
    <hyperlink r:id="rId2463" ref="AN534"/>
    <hyperlink r:id="rId2464" ref="AQ534"/>
    <hyperlink r:id="rId2465" ref="G535"/>
    <hyperlink r:id="rId2466" ref="K535"/>
    <hyperlink r:id="rId2467" ref="AL535"/>
    <hyperlink r:id="rId2468" ref="AN535"/>
    <hyperlink r:id="rId2469" ref="AQ535"/>
    <hyperlink r:id="rId2470" ref="G536"/>
    <hyperlink r:id="rId2471" ref="K536"/>
    <hyperlink r:id="rId2472" ref="AL536"/>
    <hyperlink r:id="rId2473" ref="AN536"/>
    <hyperlink r:id="rId2474" ref="AQ536"/>
    <hyperlink r:id="rId2475" ref="G537"/>
    <hyperlink r:id="rId2476" ref="K537"/>
    <hyperlink r:id="rId2477" ref="AL537"/>
    <hyperlink r:id="rId2478" ref="AN537"/>
    <hyperlink r:id="rId2479" ref="AQ537"/>
    <hyperlink r:id="rId2480" ref="G538"/>
    <hyperlink r:id="rId2481" ref="K538"/>
    <hyperlink r:id="rId2482" ref="AL538"/>
    <hyperlink r:id="rId2483" ref="AN538"/>
    <hyperlink r:id="rId2484" ref="AQ538"/>
    <hyperlink r:id="rId2485" ref="G539"/>
    <hyperlink r:id="rId2486" ref="K539"/>
    <hyperlink r:id="rId2487" ref="AL539"/>
    <hyperlink r:id="rId2488" ref="AN539"/>
    <hyperlink r:id="rId2489" ref="AQ539"/>
    <hyperlink r:id="rId2490" ref="G540"/>
    <hyperlink r:id="rId2491" ref="K540"/>
    <hyperlink r:id="rId2492" ref="AL540"/>
    <hyperlink r:id="rId2493" ref="AN540"/>
    <hyperlink r:id="rId2494" ref="G541"/>
    <hyperlink r:id="rId2495" ref="AL541"/>
    <hyperlink r:id="rId2496" ref="AN541"/>
    <hyperlink r:id="rId2497" ref="AQ541"/>
    <hyperlink r:id="rId2498" ref="G542"/>
    <hyperlink r:id="rId2499" ref="K542"/>
    <hyperlink r:id="rId2500" ref="AL542"/>
    <hyperlink r:id="rId2501" ref="AN542"/>
    <hyperlink r:id="rId2502" ref="G543"/>
    <hyperlink r:id="rId2503" ref="K543"/>
    <hyperlink r:id="rId2504" ref="AL543"/>
    <hyperlink r:id="rId2505" ref="AN543"/>
    <hyperlink r:id="rId2506" ref="AQ543"/>
    <hyperlink r:id="rId2507" ref="G544"/>
    <hyperlink r:id="rId2508" ref="AL544"/>
    <hyperlink r:id="rId2509" ref="AN544"/>
    <hyperlink r:id="rId2510" ref="G545"/>
    <hyperlink r:id="rId2511" ref="K545"/>
    <hyperlink r:id="rId2512" ref="AL545"/>
    <hyperlink r:id="rId2513" ref="AN545"/>
    <hyperlink r:id="rId2514" ref="AQ545"/>
    <hyperlink r:id="rId2515" ref="G546"/>
    <hyperlink r:id="rId2516" ref="K546"/>
    <hyperlink r:id="rId2517" ref="AL546"/>
    <hyperlink r:id="rId2518" ref="AN546"/>
    <hyperlink r:id="rId2519" ref="AQ546"/>
    <hyperlink r:id="rId2520" ref="G547"/>
    <hyperlink r:id="rId2521" ref="AL547"/>
    <hyperlink r:id="rId2522" ref="AN547"/>
    <hyperlink r:id="rId2523" ref="AQ547"/>
    <hyperlink r:id="rId2524" ref="G548"/>
    <hyperlink r:id="rId2525" ref="AL548"/>
    <hyperlink r:id="rId2526" ref="AN548"/>
    <hyperlink r:id="rId2527" ref="AQ548"/>
    <hyperlink r:id="rId2528" ref="G549"/>
    <hyperlink r:id="rId2529" ref="K549"/>
    <hyperlink r:id="rId2530" ref="AL549"/>
    <hyperlink r:id="rId2531" ref="AN549"/>
    <hyperlink r:id="rId2532" ref="AQ549"/>
    <hyperlink r:id="rId2533" ref="G550"/>
    <hyperlink r:id="rId2534" ref="AL550"/>
    <hyperlink r:id="rId2535" ref="AN550"/>
    <hyperlink r:id="rId2536" ref="AQ550"/>
    <hyperlink r:id="rId2537" ref="AR550"/>
    <hyperlink r:id="rId2538" ref="G551"/>
    <hyperlink r:id="rId2539" ref="AL551"/>
    <hyperlink r:id="rId2540" ref="AN551"/>
    <hyperlink r:id="rId2541" ref="AQ551"/>
    <hyperlink r:id="rId2542" ref="G552"/>
    <hyperlink r:id="rId2543" ref="AL552"/>
    <hyperlink r:id="rId2544" ref="AN552"/>
    <hyperlink r:id="rId2545" ref="AQ552"/>
    <hyperlink r:id="rId2546" ref="G553"/>
    <hyperlink r:id="rId2547" ref="K553"/>
    <hyperlink r:id="rId2548" ref="AL553"/>
    <hyperlink r:id="rId2549" ref="AN553"/>
    <hyperlink r:id="rId2550" ref="AQ553"/>
    <hyperlink r:id="rId2551" ref="G554"/>
    <hyperlink r:id="rId2552" ref="K554"/>
    <hyperlink r:id="rId2553" ref="AL554"/>
    <hyperlink r:id="rId2554" ref="AN554"/>
    <hyperlink r:id="rId2555" ref="AQ554"/>
    <hyperlink r:id="rId2556" ref="G555"/>
    <hyperlink r:id="rId2557" ref="AL555"/>
    <hyperlink r:id="rId2558" ref="AN555"/>
    <hyperlink r:id="rId2559" ref="AQ555"/>
    <hyperlink r:id="rId2560" ref="G556"/>
    <hyperlink r:id="rId2561" ref="AL556"/>
    <hyperlink r:id="rId2562" ref="AN556"/>
    <hyperlink r:id="rId2563" ref="AQ556"/>
    <hyperlink r:id="rId2564" ref="G557"/>
    <hyperlink r:id="rId2565" ref="AL557"/>
    <hyperlink r:id="rId2566" ref="AN557"/>
    <hyperlink r:id="rId2567" ref="AQ557"/>
    <hyperlink r:id="rId2568" ref="G558"/>
    <hyperlink r:id="rId2569" ref="AL558"/>
    <hyperlink r:id="rId2570" ref="AN558"/>
    <hyperlink r:id="rId2571" ref="G559"/>
    <hyperlink r:id="rId2572" ref="AL559"/>
    <hyperlink r:id="rId2573" ref="AN559"/>
    <hyperlink r:id="rId2574" ref="G560"/>
    <hyperlink r:id="rId2575" ref="AL560"/>
    <hyperlink r:id="rId2576" ref="AN560"/>
    <hyperlink r:id="rId2577" ref="AQ560"/>
    <hyperlink r:id="rId2578" ref="G561"/>
    <hyperlink r:id="rId2579" ref="AL561"/>
    <hyperlink r:id="rId2580" ref="AN561"/>
    <hyperlink r:id="rId2581" ref="AQ561"/>
    <hyperlink r:id="rId2582" ref="G562"/>
    <hyperlink r:id="rId2583" ref="AL562"/>
    <hyperlink r:id="rId2584" ref="AN562"/>
    <hyperlink r:id="rId2585" ref="AQ562"/>
    <hyperlink r:id="rId2586" ref="G563"/>
    <hyperlink r:id="rId2587" ref="AL563"/>
    <hyperlink r:id="rId2588" ref="AN563"/>
    <hyperlink r:id="rId2589" ref="AQ563"/>
    <hyperlink r:id="rId2590" ref="G564"/>
    <hyperlink r:id="rId2591" ref="AL564"/>
    <hyperlink r:id="rId2592" ref="AN564"/>
    <hyperlink r:id="rId2593" ref="AQ564"/>
    <hyperlink r:id="rId2594" ref="G565"/>
    <hyperlink r:id="rId2595" ref="K565"/>
    <hyperlink r:id="rId2596" ref="AL565"/>
    <hyperlink r:id="rId2597" ref="AN565"/>
    <hyperlink r:id="rId2598" ref="AQ565"/>
    <hyperlink r:id="rId2599" ref="G566"/>
    <hyperlink r:id="rId2600" ref="K566"/>
    <hyperlink r:id="rId2601" ref="AL566"/>
    <hyperlink r:id="rId2602" ref="AN566"/>
    <hyperlink r:id="rId2603" ref="AQ566"/>
    <hyperlink r:id="rId2604" ref="G567"/>
    <hyperlink r:id="rId2605" ref="AL567"/>
    <hyperlink r:id="rId2606" ref="AN567"/>
    <hyperlink r:id="rId2607" ref="AQ567"/>
    <hyperlink r:id="rId2608" ref="G568"/>
    <hyperlink r:id="rId2609" ref="AL568"/>
    <hyperlink r:id="rId2610" ref="AN568"/>
    <hyperlink r:id="rId2611" ref="AQ568"/>
    <hyperlink r:id="rId2612" ref="G569"/>
    <hyperlink r:id="rId2613" ref="K569"/>
    <hyperlink r:id="rId2614" ref="AL569"/>
    <hyperlink r:id="rId2615" ref="AN569"/>
    <hyperlink r:id="rId2616" ref="AQ569"/>
    <hyperlink r:id="rId2617" ref="G570"/>
    <hyperlink r:id="rId2618" ref="K570"/>
    <hyperlink r:id="rId2619" ref="AL570"/>
    <hyperlink r:id="rId2620" ref="AN570"/>
    <hyperlink r:id="rId2621" ref="AQ570"/>
    <hyperlink r:id="rId2622" ref="G571"/>
    <hyperlink r:id="rId2623" ref="K571"/>
    <hyperlink r:id="rId2624" ref="AL571"/>
    <hyperlink r:id="rId2625" ref="AN571"/>
    <hyperlink r:id="rId2626" ref="AQ571"/>
    <hyperlink r:id="rId2627" ref="G572"/>
    <hyperlink r:id="rId2628" ref="AL572"/>
    <hyperlink r:id="rId2629" ref="AN572"/>
    <hyperlink r:id="rId2630" ref="AQ572"/>
    <hyperlink r:id="rId2631" ref="G573"/>
    <hyperlink r:id="rId2632" ref="K573"/>
    <hyperlink r:id="rId2633" ref="AL573"/>
    <hyperlink r:id="rId2634" ref="AN573"/>
    <hyperlink r:id="rId2635" ref="G574"/>
    <hyperlink r:id="rId2636" ref="K574"/>
    <hyperlink r:id="rId2637" ref="AL574"/>
    <hyperlink r:id="rId2638" ref="AN574"/>
    <hyperlink r:id="rId2639" ref="AQ574"/>
    <hyperlink r:id="rId2640" ref="G575"/>
    <hyperlink r:id="rId2641" ref="K575"/>
    <hyperlink r:id="rId2642" ref="AL575"/>
    <hyperlink r:id="rId2643" ref="AN575"/>
    <hyperlink r:id="rId2644" ref="G576"/>
    <hyperlink r:id="rId2645" ref="K576"/>
    <hyperlink r:id="rId2646" ref="AL576"/>
    <hyperlink r:id="rId2647" ref="AN576"/>
    <hyperlink r:id="rId2648" ref="AQ576"/>
    <hyperlink r:id="rId2649" ref="G577"/>
    <hyperlink r:id="rId2650" ref="K577"/>
    <hyperlink r:id="rId2651" ref="AL577"/>
    <hyperlink r:id="rId2652" ref="AN577"/>
    <hyperlink r:id="rId2653" ref="AQ577"/>
    <hyperlink r:id="rId2654" ref="G578"/>
    <hyperlink r:id="rId2655" ref="AL578"/>
    <hyperlink r:id="rId2656" ref="AN578"/>
    <hyperlink r:id="rId2657" ref="AQ578"/>
    <hyperlink r:id="rId2658" ref="G579"/>
    <hyperlink r:id="rId2659" ref="AL579"/>
    <hyperlink r:id="rId2660" ref="AN579"/>
    <hyperlink r:id="rId2661" ref="AQ579"/>
    <hyperlink r:id="rId2662" ref="G580"/>
    <hyperlink r:id="rId2663" ref="K580"/>
    <hyperlink r:id="rId2664" ref="AL580"/>
    <hyperlink r:id="rId2665" ref="AN580"/>
    <hyperlink r:id="rId2666" ref="AQ580"/>
    <hyperlink r:id="rId2667" ref="G581"/>
    <hyperlink r:id="rId2668" ref="K581"/>
    <hyperlink r:id="rId2669" ref="AL581"/>
    <hyperlink r:id="rId2670" ref="AN581"/>
    <hyperlink r:id="rId2671" ref="AQ581"/>
    <hyperlink r:id="rId2672" ref="G582"/>
    <hyperlink r:id="rId2673" ref="AL582"/>
    <hyperlink r:id="rId2674" ref="AN582"/>
    <hyperlink r:id="rId2675" ref="G583"/>
    <hyperlink r:id="rId2676" ref="AL583"/>
    <hyperlink r:id="rId2677" ref="AN583"/>
    <hyperlink r:id="rId2678" ref="G584"/>
    <hyperlink r:id="rId2679" ref="AL584"/>
    <hyperlink r:id="rId2680" ref="AN584"/>
    <hyperlink r:id="rId2681" ref="G585"/>
    <hyperlink r:id="rId2682" ref="AL585"/>
    <hyperlink r:id="rId2683" ref="AN585"/>
    <hyperlink r:id="rId2684" ref="AQ585"/>
    <hyperlink r:id="rId2685" ref="G586"/>
    <hyperlink r:id="rId2686" ref="AL586"/>
    <hyperlink r:id="rId2687" ref="AN586"/>
    <hyperlink r:id="rId2688" ref="G587"/>
    <hyperlink r:id="rId2689" ref="AL587"/>
    <hyperlink r:id="rId2690" ref="AN587"/>
    <hyperlink r:id="rId2691" ref="AQ587"/>
    <hyperlink r:id="rId2692" ref="G588"/>
    <hyperlink r:id="rId2693" ref="AL588"/>
    <hyperlink r:id="rId2694" ref="AN588"/>
    <hyperlink r:id="rId2695" ref="AQ588"/>
    <hyperlink r:id="rId2696" ref="AR588"/>
    <hyperlink r:id="rId2697" ref="G589"/>
    <hyperlink r:id="rId2698" ref="AL589"/>
    <hyperlink r:id="rId2699" ref="AN589"/>
    <hyperlink r:id="rId2700" ref="AQ589"/>
    <hyperlink r:id="rId2701" ref="AR589"/>
    <hyperlink r:id="rId2702" ref="G590"/>
    <hyperlink r:id="rId2703" ref="AL590"/>
    <hyperlink r:id="rId2704" ref="AN590"/>
    <hyperlink r:id="rId2705" ref="G591"/>
    <hyperlink r:id="rId2706" ref="AL591"/>
    <hyperlink r:id="rId2707" ref="AN591"/>
    <hyperlink r:id="rId2708" ref="AQ591"/>
    <hyperlink r:id="rId2709" ref="G592"/>
    <hyperlink r:id="rId2710" ref="AL592"/>
    <hyperlink r:id="rId2711" ref="AN592"/>
    <hyperlink r:id="rId2712" ref="AQ592"/>
    <hyperlink r:id="rId2713" ref="G593"/>
    <hyperlink r:id="rId2714" ref="AL593"/>
    <hyperlink r:id="rId2715" ref="AN593"/>
    <hyperlink r:id="rId2716" ref="AQ593"/>
    <hyperlink r:id="rId2717" ref="AR593"/>
    <hyperlink r:id="rId2718" ref="G594"/>
    <hyperlink r:id="rId2719" ref="T594"/>
    <hyperlink r:id="rId2720" ref="AL594"/>
    <hyperlink r:id="rId2721" ref="AN594"/>
    <hyperlink r:id="rId2722" ref="G595"/>
    <hyperlink r:id="rId2723" ref="AL595"/>
    <hyperlink r:id="rId2724" ref="AN595"/>
    <hyperlink r:id="rId2725" ref="AQ595"/>
    <hyperlink r:id="rId2726" ref="G596"/>
    <hyperlink r:id="rId2727" ref="AL596"/>
    <hyperlink r:id="rId2728" ref="AN596"/>
    <hyperlink r:id="rId2729" ref="AQ596"/>
    <hyperlink r:id="rId2730" ref="G597"/>
    <hyperlink r:id="rId2731" ref="AL597"/>
    <hyperlink r:id="rId2732" ref="AN597"/>
    <hyperlink r:id="rId2733" ref="AQ597"/>
    <hyperlink r:id="rId2734" ref="G598"/>
    <hyperlink r:id="rId2735" ref="AL598"/>
    <hyperlink r:id="rId2736" ref="AN598"/>
    <hyperlink r:id="rId2737" ref="G599"/>
    <hyperlink r:id="rId2738" ref="K599"/>
    <hyperlink r:id="rId2739" ref="AL599"/>
    <hyperlink r:id="rId2740" ref="AN599"/>
    <hyperlink r:id="rId2741" ref="AQ599"/>
    <hyperlink r:id="rId2742" ref="G600"/>
    <hyperlink r:id="rId2743" ref="K600"/>
    <hyperlink r:id="rId2744" ref="AL600"/>
    <hyperlink r:id="rId2745" ref="AN600"/>
    <hyperlink r:id="rId2746" ref="G601"/>
    <hyperlink r:id="rId2747" ref="AL601"/>
    <hyperlink r:id="rId2748" ref="AN601"/>
    <hyperlink r:id="rId2749" ref="AQ601"/>
    <hyperlink r:id="rId2750" ref="G602"/>
    <hyperlink r:id="rId2751" ref="AL602"/>
    <hyperlink r:id="rId2752" ref="AN602"/>
    <hyperlink r:id="rId2753" ref="AQ602"/>
    <hyperlink r:id="rId2754" ref="AR602"/>
    <hyperlink r:id="rId2755" ref="G603"/>
    <hyperlink r:id="rId2756" ref="AL603"/>
    <hyperlink r:id="rId2757" ref="AN603"/>
    <hyperlink r:id="rId2758" ref="AQ603"/>
    <hyperlink r:id="rId2759" ref="G604"/>
    <hyperlink r:id="rId2760" ref="AL604"/>
    <hyperlink r:id="rId2761" ref="AN604"/>
    <hyperlink r:id="rId2762" ref="AQ604"/>
    <hyperlink r:id="rId2763" ref="G605"/>
    <hyperlink r:id="rId2764" ref="AL605"/>
    <hyperlink r:id="rId2765" ref="AN605"/>
    <hyperlink r:id="rId2766" ref="AQ605"/>
    <hyperlink r:id="rId2767" ref="G606"/>
    <hyperlink r:id="rId2768" ref="AL606"/>
    <hyperlink r:id="rId2769" ref="AN606"/>
    <hyperlink r:id="rId2770" ref="G607"/>
    <hyperlink r:id="rId2771" ref="K607"/>
    <hyperlink r:id="rId2772" ref="AL607"/>
    <hyperlink r:id="rId2773" ref="AN607"/>
    <hyperlink r:id="rId2774" ref="AQ607"/>
    <hyperlink r:id="rId2775" ref="G608"/>
    <hyperlink r:id="rId2776" ref="K608"/>
    <hyperlink r:id="rId2777" ref="AL608"/>
    <hyperlink r:id="rId2778" ref="AN608"/>
    <hyperlink r:id="rId2779" ref="AQ608"/>
    <hyperlink r:id="rId2780" ref="G609"/>
    <hyperlink r:id="rId2781" ref="AL609"/>
    <hyperlink r:id="rId2782" ref="AN609"/>
    <hyperlink r:id="rId2783" ref="AQ609"/>
    <hyperlink r:id="rId2784" ref="G610"/>
    <hyperlink r:id="rId2785" ref="AL610"/>
    <hyperlink r:id="rId2786" ref="AN610"/>
    <hyperlink r:id="rId2787" ref="AQ610"/>
    <hyperlink r:id="rId2788" ref="G611"/>
    <hyperlink r:id="rId2789" ref="AL611"/>
    <hyperlink r:id="rId2790" ref="AN611"/>
    <hyperlink r:id="rId2791" ref="AQ611"/>
    <hyperlink r:id="rId2792" ref="G612"/>
    <hyperlink r:id="rId2793" ref="AL612"/>
    <hyperlink r:id="rId2794" ref="AN612"/>
    <hyperlink r:id="rId2795" ref="AQ612"/>
    <hyperlink r:id="rId2796" ref="G613"/>
    <hyperlink r:id="rId2797" ref="AL613"/>
    <hyperlink r:id="rId2798" ref="AN613"/>
    <hyperlink r:id="rId2799" ref="G614"/>
    <hyperlink r:id="rId2800" ref="AL614"/>
    <hyperlink r:id="rId2801" ref="AN614"/>
    <hyperlink r:id="rId2802" ref="G615"/>
    <hyperlink r:id="rId2803" ref="AL615"/>
    <hyperlink r:id="rId2804" ref="AN615"/>
    <hyperlink r:id="rId2805" ref="AQ615"/>
    <hyperlink r:id="rId2806" ref="G616"/>
    <hyperlink r:id="rId2807" ref="K616"/>
    <hyperlink r:id="rId2808" ref="AL616"/>
    <hyperlink r:id="rId2809" ref="AN616"/>
    <hyperlink r:id="rId2810" ref="G617"/>
    <hyperlink r:id="rId2811" ref="AL617"/>
    <hyperlink r:id="rId2812" ref="AN617"/>
    <hyperlink r:id="rId2813" ref="AQ617"/>
    <hyperlink r:id="rId2814" ref="G618"/>
    <hyperlink r:id="rId2815" ref="AL618"/>
    <hyperlink r:id="rId2816" ref="AN618"/>
    <hyperlink r:id="rId2817" ref="AQ618"/>
    <hyperlink r:id="rId2818" ref="AR618"/>
    <hyperlink r:id="rId2819" ref="G619"/>
    <hyperlink r:id="rId2820" ref="AL619"/>
    <hyperlink r:id="rId2821" ref="AN619"/>
    <hyperlink r:id="rId2822" ref="AQ619"/>
    <hyperlink r:id="rId2823" ref="G620"/>
    <hyperlink r:id="rId2824" ref="K620"/>
    <hyperlink r:id="rId2825" ref="AL620"/>
    <hyperlink r:id="rId2826" ref="AN620"/>
    <hyperlink r:id="rId2827" ref="G621"/>
    <hyperlink r:id="rId2828" ref="K621"/>
    <hyperlink r:id="rId2829" ref="AL621"/>
    <hyperlink r:id="rId2830" ref="AN621"/>
    <hyperlink r:id="rId2831" ref="AQ621"/>
    <hyperlink r:id="rId2832" ref="G622"/>
    <hyperlink r:id="rId2833" ref="AL622"/>
    <hyperlink r:id="rId2834" ref="AN622"/>
    <hyperlink r:id="rId2835" ref="AQ622"/>
    <hyperlink r:id="rId2836" ref="G623"/>
    <hyperlink r:id="rId2837" ref="K623"/>
    <hyperlink r:id="rId2838" ref="AL623"/>
    <hyperlink r:id="rId2839" ref="AN623"/>
    <hyperlink r:id="rId2840" ref="G624"/>
    <hyperlink r:id="rId2841" ref="AL624"/>
    <hyperlink r:id="rId2842" ref="AN624"/>
    <hyperlink r:id="rId2843" ref="AQ624"/>
    <hyperlink r:id="rId2844" ref="G625"/>
    <hyperlink r:id="rId2845" ref="K625"/>
    <hyperlink r:id="rId2846" ref="AL625"/>
    <hyperlink r:id="rId2847" ref="AN625"/>
    <hyperlink r:id="rId2848" ref="G626"/>
    <hyperlink r:id="rId2849" ref="AL626"/>
    <hyperlink r:id="rId2850" ref="AN626"/>
    <hyperlink r:id="rId2851" ref="AQ626"/>
    <hyperlink r:id="rId2852" ref="G627"/>
    <hyperlink r:id="rId2853" ref="AL627"/>
    <hyperlink r:id="rId2854" ref="AN627"/>
    <hyperlink r:id="rId2855" ref="AQ627"/>
    <hyperlink r:id="rId2856" ref="G628"/>
    <hyperlink r:id="rId2857" ref="AL628"/>
    <hyperlink r:id="rId2858" ref="AN628"/>
    <hyperlink r:id="rId2859" ref="AQ628"/>
    <hyperlink r:id="rId2860" ref="G629"/>
    <hyperlink r:id="rId2861" ref="AL629"/>
    <hyperlink r:id="rId2862" ref="AN629"/>
    <hyperlink r:id="rId2863" ref="AQ629"/>
    <hyperlink r:id="rId2864" ref="G630"/>
    <hyperlink r:id="rId2865" ref="AL630"/>
    <hyperlink r:id="rId2866" ref="AN630"/>
    <hyperlink r:id="rId2867" ref="AQ630"/>
    <hyperlink r:id="rId2868" ref="G631"/>
    <hyperlink r:id="rId2869" ref="AL631"/>
    <hyperlink r:id="rId2870" ref="AN631"/>
    <hyperlink r:id="rId2871" ref="AQ631"/>
    <hyperlink r:id="rId2872" ref="G632"/>
    <hyperlink r:id="rId2873" ref="AL632"/>
    <hyperlink r:id="rId2874" ref="AN632"/>
    <hyperlink r:id="rId2875" ref="G633"/>
    <hyperlink r:id="rId2876" ref="AL633"/>
    <hyperlink r:id="rId2877" ref="AN633"/>
    <hyperlink r:id="rId2878" ref="AQ633"/>
    <hyperlink r:id="rId2879" ref="G634"/>
    <hyperlink r:id="rId2880" ref="AL634"/>
    <hyperlink r:id="rId2881" ref="AN634"/>
    <hyperlink r:id="rId2882" ref="G635"/>
    <hyperlink r:id="rId2883" ref="AL635"/>
    <hyperlink r:id="rId2884" ref="AN635"/>
    <hyperlink r:id="rId2885" ref="G636"/>
    <hyperlink r:id="rId2886" ref="AL636"/>
    <hyperlink r:id="rId2887" ref="AN636"/>
    <hyperlink r:id="rId2888" ref="AQ636"/>
    <hyperlink r:id="rId2889" ref="G637"/>
    <hyperlink r:id="rId2890" ref="AL637"/>
    <hyperlink r:id="rId2891" ref="AN637"/>
    <hyperlink r:id="rId2892" ref="AQ637"/>
    <hyperlink r:id="rId2893" ref="G638"/>
    <hyperlink r:id="rId2894" ref="AL638"/>
    <hyperlink r:id="rId2895" ref="AN638"/>
    <hyperlink r:id="rId2896" ref="AQ638"/>
    <hyperlink r:id="rId2897" ref="G639"/>
    <hyperlink r:id="rId2898" ref="AL639"/>
    <hyperlink r:id="rId2899" ref="AN639"/>
    <hyperlink r:id="rId2900" ref="AQ639"/>
    <hyperlink r:id="rId2901" ref="G640"/>
    <hyperlink r:id="rId2902" ref="AL640"/>
    <hyperlink r:id="rId2903" ref="AN640"/>
    <hyperlink r:id="rId2904" ref="AQ640"/>
    <hyperlink r:id="rId2905" ref="G641"/>
    <hyperlink r:id="rId2906" ref="AL641"/>
    <hyperlink r:id="rId2907" ref="AN641"/>
    <hyperlink r:id="rId2908" ref="G642"/>
    <hyperlink r:id="rId2909" ref="AL642"/>
    <hyperlink r:id="rId2910" ref="AN642"/>
    <hyperlink r:id="rId2911" ref="AQ642"/>
    <hyperlink r:id="rId2912" ref="G643"/>
    <hyperlink r:id="rId2913" ref="AL643"/>
    <hyperlink r:id="rId2914" ref="AN643"/>
    <hyperlink r:id="rId2915" ref="AQ643"/>
    <hyperlink r:id="rId2916" ref="G644"/>
    <hyperlink r:id="rId2917" ref="AL644"/>
    <hyperlink r:id="rId2918" ref="AN644"/>
    <hyperlink r:id="rId2919" ref="G645"/>
    <hyperlink r:id="rId2920" ref="AL645"/>
    <hyperlink r:id="rId2921" ref="AN645"/>
    <hyperlink r:id="rId2922" ref="G646"/>
    <hyperlink r:id="rId2923" ref="AL646"/>
    <hyperlink r:id="rId2924" ref="AN646"/>
    <hyperlink r:id="rId2925" ref="G647"/>
    <hyperlink r:id="rId2926" ref="AL647"/>
    <hyperlink r:id="rId2927" ref="AN647"/>
    <hyperlink r:id="rId2928" ref="AQ647"/>
    <hyperlink r:id="rId2929" ref="G648"/>
    <hyperlink r:id="rId2930" ref="AL648"/>
    <hyperlink r:id="rId2931" ref="AN648"/>
    <hyperlink r:id="rId2932" ref="AQ648"/>
    <hyperlink r:id="rId2933" ref="G649"/>
    <hyperlink r:id="rId2934" ref="AL649"/>
    <hyperlink r:id="rId2935" ref="AN649"/>
    <hyperlink r:id="rId2936" ref="AQ649"/>
    <hyperlink r:id="rId2937" ref="G650"/>
    <hyperlink r:id="rId2938" ref="AL650"/>
    <hyperlink r:id="rId2939" ref="AN650"/>
    <hyperlink r:id="rId2940" ref="AL651"/>
    <hyperlink r:id="rId2941" ref="AN651"/>
    <hyperlink r:id="rId2942" ref="G652"/>
    <hyperlink r:id="rId2943" ref="AL652"/>
    <hyperlink r:id="rId2944" ref="AN652"/>
    <hyperlink r:id="rId2945" ref="G653"/>
    <hyperlink r:id="rId2946" ref="AL653"/>
    <hyperlink r:id="rId2947" ref="AN653"/>
    <hyperlink r:id="rId2948" ref="G654"/>
    <hyperlink r:id="rId2949" ref="AL654"/>
    <hyperlink r:id="rId2950" ref="AN654"/>
    <hyperlink r:id="rId2951" ref="G655"/>
    <hyperlink r:id="rId2952" ref="AL655"/>
    <hyperlink r:id="rId2953" ref="AN655"/>
    <hyperlink r:id="rId2954" ref="G656"/>
    <hyperlink r:id="rId2955" ref="AL656"/>
    <hyperlink r:id="rId2956" ref="AN656"/>
    <hyperlink r:id="rId2957" ref="AQ656"/>
    <hyperlink r:id="rId2958" ref="G657"/>
    <hyperlink r:id="rId2959" ref="AL657"/>
    <hyperlink r:id="rId2960" ref="AN657"/>
    <hyperlink r:id="rId2961" ref="AQ657"/>
    <hyperlink r:id="rId2962" ref="G658"/>
    <hyperlink r:id="rId2963" ref="AL658"/>
    <hyperlink r:id="rId2964" ref="AN658"/>
    <hyperlink r:id="rId2965" ref="AQ658"/>
    <hyperlink r:id="rId2966" ref="G659"/>
    <hyperlink r:id="rId2967" ref="AL659"/>
    <hyperlink r:id="rId2968" ref="AN659"/>
    <hyperlink r:id="rId2969" ref="AQ659"/>
    <hyperlink r:id="rId2970" ref="AR659"/>
    <hyperlink r:id="rId2971" ref="G660"/>
    <hyperlink r:id="rId2972" ref="AL660"/>
    <hyperlink r:id="rId2973" ref="AN660"/>
    <hyperlink r:id="rId2974" ref="G661"/>
    <hyperlink r:id="rId2975" ref="AL661"/>
    <hyperlink r:id="rId2976" ref="AN661"/>
    <hyperlink r:id="rId2977" ref="AQ661"/>
    <hyperlink r:id="rId2978" ref="AR661"/>
    <hyperlink r:id="rId2979" ref="G662"/>
    <hyperlink r:id="rId2980" ref="AL662"/>
    <hyperlink r:id="rId2981" ref="AN662"/>
    <hyperlink r:id="rId2982" ref="AQ662"/>
    <hyperlink r:id="rId2983" ref="AR662"/>
    <hyperlink r:id="rId2984" ref="G663"/>
    <hyperlink r:id="rId2985" ref="AL663"/>
    <hyperlink r:id="rId2986" ref="AN663"/>
    <hyperlink r:id="rId2987" ref="AQ663"/>
    <hyperlink r:id="rId2988" ref="G664"/>
    <hyperlink r:id="rId2989" ref="AL664"/>
    <hyperlink r:id="rId2990" ref="AN664"/>
    <hyperlink r:id="rId2991" ref="G665"/>
    <hyperlink r:id="rId2992" ref="AL665"/>
    <hyperlink r:id="rId2993" ref="AN665"/>
    <hyperlink r:id="rId2994" ref="G666"/>
    <hyperlink r:id="rId2995" ref="AL666"/>
    <hyperlink r:id="rId2996" ref="AN666"/>
    <hyperlink r:id="rId2997" ref="AQ666"/>
    <hyperlink r:id="rId2998" ref="G667"/>
    <hyperlink r:id="rId2999" ref="AL667"/>
    <hyperlink r:id="rId3000" ref="AN667"/>
    <hyperlink r:id="rId3001" ref="AQ667"/>
    <hyperlink r:id="rId3002" ref="G668"/>
    <hyperlink r:id="rId3003" ref="AL668"/>
    <hyperlink r:id="rId3004" ref="AN668"/>
    <hyperlink r:id="rId3005" ref="AQ668"/>
    <hyperlink r:id="rId3006" ref="G669"/>
    <hyperlink r:id="rId3007" ref="AL669"/>
    <hyperlink r:id="rId3008" ref="AN669"/>
    <hyperlink r:id="rId3009" ref="AQ669"/>
    <hyperlink r:id="rId3010" ref="G670"/>
    <hyperlink r:id="rId3011" ref="AL670"/>
    <hyperlink r:id="rId3012" ref="AN670"/>
    <hyperlink r:id="rId3013" ref="AQ670"/>
    <hyperlink r:id="rId3014" ref="AR670"/>
    <hyperlink r:id="rId3015" ref="G671"/>
    <hyperlink r:id="rId3016" ref="AL671"/>
    <hyperlink r:id="rId3017" ref="AN671"/>
    <hyperlink r:id="rId3018" ref="AQ671"/>
    <hyperlink r:id="rId3019" ref="G672"/>
    <hyperlink r:id="rId3020" ref="AL672"/>
    <hyperlink r:id="rId3021" ref="AN672"/>
    <hyperlink r:id="rId3022" ref="G673"/>
    <hyperlink r:id="rId3023" ref="AL673"/>
    <hyperlink r:id="rId3024" ref="AN673"/>
    <hyperlink r:id="rId3025" ref="G674"/>
    <hyperlink r:id="rId3026" ref="AL674"/>
    <hyperlink r:id="rId3027" ref="AN674"/>
    <hyperlink r:id="rId3028" ref="G675"/>
    <hyperlink r:id="rId3029" ref="AL675"/>
    <hyperlink r:id="rId3030" ref="AN675"/>
    <hyperlink r:id="rId3031" ref="G676"/>
    <hyperlink r:id="rId3032" ref="AL676"/>
    <hyperlink r:id="rId3033" ref="AN676"/>
    <hyperlink r:id="rId3034" ref="AQ676"/>
    <hyperlink r:id="rId3035" ref="G677"/>
    <hyperlink r:id="rId3036" ref="AL677"/>
    <hyperlink r:id="rId3037" ref="AN677"/>
    <hyperlink r:id="rId3038" ref="AQ677"/>
    <hyperlink r:id="rId3039" ref="AR677"/>
    <hyperlink r:id="rId3040" ref="G678"/>
    <hyperlink r:id="rId3041" ref="AL678"/>
    <hyperlink r:id="rId3042" ref="AN678"/>
    <hyperlink r:id="rId3043" ref="G679"/>
    <hyperlink r:id="rId3044" ref="AL679"/>
    <hyperlink r:id="rId3045" ref="AN679"/>
    <hyperlink r:id="rId3046" ref="G680"/>
    <hyperlink r:id="rId3047" ref="AL680"/>
    <hyperlink r:id="rId3048" ref="AN680"/>
    <hyperlink r:id="rId3049" ref="AQ680"/>
    <hyperlink r:id="rId3050" ref="G681"/>
    <hyperlink r:id="rId3051" ref="AL681"/>
    <hyperlink r:id="rId3052" ref="AN681"/>
    <hyperlink r:id="rId3053" ref="G682"/>
    <hyperlink r:id="rId3054" ref="AL682"/>
    <hyperlink r:id="rId3055" ref="AN682"/>
    <hyperlink r:id="rId3056" ref="AQ682"/>
    <hyperlink r:id="rId3057" ref="G683"/>
    <hyperlink r:id="rId3058" ref="AL683"/>
    <hyperlink r:id="rId3059" ref="AN683"/>
    <hyperlink r:id="rId3060" ref="AQ683"/>
    <hyperlink r:id="rId3061" ref="G684"/>
    <hyperlink r:id="rId3062" ref="AL684"/>
    <hyperlink r:id="rId3063" ref="AN684"/>
    <hyperlink r:id="rId3064" ref="AQ684"/>
    <hyperlink r:id="rId3065" ref="G687"/>
    <hyperlink r:id="rId3066" ref="AL687"/>
    <hyperlink r:id="rId3067" ref="AN687"/>
    <hyperlink r:id="rId3068" ref="G688"/>
    <hyperlink r:id="rId3069" ref="AL688"/>
    <hyperlink r:id="rId3070" ref="AN688"/>
    <hyperlink r:id="rId3071" ref="G689"/>
    <hyperlink r:id="rId3072" ref="AL689"/>
    <hyperlink r:id="rId3073" ref="AN689"/>
    <hyperlink r:id="rId3074" ref="AQ689"/>
    <hyperlink r:id="rId3075" ref="G690"/>
    <hyperlink r:id="rId3076" ref="AL690"/>
    <hyperlink r:id="rId3077" ref="AN690"/>
    <hyperlink r:id="rId3078" ref="G691"/>
    <hyperlink r:id="rId3079" ref="AL691"/>
    <hyperlink r:id="rId3080" ref="AN691"/>
    <hyperlink r:id="rId3081" ref="AQ691"/>
    <hyperlink r:id="rId3082" ref="AR691"/>
    <hyperlink r:id="rId3083" ref="G692"/>
    <hyperlink r:id="rId3084" ref="AL692"/>
    <hyperlink r:id="rId3085" ref="AN692"/>
    <hyperlink r:id="rId3086" ref="AQ692"/>
    <hyperlink r:id="rId3087" ref="AR692"/>
    <hyperlink r:id="rId3088" ref="G693"/>
    <hyperlink r:id="rId3089" ref="AL693"/>
    <hyperlink r:id="rId3090" ref="AN693"/>
    <hyperlink r:id="rId3091" ref="G694"/>
    <hyperlink r:id="rId3092" ref="AL694"/>
    <hyperlink r:id="rId3093" ref="AN694"/>
    <hyperlink r:id="rId3094" ref="AQ694"/>
    <hyperlink r:id="rId3095" ref="G695"/>
    <hyperlink r:id="rId3096" ref="AL695"/>
    <hyperlink r:id="rId3097" ref="AN695"/>
    <hyperlink r:id="rId3098" ref="AQ695"/>
    <hyperlink r:id="rId3099" ref="G696"/>
    <hyperlink r:id="rId3100" ref="AL696"/>
    <hyperlink r:id="rId3101" ref="AN696"/>
    <hyperlink r:id="rId3102" ref="G697"/>
    <hyperlink r:id="rId3103" ref="AL697"/>
    <hyperlink r:id="rId3104" ref="AN697"/>
    <hyperlink r:id="rId3105" ref="AQ697"/>
    <hyperlink r:id="rId3106" ref="G698"/>
    <hyperlink r:id="rId3107" ref="AL698"/>
    <hyperlink r:id="rId3108" ref="AN698"/>
    <hyperlink r:id="rId3109" ref="AQ698"/>
    <hyperlink r:id="rId3110" ref="G699"/>
    <hyperlink r:id="rId3111" ref="AL699"/>
    <hyperlink r:id="rId3112" ref="AN699"/>
    <hyperlink r:id="rId3113" ref="AQ699"/>
    <hyperlink r:id="rId3114" ref="G700"/>
    <hyperlink r:id="rId3115" ref="AL700"/>
    <hyperlink r:id="rId3116" ref="AN700"/>
    <hyperlink r:id="rId3117" ref="AQ700"/>
    <hyperlink r:id="rId3118" ref="AR700"/>
    <hyperlink r:id="rId3119" ref="G701"/>
    <hyperlink r:id="rId3120" ref="AL701"/>
    <hyperlink r:id="rId3121" ref="AN701"/>
    <hyperlink r:id="rId3122" ref="AQ701"/>
    <hyperlink r:id="rId3123" ref="AR701"/>
    <hyperlink r:id="rId3124" ref="G702"/>
    <hyperlink r:id="rId3125" ref="AL702"/>
    <hyperlink r:id="rId3126" ref="AN702"/>
    <hyperlink r:id="rId3127" ref="AQ702"/>
    <hyperlink r:id="rId3128" ref="AR702"/>
    <hyperlink r:id="rId3129" ref="G703"/>
    <hyperlink r:id="rId3130" ref="AL703"/>
    <hyperlink r:id="rId3131" ref="AN703"/>
    <hyperlink r:id="rId3132" ref="G704"/>
    <hyperlink r:id="rId3133" ref="AL704"/>
    <hyperlink r:id="rId3134" ref="AN704"/>
    <hyperlink r:id="rId3135" ref="AQ704"/>
    <hyperlink r:id="rId3136" ref="G705"/>
    <hyperlink r:id="rId3137" ref="AL705"/>
    <hyperlink r:id="rId3138" ref="AN705"/>
    <hyperlink r:id="rId3139" ref="G706"/>
    <hyperlink r:id="rId3140" ref="AL706"/>
    <hyperlink r:id="rId3141" ref="AN706"/>
    <hyperlink r:id="rId3142" ref="G707"/>
    <hyperlink r:id="rId3143" ref="AL707"/>
    <hyperlink r:id="rId3144" ref="AN707"/>
    <hyperlink r:id="rId3145" ref="AQ707"/>
    <hyperlink r:id="rId3146" ref="G708"/>
    <hyperlink r:id="rId3147" ref="AL708"/>
    <hyperlink r:id="rId3148" ref="AN708"/>
    <hyperlink r:id="rId3149" ref="G709"/>
    <hyperlink r:id="rId3150" ref="AL709"/>
    <hyperlink r:id="rId3151" ref="AN709"/>
    <hyperlink r:id="rId3152" ref="G710"/>
    <hyperlink r:id="rId3153" ref="AL710"/>
    <hyperlink r:id="rId3154" ref="AN710"/>
    <hyperlink r:id="rId3155" ref="AQ710"/>
    <hyperlink r:id="rId3156" ref="G711"/>
    <hyperlink r:id="rId3157" ref="AL711"/>
    <hyperlink r:id="rId3158" ref="AN711"/>
    <hyperlink r:id="rId3159" ref="AQ711"/>
    <hyperlink r:id="rId3160" ref="AR711"/>
    <hyperlink r:id="rId3161" ref="G712"/>
    <hyperlink r:id="rId3162" ref="AL712"/>
    <hyperlink r:id="rId3163" ref="AN712"/>
    <hyperlink r:id="rId3164" ref="G713"/>
    <hyperlink r:id="rId3165" ref="AL713"/>
    <hyperlink r:id="rId3166" ref="AN713"/>
    <hyperlink r:id="rId3167" ref="G714"/>
    <hyperlink r:id="rId3168" ref="AL714"/>
    <hyperlink r:id="rId3169" ref="AN714"/>
    <hyperlink r:id="rId3170" ref="G715"/>
    <hyperlink r:id="rId3171" ref="AL715"/>
    <hyperlink r:id="rId3172" ref="AN715"/>
    <hyperlink r:id="rId3173" ref="G716"/>
    <hyperlink r:id="rId3174" ref="AL716"/>
    <hyperlink r:id="rId3175" ref="AN716"/>
    <hyperlink r:id="rId3176" ref="G717"/>
    <hyperlink r:id="rId3177" ref="AL717"/>
    <hyperlink r:id="rId3178" ref="AN717"/>
    <hyperlink r:id="rId3179" ref="AQ717"/>
    <hyperlink r:id="rId3180" ref="AR717"/>
    <hyperlink r:id="rId3181" ref="G718"/>
    <hyperlink r:id="rId3182" ref="AL718"/>
    <hyperlink r:id="rId3183" ref="AN718"/>
    <hyperlink r:id="rId3184" ref="AQ718"/>
    <hyperlink r:id="rId3185" ref="G719"/>
    <hyperlink r:id="rId3186" ref="AL719"/>
    <hyperlink r:id="rId3187" ref="AN719"/>
    <hyperlink r:id="rId3188" ref="AQ719"/>
    <hyperlink r:id="rId3189" ref="G720"/>
    <hyperlink r:id="rId3190" ref="AL720"/>
    <hyperlink r:id="rId3191" ref="AN720"/>
    <hyperlink r:id="rId3192" ref="AQ720"/>
    <hyperlink r:id="rId3193" ref="G721"/>
    <hyperlink r:id="rId3194" ref="AL721"/>
    <hyperlink r:id="rId3195" ref="AN721"/>
    <hyperlink r:id="rId3196" ref="AQ721"/>
    <hyperlink r:id="rId3197" ref="G722"/>
    <hyperlink r:id="rId3198" ref="AL722"/>
    <hyperlink r:id="rId3199" ref="AN722"/>
    <hyperlink r:id="rId3200" ref="AQ722"/>
    <hyperlink r:id="rId3201" ref="G723"/>
    <hyperlink r:id="rId3202" ref="K723"/>
    <hyperlink r:id="rId3203" ref="AL723"/>
    <hyperlink r:id="rId3204" ref="AN723"/>
    <hyperlink r:id="rId3205" ref="AQ723"/>
    <hyperlink r:id="rId3206" ref="G724"/>
    <hyperlink r:id="rId3207" ref="AL724"/>
    <hyperlink r:id="rId3208" ref="AN724"/>
    <hyperlink r:id="rId3209" ref="AQ724"/>
    <hyperlink r:id="rId3210" ref="AR724"/>
    <hyperlink r:id="rId3211" ref="G725"/>
    <hyperlink r:id="rId3212" ref="AL725"/>
    <hyperlink r:id="rId3213" ref="AN725"/>
    <hyperlink r:id="rId3214" ref="G726"/>
    <hyperlink r:id="rId3215" ref="K726"/>
    <hyperlink r:id="rId3216" ref="AL726"/>
    <hyperlink r:id="rId3217" ref="AN726"/>
    <hyperlink r:id="rId3218" ref="G727"/>
    <hyperlink r:id="rId3219" ref="AL727"/>
    <hyperlink r:id="rId3220" ref="AN727"/>
    <hyperlink r:id="rId3221" ref="G728"/>
    <hyperlink r:id="rId3222" ref="AL728"/>
    <hyperlink r:id="rId3223" ref="AN728"/>
    <hyperlink r:id="rId3224" ref="AQ728"/>
    <hyperlink r:id="rId3225" ref="G729"/>
    <hyperlink r:id="rId3226" ref="AL729"/>
    <hyperlink r:id="rId3227" ref="AN729"/>
    <hyperlink r:id="rId3228" ref="AQ729"/>
    <hyperlink r:id="rId3229" ref="AR729"/>
    <hyperlink r:id="rId3230" ref="G730"/>
    <hyperlink r:id="rId3231" ref="AL730"/>
    <hyperlink r:id="rId3232" ref="AN730"/>
    <hyperlink r:id="rId3233" ref="G731"/>
    <hyperlink r:id="rId3234" ref="K731"/>
    <hyperlink r:id="rId3235" ref="AL731"/>
    <hyperlink r:id="rId3236" ref="AN731"/>
    <hyperlink r:id="rId3237" ref="AQ731"/>
    <hyperlink r:id="rId3238" ref="G732"/>
    <hyperlink r:id="rId3239" ref="K732"/>
    <hyperlink r:id="rId3240" ref="AL732"/>
    <hyperlink r:id="rId3241" ref="AN732"/>
    <hyperlink r:id="rId3242" ref="AQ732"/>
    <hyperlink r:id="rId3243" ref="G733"/>
    <hyperlink r:id="rId3244" ref="AL733"/>
    <hyperlink r:id="rId3245" ref="AN733"/>
    <hyperlink r:id="rId3246" ref="AQ733"/>
    <hyperlink r:id="rId3247" ref="G734"/>
    <hyperlink r:id="rId3248" ref="K734"/>
    <hyperlink r:id="rId3249" ref="AL734"/>
    <hyperlink r:id="rId3250" ref="AN734"/>
    <hyperlink r:id="rId3251" ref="AQ734"/>
    <hyperlink r:id="rId3252" ref="G735"/>
    <hyperlink r:id="rId3253" ref="K735"/>
    <hyperlink r:id="rId3254" ref="AL735"/>
    <hyperlink r:id="rId3255" ref="AN735"/>
    <hyperlink r:id="rId3256" ref="AQ735"/>
    <hyperlink r:id="rId3257" ref="G736"/>
    <hyperlink r:id="rId3258" ref="AL736"/>
    <hyperlink r:id="rId3259" ref="AN736"/>
    <hyperlink r:id="rId3260" ref="AQ736"/>
    <hyperlink r:id="rId3261" ref="G737"/>
    <hyperlink r:id="rId3262" ref="AL737"/>
    <hyperlink r:id="rId3263" ref="AN737"/>
    <hyperlink r:id="rId3264" ref="G738"/>
    <hyperlink r:id="rId3265" ref="AL738"/>
    <hyperlink r:id="rId3266" ref="AN738"/>
    <hyperlink r:id="rId3267" ref="AQ738"/>
    <hyperlink r:id="rId3268" ref="G739"/>
    <hyperlink r:id="rId3269" ref="AL739"/>
    <hyperlink r:id="rId3270" ref="AN739"/>
    <hyperlink r:id="rId3271" ref="AQ739"/>
    <hyperlink r:id="rId3272" ref="G740"/>
    <hyperlink r:id="rId3273" ref="AL740"/>
    <hyperlink r:id="rId3274" ref="AN740"/>
    <hyperlink r:id="rId3275" ref="AQ740"/>
    <hyperlink r:id="rId3276" ref="G741"/>
    <hyperlink r:id="rId3277" ref="AL741"/>
    <hyperlink r:id="rId3278" ref="AN741"/>
    <hyperlink r:id="rId3279" ref="AQ741"/>
    <hyperlink r:id="rId3280" ref="G742"/>
    <hyperlink r:id="rId3281" ref="AL742"/>
    <hyperlink r:id="rId3282" ref="AN742"/>
    <hyperlink r:id="rId3283" ref="G743"/>
    <hyperlink r:id="rId3284" ref="AL743"/>
    <hyperlink r:id="rId3285" ref="AN743"/>
    <hyperlink r:id="rId3286" ref="AQ743"/>
    <hyperlink r:id="rId3287" ref="G744"/>
    <hyperlink r:id="rId3288" ref="AL744"/>
    <hyperlink r:id="rId3289" ref="AN744"/>
    <hyperlink r:id="rId3290" ref="AQ744"/>
    <hyperlink r:id="rId3291" ref="G745"/>
    <hyperlink r:id="rId3292" ref="AL745"/>
    <hyperlink r:id="rId3293" ref="AN745"/>
    <hyperlink r:id="rId3294" ref="AQ745"/>
    <hyperlink r:id="rId3295" ref="G746"/>
    <hyperlink r:id="rId3296" ref="K746"/>
    <hyperlink r:id="rId3297" ref="AL746"/>
    <hyperlink r:id="rId3298" ref="AN746"/>
    <hyperlink r:id="rId3299" ref="AQ746"/>
    <hyperlink r:id="rId3300" ref="G747"/>
    <hyperlink r:id="rId3301" ref="AL747"/>
    <hyperlink r:id="rId3302" ref="AN747"/>
    <hyperlink r:id="rId3303" ref="AQ747"/>
    <hyperlink r:id="rId3304" ref="G748"/>
    <hyperlink r:id="rId3305" ref="AL748"/>
    <hyperlink r:id="rId3306" ref="AN748"/>
    <hyperlink r:id="rId3307" ref="AQ748"/>
    <hyperlink r:id="rId3308" ref="G749"/>
    <hyperlink r:id="rId3309" ref="AL749"/>
    <hyperlink r:id="rId3310" ref="AN749"/>
    <hyperlink r:id="rId3311" ref="AQ749"/>
    <hyperlink r:id="rId3312" ref="G750"/>
    <hyperlink r:id="rId3313" ref="AL750"/>
    <hyperlink r:id="rId3314" ref="AN750"/>
    <hyperlink r:id="rId3315" ref="AQ750"/>
    <hyperlink r:id="rId3316" ref="G751"/>
    <hyperlink r:id="rId3317" ref="AL751"/>
    <hyperlink r:id="rId3318" ref="AN751"/>
    <hyperlink r:id="rId3319" ref="AQ751"/>
    <hyperlink r:id="rId3320" ref="G752"/>
    <hyperlink r:id="rId3321" ref="K752"/>
    <hyperlink r:id="rId3322" ref="AL752"/>
    <hyperlink r:id="rId3323" ref="AN752"/>
    <hyperlink r:id="rId3324" ref="AQ752"/>
    <hyperlink r:id="rId3325" ref="G753"/>
    <hyperlink r:id="rId3326" ref="K753"/>
    <hyperlink r:id="rId3327" ref="AL753"/>
    <hyperlink r:id="rId3328" ref="AN753"/>
    <hyperlink r:id="rId3329" ref="AQ753"/>
    <hyperlink r:id="rId3330" ref="G754"/>
    <hyperlink r:id="rId3331" ref="AL754"/>
    <hyperlink r:id="rId3332" ref="AN754"/>
    <hyperlink r:id="rId3333" ref="G755"/>
    <hyperlink r:id="rId3334" ref="K755"/>
    <hyperlink r:id="rId3335" ref="AL755"/>
    <hyperlink r:id="rId3336" ref="AN755"/>
    <hyperlink r:id="rId3337" ref="AQ755"/>
    <hyperlink r:id="rId3338" ref="G756"/>
    <hyperlink r:id="rId3339" ref="K756"/>
    <hyperlink r:id="rId3340" ref="AL756"/>
    <hyperlink r:id="rId3341" ref="AN756"/>
    <hyperlink r:id="rId3342" ref="AQ756"/>
    <hyperlink r:id="rId3343" ref="G757"/>
    <hyperlink r:id="rId3344" ref="K757"/>
    <hyperlink r:id="rId3345" ref="AL757"/>
    <hyperlink r:id="rId3346" ref="AN757"/>
    <hyperlink r:id="rId3347" ref="AQ757"/>
    <hyperlink r:id="rId3348" ref="G758"/>
    <hyperlink r:id="rId3349" ref="AL758"/>
    <hyperlink r:id="rId3350" ref="AN758"/>
    <hyperlink r:id="rId3351" ref="AQ758"/>
    <hyperlink r:id="rId3352" ref="G759"/>
    <hyperlink r:id="rId3353" ref="AL759"/>
    <hyperlink r:id="rId3354" ref="AN759"/>
    <hyperlink r:id="rId3355" ref="G760"/>
    <hyperlink r:id="rId3356" ref="K760"/>
    <hyperlink r:id="rId3357" ref="AL760"/>
    <hyperlink r:id="rId3358" ref="AN760"/>
    <hyperlink r:id="rId3359" ref="AQ760"/>
    <hyperlink r:id="rId3360" ref="G761"/>
    <hyperlink r:id="rId3361" ref="K761"/>
    <hyperlink r:id="rId3362" ref="AL761"/>
    <hyperlink r:id="rId3363" ref="AN761"/>
    <hyperlink r:id="rId3364" ref="AQ761"/>
    <hyperlink r:id="rId3365" ref="G762"/>
    <hyperlink r:id="rId3366" ref="K762"/>
    <hyperlink r:id="rId3367" ref="AL762"/>
    <hyperlink r:id="rId3368" ref="AN762"/>
    <hyperlink r:id="rId3369" ref="AQ762"/>
    <hyperlink r:id="rId3370" ref="G763"/>
    <hyperlink r:id="rId3371" ref="K763"/>
    <hyperlink r:id="rId3372" ref="AL763"/>
    <hyperlink r:id="rId3373" ref="AN763"/>
    <hyperlink r:id="rId3374" ref="AQ763"/>
    <hyperlink r:id="rId3375" ref="G764"/>
    <hyperlink r:id="rId3376" ref="K764"/>
    <hyperlink r:id="rId3377" ref="AL764"/>
    <hyperlink r:id="rId3378" ref="AN764"/>
    <hyperlink r:id="rId3379" ref="AQ764"/>
    <hyperlink r:id="rId3380" ref="G765"/>
    <hyperlink r:id="rId3381" ref="AL765"/>
    <hyperlink r:id="rId3382" ref="AN765"/>
    <hyperlink r:id="rId3383" ref="AQ765"/>
    <hyperlink r:id="rId3384" ref="G766"/>
    <hyperlink r:id="rId3385" ref="K766"/>
    <hyperlink r:id="rId3386" ref="AL766"/>
    <hyperlink r:id="rId3387" ref="AN766"/>
    <hyperlink r:id="rId3388" ref="AQ766"/>
    <hyperlink r:id="rId3389" ref="G767"/>
    <hyperlink r:id="rId3390" ref="AL767"/>
    <hyperlink r:id="rId3391" ref="AN767"/>
    <hyperlink r:id="rId3392" ref="AQ767"/>
    <hyperlink r:id="rId3393" ref="G768"/>
    <hyperlink r:id="rId3394" ref="AL768"/>
    <hyperlink r:id="rId3395" ref="AN768"/>
    <hyperlink r:id="rId3396" ref="AQ768"/>
    <hyperlink r:id="rId3397" ref="G769"/>
    <hyperlink r:id="rId3398" ref="K769"/>
    <hyperlink r:id="rId3399" ref="AL769"/>
    <hyperlink r:id="rId3400" ref="AN769"/>
    <hyperlink r:id="rId3401" ref="AQ769"/>
    <hyperlink r:id="rId3402" ref="G770"/>
    <hyperlink r:id="rId3403" ref="AL770"/>
    <hyperlink r:id="rId3404" ref="AN770"/>
    <hyperlink r:id="rId3405" ref="AQ770"/>
    <hyperlink r:id="rId3406" ref="G771"/>
    <hyperlink r:id="rId3407" ref="AL771"/>
    <hyperlink r:id="rId3408" ref="AN771"/>
    <hyperlink r:id="rId3409" ref="AQ771"/>
    <hyperlink r:id="rId3410" ref="G772"/>
    <hyperlink r:id="rId3411" ref="AL772"/>
    <hyperlink r:id="rId3412" ref="AN772"/>
    <hyperlink r:id="rId3413" ref="AQ772"/>
    <hyperlink r:id="rId3414" ref="G773"/>
    <hyperlink r:id="rId3415" ref="K773"/>
    <hyperlink r:id="rId3416" ref="AL773"/>
    <hyperlink r:id="rId3417" ref="AN773"/>
    <hyperlink r:id="rId3418" ref="AQ773"/>
    <hyperlink r:id="rId3419" ref="G774"/>
    <hyperlink r:id="rId3420" ref="K774"/>
    <hyperlink r:id="rId3421" ref="AL774"/>
    <hyperlink r:id="rId3422" ref="AN774"/>
    <hyperlink r:id="rId3423" ref="AQ774"/>
    <hyperlink r:id="rId3424" ref="G775"/>
    <hyperlink r:id="rId3425" ref="K775"/>
    <hyperlink r:id="rId3426" ref="AL775"/>
    <hyperlink r:id="rId3427" ref="AN775"/>
    <hyperlink r:id="rId3428" ref="AQ775"/>
    <hyperlink r:id="rId3429" ref="G776"/>
    <hyperlink r:id="rId3430" ref="AL776"/>
    <hyperlink r:id="rId3431" ref="AN776"/>
    <hyperlink r:id="rId3432" ref="AQ776"/>
    <hyperlink r:id="rId3433" ref="G777"/>
    <hyperlink r:id="rId3434" ref="AL777"/>
    <hyperlink r:id="rId3435" ref="AN777"/>
    <hyperlink r:id="rId3436" ref="AQ777"/>
    <hyperlink r:id="rId3437" ref="G778"/>
    <hyperlink r:id="rId3438" ref="AL778"/>
    <hyperlink r:id="rId3439" ref="AN778"/>
    <hyperlink r:id="rId3440" ref="AQ778"/>
    <hyperlink r:id="rId3441" ref="G779"/>
    <hyperlink r:id="rId3442" ref="AL779"/>
    <hyperlink r:id="rId3443" ref="AN779"/>
    <hyperlink r:id="rId3444" ref="AQ779"/>
    <hyperlink r:id="rId3445" ref="G780"/>
    <hyperlink r:id="rId3446" ref="AL780"/>
    <hyperlink r:id="rId3447" ref="AN780"/>
    <hyperlink r:id="rId3448" ref="AQ780"/>
    <hyperlink r:id="rId3449" ref="G781"/>
    <hyperlink r:id="rId3450" ref="T781"/>
    <hyperlink r:id="rId3451" ref="AL781"/>
    <hyperlink r:id="rId3452" ref="AN781"/>
    <hyperlink r:id="rId3453" ref="AQ781"/>
    <hyperlink r:id="rId3454" ref="G782"/>
    <hyperlink r:id="rId3455" ref="K782"/>
    <hyperlink r:id="rId3456" ref="AL782"/>
    <hyperlink r:id="rId3457" ref="AN782"/>
    <hyperlink r:id="rId3458" ref="AQ782"/>
    <hyperlink r:id="rId3459" ref="G783"/>
    <hyperlink r:id="rId3460" ref="K783"/>
    <hyperlink r:id="rId3461" ref="AL783"/>
    <hyperlink r:id="rId3462" ref="AN783"/>
    <hyperlink r:id="rId3463" ref="AQ783"/>
    <hyperlink r:id="rId3464" ref="G784"/>
    <hyperlink r:id="rId3465" ref="AL784"/>
    <hyperlink r:id="rId3466" ref="AN784"/>
    <hyperlink r:id="rId3467" ref="AQ784"/>
    <hyperlink r:id="rId3468" ref="G785"/>
    <hyperlink r:id="rId3469" ref="AL785"/>
    <hyperlink r:id="rId3470" ref="AN785"/>
    <hyperlink r:id="rId3471" ref="AQ785"/>
    <hyperlink r:id="rId3472" ref="G786"/>
    <hyperlink r:id="rId3473" ref="AL786"/>
    <hyperlink r:id="rId3474" ref="AN786"/>
    <hyperlink r:id="rId3475" ref="AQ786"/>
    <hyperlink r:id="rId3476" ref="G787"/>
    <hyperlink r:id="rId3477" ref="K787"/>
    <hyperlink r:id="rId3478" ref="AL787"/>
    <hyperlink r:id="rId3479" ref="AN787"/>
    <hyperlink r:id="rId3480" ref="AQ787"/>
    <hyperlink r:id="rId3481" ref="G788"/>
    <hyperlink r:id="rId3482" ref="K788"/>
    <hyperlink r:id="rId3483" ref="AL788"/>
    <hyperlink r:id="rId3484" ref="AN788"/>
    <hyperlink r:id="rId3485" ref="AQ788"/>
    <hyperlink r:id="rId3486" ref="G789"/>
    <hyperlink r:id="rId3487" ref="K789"/>
    <hyperlink r:id="rId3488" ref="AL789"/>
    <hyperlink r:id="rId3489" ref="AN789"/>
    <hyperlink r:id="rId3490" ref="G790"/>
    <hyperlink r:id="rId3491" ref="AL790"/>
    <hyperlink r:id="rId3492" ref="AN790"/>
    <hyperlink r:id="rId3493" ref="G791"/>
    <hyperlink r:id="rId3494" ref="K791"/>
    <hyperlink r:id="rId3495" ref="AL791"/>
    <hyperlink r:id="rId3496" ref="AN791"/>
    <hyperlink r:id="rId3497" ref="AQ791"/>
    <hyperlink r:id="rId3498" ref="G792"/>
    <hyperlink r:id="rId3499" ref="AL792"/>
    <hyperlink r:id="rId3500" ref="AN792"/>
    <hyperlink r:id="rId3501" ref="AQ792"/>
    <hyperlink r:id="rId3502" ref="G793"/>
    <hyperlink r:id="rId3503" ref="AL793"/>
    <hyperlink r:id="rId3504" ref="AN793"/>
    <hyperlink r:id="rId3505" ref="AQ793"/>
    <hyperlink r:id="rId3506" ref="G794"/>
    <hyperlink r:id="rId3507" ref="AL794"/>
    <hyperlink r:id="rId3508" ref="AN794"/>
    <hyperlink r:id="rId3509" ref="G795"/>
    <hyperlink r:id="rId3510" ref="K795"/>
    <hyperlink r:id="rId3511" ref="AL795"/>
    <hyperlink r:id="rId3512" ref="AN795"/>
    <hyperlink r:id="rId3513" ref="AQ795"/>
    <hyperlink r:id="rId3514" ref="G796"/>
    <hyperlink r:id="rId3515" ref="AL796"/>
    <hyperlink r:id="rId3516" ref="AN796"/>
    <hyperlink r:id="rId3517" ref="AQ796"/>
    <hyperlink r:id="rId3518" ref="G797"/>
    <hyperlink r:id="rId3519" ref="AL797"/>
    <hyperlink r:id="rId3520" ref="AN797"/>
    <hyperlink r:id="rId3521" ref="G798"/>
    <hyperlink r:id="rId3522" ref="AL798"/>
    <hyperlink r:id="rId3523" ref="AN798"/>
    <hyperlink r:id="rId3524" ref="AQ798"/>
    <hyperlink r:id="rId3525" ref="G799"/>
    <hyperlink r:id="rId3526" ref="AL799"/>
    <hyperlink r:id="rId3527" ref="AN799"/>
    <hyperlink r:id="rId3528" ref="AQ799"/>
    <hyperlink r:id="rId3529" ref="G800"/>
    <hyperlink r:id="rId3530" ref="K800"/>
    <hyperlink r:id="rId3531" ref="AL800"/>
    <hyperlink r:id="rId3532" ref="AN800"/>
    <hyperlink r:id="rId3533" ref="AQ800"/>
    <hyperlink r:id="rId3534" ref="G801"/>
    <hyperlink r:id="rId3535" ref="K801"/>
    <hyperlink r:id="rId3536" ref="AL801"/>
    <hyperlink r:id="rId3537" ref="AN801"/>
    <hyperlink r:id="rId3538" ref="AQ801"/>
    <hyperlink r:id="rId3539" ref="G802"/>
    <hyperlink r:id="rId3540" ref="K802"/>
    <hyperlink r:id="rId3541" ref="AL802"/>
    <hyperlink r:id="rId3542" ref="AN802"/>
    <hyperlink r:id="rId3543" ref="AQ802"/>
    <hyperlink r:id="rId3544" ref="G803"/>
    <hyperlink r:id="rId3545" ref="AL803"/>
    <hyperlink r:id="rId3546" ref="AN803"/>
    <hyperlink r:id="rId3547" ref="AQ803"/>
    <hyperlink r:id="rId3548" ref="G804"/>
    <hyperlink r:id="rId3549" ref="AL804"/>
    <hyperlink r:id="rId3550" ref="AN804"/>
    <hyperlink r:id="rId3551" ref="AQ804"/>
    <hyperlink r:id="rId3552" ref="G805"/>
    <hyperlink r:id="rId3553" ref="AL805"/>
    <hyperlink r:id="rId3554" ref="AN805"/>
    <hyperlink r:id="rId3555" ref="AQ805"/>
    <hyperlink r:id="rId3556" ref="G806"/>
    <hyperlink r:id="rId3557" ref="AL806"/>
    <hyperlink r:id="rId3558" ref="AN806"/>
    <hyperlink r:id="rId3559" ref="AQ806"/>
    <hyperlink r:id="rId3560" ref="G807"/>
    <hyperlink r:id="rId3561" ref="AL807"/>
    <hyperlink r:id="rId3562" ref="AN807"/>
    <hyperlink r:id="rId3563" ref="AQ807"/>
    <hyperlink r:id="rId3564" ref="G808"/>
    <hyperlink r:id="rId3565" ref="AL808"/>
    <hyperlink r:id="rId3566" ref="AN808"/>
    <hyperlink r:id="rId3567" ref="AQ808"/>
    <hyperlink r:id="rId3568" ref="G809"/>
    <hyperlink r:id="rId3569" ref="AL809"/>
    <hyperlink r:id="rId3570" ref="AN809"/>
    <hyperlink r:id="rId3571" ref="AQ809"/>
    <hyperlink r:id="rId3572" ref="G810"/>
    <hyperlink r:id="rId3573" ref="AL810"/>
    <hyperlink r:id="rId3574" ref="AN810"/>
    <hyperlink r:id="rId3575" ref="AQ810"/>
    <hyperlink r:id="rId3576" ref="G811"/>
    <hyperlink r:id="rId3577" ref="AL811"/>
    <hyperlink r:id="rId3578" ref="AN811"/>
    <hyperlink r:id="rId3579" ref="AQ811"/>
    <hyperlink r:id="rId3580" ref="G812"/>
    <hyperlink r:id="rId3581" ref="AL812"/>
    <hyperlink r:id="rId3582" ref="AN812"/>
    <hyperlink r:id="rId3583" ref="AQ812"/>
    <hyperlink r:id="rId3584" ref="G813"/>
    <hyperlink r:id="rId3585" ref="AL813"/>
    <hyperlink r:id="rId3586" ref="AN813"/>
    <hyperlink r:id="rId3587" ref="AQ813"/>
    <hyperlink r:id="rId3588" ref="G814"/>
    <hyperlink r:id="rId3589" ref="AL814"/>
    <hyperlink r:id="rId3590" ref="AN814"/>
    <hyperlink r:id="rId3591" ref="AQ814"/>
    <hyperlink r:id="rId3592" ref="G815"/>
    <hyperlink r:id="rId3593" ref="AL815"/>
    <hyperlink r:id="rId3594" ref="AN815"/>
    <hyperlink r:id="rId3595" ref="AQ815"/>
    <hyperlink r:id="rId3596" ref="G816"/>
    <hyperlink r:id="rId3597" ref="AL816"/>
    <hyperlink r:id="rId3598" ref="AN816"/>
    <hyperlink r:id="rId3599" ref="AQ816"/>
    <hyperlink r:id="rId3600" ref="AR816"/>
    <hyperlink r:id="rId3601" ref="G817"/>
    <hyperlink r:id="rId3602" ref="AL817"/>
    <hyperlink r:id="rId3603" ref="AN817"/>
    <hyperlink r:id="rId3604" ref="AQ817"/>
    <hyperlink r:id="rId3605" ref="AR817"/>
    <hyperlink r:id="rId3606" ref="G818"/>
    <hyperlink r:id="rId3607" ref="AL818"/>
    <hyperlink r:id="rId3608" ref="AN818"/>
    <hyperlink r:id="rId3609" ref="AQ818"/>
    <hyperlink r:id="rId3610" ref="G819"/>
    <hyperlink r:id="rId3611" ref="AL819"/>
    <hyperlink r:id="rId3612" ref="AN819"/>
    <hyperlink r:id="rId3613" ref="G820"/>
    <hyperlink r:id="rId3614" ref="G821"/>
    <hyperlink r:id="rId3615" ref="AL821"/>
    <hyperlink r:id="rId3616" ref="AN821"/>
    <hyperlink r:id="rId3617" ref="AQ821"/>
    <hyperlink r:id="rId3618" ref="G822"/>
    <hyperlink r:id="rId3619" ref="AL822"/>
    <hyperlink r:id="rId3620" ref="AN822"/>
    <hyperlink r:id="rId3621" ref="G823"/>
    <hyperlink r:id="rId3622" ref="AL823"/>
    <hyperlink r:id="rId3623" ref="AN823"/>
    <hyperlink r:id="rId3624" ref="AQ823"/>
    <hyperlink r:id="rId3625" ref="AR823"/>
    <hyperlink r:id="rId3626" ref="G824"/>
    <hyperlink r:id="rId3627" ref="AL824"/>
    <hyperlink r:id="rId3628" ref="AN824"/>
    <hyperlink r:id="rId3629" ref="G825"/>
    <hyperlink r:id="rId3630" ref="AL825"/>
    <hyperlink r:id="rId3631" ref="AN825"/>
    <hyperlink r:id="rId3632" ref="AQ825"/>
    <hyperlink r:id="rId3633" ref="G826"/>
    <hyperlink r:id="rId3634" ref="AL826"/>
    <hyperlink r:id="rId3635" ref="AN826"/>
    <hyperlink r:id="rId3636" ref="AQ826"/>
    <hyperlink r:id="rId3637" ref="AR826"/>
    <hyperlink r:id="rId3638" ref="G827"/>
    <hyperlink r:id="rId3639" ref="AL827"/>
    <hyperlink r:id="rId3640" ref="AN827"/>
    <hyperlink r:id="rId3641" ref="AQ827"/>
    <hyperlink r:id="rId3642" ref="G828"/>
    <hyperlink r:id="rId3643" ref="AL828"/>
    <hyperlink r:id="rId3644" ref="AN828"/>
    <hyperlink r:id="rId3645" ref="AQ828"/>
    <hyperlink r:id="rId3646" ref="AR828"/>
    <hyperlink r:id="rId3647" ref="G829"/>
    <hyperlink r:id="rId3648" ref="AL829"/>
    <hyperlink r:id="rId3649" ref="AN829"/>
    <hyperlink r:id="rId3650" ref="AQ829"/>
    <hyperlink r:id="rId3651" ref="AR829"/>
    <hyperlink r:id="rId3652" ref="G830"/>
    <hyperlink r:id="rId3653" ref="AL830"/>
    <hyperlink r:id="rId3654" ref="AN830"/>
    <hyperlink r:id="rId3655" ref="AQ830"/>
    <hyperlink r:id="rId3656" ref="G831"/>
    <hyperlink r:id="rId3657" ref="AL831"/>
    <hyperlink r:id="rId3658" ref="AN831"/>
    <hyperlink r:id="rId3659" ref="AQ831"/>
    <hyperlink r:id="rId3660" ref="AR831"/>
    <hyperlink r:id="rId3661" ref="G832"/>
    <hyperlink r:id="rId3662" ref="AL832"/>
    <hyperlink r:id="rId3663" ref="AN832"/>
    <hyperlink r:id="rId3664" ref="AQ832"/>
    <hyperlink r:id="rId3665" ref="G833"/>
    <hyperlink r:id="rId3666" ref="AL833"/>
    <hyperlink r:id="rId3667" ref="AN833"/>
    <hyperlink r:id="rId3668" ref="AQ833"/>
    <hyperlink r:id="rId3669" ref="G834"/>
    <hyperlink r:id="rId3670" ref="AL834"/>
    <hyperlink r:id="rId3671" ref="AN834"/>
    <hyperlink r:id="rId3672" ref="G835"/>
    <hyperlink r:id="rId3673" ref="AL835"/>
    <hyperlink r:id="rId3674" ref="AN835"/>
    <hyperlink r:id="rId3675" ref="G836"/>
    <hyperlink r:id="rId3676" ref="AL836"/>
    <hyperlink r:id="rId3677" ref="AN836"/>
    <hyperlink r:id="rId3678" ref="G837"/>
    <hyperlink r:id="rId3679" ref="AL837"/>
    <hyperlink r:id="rId3680" ref="AN837"/>
    <hyperlink r:id="rId3681" ref="AQ837"/>
    <hyperlink r:id="rId3682" ref="G838"/>
    <hyperlink r:id="rId3683" ref="AL838"/>
    <hyperlink r:id="rId3684" ref="AN838"/>
    <hyperlink r:id="rId3685" ref="G839"/>
    <hyperlink r:id="rId3686" ref="AL839"/>
    <hyperlink r:id="rId3687" ref="AN839"/>
    <hyperlink r:id="rId3688" ref="G840"/>
    <hyperlink r:id="rId3689" ref="AL840"/>
    <hyperlink r:id="rId3690" ref="AN840"/>
    <hyperlink r:id="rId3691" ref="AQ840"/>
    <hyperlink r:id="rId3692" ref="G841"/>
    <hyperlink r:id="rId3693" ref="AL841"/>
    <hyperlink r:id="rId3694" ref="AN841"/>
    <hyperlink r:id="rId3695" ref="G842"/>
    <hyperlink r:id="rId3696" ref="AL842"/>
    <hyperlink r:id="rId3697" ref="AN842"/>
    <hyperlink r:id="rId3698" ref="AQ842"/>
    <hyperlink r:id="rId3699" ref="AR842"/>
    <hyperlink r:id="rId3700" ref="G843"/>
    <hyperlink r:id="rId3701" ref="AL843"/>
    <hyperlink r:id="rId3702" ref="AN843"/>
    <hyperlink r:id="rId3703" ref="AQ843"/>
    <hyperlink r:id="rId3704" ref="AR843"/>
    <hyperlink r:id="rId3705" ref="G844"/>
    <hyperlink r:id="rId3706" ref="AL844"/>
    <hyperlink r:id="rId3707" ref="AN844"/>
    <hyperlink r:id="rId3708" ref="AQ844"/>
    <hyperlink r:id="rId3709" ref="AR844"/>
    <hyperlink r:id="rId3710" ref="G845"/>
    <hyperlink r:id="rId3711" ref="AL845"/>
    <hyperlink r:id="rId3712" ref="AN845"/>
    <hyperlink r:id="rId3713" ref="AQ845"/>
    <hyperlink r:id="rId3714" ref="AR845"/>
    <hyperlink r:id="rId3715" ref="G846"/>
    <hyperlink r:id="rId3716" ref="AL846"/>
    <hyperlink r:id="rId3717" ref="AN846"/>
    <hyperlink r:id="rId3718" ref="G847"/>
    <hyperlink r:id="rId3719" ref="AL847"/>
    <hyperlink r:id="rId3720" ref="AN847"/>
    <hyperlink r:id="rId3721" ref="G848"/>
    <hyperlink r:id="rId3722" ref="AL848"/>
    <hyperlink r:id="rId3723" ref="AN848"/>
    <hyperlink r:id="rId3724" ref="G849"/>
    <hyperlink r:id="rId3725" ref="AL849"/>
    <hyperlink r:id="rId3726" ref="AN849"/>
    <hyperlink r:id="rId3727" ref="G850"/>
    <hyperlink r:id="rId3728" ref="AL850"/>
    <hyperlink r:id="rId3729" ref="AN850"/>
    <hyperlink r:id="rId3730" ref="G851"/>
    <hyperlink r:id="rId3731" ref="AL851"/>
    <hyperlink r:id="rId3732" ref="AN851"/>
    <hyperlink r:id="rId3733" ref="G852"/>
    <hyperlink r:id="rId3734" ref="AL852"/>
    <hyperlink r:id="rId3735" ref="AN852"/>
    <hyperlink r:id="rId3736" ref="G853"/>
    <hyperlink r:id="rId3737" ref="G854"/>
    <hyperlink r:id="rId3738" ref="AL854"/>
    <hyperlink r:id="rId3739" ref="AN854"/>
    <hyperlink r:id="rId3740" ref="G855"/>
    <hyperlink r:id="rId3741" ref="AL855"/>
    <hyperlink r:id="rId3742" ref="AN855"/>
    <hyperlink r:id="rId3743" ref="G856"/>
    <hyperlink r:id="rId3744" ref="G857"/>
    <hyperlink r:id="rId3745" ref="AL857"/>
    <hyperlink r:id="rId3746" ref="AN857"/>
    <hyperlink r:id="rId3747" ref="AQ857"/>
    <hyperlink r:id="rId3748" ref="G858"/>
    <hyperlink r:id="rId3749" ref="AL858"/>
    <hyperlink r:id="rId3750" ref="AN858"/>
    <hyperlink r:id="rId3751" ref="G859"/>
    <hyperlink r:id="rId3752" ref="AL859"/>
    <hyperlink r:id="rId3753" ref="AN859"/>
    <hyperlink r:id="rId3754" ref="G860"/>
    <hyperlink r:id="rId3755" ref="AL860"/>
    <hyperlink r:id="rId3756" ref="AN860"/>
    <hyperlink r:id="rId3757" ref="G861"/>
    <hyperlink r:id="rId3758" ref="AL861"/>
    <hyperlink r:id="rId3759" ref="AN861"/>
    <hyperlink r:id="rId3760" ref="AQ861"/>
    <hyperlink r:id="rId3761" ref="G862"/>
    <hyperlink r:id="rId3762" ref="K862"/>
    <hyperlink r:id="rId3763" ref="AL862"/>
    <hyperlink r:id="rId3764" ref="AN862"/>
    <hyperlink r:id="rId3765" ref="AQ862"/>
    <hyperlink r:id="rId3766" ref="G863"/>
    <hyperlink r:id="rId3767" ref="K863"/>
    <hyperlink r:id="rId3768" ref="AL863"/>
    <hyperlink r:id="rId3769" ref="AN863"/>
    <hyperlink r:id="rId3770" ref="G864"/>
    <hyperlink r:id="rId3771" ref="AL864"/>
    <hyperlink r:id="rId3772" ref="AN864"/>
    <hyperlink r:id="rId3773" ref="AQ864"/>
    <hyperlink r:id="rId3774" ref="AR864"/>
    <hyperlink r:id="rId3775" ref="G865"/>
    <hyperlink r:id="rId3776" ref="AL865"/>
    <hyperlink r:id="rId3777" ref="AN865"/>
    <hyperlink r:id="rId3778" ref="AQ865"/>
    <hyperlink r:id="rId3779" ref="G866"/>
    <hyperlink r:id="rId3780" ref="K866"/>
    <hyperlink r:id="rId3781" ref="AL866"/>
    <hyperlink r:id="rId3782" ref="AN866"/>
    <hyperlink r:id="rId3783" ref="AQ866"/>
    <hyperlink r:id="rId3784" ref="G867"/>
    <hyperlink r:id="rId3785" ref="K867"/>
    <hyperlink r:id="rId3786" ref="AL867"/>
    <hyperlink r:id="rId3787" ref="AN867"/>
    <hyperlink r:id="rId3788" ref="G868"/>
    <hyperlink r:id="rId3789" ref="K868"/>
    <hyperlink r:id="rId3790" ref="AL868"/>
    <hyperlink r:id="rId3791" ref="AN868"/>
    <hyperlink r:id="rId3792" ref="AQ868"/>
    <hyperlink r:id="rId3793" ref="G869"/>
    <hyperlink r:id="rId3794" ref="K869"/>
    <hyperlink r:id="rId3795" ref="AL869"/>
    <hyperlink r:id="rId3796" ref="AN869"/>
    <hyperlink r:id="rId3797" ref="AQ869"/>
    <hyperlink r:id="rId3798" ref="G870"/>
    <hyperlink r:id="rId3799" ref="K870"/>
    <hyperlink r:id="rId3800" ref="AL870"/>
    <hyperlink r:id="rId3801" ref="AN870"/>
    <hyperlink r:id="rId3802" ref="AQ870"/>
    <hyperlink r:id="rId3803" ref="G871"/>
    <hyperlink r:id="rId3804" ref="AL871"/>
    <hyperlink r:id="rId3805" ref="AN871"/>
    <hyperlink r:id="rId3806" ref="AQ871"/>
    <hyperlink r:id="rId3807" ref="G872"/>
    <hyperlink r:id="rId3808" ref="AL872"/>
    <hyperlink r:id="rId3809" ref="AN872"/>
    <hyperlink r:id="rId3810" ref="AQ872"/>
    <hyperlink r:id="rId3811" ref="G873"/>
    <hyperlink r:id="rId3812" ref="AL873"/>
    <hyperlink r:id="rId3813" ref="AN873"/>
    <hyperlink r:id="rId3814" ref="AQ873"/>
    <hyperlink r:id="rId3815" ref="G874"/>
    <hyperlink r:id="rId3816" ref="AL874"/>
    <hyperlink r:id="rId3817" ref="AN874"/>
    <hyperlink r:id="rId3818" ref="AQ874"/>
    <hyperlink r:id="rId3819" ref="G875"/>
    <hyperlink r:id="rId3820" ref="AL875"/>
    <hyperlink r:id="rId3821" ref="AN875"/>
    <hyperlink r:id="rId3822" ref="G876"/>
    <hyperlink r:id="rId3823" ref="K876"/>
    <hyperlink r:id="rId3824" ref="AL876"/>
    <hyperlink r:id="rId3825" ref="AN876"/>
    <hyperlink r:id="rId3826" ref="G877"/>
    <hyperlink r:id="rId3827" ref="AL877"/>
    <hyperlink r:id="rId3828" ref="AN877"/>
    <hyperlink r:id="rId3829" ref="AQ877"/>
    <hyperlink r:id="rId3830" ref="G878"/>
    <hyperlink r:id="rId3831" ref="J878"/>
    <hyperlink r:id="rId3832" ref="K878"/>
    <hyperlink r:id="rId3833" ref="AL878"/>
    <hyperlink r:id="rId3834" ref="AN878"/>
    <hyperlink r:id="rId3835" ref="AQ878"/>
    <hyperlink r:id="rId3836" ref="G879"/>
    <hyperlink r:id="rId3837" ref="K879"/>
    <hyperlink r:id="rId3838" ref="AL879"/>
    <hyperlink r:id="rId3839" ref="AN879"/>
    <hyperlink r:id="rId3840" ref="AQ879"/>
    <hyperlink r:id="rId3841" ref="G880"/>
    <hyperlink r:id="rId3842" ref="K880"/>
    <hyperlink r:id="rId3843" ref="AL880"/>
    <hyperlink r:id="rId3844" ref="AN880"/>
    <hyperlink r:id="rId3845" ref="G881"/>
    <hyperlink r:id="rId3846" ref="K881"/>
    <hyperlink r:id="rId3847" ref="AL881"/>
    <hyperlink r:id="rId3848" ref="AN881"/>
    <hyperlink r:id="rId3849" ref="AQ881"/>
    <hyperlink r:id="rId3850" ref="G882"/>
    <hyperlink r:id="rId3851" ref="K882"/>
    <hyperlink r:id="rId3852" ref="AL882"/>
    <hyperlink r:id="rId3853" ref="AN882"/>
    <hyperlink r:id="rId3854" ref="AQ882"/>
    <hyperlink r:id="rId3855" ref="G883"/>
    <hyperlink r:id="rId3856" ref="AL883"/>
    <hyperlink r:id="rId3857" ref="AN883"/>
    <hyperlink r:id="rId3858" ref="AQ883"/>
    <hyperlink r:id="rId3859" ref="G884"/>
    <hyperlink r:id="rId3860" ref="AL884"/>
    <hyperlink r:id="rId3861" ref="AN884"/>
    <hyperlink r:id="rId3862" ref="AQ884"/>
    <hyperlink r:id="rId3863" ref="AR884"/>
    <hyperlink r:id="rId3864" ref="G885"/>
    <hyperlink r:id="rId3865" ref="AL885"/>
    <hyperlink r:id="rId3866" ref="AN885"/>
    <hyperlink r:id="rId3867" ref="AQ885"/>
    <hyperlink r:id="rId3868" ref="G886"/>
    <hyperlink r:id="rId3869" ref="AL886"/>
    <hyperlink r:id="rId3870" ref="AN886"/>
    <hyperlink r:id="rId3871" ref="AQ886"/>
    <hyperlink r:id="rId3872" ref="AR886"/>
    <hyperlink r:id="rId3873" ref="G887"/>
    <hyperlink r:id="rId3874" ref="AL887"/>
    <hyperlink r:id="rId3875" ref="AN887"/>
    <hyperlink r:id="rId3876" ref="G888"/>
    <hyperlink r:id="rId3877" ref="G889"/>
    <hyperlink r:id="rId3878" ref="AL889"/>
    <hyperlink r:id="rId3879" ref="AN889"/>
    <hyperlink r:id="rId3880" ref="G890"/>
    <hyperlink r:id="rId3881" ref="T890"/>
    <hyperlink r:id="rId3882" ref="AL890"/>
    <hyperlink r:id="rId3883" ref="AN890"/>
    <hyperlink r:id="rId3884" ref="AQ890"/>
    <hyperlink r:id="rId3885" ref="G891"/>
    <hyperlink r:id="rId3886" ref="AL891"/>
    <hyperlink r:id="rId3887" ref="AN891"/>
    <hyperlink r:id="rId3888" ref="AQ891"/>
    <hyperlink r:id="rId3889" ref="G892"/>
    <hyperlink r:id="rId3890" ref="K892"/>
    <hyperlink r:id="rId3891" ref="AL892"/>
    <hyperlink r:id="rId3892" ref="AN892"/>
    <hyperlink r:id="rId3893" ref="AQ892"/>
    <hyperlink r:id="rId3894" ref="G893"/>
    <hyperlink r:id="rId3895" ref="T893"/>
    <hyperlink r:id="rId3896" ref="AL893"/>
    <hyperlink r:id="rId3897" ref="AN893"/>
    <hyperlink r:id="rId3898" ref="AQ893"/>
    <hyperlink r:id="rId3899" ref="G894"/>
    <hyperlink r:id="rId3900" ref="AL894"/>
    <hyperlink r:id="rId3901" ref="AN894"/>
    <hyperlink r:id="rId3902" ref="AQ894"/>
    <hyperlink r:id="rId3903" ref="G895"/>
    <hyperlink r:id="rId3904" ref="AL895"/>
    <hyperlink r:id="rId3905" ref="AN895"/>
    <hyperlink r:id="rId3906" ref="AQ895"/>
    <hyperlink r:id="rId3907" ref="AR895"/>
    <hyperlink r:id="rId3908" ref="G896"/>
    <hyperlink r:id="rId3909" ref="AL896"/>
    <hyperlink r:id="rId3910" ref="AN896"/>
    <hyperlink r:id="rId3911" ref="AQ896"/>
    <hyperlink r:id="rId3912" ref="AR896"/>
    <hyperlink r:id="rId3913" ref="G897"/>
    <hyperlink r:id="rId3914" ref="AL897"/>
    <hyperlink r:id="rId3915" ref="AN897"/>
    <hyperlink r:id="rId3916" ref="AQ897"/>
    <hyperlink r:id="rId3917" ref="G898"/>
    <hyperlink r:id="rId3918" ref="AL898"/>
    <hyperlink r:id="rId3919" ref="AN898"/>
    <hyperlink r:id="rId3920" ref="AQ898"/>
    <hyperlink r:id="rId3921" ref="G899"/>
    <hyperlink r:id="rId3922" ref="AL899"/>
    <hyperlink r:id="rId3923" ref="AN899"/>
    <hyperlink r:id="rId3924" ref="AQ899"/>
    <hyperlink r:id="rId3925" ref="G900"/>
    <hyperlink r:id="rId3926" ref="K900"/>
    <hyperlink r:id="rId3927" ref="AL900"/>
    <hyperlink r:id="rId3928" ref="AN900"/>
    <hyperlink r:id="rId3929" ref="AQ900"/>
    <hyperlink r:id="rId3930" ref="G901"/>
    <hyperlink r:id="rId3931" ref="AL901"/>
    <hyperlink r:id="rId3932" ref="AN901"/>
    <hyperlink r:id="rId3933" ref="AQ901"/>
    <hyperlink r:id="rId3934" ref="AR901"/>
    <hyperlink r:id="rId3935" ref="G902"/>
    <hyperlink r:id="rId3936" ref="K902"/>
    <hyperlink r:id="rId3937" ref="AL902"/>
    <hyperlink r:id="rId3938" ref="AN902"/>
    <hyperlink r:id="rId3939" ref="AQ902"/>
    <hyperlink r:id="rId3940" ref="G903"/>
    <hyperlink r:id="rId3941" ref="K903"/>
    <hyperlink r:id="rId3942" ref="AL903"/>
    <hyperlink r:id="rId3943" ref="AN903"/>
    <hyperlink r:id="rId3944" ref="AQ903"/>
    <hyperlink r:id="rId3945" ref="G904"/>
    <hyperlink r:id="rId3946" ref="AL904"/>
    <hyperlink r:id="rId3947" ref="AN904"/>
    <hyperlink r:id="rId3948" ref="AQ904"/>
    <hyperlink r:id="rId3949" ref="G905"/>
    <hyperlink r:id="rId3950" ref="AL905"/>
    <hyperlink r:id="rId3951" ref="AN905"/>
    <hyperlink r:id="rId3952" ref="AQ905"/>
    <hyperlink r:id="rId3953" ref="G906"/>
    <hyperlink r:id="rId3954" ref="AL906"/>
    <hyperlink r:id="rId3955" ref="AN906"/>
    <hyperlink r:id="rId3956" ref="AQ906"/>
    <hyperlink r:id="rId3957" ref="G907"/>
    <hyperlink r:id="rId3958" ref="K907"/>
    <hyperlink r:id="rId3959" ref="AL907"/>
    <hyperlink r:id="rId3960" ref="AN907"/>
    <hyperlink r:id="rId3961" ref="AQ907"/>
    <hyperlink r:id="rId3962" ref="G908"/>
    <hyperlink r:id="rId3963" ref="AL908"/>
    <hyperlink r:id="rId3964" ref="AN908"/>
    <hyperlink r:id="rId3965" ref="AQ908"/>
    <hyperlink r:id="rId3966" ref="G909"/>
    <hyperlink r:id="rId3967" ref="AL909"/>
    <hyperlink r:id="rId3968" ref="AN909"/>
    <hyperlink r:id="rId3969" ref="AQ909"/>
    <hyperlink r:id="rId3970" ref="G910"/>
    <hyperlink r:id="rId3971" ref="AL910"/>
    <hyperlink r:id="rId3972" ref="AN910"/>
    <hyperlink r:id="rId3973" ref="AQ910"/>
    <hyperlink r:id="rId3974" ref="G911"/>
    <hyperlink r:id="rId3975" ref="AL911"/>
    <hyperlink r:id="rId3976" ref="AN911"/>
    <hyperlink r:id="rId3977" ref="AQ911"/>
    <hyperlink r:id="rId3978" ref="AR911"/>
    <hyperlink r:id="rId3979" ref="G912"/>
    <hyperlink r:id="rId3980" ref="AL912"/>
    <hyperlink r:id="rId3981" ref="AN912"/>
    <hyperlink r:id="rId3982" ref="AQ912"/>
    <hyperlink r:id="rId3983" ref="AR912"/>
    <hyperlink r:id="rId3984" ref="G913"/>
    <hyperlink r:id="rId3985" ref="AL913"/>
    <hyperlink r:id="rId3986" ref="AN913"/>
    <hyperlink r:id="rId3987" ref="G914"/>
    <hyperlink r:id="rId3988" ref="AL914"/>
    <hyperlink r:id="rId3989" ref="AN914"/>
    <hyperlink r:id="rId3990" ref="AQ914"/>
    <hyperlink r:id="rId3991" ref="G915"/>
    <hyperlink r:id="rId3992" ref="AL915"/>
    <hyperlink r:id="rId3993" ref="AN915"/>
    <hyperlink r:id="rId3994" ref="AQ915"/>
    <hyperlink r:id="rId3995" ref="G916"/>
    <hyperlink r:id="rId3996" ref="AL916"/>
    <hyperlink r:id="rId3997" ref="AN916"/>
    <hyperlink r:id="rId3998" ref="G917"/>
    <hyperlink r:id="rId3999" ref="AL917"/>
    <hyperlink r:id="rId4000" ref="AN917"/>
    <hyperlink r:id="rId4001" ref="G918"/>
    <hyperlink r:id="rId4002" ref="AL918"/>
    <hyperlink r:id="rId4003" ref="AN918"/>
    <hyperlink r:id="rId4004" ref="G919"/>
    <hyperlink r:id="rId4005" ref="G920"/>
    <hyperlink r:id="rId4006" ref="AL920"/>
    <hyperlink r:id="rId4007" ref="AN920"/>
    <hyperlink r:id="rId4008" ref="AQ920"/>
    <hyperlink r:id="rId4009" ref="AR920"/>
    <hyperlink r:id="rId4010" ref="G921"/>
    <hyperlink r:id="rId4011" ref="AL921"/>
    <hyperlink r:id="rId4012" ref="AN921"/>
    <hyperlink r:id="rId4013" ref="G922"/>
    <hyperlink r:id="rId4014" ref="AL922"/>
    <hyperlink r:id="rId4015" ref="AN922"/>
    <hyperlink r:id="rId4016" ref="AQ922"/>
    <hyperlink r:id="rId4017" ref="G923"/>
    <hyperlink r:id="rId4018" ref="AL923"/>
    <hyperlink r:id="rId4019" ref="AN923"/>
    <hyperlink r:id="rId4020" ref="AQ923"/>
    <hyperlink r:id="rId4021" ref="G924"/>
    <hyperlink r:id="rId4022" ref="AL924"/>
    <hyperlink r:id="rId4023" ref="AN924"/>
    <hyperlink r:id="rId4024" ref="AQ924"/>
    <hyperlink r:id="rId4025" ref="G925"/>
    <hyperlink r:id="rId4026" ref="AL925"/>
    <hyperlink r:id="rId4027" ref="AN925"/>
    <hyperlink r:id="rId4028" ref="AQ925"/>
    <hyperlink r:id="rId4029" ref="G926"/>
    <hyperlink r:id="rId4030" ref="AL926"/>
    <hyperlink r:id="rId4031" ref="AN926"/>
    <hyperlink r:id="rId4032" ref="AQ926"/>
    <hyperlink r:id="rId4033" ref="G927"/>
    <hyperlink r:id="rId4034" ref="AL927"/>
    <hyperlink r:id="rId4035" ref="AN927"/>
    <hyperlink r:id="rId4036" ref="AQ927"/>
    <hyperlink r:id="rId4037" ref="G928"/>
    <hyperlink r:id="rId4038" ref="AL928"/>
    <hyperlink r:id="rId4039" ref="AN928"/>
    <hyperlink r:id="rId4040" ref="G929"/>
    <hyperlink r:id="rId4041" ref="AL929"/>
    <hyperlink r:id="rId4042" ref="AN929"/>
    <hyperlink r:id="rId4043" ref="G930"/>
    <hyperlink r:id="rId4044" ref="AL930"/>
    <hyperlink r:id="rId4045" ref="AN930"/>
    <hyperlink r:id="rId4046" ref="G931"/>
    <hyperlink r:id="rId4047" ref="AL931"/>
    <hyperlink r:id="rId4048" ref="AN931"/>
    <hyperlink r:id="rId4049" ref="G932"/>
    <hyperlink r:id="rId4050" ref="AL932"/>
    <hyperlink r:id="rId4051" ref="AN932"/>
    <hyperlink r:id="rId4052" ref="AQ932"/>
    <hyperlink r:id="rId4053" ref="G933"/>
    <hyperlink r:id="rId4054" ref="AL933"/>
    <hyperlink r:id="rId4055" ref="AN933"/>
    <hyperlink r:id="rId4056" ref="AQ933"/>
    <hyperlink r:id="rId4057" ref="AR933"/>
    <hyperlink r:id="rId4058" ref="G934"/>
    <hyperlink r:id="rId4059" ref="AL934"/>
    <hyperlink r:id="rId4060" ref="AN934"/>
    <hyperlink r:id="rId4061" ref="AQ934"/>
    <hyperlink r:id="rId4062" ref="G935"/>
    <hyperlink r:id="rId4063" ref="AL935"/>
    <hyperlink r:id="rId4064" ref="AN935"/>
    <hyperlink r:id="rId4065" ref="AQ935"/>
    <hyperlink r:id="rId4066" ref="G936"/>
    <hyperlink r:id="rId4067" ref="AL936"/>
    <hyperlink r:id="rId4068" ref="AN936"/>
    <hyperlink r:id="rId4069" ref="AQ936"/>
    <hyperlink r:id="rId4070" ref="AR936"/>
    <hyperlink r:id="rId4071" ref="G937"/>
    <hyperlink r:id="rId4072" ref="AL937"/>
    <hyperlink r:id="rId4073" ref="AN937"/>
    <hyperlink r:id="rId4074" ref="AQ937"/>
    <hyperlink r:id="rId4075" ref="G938"/>
    <hyperlink r:id="rId4076" ref="AL938"/>
    <hyperlink r:id="rId4077" ref="AN938"/>
    <hyperlink r:id="rId4078" ref="AQ938"/>
    <hyperlink r:id="rId4079" ref="G939"/>
    <hyperlink r:id="rId4080" ref="AL939"/>
    <hyperlink r:id="rId4081" ref="AN939"/>
    <hyperlink r:id="rId4082" ref="G940"/>
    <hyperlink r:id="rId4083" ref="AL940"/>
    <hyperlink r:id="rId4084" ref="AN940"/>
    <hyperlink r:id="rId4085" ref="AQ940"/>
    <hyperlink r:id="rId4086" ref="G941"/>
    <hyperlink r:id="rId4087" ref="AL941"/>
    <hyperlink r:id="rId4088" ref="AN941"/>
    <hyperlink r:id="rId4089" ref="G942"/>
    <hyperlink r:id="rId4090" ref="AL942"/>
    <hyperlink r:id="rId4091" ref="AN942"/>
    <hyperlink r:id="rId4092" ref="AQ942"/>
    <hyperlink r:id="rId4093" ref="G943"/>
    <hyperlink r:id="rId4094" ref="AL943"/>
    <hyperlink r:id="rId4095" ref="AN943"/>
    <hyperlink r:id="rId4096" ref="AQ943"/>
    <hyperlink r:id="rId4097" ref="AR943"/>
    <hyperlink r:id="rId4098" ref="G944"/>
    <hyperlink r:id="rId4099" ref="AL944"/>
    <hyperlink r:id="rId4100" ref="AN944"/>
    <hyperlink r:id="rId4101" ref="AQ944"/>
    <hyperlink r:id="rId4102" ref="G946"/>
    <hyperlink r:id="rId4103" ref="AL946"/>
    <hyperlink r:id="rId4104" ref="AN946"/>
    <hyperlink r:id="rId4105" ref="G947"/>
    <hyperlink r:id="rId4106" ref="AL947"/>
    <hyperlink r:id="rId4107" ref="AN947"/>
    <hyperlink r:id="rId4108" ref="AQ947"/>
    <hyperlink r:id="rId4109" ref="AR947"/>
    <hyperlink r:id="rId4110" ref="G949"/>
    <hyperlink r:id="rId4111" ref="AL949"/>
    <hyperlink r:id="rId4112" ref="AN949"/>
    <hyperlink r:id="rId4113" ref="AQ949"/>
    <hyperlink r:id="rId4114" ref="G950"/>
    <hyperlink r:id="rId4115" ref="AL950"/>
    <hyperlink r:id="rId4116" ref="AN950"/>
    <hyperlink r:id="rId4117" ref="AQ950"/>
    <hyperlink r:id="rId4118" ref="G951"/>
    <hyperlink r:id="rId4119" ref="AL951"/>
    <hyperlink r:id="rId4120" ref="AN951"/>
    <hyperlink r:id="rId4121" ref="AQ951"/>
    <hyperlink r:id="rId4122" ref="G952"/>
    <hyperlink r:id="rId4123" ref="AL952"/>
    <hyperlink r:id="rId4124" ref="AN952"/>
    <hyperlink r:id="rId4125" ref="G953"/>
    <hyperlink r:id="rId4126" ref="AL953"/>
    <hyperlink r:id="rId4127" ref="AN953"/>
    <hyperlink r:id="rId4128" ref="AQ953"/>
    <hyperlink r:id="rId4129" ref="G954"/>
    <hyperlink r:id="rId4130" ref="AL954"/>
    <hyperlink r:id="rId4131" ref="AN954"/>
    <hyperlink r:id="rId4132" ref="G955"/>
    <hyperlink r:id="rId4133" ref="AL955"/>
    <hyperlink r:id="rId4134" ref="AN955"/>
    <hyperlink r:id="rId4135" ref="AQ955"/>
    <hyperlink r:id="rId4136" ref="G957"/>
    <hyperlink r:id="rId4137" ref="K957"/>
    <hyperlink r:id="rId4138" ref="AL957"/>
    <hyperlink r:id="rId4139" ref="AN957"/>
    <hyperlink r:id="rId4140" ref="AQ957"/>
    <hyperlink r:id="rId4141" ref="G958"/>
    <hyperlink r:id="rId4142" ref="AL958"/>
    <hyperlink r:id="rId4143" ref="AN958"/>
    <hyperlink r:id="rId4144" ref="AQ958"/>
    <hyperlink r:id="rId4145" ref="G959"/>
    <hyperlink r:id="rId4146" ref="AL959"/>
    <hyperlink r:id="rId4147" ref="AN959"/>
    <hyperlink r:id="rId4148" ref="AQ959"/>
    <hyperlink r:id="rId4149" ref="G960"/>
    <hyperlink r:id="rId4150" ref="AL960"/>
    <hyperlink r:id="rId4151" ref="AN960"/>
    <hyperlink r:id="rId4152" ref="AQ960"/>
    <hyperlink r:id="rId4153" ref="G961"/>
    <hyperlink r:id="rId4154" ref="K961"/>
    <hyperlink r:id="rId4155" ref="AL961"/>
    <hyperlink r:id="rId4156" ref="AN961"/>
    <hyperlink r:id="rId4157" ref="AQ961"/>
    <hyperlink r:id="rId4158" ref="G962"/>
    <hyperlink r:id="rId4159" ref="K962"/>
    <hyperlink r:id="rId4160" ref="AL962"/>
    <hyperlink r:id="rId4161" ref="AN962"/>
    <hyperlink r:id="rId4162" ref="AQ962"/>
    <hyperlink r:id="rId4163" ref="G963"/>
    <hyperlink r:id="rId4164" ref="K963"/>
    <hyperlink r:id="rId4165" ref="AL963"/>
    <hyperlink r:id="rId4166" ref="AN963"/>
    <hyperlink r:id="rId4167" ref="AQ963"/>
    <hyperlink r:id="rId4168" ref="G964"/>
    <hyperlink r:id="rId4169" ref="AL964"/>
    <hyperlink r:id="rId4170" ref="AN964"/>
    <hyperlink r:id="rId4171" ref="AQ964"/>
    <hyperlink r:id="rId4172" ref="AR964"/>
    <hyperlink r:id="rId4173" ref="G965"/>
    <hyperlink r:id="rId4174" ref="K965"/>
    <hyperlink r:id="rId4175" ref="AL965"/>
    <hyperlink r:id="rId4176" ref="AN965"/>
    <hyperlink r:id="rId4177" ref="AQ965"/>
    <hyperlink r:id="rId4178" ref="G966"/>
    <hyperlink r:id="rId4179" ref="AL966"/>
    <hyperlink r:id="rId4180" ref="AN966"/>
    <hyperlink r:id="rId4181" ref="AQ966"/>
    <hyperlink r:id="rId4182" ref="AR966"/>
    <hyperlink r:id="rId4183" ref="G967"/>
    <hyperlink r:id="rId4184" ref="K967"/>
    <hyperlink r:id="rId4185" ref="AL967"/>
    <hyperlink r:id="rId4186" ref="AN967"/>
    <hyperlink r:id="rId4187" ref="AQ967"/>
    <hyperlink r:id="rId4188" ref="G968"/>
    <hyperlink r:id="rId4189" ref="T968"/>
    <hyperlink r:id="rId4190" ref="AL968"/>
    <hyperlink r:id="rId4191" ref="AN968"/>
    <hyperlink r:id="rId4192" ref="AQ968"/>
    <hyperlink r:id="rId4193" ref="G969"/>
    <hyperlink r:id="rId4194" ref="AL969"/>
    <hyperlink r:id="rId4195" ref="AN969"/>
    <hyperlink r:id="rId4196" ref="AQ969"/>
    <hyperlink r:id="rId4197" ref="G970"/>
    <hyperlink r:id="rId4198" ref="AL970"/>
    <hyperlink r:id="rId4199" ref="AN970"/>
    <hyperlink r:id="rId4200" ref="G971"/>
    <hyperlink r:id="rId4201" ref="AL971"/>
    <hyperlink r:id="rId4202" ref="AN971"/>
    <hyperlink r:id="rId4203" ref="G972"/>
    <hyperlink r:id="rId4204" ref="AL972"/>
    <hyperlink r:id="rId4205" ref="AN972"/>
    <hyperlink r:id="rId4206" ref="G973"/>
    <hyperlink r:id="rId4207" ref="AL973"/>
    <hyperlink r:id="rId4208" ref="AN973"/>
    <hyperlink r:id="rId4209" ref="G974"/>
    <hyperlink r:id="rId4210" ref="AL974"/>
    <hyperlink r:id="rId4211" ref="AN974"/>
    <hyperlink r:id="rId4212" ref="AQ974"/>
    <hyperlink r:id="rId4213" ref="G975"/>
    <hyperlink r:id="rId4214" ref="K975"/>
    <hyperlink r:id="rId4215" ref="AL975"/>
    <hyperlink r:id="rId4216" ref="AN975"/>
    <hyperlink r:id="rId4217" ref="AQ975"/>
    <hyperlink r:id="rId4218" ref="G976"/>
    <hyperlink r:id="rId4219" ref="AL976"/>
    <hyperlink r:id="rId4220" ref="AN976"/>
    <hyperlink r:id="rId4221" ref="G977"/>
    <hyperlink r:id="rId4222" ref="AL977"/>
    <hyperlink r:id="rId4223" ref="AN977"/>
    <hyperlink r:id="rId4224" ref="AQ977"/>
    <hyperlink r:id="rId4225" ref="G978"/>
    <hyperlink r:id="rId4226" ref="AL978"/>
    <hyperlink r:id="rId4227" ref="AN978"/>
    <hyperlink r:id="rId4228" ref="AQ978"/>
    <hyperlink r:id="rId4229" ref="G979"/>
    <hyperlink r:id="rId4230" ref="AL979"/>
    <hyperlink r:id="rId4231" ref="AN979"/>
    <hyperlink r:id="rId4232" ref="AQ979"/>
    <hyperlink r:id="rId4233" ref="G980"/>
    <hyperlink r:id="rId4234" ref="AL980"/>
    <hyperlink r:id="rId4235" ref="AN980"/>
    <hyperlink r:id="rId4236" ref="AQ980"/>
    <hyperlink r:id="rId4237" ref="G981"/>
    <hyperlink r:id="rId4238" ref="AL981"/>
    <hyperlink r:id="rId4239" ref="AN981"/>
    <hyperlink r:id="rId4240" ref="G982"/>
    <hyperlink r:id="rId4241" ref="AL982"/>
    <hyperlink r:id="rId4242" ref="AN982"/>
    <hyperlink r:id="rId4243" ref="G983"/>
    <hyperlink r:id="rId4244" ref="AL983"/>
    <hyperlink r:id="rId4245" ref="AN983"/>
    <hyperlink r:id="rId4246" ref="AQ983"/>
    <hyperlink r:id="rId4247" ref="G984"/>
    <hyperlink r:id="rId4248" ref="AL984"/>
    <hyperlink r:id="rId4249" ref="AN984"/>
    <hyperlink r:id="rId4250" ref="AQ984"/>
    <hyperlink r:id="rId4251" ref="G985"/>
    <hyperlink r:id="rId4252" ref="AL985"/>
    <hyperlink r:id="rId4253" ref="AN985"/>
    <hyperlink r:id="rId4254" ref="G986"/>
    <hyperlink r:id="rId4255" ref="AL986"/>
    <hyperlink r:id="rId4256" ref="AN986"/>
    <hyperlink r:id="rId4257" ref="AQ986"/>
    <hyperlink r:id="rId4258" ref="G987"/>
    <hyperlink r:id="rId4259" ref="AL987"/>
    <hyperlink r:id="rId4260" ref="AN987"/>
    <hyperlink r:id="rId4261" ref="AQ987"/>
    <hyperlink r:id="rId4262" ref="G988"/>
    <hyperlink r:id="rId4263" ref="K988"/>
    <hyperlink r:id="rId4264" ref="AL988"/>
    <hyperlink r:id="rId4265" ref="AN988"/>
    <hyperlink r:id="rId4266" ref="G989"/>
    <hyperlink r:id="rId4267" ref="K989"/>
    <hyperlink r:id="rId4268" ref="AL989"/>
    <hyperlink r:id="rId4269" ref="AN989"/>
    <hyperlink r:id="rId4270" ref="AQ989"/>
    <hyperlink r:id="rId4271" ref="G990"/>
    <hyperlink r:id="rId4272" ref="AL990"/>
    <hyperlink r:id="rId4273" ref="AN990"/>
    <hyperlink r:id="rId4274" ref="AQ990"/>
    <hyperlink r:id="rId4275" ref="G991"/>
    <hyperlink r:id="rId4276" ref="AL991"/>
    <hyperlink r:id="rId4277" ref="AN991"/>
    <hyperlink r:id="rId4278" ref="AQ991"/>
    <hyperlink r:id="rId4279" ref="G992"/>
    <hyperlink r:id="rId4280" ref="AL992"/>
    <hyperlink r:id="rId4281" ref="AN992"/>
    <hyperlink r:id="rId4282" ref="AQ992"/>
    <hyperlink r:id="rId4283" ref="G993"/>
    <hyperlink r:id="rId4284" ref="AL993"/>
    <hyperlink r:id="rId4285" ref="AN993"/>
    <hyperlink r:id="rId4286" ref="AQ993"/>
    <hyperlink r:id="rId4287" ref="G994"/>
    <hyperlink r:id="rId4288" ref="AL994"/>
    <hyperlink r:id="rId4289" ref="AN994"/>
    <hyperlink r:id="rId4290" ref="AQ994"/>
    <hyperlink r:id="rId4291" ref="G995"/>
    <hyperlink r:id="rId4292" ref="AL995"/>
    <hyperlink r:id="rId4293" ref="AN995"/>
    <hyperlink r:id="rId4294" ref="G996"/>
    <hyperlink r:id="rId4295" ref="AL996"/>
    <hyperlink r:id="rId4296" ref="AN996"/>
    <hyperlink r:id="rId4297" ref="AQ996"/>
    <hyperlink r:id="rId4298" ref="G997"/>
    <hyperlink r:id="rId4299" ref="AL997"/>
    <hyperlink r:id="rId4300" ref="AN997"/>
    <hyperlink r:id="rId4301" ref="G998"/>
    <hyperlink r:id="rId4302" ref="AL998"/>
    <hyperlink r:id="rId4303" ref="AN998"/>
    <hyperlink r:id="rId4304" ref="AQ998"/>
    <hyperlink r:id="rId4305" ref="G999"/>
    <hyperlink r:id="rId4306" ref="AL999"/>
    <hyperlink r:id="rId4307" ref="AN999"/>
    <hyperlink r:id="rId4308" ref="AQ999"/>
    <hyperlink r:id="rId4309" ref="G1000"/>
    <hyperlink r:id="rId4310" ref="AL1000"/>
    <hyperlink r:id="rId4311" ref="AN1000"/>
    <hyperlink r:id="rId4312" ref="G1001"/>
    <hyperlink r:id="rId4313" ref="AL1001"/>
    <hyperlink r:id="rId4314" ref="AN1001"/>
    <hyperlink r:id="rId4315" ref="AQ1001"/>
    <hyperlink r:id="rId4316" ref="G1002"/>
    <hyperlink r:id="rId4317" ref="AL1002"/>
    <hyperlink r:id="rId4318" ref="AN1002"/>
    <hyperlink r:id="rId4319" ref="AQ1002"/>
    <hyperlink r:id="rId4320" ref="AR1002"/>
    <hyperlink r:id="rId4321" ref="G1003"/>
    <hyperlink r:id="rId4322" ref="AL1003"/>
    <hyperlink r:id="rId4323" ref="AN1003"/>
    <hyperlink r:id="rId4324" ref="AQ1003"/>
    <hyperlink r:id="rId4325" ref="G1004"/>
    <hyperlink r:id="rId4326" ref="AL1004"/>
    <hyperlink r:id="rId4327" ref="AN1004"/>
    <hyperlink r:id="rId4328" ref="AQ1004"/>
    <hyperlink r:id="rId4329" ref="G1005"/>
    <hyperlink r:id="rId4330" ref="K1005"/>
    <hyperlink r:id="rId4331" ref="AL1005"/>
    <hyperlink r:id="rId4332" ref="AN1005"/>
    <hyperlink r:id="rId4333" ref="AQ1005"/>
    <hyperlink r:id="rId4334" ref="G1006"/>
    <hyperlink r:id="rId4335" ref="AL1006"/>
    <hyperlink r:id="rId4336" ref="AN1006"/>
    <hyperlink r:id="rId4337" ref="G1007"/>
    <hyperlink r:id="rId4338" ref="AL1007"/>
    <hyperlink r:id="rId4339" ref="AN1007"/>
    <hyperlink r:id="rId4340" ref="G1008"/>
    <hyperlink r:id="rId4341" ref="AL1008"/>
    <hyperlink r:id="rId4342" ref="AN1008"/>
    <hyperlink r:id="rId4343" ref="G1009"/>
    <hyperlink r:id="rId4344" ref="AL1009"/>
    <hyperlink r:id="rId4345" ref="AN1009"/>
    <hyperlink r:id="rId4346" ref="G1010"/>
    <hyperlink r:id="rId4347" ref="AL1010"/>
    <hyperlink r:id="rId4348" ref="AN1010"/>
    <hyperlink r:id="rId4349" ref="G1011"/>
    <hyperlink r:id="rId4350" ref="AL1011"/>
    <hyperlink r:id="rId4351" ref="AN1011"/>
    <hyperlink r:id="rId4352" ref="AQ1011"/>
    <hyperlink r:id="rId4353" ref="G1012"/>
    <hyperlink r:id="rId4354" ref="AL1012"/>
    <hyperlink r:id="rId4355" ref="AN1012"/>
    <hyperlink r:id="rId4356" ref="AQ1012"/>
    <hyperlink r:id="rId4357" ref="G1013"/>
    <hyperlink r:id="rId4358" ref="AL1013"/>
    <hyperlink r:id="rId4359" ref="AN1013"/>
    <hyperlink r:id="rId4360" ref="AQ1013"/>
    <hyperlink r:id="rId4361" ref="G1014"/>
    <hyperlink r:id="rId4362" ref="AL1014"/>
    <hyperlink r:id="rId4363" ref="AN1014"/>
    <hyperlink r:id="rId4364" ref="G1015"/>
    <hyperlink r:id="rId4365" ref="AL1015"/>
    <hyperlink r:id="rId4366" ref="AN1015"/>
    <hyperlink r:id="rId4367" ref="AQ1015"/>
    <hyperlink r:id="rId4368" ref="G1016"/>
    <hyperlink r:id="rId4369" ref="AL1016"/>
    <hyperlink r:id="rId4370" ref="AN1016"/>
    <hyperlink r:id="rId4371" ref="AQ1016"/>
    <hyperlink r:id="rId4372" ref="AR1016"/>
    <hyperlink r:id="rId4373" ref="G1017"/>
    <hyperlink r:id="rId4374" ref="AL1017"/>
    <hyperlink r:id="rId4375" ref="AN1017"/>
    <hyperlink r:id="rId4376" ref="G1018"/>
    <hyperlink r:id="rId4377" ref="AL1018"/>
    <hyperlink r:id="rId4378" ref="AN1018"/>
    <hyperlink r:id="rId4379" ref="G1019"/>
    <hyperlink r:id="rId4380" ref="AL1019"/>
    <hyperlink r:id="rId4381" ref="AN1019"/>
    <hyperlink r:id="rId4382" ref="AQ1019"/>
    <hyperlink r:id="rId4383" ref="G1020"/>
    <hyperlink r:id="rId4384" ref="AL1020"/>
    <hyperlink r:id="rId4385" ref="AN1020"/>
    <hyperlink r:id="rId4386" ref="AQ1020"/>
    <hyperlink r:id="rId4387" ref="AR1020"/>
    <hyperlink r:id="rId4388" ref="G1021"/>
    <hyperlink r:id="rId4389" ref="AL1021"/>
    <hyperlink r:id="rId4390" ref="AN1021"/>
    <hyperlink r:id="rId4391" ref="G1022"/>
    <hyperlink r:id="rId4392" ref="AL1022"/>
    <hyperlink r:id="rId4393" ref="AN1022"/>
    <hyperlink r:id="rId4394" ref="G1023"/>
    <hyperlink r:id="rId4395" ref="AL1023"/>
    <hyperlink r:id="rId4396" ref="AN1023"/>
    <hyperlink r:id="rId4397" ref="AQ1023"/>
    <hyperlink r:id="rId4398" ref="G1024"/>
    <hyperlink r:id="rId4399" ref="AL1024"/>
    <hyperlink r:id="rId4400" ref="AN1024"/>
    <hyperlink r:id="rId4401" ref="AQ1024"/>
    <hyperlink r:id="rId4402" ref="G1025"/>
    <hyperlink r:id="rId4403" ref="AL1025"/>
    <hyperlink r:id="rId4404" ref="AN1025"/>
    <hyperlink r:id="rId4405" ref="AQ1025"/>
    <hyperlink r:id="rId4406" ref="G1026"/>
    <hyperlink r:id="rId4407" ref="AL1026"/>
    <hyperlink r:id="rId4408" ref="AN1026"/>
    <hyperlink r:id="rId4409" ref="AQ1026"/>
    <hyperlink r:id="rId4410" ref="G1027"/>
    <hyperlink r:id="rId4411" ref="AL1027"/>
    <hyperlink r:id="rId4412" ref="AN1027"/>
    <hyperlink r:id="rId4413" ref="AQ1027"/>
    <hyperlink r:id="rId4414" ref="G1028"/>
    <hyperlink r:id="rId4415" ref="AL1028"/>
    <hyperlink r:id="rId4416" ref="AN1028"/>
    <hyperlink r:id="rId4417" ref="AQ1028"/>
    <hyperlink r:id="rId4418" ref="G1029"/>
    <hyperlink r:id="rId4419" ref="AL1029"/>
    <hyperlink r:id="rId4420" ref="AN1029"/>
    <hyperlink r:id="rId4421" ref="G1030"/>
    <hyperlink r:id="rId4422" ref="AL1030"/>
    <hyperlink r:id="rId4423" ref="AN1030"/>
    <hyperlink r:id="rId4424" ref="AQ1030"/>
    <hyperlink r:id="rId4425" ref="AR1030"/>
    <hyperlink r:id="rId4426" ref="G1031"/>
    <hyperlink r:id="rId4427" ref="AL1031"/>
    <hyperlink r:id="rId4428" ref="AN1031"/>
    <hyperlink r:id="rId4429" ref="G1033"/>
    <hyperlink r:id="rId4430" ref="AL1033"/>
    <hyperlink r:id="rId4431" ref="AN1033"/>
    <hyperlink r:id="rId4432" ref="AQ1033"/>
    <hyperlink r:id="rId4433" ref="AR1033"/>
    <hyperlink r:id="rId4434" ref="G1034"/>
    <hyperlink r:id="rId4435" ref="AL1034"/>
    <hyperlink r:id="rId4436" ref="AN1034"/>
    <hyperlink r:id="rId4437" ref="G1035"/>
    <hyperlink r:id="rId4438" ref="AL1035"/>
    <hyperlink r:id="rId4439" ref="AN1035"/>
    <hyperlink r:id="rId4440" ref="AQ1035"/>
    <hyperlink r:id="rId4441" ref="AR1035"/>
    <hyperlink r:id="rId4442" ref="G1036"/>
    <hyperlink r:id="rId4443" ref="AL1036"/>
    <hyperlink r:id="rId4444" ref="AN1036"/>
    <hyperlink r:id="rId4445" ref="G1037"/>
    <hyperlink r:id="rId4446" ref="AL1037"/>
    <hyperlink r:id="rId4447" ref="AN1037"/>
    <hyperlink r:id="rId4448" ref="AQ1037"/>
    <hyperlink r:id="rId4449" ref="AR1037"/>
    <hyperlink r:id="rId4450" ref="G1038"/>
    <hyperlink r:id="rId4451" ref="AL1038"/>
    <hyperlink r:id="rId4452" ref="AN1038"/>
    <hyperlink r:id="rId4453" ref="G1039"/>
    <hyperlink r:id="rId4454" ref="AL1039"/>
    <hyperlink r:id="rId4455" ref="AN1039"/>
    <hyperlink r:id="rId4456" ref="G1040"/>
    <hyperlink r:id="rId4457" ref="AL1040"/>
    <hyperlink r:id="rId4458" ref="AN1040"/>
    <hyperlink r:id="rId4459" ref="G1041"/>
    <hyperlink r:id="rId4460" ref="AL1041"/>
    <hyperlink r:id="rId4461" ref="AN1041"/>
    <hyperlink r:id="rId4462" ref="AQ1041"/>
    <hyperlink r:id="rId4463" ref="G1042"/>
    <hyperlink r:id="rId4464" ref="K1042"/>
    <hyperlink r:id="rId4465" ref="AL1042"/>
    <hyperlink r:id="rId4466" ref="AN1042"/>
    <hyperlink r:id="rId4467" ref="G1043"/>
    <hyperlink r:id="rId4468" ref="AL1043"/>
    <hyperlink r:id="rId4469" ref="AN1043"/>
    <hyperlink r:id="rId4470" ref="AQ1043"/>
    <hyperlink r:id="rId4471" ref="G1044"/>
    <hyperlink r:id="rId4472" ref="AL1044"/>
    <hyperlink r:id="rId4473" ref="AN1044"/>
    <hyperlink r:id="rId4474" ref="AQ1044"/>
    <hyperlink r:id="rId4475" ref="G1045"/>
    <hyperlink r:id="rId4476" ref="AL1045"/>
    <hyperlink r:id="rId4477" ref="AN1045"/>
    <hyperlink r:id="rId4478" ref="AQ1045"/>
    <hyperlink r:id="rId4479" ref="G1046"/>
    <hyperlink r:id="rId4480" ref="AL1046"/>
    <hyperlink r:id="rId4481" ref="AN1046"/>
    <hyperlink r:id="rId4482" ref="AQ1046"/>
    <hyperlink r:id="rId4483" ref="G1047"/>
    <hyperlink r:id="rId4484" ref="AL1047"/>
    <hyperlink r:id="rId4485" ref="AN1047"/>
    <hyperlink r:id="rId4486" ref="AQ1047"/>
    <hyperlink r:id="rId4487" ref="G1048"/>
    <hyperlink r:id="rId4488" ref="AL1048"/>
    <hyperlink r:id="rId4489" ref="AN1048"/>
    <hyperlink r:id="rId4490" ref="AQ1048"/>
    <hyperlink r:id="rId4491" ref="G1049"/>
    <hyperlink r:id="rId4492" ref="AL1049"/>
    <hyperlink r:id="rId4493" ref="AN1049"/>
    <hyperlink r:id="rId4494" ref="AQ1049"/>
    <hyperlink r:id="rId4495" ref="AR1049"/>
    <hyperlink r:id="rId4496" ref="G1050"/>
    <hyperlink r:id="rId4497" ref="AL1050"/>
    <hyperlink r:id="rId4498" ref="AN1050"/>
    <hyperlink r:id="rId4499" ref="G1051"/>
    <hyperlink r:id="rId4500" ref="AL1051"/>
    <hyperlink r:id="rId4501" ref="AN1051"/>
    <hyperlink r:id="rId4502" ref="G1052"/>
    <hyperlink r:id="rId4503" ref="AL1052"/>
    <hyperlink r:id="rId4504" ref="AN1052"/>
    <hyperlink r:id="rId4505" ref="AQ1052"/>
    <hyperlink r:id="rId4506" ref="AR1052"/>
    <hyperlink r:id="rId4507" ref="G1053"/>
    <hyperlink r:id="rId4508" ref="AL1053"/>
    <hyperlink r:id="rId4509" ref="AN1053"/>
    <hyperlink r:id="rId4510" ref="AQ1053"/>
    <hyperlink r:id="rId4511" ref="G1054"/>
    <hyperlink r:id="rId4512" ref="AL1054"/>
    <hyperlink r:id="rId4513" ref="AN1054"/>
    <hyperlink r:id="rId4514" ref="G1055"/>
    <hyperlink r:id="rId4515" ref="AL1055"/>
    <hyperlink r:id="rId4516" ref="AN1055"/>
    <hyperlink r:id="rId4517" ref="AQ1055"/>
    <hyperlink r:id="rId4518" ref="G1056"/>
    <hyperlink r:id="rId4519" ref="AL1056"/>
    <hyperlink r:id="rId4520" ref="AN1056"/>
    <hyperlink r:id="rId4521" ref="AQ1056"/>
    <hyperlink r:id="rId4522" ref="G1057"/>
    <hyperlink r:id="rId4523" ref="AL1057"/>
    <hyperlink r:id="rId4524" ref="AN1057"/>
    <hyperlink r:id="rId4525" ref="AQ1057"/>
    <hyperlink r:id="rId4526" ref="G1058"/>
    <hyperlink r:id="rId4527" ref="AL1058"/>
    <hyperlink r:id="rId4528" ref="AN1058"/>
    <hyperlink r:id="rId4529" ref="AQ1058"/>
    <hyperlink r:id="rId4530" ref="G1059"/>
    <hyperlink r:id="rId4531" ref="AL1059"/>
    <hyperlink r:id="rId4532" ref="AN1059"/>
    <hyperlink r:id="rId4533" ref="AQ1059"/>
    <hyperlink r:id="rId4534" ref="G1060"/>
    <hyperlink r:id="rId4535" ref="K1060"/>
    <hyperlink r:id="rId4536" ref="AL1060"/>
    <hyperlink r:id="rId4537" ref="AN1060"/>
    <hyperlink r:id="rId4538" ref="AQ1060"/>
    <hyperlink r:id="rId4539" ref="G1061"/>
    <hyperlink r:id="rId4540" ref="AL1061"/>
    <hyperlink r:id="rId4541" ref="AN1061"/>
    <hyperlink r:id="rId4542" ref="AQ1061"/>
    <hyperlink r:id="rId4543" ref="G1062"/>
    <hyperlink r:id="rId4544" ref="AL1062"/>
    <hyperlink r:id="rId4545" ref="AN1062"/>
    <hyperlink r:id="rId4546" ref="AQ1062"/>
    <hyperlink r:id="rId4547" ref="G1063"/>
    <hyperlink r:id="rId4548" ref="G1064"/>
    <hyperlink r:id="rId4549" ref="AL1064"/>
    <hyperlink r:id="rId4550" ref="AN1064"/>
    <hyperlink r:id="rId4551" ref="AQ1064"/>
    <hyperlink r:id="rId4552" ref="G1065"/>
    <hyperlink r:id="rId4553" ref="AL1065"/>
    <hyperlink r:id="rId4554" ref="AN1065"/>
    <hyperlink r:id="rId4555" ref="AQ1065"/>
    <hyperlink r:id="rId4556" ref="AR1065"/>
    <hyperlink r:id="rId4557" ref="G1066"/>
    <hyperlink r:id="rId4558" ref="AL1066"/>
    <hyperlink r:id="rId4559" ref="AN1066"/>
    <hyperlink r:id="rId4560" ref="AQ1066"/>
    <hyperlink r:id="rId4561" ref="G1067"/>
    <hyperlink r:id="rId4562" ref="AL1067"/>
    <hyperlink r:id="rId4563" ref="AN1067"/>
    <hyperlink r:id="rId4564" ref="AQ1067"/>
    <hyperlink r:id="rId4565" ref="G1068"/>
    <hyperlink r:id="rId4566" ref="AL1068"/>
    <hyperlink r:id="rId4567" ref="AN1068"/>
    <hyperlink r:id="rId4568" ref="AQ1068"/>
    <hyperlink r:id="rId4569" ref="G1069"/>
    <hyperlink r:id="rId4570" ref="AL1069"/>
    <hyperlink r:id="rId4571" ref="AN1069"/>
    <hyperlink r:id="rId4572" ref="G1070"/>
    <hyperlink r:id="rId4573" ref="AL1070"/>
    <hyperlink r:id="rId4574" ref="AN1070"/>
    <hyperlink r:id="rId4575" ref="AQ1070"/>
    <hyperlink r:id="rId4576" ref="G1071"/>
    <hyperlink r:id="rId4577" ref="AL1071"/>
    <hyperlink r:id="rId4578" ref="AN1071"/>
    <hyperlink r:id="rId4579" ref="AQ1071"/>
    <hyperlink r:id="rId4580" ref="G1072"/>
    <hyperlink r:id="rId4581" ref="AL1072"/>
    <hyperlink r:id="rId4582" ref="AN1072"/>
    <hyperlink r:id="rId4583" ref="AQ1072"/>
    <hyperlink r:id="rId4584" ref="G1073"/>
    <hyperlink r:id="rId4585" ref="K1073"/>
    <hyperlink r:id="rId4586" ref="AL1073"/>
    <hyperlink r:id="rId4587" ref="AN1073"/>
    <hyperlink r:id="rId4588" ref="AQ1073"/>
    <hyperlink r:id="rId4589" ref="G1074"/>
    <hyperlink r:id="rId4590" ref="AL1074"/>
    <hyperlink r:id="rId4591" ref="AN1074"/>
    <hyperlink r:id="rId4592" ref="AQ1074"/>
    <hyperlink r:id="rId4593" ref="G1075"/>
    <hyperlink r:id="rId4594" ref="K1075"/>
    <hyperlink r:id="rId4595" ref="AL1075"/>
    <hyperlink r:id="rId4596" ref="AN1075"/>
    <hyperlink r:id="rId4597" ref="AQ1075"/>
    <hyperlink r:id="rId4598" ref="G1076"/>
    <hyperlink r:id="rId4599" ref="K1076"/>
    <hyperlink r:id="rId4600" ref="AL1076"/>
    <hyperlink r:id="rId4601" ref="AN1076"/>
    <hyperlink r:id="rId4602" ref="G1077"/>
    <hyperlink r:id="rId4603" ref="AL1077"/>
    <hyperlink r:id="rId4604" ref="AN1077"/>
    <hyperlink r:id="rId4605" ref="AQ1077"/>
    <hyperlink r:id="rId4606" ref="G1078"/>
    <hyperlink r:id="rId4607" ref="AL1078"/>
    <hyperlink r:id="rId4608" ref="AN1078"/>
    <hyperlink r:id="rId4609" ref="AQ1078"/>
    <hyperlink r:id="rId4610" ref="AR1078"/>
    <hyperlink r:id="rId4611" ref="G1079"/>
    <hyperlink r:id="rId4612" ref="K1079"/>
    <hyperlink r:id="rId4613" ref="AL1079"/>
    <hyperlink r:id="rId4614" ref="AN1079"/>
    <hyperlink r:id="rId4615" ref="AQ1079"/>
    <hyperlink r:id="rId4616" ref="G1080"/>
    <hyperlink r:id="rId4617" ref="K1080"/>
    <hyperlink r:id="rId4618" ref="AL1080"/>
    <hyperlink r:id="rId4619" ref="AN1080"/>
    <hyperlink r:id="rId4620" ref="AQ1080"/>
    <hyperlink r:id="rId4621" ref="G1081"/>
    <hyperlink r:id="rId4622" ref="K1081"/>
    <hyperlink r:id="rId4623" ref="AL1081"/>
    <hyperlink r:id="rId4624" ref="AN1081"/>
    <hyperlink r:id="rId4625" ref="G1082"/>
    <hyperlink r:id="rId4626" ref="K1082"/>
    <hyperlink r:id="rId4627" ref="AL1082"/>
    <hyperlink r:id="rId4628" ref="AN1082"/>
    <hyperlink r:id="rId4629" ref="G1083"/>
    <hyperlink r:id="rId4630" ref="K1083"/>
    <hyperlink r:id="rId4631" ref="AL1083"/>
    <hyperlink r:id="rId4632" ref="AN1083"/>
    <hyperlink r:id="rId4633" ref="AQ1083"/>
    <hyperlink r:id="rId4634" ref="G1084"/>
    <hyperlink r:id="rId4635" ref="AL1084"/>
    <hyperlink r:id="rId4636" ref="AN1084"/>
    <hyperlink r:id="rId4637" ref="AQ1084"/>
    <hyperlink r:id="rId4638" ref="G1085"/>
    <hyperlink r:id="rId4639" ref="AL1085"/>
    <hyperlink r:id="rId4640" ref="AN1085"/>
    <hyperlink r:id="rId4641" ref="AQ1085"/>
    <hyperlink r:id="rId4642" ref="G1086"/>
    <hyperlink r:id="rId4643" ref="AL1086"/>
    <hyperlink r:id="rId4644" ref="AN1086"/>
    <hyperlink r:id="rId4645" ref="AQ1086"/>
    <hyperlink r:id="rId4646" ref="G1087"/>
    <hyperlink r:id="rId4647" ref="AL1087"/>
    <hyperlink r:id="rId4648" ref="AN1087"/>
    <hyperlink r:id="rId4649" ref="AQ1087"/>
    <hyperlink r:id="rId4650" ref="G1088"/>
    <hyperlink r:id="rId4651" ref="AL1088"/>
    <hyperlink r:id="rId4652" ref="AN1088"/>
    <hyperlink r:id="rId4653" ref="G1089"/>
    <hyperlink r:id="rId4654" ref="AL1089"/>
    <hyperlink r:id="rId4655" ref="AN1089"/>
    <hyperlink r:id="rId4656" ref="AQ1089"/>
    <hyperlink r:id="rId4657" ref="G1090"/>
    <hyperlink r:id="rId4658" ref="AL1090"/>
    <hyperlink r:id="rId4659" ref="AN1090"/>
    <hyperlink r:id="rId4660" ref="G1091"/>
    <hyperlink r:id="rId4661" ref="AL1091"/>
    <hyperlink r:id="rId4662" ref="AN1091"/>
    <hyperlink r:id="rId4663" ref="AQ1091"/>
    <hyperlink r:id="rId4664" ref="G1092"/>
    <hyperlink r:id="rId4665" ref="K1092"/>
    <hyperlink r:id="rId4666" ref="AL1092"/>
    <hyperlink r:id="rId4667" ref="AN1092"/>
    <hyperlink r:id="rId4668" ref="G1093"/>
    <hyperlink r:id="rId4669" ref="AL1093"/>
    <hyperlink r:id="rId4670" ref="AN1093"/>
    <hyperlink r:id="rId4671" ref="AQ1093"/>
    <hyperlink r:id="rId4672" ref="AR1093"/>
    <hyperlink r:id="rId4673" ref="G1094"/>
    <hyperlink r:id="rId4674" ref="AL1094"/>
    <hyperlink r:id="rId4675" ref="AN1094"/>
    <hyperlink r:id="rId4676" ref="AQ1094"/>
    <hyperlink r:id="rId4677" ref="G1095"/>
    <hyperlink r:id="rId4678" ref="AL1095"/>
    <hyperlink r:id="rId4679" ref="AN1095"/>
    <hyperlink r:id="rId4680" ref="AQ1095"/>
    <hyperlink r:id="rId4681" ref="G1096"/>
    <hyperlink r:id="rId4682" ref="AL1096"/>
    <hyperlink r:id="rId4683" ref="AN1096"/>
    <hyperlink r:id="rId4684" ref="AQ1096"/>
    <hyperlink r:id="rId4685" ref="G1097"/>
    <hyperlink r:id="rId4686" ref="AL1097"/>
    <hyperlink r:id="rId4687" ref="AN1097"/>
    <hyperlink r:id="rId4688" ref="G1098"/>
    <hyperlink r:id="rId4689" ref="AL1098"/>
    <hyperlink r:id="rId4690" ref="AN1098"/>
    <hyperlink r:id="rId4691" ref="AQ1098"/>
    <hyperlink r:id="rId4692" ref="G1099"/>
    <hyperlink r:id="rId4693" ref="AL1099"/>
    <hyperlink r:id="rId4694" ref="AN1099"/>
    <hyperlink r:id="rId4695" ref="AQ1099"/>
    <hyperlink r:id="rId4696" ref="G1100"/>
    <hyperlink r:id="rId4697" ref="AL1100"/>
    <hyperlink r:id="rId4698" ref="AN1100"/>
    <hyperlink r:id="rId4699" ref="AQ1100"/>
    <hyperlink r:id="rId4700" ref="G1101"/>
    <hyperlink r:id="rId4701" ref="AL1101"/>
    <hyperlink r:id="rId4702" ref="AN1101"/>
    <hyperlink r:id="rId4703" ref="AQ1101"/>
    <hyperlink r:id="rId4704" ref="G1102"/>
    <hyperlink r:id="rId4705" ref="AL1102"/>
    <hyperlink r:id="rId4706" ref="AN1102"/>
    <hyperlink r:id="rId4707" ref="AQ1102"/>
    <hyperlink r:id="rId4708" ref="G1103"/>
    <hyperlink r:id="rId4709" ref="AL1103"/>
    <hyperlink r:id="rId4710" ref="AN1103"/>
    <hyperlink r:id="rId4711" ref="AQ1103"/>
    <hyperlink r:id="rId4712" ref="G1104"/>
    <hyperlink r:id="rId4713" ref="AL1104"/>
    <hyperlink r:id="rId4714" ref="AN1104"/>
    <hyperlink r:id="rId4715" ref="AQ1104"/>
    <hyperlink r:id="rId4716" ref="G1105"/>
    <hyperlink r:id="rId4717" ref="AL1105"/>
    <hyperlink r:id="rId4718" ref="AN1105"/>
    <hyperlink r:id="rId4719" ref="AQ1105"/>
    <hyperlink r:id="rId4720" ref="G1106"/>
    <hyperlink r:id="rId4721" ref="AL1106"/>
    <hyperlink r:id="rId4722" ref="AN1106"/>
    <hyperlink r:id="rId4723" ref="G1107"/>
    <hyperlink r:id="rId4724" ref="AL1107"/>
    <hyperlink r:id="rId4725" ref="AN1107"/>
    <hyperlink r:id="rId4726" ref="AQ1107"/>
    <hyperlink r:id="rId4727" ref="G1108"/>
    <hyperlink r:id="rId4728" ref="AL1108"/>
    <hyperlink r:id="rId4729" ref="AN1108"/>
    <hyperlink r:id="rId4730" ref="AQ1108"/>
    <hyperlink r:id="rId4731" ref="G1109"/>
    <hyperlink r:id="rId4732" ref="AL1109"/>
    <hyperlink r:id="rId4733" ref="AN1109"/>
    <hyperlink r:id="rId4734" ref="AQ1109"/>
    <hyperlink r:id="rId4735" ref="G1110"/>
    <hyperlink r:id="rId4736" ref="AL1110"/>
    <hyperlink r:id="rId4737" ref="AN1110"/>
    <hyperlink r:id="rId4738" ref="AQ1110"/>
    <hyperlink r:id="rId4739" ref="G1112"/>
    <hyperlink r:id="rId4740" ref="AL1112"/>
    <hyperlink r:id="rId4741" ref="AN1112"/>
    <hyperlink r:id="rId4742" ref="G1113"/>
    <hyperlink r:id="rId4743" ref="G1114"/>
    <hyperlink r:id="rId4744" ref="AL1114"/>
    <hyperlink r:id="rId4745" ref="AN1114"/>
    <hyperlink r:id="rId4746" ref="AQ1114"/>
    <hyperlink r:id="rId4747" ref="G1115"/>
    <hyperlink r:id="rId4748" ref="AL1115"/>
    <hyperlink r:id="rId4749" ref="AN1115"/>
    <hyperlink r:id="rId4750" ref="AQ1115"/>
    <hyperlink r:id="rId4751" ref="G1116"/>
    <hyperlink r:id="rId4752" ref="AL1116"/>
    <hyperlink r:id="rId4753" ref="AN1116"/>
    <hyperlink r:id="rId4754" ref="AQ1116"/>
    <hyperlink r:id="rId4755" ref="G1117"/>
    <hyperlink r:id="rId4756" ref="AL1117"/>
    <hyperlink r:id="rId4757" ref="AN1117"/>
    <hyperlink r:id="rId4758" ref="AQ1117"/>
    <hyperlink r:id="rId4759" ref="AR1117"/>
    <hyperlink r:id="rId4760" ref="G1118"/>
    <hyperlink r:id="rId4761" ref="AL1118"/>
    <hyperlink r:id="rId4762" ref="AN1118"/>
    <hyperlink r:id="rId4763" ref="G1119"/>
    <hyperlink r:id="rId4764" ref="AL1119"/>
    <hyperlink r:id="rId4765" ref="AN1119"/>
    <hyperlink r:id="rId4766" ref="AQ1119"/>
    <hyperlink r:id="rId4767" ref="G1120"/>
    <hyperlink r:id="rId4768" ref="T1120"/>
    <hyperlink r:id="rId4769" ref="AL1120"/>
    <hyperlink r:id="rId4770" ref="AN1120"/>
    <hyperlink r:id="rId4771" ref="AQ1120"/>
    <hyperlink r:id="rId4772" ref="G1121"/>
    <hyperlink r:id="rId4773" ref="AL1121"/>
    <hyperlink r:id="rId4774" ref="AN1121"/>
    <hyperlink r:id="rId4775" ref="G1122"/>
    <hyperlink r:id="rId4776" ref="AL1122"/>
    <hyperlink r:id="rId4777" ref="AN1122"/>
    <hyperlink r:id="rId4778" ref="AQ1122"/>
    <hyperlink r:id="rId4779" ref="AR1122"/>
    <hyperlink r:id="rId4780" ref="G1123"/>
    <hyperlink r:id="rId4781" ref="AL1123"/>
    <hyperlink r:id="rId4782" ref="AN1123"/>
    <hyperlink r:id="rId4783" ref="G1124"/>
    <hyperlink r:id="rId4784" ref="AL1124"/>
    <hyperlink r:id="rId4785" ref="AN1124"/>
    <hyperlink r:id="rId4786" ref="AQ1124"/>
    <hyperlink r:id="rId4787" ref="G1126"/>
    <hyperlink r:id="rId4788" ref="AL1126"/>
    <hyperlink r:id="rId4789" ref="AN1126"/>
    <hyperlink r:id="rId4790" ref="G1127"/>
    <hyperlink r:id="rId4791" ref="K1127"/>
    <hyperlink r:id="rId4792" ref="AL1127"/>
    <hyperlink r:id="rId4793" ref="AN1127"/>
    <hyperlink r:id="rId4794" ref="AQ1127"/>
    <hyperlink r:id="rId4795" ref="G1128"/>
    <hyperlink r:id="rId4796" ref="AL1128"/>
    <hyperlink r:id="rId4797" ref="AN1128"/>
    <hyperlink r:id="rId4798" ref="G1129"/>
    <hyperlink r:id="rId4799" ref="AL1129"/>
    <hyperlink r:id="rId4800" ref="AN1129"/>
    <hyperlink r:id="rId4801" ref="AQ1129"/>
    <hyperlink r:id="rId4802" ref="G1130"/>
    <hyperlink r:id="rId4803" ref="AL1130"/>
    <hyperlink r:id="rId4804" ref="AN1130"/>
    <hyperlink r:id="rId4805" ref="AQ1130"/>
    <hyperlink r:id="rId4806" ref="AR1130"/>
    <hyperlink r:id="rId4807" ref="G1131"/>
    <hyperlink r:id="rId4808" ref="AL1131"/>
    <hyperlink r:id="rId4809" ref="AN1131"/>
    <hyperlink r:id="rId4810" ref="AQ1131"/>
    <hyperlink r:id="rId4811" ref="G1132"/>
    <hyperlink r:id="rId4812" ref="AL1132"/>
    <hyperlink r:id="rId4813" ref="AN1132"/>
    <hyperlink r:id="rId4814" ref="AQ1132"/>
    <hyperlink r:id="rId4815" ref="G1133"/>
    <hyperlink r:id="rId4816" ref="K1133"/>
    <hyperlink r:id="rId4817" ref="AL1133"/>
    <hyperlink r:id="rId4818" ref="AN1133"/>
    <hyperlink r:id="rId4819" ref="AQ1133"/>
    <hyperlink r:id="rId4820" ref="G1134"/>
    <hyperlink r:id="rId4821" ref="AL1134"/>
    <hyperlink r:id="rId4822" ref="AN1134"/>
    <hyperlink r:id="rId4823" ref="G1135"/>
    <hyperlink r:id="rId4824" ref="AL1135"/>
    <hyperlink r:id="rId4825" ref="AN1135"/>
    <hyperlink r:id="rId4826" ref="AQ1135"/>
    <hyperlink r:id="rId4827" ref="AR1135"/>
    <hyperlink r:id="rId4828" ref="G1136"/>
    <hyperlink r:id="rId4829" ref="K1136"/>
    <hyperlink r:id="rId4830" ref="T1136"/>
    <hyperlink r:id="rId4831" ref="AL1136"/>
    <hyperlink r:id="rId4832" ref="AN1136"/>
    <hyperlink r:id="rId4833" ref="AQ1136"/>
    <hyperlink r:id="rId4834" ref="AR1136"/>
    <hyperlink r:id="rId4835" ref="G1138"/>
    <hyperlink r:id="rId4836" ref="K1138"/>
    <hyperlink r:id="rId4837" ref="AL1138"/>
    <hyperlink r:id="rId4838" ref="AN1138"/>
    <hyperlink r:id="rId4839" ref="AQ1138"/>
    <hyperlink r:id="rId4840" ref="G1139"/>
    <hyperlink r:id="rId4841" ref="K1139"/>
    <hyperlink r:id="rId4842" ref="AL1139"/>
    <hyperlink r:id="rId4843" ref="AN1139"/>
    <hyperlink r:id="rId4844" ref="AQ1139"/>
    <hyperlink r:id="rId4845" ref="G1140"/>
    <hyperlink r:id="rId4846" ref="AL1140"/>
    <hyperlink r:id="rId4847" ref="AN1140"/>
    <hyperlink r:id="rId4848" ref="AQ1140"/>
    <hyperlink r:id="rId4849" ref="G1141"/>
    <hyperlink r:id="rId4850" ref="AL1141"/>
    <hyperlink r:id="rId4851" ref="AN1141"/>
    <hyperlink r:id="rId4852" ref="AQ1141"/>
    <hyperlink r:id="rId4853" ref="G1142"/>
    <hyperlink r:id="rId4854" ref="AL1142"/>
    <hyperlink r:id="rId4855" ref="AN1142"/>
    <hyperlink r:id="rId4856" ref="AQ1142"/>
    <hyperlink r:id="rId4857" ref="G1143"/>
    <hyperlink r:id="rId4858" ref="AL1143"/>
    <hyperlink r:id="rId4859" ref="AN1143"/>
    <hyperlink r:id="rId4860" ref="AQ1143"/>
    <hyperlink r:id="rId4861" ref="G1144"/>
    <hyperlink r:id="rId4862" ref="AL1144"/>
    <hyperlink r:id="rId4863" ref="AN1144"/>
    <hyperlink r:id="rId4864" ref="AQ1144"/>
    <hyperlink r:id="rId4865" ref="G1145"/>
    <hyperlink r:id="rId4866" ref="AL1145"/>
    <hyperlink r:id="rId4867" ref="AN1145"/>
    <hyperlink r:id="rId4868" ref="G1146"/>
    <hyperlink r:id="rId4869" ref="AL1146"/>
    <hyperlink r:id="rId4870" ref="AN1146"/>
    <hyperlink r:id="rId4871" ref="AQ1146"/>
    <hyperlink r:id="rId4872" ref="G1147"/>
    <hyperlink r:id="rId4873" ref="AL1147"/>
    <hyperlink r:id="rId4874" ref="AN1147"/>
    <hyperlink r:id="rId4875" ref="G1148"/>
    <hyperlink r:id="rId4876" ref="AL1148"/>
    <hyperlink r:id="rId4877" ref="AN1148"/>
    <hyperlink r:id="rId4878" ref="AQ1148"/>
    <hyperlink r:id="rId4879" ref="G1149"/>
    <hyperlink r:id="rId4880" ref="AL1149"/>
    <hyperlink r:id="rId4881" ref="AN1149"/>
    <hyperlink r:id="rId4882" ref="G1150"/>
    <hyperlink r:id="rId4883" ref="AL1150"/>
    <hyperlink r:id="rId4884" ref="AN1150"/>
    <hyperlink r:id="rId4885" ref="G1151"/>
    <hyperlink r:id="rId4886" ref="AL1151"/>
    <hyperlink r:id="rId4887" ref="AN1151"/>
    <hyperlink r:id="rId4888" ref="G1152"/>
    <hyperlink r:id="rId4889" ref="AL1152"/>
    <hyperlink r:id="rId4890" ref="AN1152"/>
    <hyperlink r:id="rId4891" ref="G1153"/>
    <hyperlink r:id="rId4892" ref="AL1153"/>
    <hyperlink r:id="rId4893" ref="AN1153"/>
    <hyperlink r:id="rId4894" ref="G1154"/>
    <hyperlink r:id="rId4895" ref="AL1154"/>
    <hyperlink r:id="rId4896" ref="AN1154"/>
    <hyperlink r:id="rId4897" ref="AQ1154"/>
    <hyperlink r:id="rId4898" ref="G1155"/>
    <hyperlink r:id="rId4899" ref="AL1155"/>
    <hyperlink r:id="rId4900" ref="AN1155"/>
    <hyperlink r:id="rId4901" ref="AQ1155"/>
    <hyperlink r:id="rId4902" ref="G1156"/>
    <hyperlink r:id="rId4903" ref="AL1156"/>
    <hyperlink r:id="rId4904" ref="AN1156"/>
    <hyperlink r:id="rId4905" ref="AQ1156"/>
    <hyperlink r:id="rId4906" ref="G1157"/>
    <hyperlink r:id="rId4907" ref="AL1157"/>
    <hyperlink r:id="rId4908" ref="AN1157"/>
    <hyperlink r:id="rId4909" ref="AQ1157"/>
    <hyperlink r:id="rId4910" ref="G1158"/>
    <hyperlink r:id="rId4911" ref="AL1158"/>
    <hyperlink r:id="rId4912" ref="G1159"/>
    <hyperlink r:id="rId4913" ref="AL1159"/>
    <hyperlink r:id="rId4914" ref="AN1159"/>
    <hyperlink r:id="rId4915" ref="G1160"/>
    <hyperlink r:id="rId4916" ref="AL1160"/>
    <hyperlink r:id="rId4917" ref="AN1160"/>
    <hyperlink r:id="rId4918" ref="AQ1160"/>
    <hyperlink r:id="rId4919" ref="G1161"/>
    <hyperlink r:id="rId4920" ref="T1161"/>
    <hyperlink r:id="rId4921" ref="AL1161"/>
    <hyperlink r:id="rId4922" ref="AN1161"/>
    <hyperlink r:id="rId4923" ref="G1162"/>
    <hyperlink r:id="rId4924" ref="AL1162"/>
    <hyperlink r:id="rId4925" ref="AN1162"/>
    <hyperlink r:id="rId4926" ref="AQ1162"/>
    <hyperlink r:id="rId4927" ref="G1163"/>
    <hyperlink r:id="rId4928" ref="T1163"/>
    <hyperlink r:id="rId4929" ref="AL1163"/>
    <hyperlink r:id="rId4930" ref="AN1163"/>
    <hyperlink r:id="rId4931" ref="AQ1163"/>
    <hyperlink r:id="rId4932" ref="G1164"/>
    <hyperlink r:id="rId4933" ref="AL1164"/>
    <hyperlink r:id="rId4934" ref="AN1164"/>
    <hyperlink r:id="rId4935" ref="AQ1164"/>
    <hyperlink r:id="rId4936" ref="AR1164"/>
    <hyperlink r:id="rId4937" ref="G1165"/>
    <hyperlink r:id="rId4938" ref="AL1165"/>
    <hyperlink r:id="rId4939" ref="AN1165"/>
    <hyperlink r:id="rId4940" ref="AQ1165"/>
    <hyperlink r:id="rId4941" ref="G1166"/>
    <hyperlink r:id="rId4942" ref="AL1166"/>
    <hyperlink r:id="rId4943" ref="AN1166"/>
    <hyperlink r:id="rId4944" ref="AQ1166"/>
    <hyperlink r:id="rId4945" ref="G1167"/>
    <hyperlink r:id="rId4946" ref="AL1167"/>
    <hyperlink r:id="rId4947" ref="AN1167"/>
    <hyperlink r:id="rId4948" ref="G1168"/>
    <hyperlink r:id="rId4949" ref="AL1168"/>
    <hyperlink r:id="rId4950" ref="AN1168"/>
    <hyperlink r:id="rId4951" ref="G1169"/>
    <hyperlink r:id="rId4952" ref="AL1169"/>
    <hyperlink r:id="rId4953" ref="AN1169"/>
    <hyperlink r:id="rId4954" ref="AQ1169"/>
    <hyperlink r:id="rId4955" ref="AR1169"/>
    <hyperlink r:id="rId4956" ref="G1170"/>
    <hyperlink r:id="rId4957" ref="AL1170"/>
    <hyperlink r:id="rId4958" ref="AN1170"/>
    <hyperlink r:id="rId4959" ref="G1171"/>
    <hyperlink r:id="rId4960" ref="AL1171"/>
    <hyperlink r:id="rId4961" ref="AN1171"/>
    <hyperlink r:id="rId4962" ref="G1172"/>
    <hyperlink r:id="rId4963" ref="AL1172"/>
    <hyperlink r:id="rId4964" ref="AN1172"/>
    <hyperlink r:id="rId4965" ref="G1173"/>
    <hyperlink r:id="rId4966" ref="AL1173"/>
    <hyperlink r:id="rId4967" ref="AN1173"/>
    <hyperlink r:id="rId4968" ref="G1174"/>
    <hyperlink r:id="rId4969" ref="AL1174"/>
    <hyperlink r:id="rId4970" ref="AN1174"/>
    <hyperlink r:id="rId4971" ref="G1175"/>
    <hyperlink r:id="rId4972" ref="AL1175"/>
    <hyperlink r:id="rId4973" ref="AN1175"/>
    <hyperlink r:id="rId4974" ref="G1176"/>
    <hyperlink r:id="rId4975" ref="AL1176"/>
    <hyperlink r:id="rId4976" ref="AN1176"/>
    <hyperlink r:id="rId4977" ref="AQ1176"/>
    <hyperlink r:id="rId4978" ref="G1177"/>
    <hyperlink r:id="rId4979" ref="AL1177"/>
    <hyperlink r:id="rId4980" ref="AN1177"/>
    <hyperlink r:id="rId4981" ref="AQ1177"/>
    <hyperlink r:id="rId4982" ref="G1178"/>
    <hyperlink r:id="rId4983" ref="AL1178"/>
    <hyperlink r:id="rId4984" ref="AN1178"/>
    <hyperlink r:id="rId4985" ref="AQ1178"/>
    <hyperlink r:id="rId4986" ref="G1179"/>
    <hyperlink r:id="rId4987" ref="AL1179"/>
    <hyperlink r:id="rId4988" ref="AN1179"/>
    <hyperlink r:id="rId4989" ref="AQ1179"/>
    <hyperlink r:id="rId4990" ref="G1180"/>
    <hyperlink r:id="rId4991" ref="AL1180"/>
    <hyperlink r:id="rId4992" ref="AN1180"/>
    <hyperlink r:id="rId4993" ref="G1181"/>
    <hyperlink r:id="rId4994" ref="K1181"/>
    <hyperlink r:id="rId4995" ref="AL1181"/>
    <hyperlink r:id="rId4996" ref="AN1181"/>
    <hyperlink r:id="rId4997" ref="AQ1181"/>
    <hyperlink r:id="rId4998" ref="G1182"/>
    <hyperlink r:id="rId4999" ref="G1183"/>
    <hyperlink r:id="rId5000" ref="AL1183"/>
    <hyperlink r:id="rId5001" ref="AN1183"/>
    <hyperlink r:id="rId5002" ref="AQ1183"/>
    <hyperlink r:id="rId5003" ref="G1184"/>
    <hyperlink r:id="rId5004" ref="AL1184"/>
    <hyperlink r:id="rId5005" ref="AN1184"/>
    <hyperlink r:id="rId5006" ref="AQ1184"/>
    <hyperlink r:id="rId5007" ref="G1185"/>
    <hyperlink r:id="rId5008" ref="AL1185"/>
    <hyperlink r:id="rId5009" ref="AN1185"/>
    <hyperlink r:id="rId5010" ref="G1186"/>
    <hyperlink r:id="rId5011" ref="AL1186"/>
    <hyperlink r:id="rId5012" ref="AN1186"/>
    <hyperlink r:id="rId5013" ref="AQ1186"/>
    <hyperlink r:id="rId5014" ref="AL1187"/>
    <hyperlink r:id="rId5015" ref="AN1187"/>
    <hyperlink r:id="rId5016" ref="G1188"/>
    <hyperlink r:id="rId5017" ref="K1188"/>
    <hyperlink r:id="rId5018" ref="AL1188"/>
    <hyperlink r:id="rId5019" ref="AN1188"/>
    <hyperlink r:id="rId5020" ref="AQ1188"/>
    <hyperlink r:id="rId5021" ref="G1189"/>
    <hyperlink r:id="rId5022" ref="K1189"/>
    <hyperlink r:id="rId5023" ref="AL1189"/>
    <hyperlink r:id="rId5024" ref="AN1189"/>
    <hyperlink r:id="rId5025" ref="AQ1189"/>
    <hyperlink r:id="rId5026" ref="G1190"/>
    <hyperlink r:id="rId5027" ref="T1190"/>
    <hyperlink r:id="rId5028" ref="AL1190"/>
    <hyperlink r:id="rId5029" ref="AN1190"/>
    <hyperlink r:id="rId5030" ref="AQ1190"/>
    <hyperlink r:id="rId5031" ref="G1191"/>
    <hyperlink r:id="rId5032" ref="AL1191"/>
    <hyperlink r:id="rId5033" ref="AN1191"/>
    <hyperlink r:id="rId5034" ref="G1192"/>
    <hyperlink r:id="rId5035" ref="AL1192"/>
    <hyperlink r:id="rId5036" ref="AN1192"/>
    <hyperlink r:id="rId5037" ref="AQ1192"/>
    <hyperlink r:id="rId5038" ref="G1193"/>
    <hyperlink r:id="rId5039" ref="AL1193"/>
    <hyperlink r:id="rId5040" ref="AN1193"/>
    <hyperlink r:id="rId5041" ref="AQ1193"/>
    <hyperlink r:id="rId5042" ref="AR1193"/>
    <hyperlink r:id="rId5043" ref="G1194"/>
    <hyperlink r:id="rId5044" ref="T1194"/>
    <hyperlink r:id="rId5045" ref="AL1194"/>
    <hyperlink r:id="rId5046" ref="G1195"/>
    <hyperlink r:id="rId5047" ref="AL1195"/>
    <hyperlink r:id="rId5048" ref="AN1195"/>
    <hyperlink r:id="rId5049" ref="AQ1195"/>
    <hyperlink r:id="rId5050" ref="G1196"/>
    <hyperlink r:id="rId5051" ref="K1196"/>
    <hyperlink r:id="rId5052" ref="AL1196"/>
    <hyperlink r:id="rId5053" ref="AN1196"/>
    <hyperlink r:id="rId5054" ref="AQ1196"/>
    <hyperlink r:id="rId5055" ref="G1197"/>
    <hyperlink r:id="rId5056" ref="AL1197"/>
    <hyperlink r:id="rId5057" ref="AN1197"/>
    <hyperlink r:id="rId5058" ref="AQ1197"/>
    <hyperlink r:id="rId5059" ref="AR1197"/>
    <hyperlink r:id="rId5060" ref="G1198"/>
    <hyperlink r:id="rId5061" ref="AL1198"/>
    <hyperlink r:id="rId5062" ref="AN1198"/>
    <hyperlink r:id="rId5063" ref="AQ1198"/>
    <hyperlink r:id="rId5064" ref="G1199"/>
    <hyperlink r:id="rId5065" ref="AL1199"/>
    <hyperlink r:id="rId5066" ref="AN1199"/>
    <hyperlink r:id="rId5067" ref="AQ1199"/>
    <hyperlink r:id="rId5068" ref="G1200"/>
    <hyperlink r:id="rId5069" ref="AL1200"/>
    <hyperlink r:id="rId5070" ref="AN1200"/>
    <hyperlink r:id="rId5071" ref="AQ1200"/>
    <hyperlink r:id="rId5072" ref="G1201"/>
    <hyperlink r:id="rId5073" ref="AL1201"/>
    <hyperlink r:id="rId5074" ref="AN1201"/>
    <hyperlink r:id="rId5075" ref="AQ1201"/>
    <hyperlink r:id="rId5076" ref="G1202"/>
    <hyperlink r:id="rId5077" ref="AL1202"/>
    <hyperlink r:id="rId5078" ref="AN1202"/>
    <hyperlink r:id="rId5079" ref="AQ1202"/>
    <hyperlink r:id="rId5080" ref="G1203"/>
    <hyperlink r:id="rId5081" ref="AL1203"/>
    <hyperlink r:id="rId5082" ref="AN1203"/>
    <hyperlink r:id="rId5083" ref="AQ1203"/>
    <hyperlink r:id="rId5084" ref="AR1203"/>
    <hyperlink r:id="rId5085" ref="G1204"/>
    <hyperlink r:id="rId5086" ref="AL1204"/>
    <hyperlink r:id="rId5087" ref="AN1204"/>
    <hyperlink r:id="rId5088" ref="AQ1204"/>
    <hyperlink r:id="rId5089" ref="AR1204"/>
    <hyperlink r:id="rId5090" ref="G1205"/>
    <hyperlink r:id="rId5091" ref="AL1205"/>
    <hyperlink r:id="rId5092" ref="AN1205"/>
    <hyperlink r:id="rId5093" ref="AQ1205"/>
    <hyperlink r:id="rId5094" ref="AR1205"/>
    <hyperlink r:id="rId5095" ref="G1206"/>
    <hyperlink r:id="rId5096" ref="AL1206"/>
    <hyperlink r:id="rId5097" ref="AN1206"/>
    <hyperlink r:id="rId5098" ref="G1207"/>
    <hyperlink r:id="rId5099" ref="AL1207"/>
    <hyperlink r:id="rId5100" ref="AN1207"/>
    <hyperlink r:id="rId5101" ref="G1208"/>
    <hyperlink r:id="rId5102" ref="G1209"/>
    <hyperlink r:id="rId5103" ref="AL1209"/>
    <hyperlink r:id="rId5104" ref="AN1209"/>
    <hyperlink r:id="rId5105" ref="G1210"/>
    <hyperlink r:id="rId5106" ref="AL1210"/>
    <hyperlink r:id="rId5107" ref="AN1210"/>
    <hyperlink r:id="rId5108" ref="AQ1210"/>
    <hyperlink r:id="rId5109" ref="G1211"/>
    <hyperlink r:id="rId5110" ref="AL1211"/>
    <hyperlink r:id="rId5111" ref="AN1211"/>
    <hyperlink r:id="rId5112" ref="AQ1211"/>
    <hyperlink r:id="rId5113" ref="AR1211"/>
    <hyperlink r:id="rId5114" ref="G1212"/>
    <hyperlink r:id="rId5115" ref="AL1212"/>
    <hyperlink r:id="rId5116" ref="AN1212"/>
    <hyperlink r:id="rId5117" ref="AQ1212"/>
    <hyperlink r:id="rId5118" ref="G1213"/>
    <hyperlink r:id="rId5119" ref="AL1213"/>
    <hyperlink r:id="rId5120" ref="AN1213"/>
    <hyperlink r:id="rId5121" ref="G1214"/>
    <hyperlink r:id="rId5122" ref="AL1214"/>
    <hyperlink r:id="rId5123" ref="AN1214"/>
    <hyperlink r:id="rId5124" ref="G1215"/>
    <hyperlink r:id="rId5125" ref="AL1215"/>
    <hyperlink r:id="rId5126" ref="AN1215"/>
    <hyperlink r:id="rId5127" ref="G1216"/>
    <hyperlink r:id="rId5128" ref="K1216"/>
    <hyperlink r:id="rId5129" ref="AL1216"/>
    <hyperlink r:id="rId5130" ref="AN1216"/>
    <hyperlink r:id="rId5131" ref="G1217"/>
    <hyperlink r:id="rId5132" ref="AL1217"/>
    <hyperlink r:id="rId5133" ref="AN1217"/>
    <hyperlink r:id="rId5134" ref="AQ1217"/>
    <hyperlink r:id="rId5135" ref="G1218"/>
    <hyperlink r:id="rId5136" ref="AL1218"/>
    <hyperlink r:id="rId5137" ref="AN1218"/>
    <hyperlink r:id="rId5138" ref="AQ1218"/>
    <hyperlink r:id="rId5139" ref="AR1218"/>
    <hyperlink r:id="rId5140" ref="G1219"/>
    <hyperlink r:id="rId5141" ref="AL1219"/>
    <hyperlink r:id="rId5142" ref="AN1219"/>
    <hyperlink r:id="rId5143" ref="G1220"/>
    <hyperlink r:id="rId5144" ref="K1220"/>
    <hyperlink r:id="rId5145" ref="AL1220"/>
    <hyperlink r:id="rId5146" ref="AQ1220"/>
    <hyperlink r:id="rId5147" ref="AR1220"/>
    <hyperlink r:id="rId5148" ref="G1221"/>
    <hyperlink r:id="rId5149" ref="AL1221"/>
    <hyperlink r:id="rId5150" ref="AN1221"/>
    <hyperlink r:id="rId5151" ref="AQ1221"/>
    <hyperlink r:id="rId5152" ref="G1222"/>
    <hyperlink r:id="rId5153" ref="AL1222"/>
    <hyperlink r:id="rId5154" ref="AN1222"/>
    <hyperlink r:id="rId5155" ref="AQ1222"/>
    <hyperlink r:id="rId5156" ref="G1223"/>
    <hyperlink r:id="rId5157" ref="AL1223"/>
    <hyperlink r:id="rId5158" ref="AN1223"/>
    <hyperlink r:id="rId5159" ref="AQ1223"/>
    <hyperlink r:id="rId5160" ref="G1224"/>
    <hyperlink r:id="rId5161" ref="K1224"/>
    <hyperlink r:id="rId5162" ref="AL1224"/>
    <hyperlink r:id="rId5163" ref="AN1224"/>
    <hyperlink r:id="rId5164" ref="AQ1224"/>
    <hyperlink r:id="rId5165" ref="G1225"/>
    <hyperlink r:id="rId5166" ref="AL1225"/>
    <hyperlink r:id="rId5167" ref="AN1225"/>
    <hyperlink r:id="rId5168" ref="AQ1225"/>
    <hyperlink r:id="rId5169" ref="G1226"/>
    <hyperlink r:id="rId5170" ref="AL1226"/>
    <hyperlink r:id="rId5171" ref="AN1226"/>
    <hyperlink r:id="rId5172" ref="G1227"/>
    <hyperlink r:id="rId5173" ref="AL1227"/>
    <hyperlink r:id="rId5174" ref="AN1227"/>
    <hyperlink r:id="rId5175" ref="AQ1227"/>
    <hyperlink r:id="rId5176" ref="E1228"/>
    <hyperlink r:id="rId5177" ref="G1228"/>
    <hyperlink r:id="rId5178" ref="AL1228"/>
    <hyperlink r:id="rId5179" ref="AN1228"/>
    <hyperlink r:id="rId5180" ref="AQ1228"/>
    <hyperlink r:id="rId5181" ref="AR1228"/>
    <hyperlink r:id="rId5182" ref="E1229"/>
    <hyperlink r:id="rId5183" ref="G1229"/>
    <hyperlink r:id="rId5184" ref="AL1229"/>
    <hyperlink r:id="rId5185" ref="AN1229"/>
    <hyperlink r:id="rId5186" ref="AQ1229"/>
    <hyperlink r:id="rId5187" ref="AR1229"/>
    <hyperlink r:id="rId5188" ref="G1230"/>
    <hyperlink r:id="rId5189" ref="AL1230"/>
    <hyperlink r:id="rId5190" ref="AN1230"/>
    <hyperlink r:id="rId5191" ref="AQ1230"/>
    <hyperlink r:id="rId5192" ref="AR1230"/>
    <hyperlink r:id="rId5193" ref="E1231"/>
    <hyperlink r:id="rId5194" ref="G1231"/>
    <hyperlink r:id="rId5195" ref="AL1231"/>
    <hyperlink r:id="rId5196" ref="AN1231"/>
    <hyperlink r:id="rId5197" ref="AQ1231"/>
    <hyperlink r:id="rId5198" ref="AR1231"/>
    <hyperlink r:id="rId5199" ref="G1232"/>
    <hyperlink r:id="rId5200" ref="AL1232"/>
    <hyperlink r:id="rId5201" ref="AN1232"/>
    <hyperlink r:id="rId5202" ref="AQ1232"/>
    <hyperlink r:id="rId5203" ref="G1233"/>
    <hyperlink r:id="rId5204" ref="AL1233"/>
    <hyperlink r:id="rId5205" ref="AN1233"/>
    <hyperlink r:id="rId5206" ref="AQ1233"/>
    <hyperlink r:id="rId5207" ref="G1234"/>
    <hyperlink r:id="rId5208" ref="AL1234"/>
    <hyperlink r:id="rId5209" ref="AN1234"/>
    <hyperlink r:id="rId5210" ref="G1235"/>
    <hyperlink r:id="rId5211" ref="AL1235"/>
    <hyperlink r:id="rId5212" ref="AN1235"/>
    <hyperlink r:id="rId5213" ref="AQ1235"/>
    <hyperlink r:id="rId5214" ref="G1236"/>
    <hyperlink r:id="rId5215" ref="AL1236"/>
    <hyperlink r:id="rId5216" ref="AN1236"/>
    <hyperlink r:id="rId5217" ref="AQ1236"/>
    <hyperlink r:id="rId5218" ref="G1237"/>
    <hyperlink r:id="rId5219" ref="AL1237"/>
    <hyperlink r:id="rId5220" ref="AN1237"/>
    <hyperlink r:id="rId5221" ref="G1238"/>
    <hyperlink r:id="rId5222" ref="AL1238"/>
    <hyperlink r:id="rId5223" ref="AN1238"/>
    <hyperlink r:id="rId5224" ref="AQ1238"/>
    <hyperlink r:id="rId5225" ref="G1239"/>
    <hyperlink r:id="rId5226" ref="AL1239"/>
    <hyperlink r:id="rId5227" ref="AN1239"/>
    <hyperlink r:id="rId5228" ref="G1240"/>
    <hyperlink r:id="rId5229" ref="AL1240"/>
    <hyperlink r:id="rId5230" ref="AN1240"/>
    <hyperlink r:id="rId5231" ref="E1241"/>
    <hyperlink r:id="rId5232" ref="G1241"/>
    <hyperlink r:id="rId5233" ref="AL1241"/>
    <hyperlink r:id="rId5234" ref="AN1241"/>
    <hyperlink r:id="rId5235" ref="G1242"/>
    <hyperlink r:id="rId5236" ref="AL1242"/>
    <hyperlink r:id="rId5237" ref="AN1242"/>
    <hyperlink r:id="rId5238" ref="G1243"/>
    <hyperlink r:id="rId5239" ref="AL1243"/>
    <hyperlink r:id="rId5240" ref="AN1243"/>
    <hyperlink r:id="rId5241" ref="AQ1243"/>
    <hyperlink r:id="rId5242" ref="G1244"/>
    <hyperlink r:id="rId5243" ref="AL1244"/>
    <hyperlink r:id="rId5244" ref="AN1244"/>
    <hyperlink r:id="rId5245" ref="G1245"/>
    <hyperlink r:id="rId5246" ref="AL1245"/>
    <hyperlink r:id="rId5247" ref="AN1245"/>
    <hyperlink r:id="rId5248" ref="AQ1245"/>
    <hyperlink r:id="rId5249" ref="G1246"/>
    <hyperlink r:id="rId5250" ref="AL1246"/>
    <hyperlink r:id="rId5251" ref="AN1246"/>
    <hyperlink r:id="rId5252" ref="AQ1246"/>
    <hyperlink r:id="rId5253" ref="G1247"/>
    <hyperlink r:id="rId5254" ref="AL1247"/>
    <hyperlink r:id="rId5255" ref="AQ1247"/>
    <hyperlink r:id="rId5256" ref="AR1247"/>
    <hyperlink r:id="rId5257" ref="G1248"/>
    <hyperlink r:id="rId5258" ref="G1249"/>
    <hyperlink r:id="rId5259" ref="AL1249"/>
    <hyperlink r:id="rId5260" ref="AN1249"/>
    <hyperlink r:id="rId5261" ref="G1250"/>
    <hyperlink r:id="rId5262" ref="AL1250"/>
    <hyperlink r:id="rId5263" ref="AN1250"/>
    <hyperlink r:id="rId5264" ref="G1251"/>
    <hyperlink r:id="rId5265" ref="AL1251"/>
    <hyperlink r:id="rId5266" ref="AN1251"/>
    <hyperlink r:id="rId5267" ref="G1252"/>
    <hyperlink r:id="rId5268" ref="AL1252"/>
    <hyperlink r:id="rId5269" ref="AN1252"/>
    <hyperlink r:id="rId5270" ref="AQ1252"/>
    <hyperlink r:id="rId5271" ref="AR1252"/>
    <hyperlink r:id="rId5272" ref="G1253"/>
    <hyperlink r:id="rId5273" ref="AL1253"/>
    <hyperlink r:id="rId5274" ref="AN1253"/>
    <hyperlink r:id="rId5275" ref="AQ1253"/>
    <hyperlink r:id="rId5276" ref="AR1253"/>
    <hyperlink r:id="rId5277" ref="G1254"/>
    <hyperlink r:id="rId5278" ref="AL1254"/>
    <hyperlink r:id="rId5279" ref="AN1254"/>
    <hyperlink r:id="rId5280" ref="G1255"/>
    <hyperlink r:id="rId5281" ref="AL1255"/>
    <hyperlink r:id="rId5282" ref="AN1255"/>
    <hyperlink r:id="rId5283" ref="AQ1255"/>
    <hyperlink r:id="rId5284" ref="AR1255"/>
    <hyperlink r:id="rId5285" ref="G1256"/>
    <hyperlink r:id="rId5286" ref="AL1256"/>
    <hyperlink r:id="rId5287" ref="AN1256"/>
    <hyperlink r:id="rId5288" ref="AQ1256"/>
    <hyperlink r:id="rId5289" ref="AR1256"/>
    <hyperlink r:id="rId5290" ref="G1257"/>
    <hyperlink r:id="rId5291" ref="AL1257"/>
    <hyperlink r:id="rId5292" ref="AN1257"/>
    <hyperlink r:id="rId5293" ref="G1259"/>
    <hyperlink r:id="rId5294" ref="AL1259"/>
    <hyperlink r:id="rId5295" ref="AN1259"/>
    <hyperlink r:id="rId5296" ref="AQ1259"/>
    <hyperlink r:id="rId5297" ref="G1260"/>
    <hyperlink r:id="rId5298" ref="AL1260"/>
    <hyperlink r:id="rId5299" ref="AN1260"/>
    <hyperlink r:id="rId5300" ref="G1261"/>
    <hyperlink r:id="rId5301" ref="AL1261"/>
    <hyperlink r:id="rId5302" ref="AN1261"/>
    <hyperlink r:id="rId5303" ref="AQ1261"/>
    <hyperlink r:id="rId5304" ref="G1262"/>
    <hyperlink r:id="rId5305" ref="AL1262"/>
    <hyperlink r:id="rId5306" ref="AN1262"/>
    <hyperlink r:id="rId5307" ref="AQ1262"/>
    <hyperlink r:id="rId5308" ref="G1263"/>
    <hyperlink r:id="rId5309" ref="AL1263"/>
    <hyperlink r:id="rId5310" ref="AN1263"/>
    <hyperlink r:id="rId5311" ref="AQ1263"/>
    <hyperlink r:id="rId5312" ref="AR1263"/>
    <hyperlink r:id="rId5313" ref="G1264"/>
    <hyperlink r:id="rId5314" ref="AL1264"/>
    <hyperlink r:id="rId5315" ref="AN1264"/>
    <hyperlink r:id="rId5316" ref="AQ1264"/>
    <hyperlink r:id="rId5317" ref="AR1264"/>
    <hyperlink r:id="rId5318" ref="G1265"/>
    <hyperlink r:id="rId5319" ref="K1265"/>
    <hyperlink r:id="rId5320" ref="AL1265"/>
    <hyperlink r:id="rId5321" ref="AN1265"/>
    <hyperlink r:id="rId5322" ref="AQ1265"/>
    <hyperlink r:id="rId5323" ref="G1266"/>
    <hyperlink r:id="rId5324" ref="AL1266"/>
    <hyperlink r:id="rId5325" ref="AN1266"/>
    <hyperlink r:id="rId5326" ref="AQ1266"/>
    <hyperlink r:id="rId5327" ref="G1267"/>
    <hyperlink r:id="rId5328" ref="AL1267"/>
    <hyperlink r:id="rId5329" ref="AN1267"/>
    <hyperlink r:id="rId5330" ref="AQ1267"/>
    <hyperlink r:id="rId5331" ref="G1268"/>
    <hyperlink r:id="rId5332" ref="AL1268"/>
    <hyperlink r:id="rId5333" ref="AN1268"/>
    <hyperlink r:id="rId5334" ref="G1269"/>
    <hyperlink r:id="rId5335" ref="AL1269"/>
    <hyperlink r:id="rId5336" ref="AN1269"/>
    <hyperlink r:id="rId5337" ref="AQ1269"/>
    <hyperlink r:id="rId5338" ref="G1270"/>
    <hyperlink r:id="rId5339" ref="AL1270"/>
    <hyperlink r:id="rId5340" ref="AN1270"/>
    <hyperlink r:id="rId5341" ref="AQ1270"/>
    <hyperlink r:id="rId5342" ref="G1271"/>
    <hyperlink r:id="rId5343" ref="AL1271"/>
    <hyperlink r:id="rId5344" ref="AN1271"/>
    <hyperlink r:id="rId5345" ref="AQ1271"/>
    <hyperlink r:id="rId5346" ref="G1272"/>
    <hyperlink r:id="rId5347" ref="K1272"/>
    <hyperlink r:id="rId5348" ref="AL1272"/>
    <hyperlink r:id="rId5349" ref="AN1272"/>
    <hyperlink r:id="rId5350" ref="G1273"/>
    <hyperlink r:id="rId5351" ref="AL1273"/>
    <hyperlink r:id="rId5352" ref="AN1273"/>
    <hyperlink r:id="rId5353" ref="G1274"/>
    <hyperlink r:id="rId5354" ref="AL1274"/>
    <hyperlink r:id="rId5355" ref="AN1274"/>
    <hyperlink r:id="rId5356" ref="G1275"/>
    <hyperlink r:id="rId5357" ref="AL1275"/>
    <hyperlink r:id="rId5358" ref="AN1275"/>
    <hyperlink r:id="rId5359" ref="AQ1275"/>
    <hyperlink r:id="rId5360" ref="G1276"/>
    <hyperlink r:id="rId5361" ref="AL1276"/>
    <hyperlink r:id="rId5362" ref="AN1276"/>
    <hyperlink r:id="rId5363" ref="AQ1276"/>
    <hyperlink r:id="rId5364" ref="G1277"/>
    <hyperlink r:id="rId5365" ref="K1277"/>
    <hyperlink r:id="rId5366" ref="AL1277"/>
    <hyperlink r:id="rId5367" ref="AN1277"/>
    <hyperlink r:id="rId5368" ref="AQ1277"/>
    <hyperlink r:id="rId5369" ref="G1278"/>
    <hyperlink r:id="rId5370" ref="AL1278"/>
    <hyperlink r:id="rId5371" ref="AN1278"/>
    <hyperlink r:id="rId5372" ref="AQ1278"/>
    <hyperlink r:id="rId5373" ref="G1279"/>
    <hyperlink r:id="rId5374" ref="AL1279"/>
    <hyperlink r:id="rId5375" ref="AN1279"/>
    <hyperlink r:id="rId5376" ref="G1280"/>
    <hyperlink r:id="rId5377" ref="AL1280"/>
    <hyperlink r:id="rId5378" ref="AN1280"/>
    <hyperlink r:id="rId5379" ref="G1281"/>
    <hyperlink r:id="rId5380" ref="AL1281"/>
    <hyperlink r:id="rId5381" ref="AN1281"/>
    <hyperlink r:id="rId5382" ref="AQ1281"/>
    <hyperlink r:id="rId5383" ref="G1282"/>
    <hyperlink r:id="rId5384" ref="AL1282"/>
    <hyperlink r:id="rId5385" ref="AN1282"/>
    <hyperlink r:id="rId5386" ref="AQ1282"/>
    <hyperlink r:id="rId5387" ref="G1283"/>
    <hyperlink r:id="rId5388" ref="AL1283"/>
    <hyperlink r:id="rId5389" ref="AN1283"/>
    <hyperlink r:id="rId5390" ref="AQ1283"/>
    <hyperlink r:id="rId5391" ref="G1284"/>
    <hyperlink r:id="rId5392" ref="AL1284"/>
    <hyperlink r:id="rId5393" ref="AN1284"/>
    <hyperlink r:id="rId5394" ref="G1285"/>
    <hyperlink r:id="rId5395" ref="AL1285"/>
    <hyperlink r:id="rId5396" ref="AN1285"/>
    <hyperlink r:id="rId5397" ref="AQ1285"/>
    <hyperlink r:id="rId5398" ref="G1286"/>
    <hyperlink r:id="rId5399" ref="AL1286"/>
    <hyperlink r:id="rId5400" ref="AN1286"/>
    <hyperlink r:id="rId5401" ref="AQ1286"/>
    <hyperlink r:id="rId5402" ref="G1287"/>
    <hyperlink r:id="rId5403" ref="AL1287"/>
    <hyperlink r:id="rId5404" ref="AN1287"/>
    <hyperlink r:id="rId5405" ref="G1288"/>
    <hyperlink r:id="rId5406" ref="AL1288"/>
    <hyperlink r:id="rId5407" ref="AN1288"/>
    <hyperlink r:id="rId5408" ref="AQ1288"/>
    <hyperlink r:id="rId5409" ref="G1289"/>
    <hyperlink r:id="rId5410" ref="AL1289"/>
    <hyperlink r:id="rId5411" ref="AN1289"/>
    <hyperlink r:id="rId5412" ref="AQ1289"/>
    <hyperlink r:id="rId5413" ref="AR1289"/>
    <hyperlink r:id="rId5414" ref="G1290"/>
    <hyperlink r:id="rId5415" ref="AL1290"/>
    <hyperlink r:id="rId5416" ref="AN1290"/>
    <hyperlink r:id="rId5417" ref="AQ1290"/>
    <hyperlink r:id="rId5418" ref="AR1290"/>
    <hyperlink r:id="rId5419" ref="G1291"/>
    <hyperlink r:id="rId5420" ref="AL1291"/>
    <hyperlink r:id="rId5421" ref="AN1291"/>
    <hyperlink r:id="rId5422" ref="AQ1291"/>
    <hyperlink r:id="rId5423" ref="AR1291"/>
    <hyperlink r:id="rId5424" ref="G1292"/>
    <hyperlink r:id="rId5425" ref="AL1292"/>
    <hyperlink r:id="rId5426" ref="AN1292"/>
    <hyperlink r:id="rId5427" ref="AQ1292"/>
    <hyperlink r:id="rId5428" ref="AR1292"/>
    <hyperlink r:id="rId5429" ref="G1293"/>
    <hyperlink r:id="rId5430" ref="T1293"/>
    <hyperlink r:id="rId5431" ref="G1294"/>
    <hyperlink r:id="rId5432" ref="K1294"/>
    <hyperlink r:id="rId5433" ref="AL1294"/>
    <hyperlink r:id="rId5434" ref="AN1294"/>
    <hyperlink r:id="rId5435" ref="AQ1294"/>
    <hyperlink r:id="rId5436" ref="G1295"/>
    <hyperlink r:id="rId5437" ref="K1295"/>
    <hyperlink r:id="rId5438" ref="AL1295"/>
    <hyperlink r:id="rId5439" ref="AN1295"/>
    <hyperlink r:id="rId5440" ref="G1296"/>
    <hyperlink r:id="rId5441" ref="AL1296"/>
    <hyperlink r:id="rId5442" ref="AN1296"/>
    <hyperlink r:id="rId5443" ref="AQ1296"/>
    <hyperlink r:id="rId5444" ref="G1297"/>
    <hyperlink r:id="rId5445" ref="K1297"/>
    <hyperlink r:id="rId5446" ref="AL1297"/>
    <hyperlink r:id="rId5447" ref="AN1297"/>
    <hyperlink r:id="rId5448" ref="AQ1297"/>
    <hyperlink r:id="rId5449" ref="G1298"/>
    <hyperlink r:id="rId5450" ref="AL1298"/>
    <hyperlink r:id="rId5451" ref="AN1298"/>
    <hyperlink r:id="rId5452" ref="G1299"/>
    <hyperlink r:id="rId5453" ref="AL1299"/>
    <hyperlink r:id="rId5454" ref="AN1299"/>
    <hyperlink r:id="rId5455" ref="G1300"/>
    <hyperlink r:id="rId5456" ref="AL1300"/>
    <hyperlink r:id="rId5457" ref="AN1300"/>
    <hyperlink r:id="rId5458" ref="AQ1300"/>
    <hyperlink r:id="rId5459" ref="AR1300"/>
    <hyperlink r:id="rId5460" ref="G1301"/>
    <hyperlink r:id="rId5461" ref="AL1301"/>
    <hyperlink r:id="rId5462" ref="AN1301"/>
    <hyperlink r:id="rId5463" ref="AQ1301"/>
    <hyperlink r:id="rId5464" ref="AR1301"/>
    <hyperlink r:id="rId5465" ref="G1302"/>
    <hyperlink r:id="rId5466" ref="AL1302"/>
    <hyperlink r:id="rId5467" ref="AN1302"/>
    <hyperlink r:id="rId5468" ref="G1303"/>
    <hyperlink r:id="rId5469" ref="AL1303"/>
    <hyperlink r:id="rId5470" ref="AN1303"/>
    <hyperlink r:id="rId5471" ref="G1304"/>
    <hyperlink r:id="rId5472" ref="AL1304"/>
    <hyperlink r:id="rId5473" ref="AN1304"/>
    <hyperlink r:id="rId5474" ref="G1305"/>
    <hyperlink r:id="rId5475" ref="AL1305"/>
    <hyperlink r:id="rId5476" ref="AN1305"/>
    <hyperlink r:id="rId5477" ref="AQ1305"/>
    <hyperlink r:id="rId5478" ref="G1306"/>
    <hyperlink r:id="rId5479" ref="AL1306"/>
    <hyperlink r:id="rId5480" ref="AN1306"/>
    <hyperlink r:id="rId5481" ref="G1307"/>
    <hyperlink r:id="rId5482" ref="AL1307"/>
    <hyperlink r:id="rId5483" ref="AN1307"/>
    <hyperlink r:id="rId5484" ref="G1308"/>
    <hyperlink r:id="rId5485" ref="AL1308"/>
    <hyperlink r:id="rId5486" ref="AN1308"/>
    <hyperlink r:id="rId5487" ref="AQ1308"/>
    <hyperlink r:id="rId5488" ref="G1309"/>
    <hyperlink r:id="rId5489" ref="AL1309"/>
    <hyperlink r:id="rId5490" ref="AN1309"/>
    <hyperlink r:id="rId5491" ref="AQ1309"/>
    <hyperlink r:id="rId5492" ref="G1310"/>
    <hyperlink r:id="rId5493" ref="AL1310"/>
    <hyperlink r:id="rId5494" ref="AN1310"/>
    <hyperlink r:id="rId5495" ref="G1311"/>
    <hyperlink r:id="rId5496" ref="AL1311"/>
    <hyperlink r:id="rId5497" ref="AN1311"/>
    <hyperlink r:id="rId5498" ref="G1312"/>
    <hyperlink r:id="rId5499" ref="AL1312"/>
    <hyperlink r:id="rId5500" ref="AQ1312"/>
    <hyperlink r:id="rId5501" ref="G1313"/>
    <hyperlink r:id="rId5502" ref="AL1313"/>
    <hyperlink r:id="rId5503" ref="AN1313"/>
    <hyperlink r:id="rId5504" ref="G1314"/>
    <hyperlink r:id="rId5505" ref="AL1314"/>
    <hyperlink r:id="rId5506" ref="AN1314"/>
    <hyperlink r:id="rId5507" ref="AQ1314"/>
    <hyperlink r:id="rId5508" ref="G1315"/>
    <hyperlink r:id="rId5509" ref="AL1315"/>
    <hyperlink r:id="rId5510" ref="AN1315"/>
    <hyperlink r:id="rId5511" ref="AQ1315"/>
    <hyperlink r:id="rId5512" ref="G1316"/>
    <hyperlink r:id="rId5513" ref="K1316"/>
    <hyperlink r:id="rId5514" ref="AL1316"/>
    <hyperlink r:id="rId5515" ref="AN1316"/>
    <hyperlink r:id="rId5516" ref="G1317"/>
    <hyperlink r:id="rId5517" ref="AL1317"/>
    <hyperlink r:id="rId5518" ref="AN1317"/>
    <hyperlink r:id="rId5519" ref="AQ1317"/>
    <hyperlink r:id="rId5520" ref="AR1317"/>
    <hyperlink r:id="rId5521" ref="G1318"/>
    <hyperlink r:id="rId5522" ref="K1318"/>
    <hyperlink r:id="rId5523" ref="AL1318"/>
    <hyperlink r:id="rId5524" ref="AN1318"/>
    <hyperlink r:id="rId5525" ref="AQ1318"/>
    <hyperlink r:id="rId5526" ref="AR1318"/>
    <hyperlink r:id="rId5527" ref="G1319"/>
    <hyperlink r:id="rId5528" ref="K1319"/>
    <hyperlink r:id="rId5529" ref="AL1319"/>
    <hyperlink r:id="rId5530" ref="AN1319"/>
    <hyperlink r:id="rId5531" ref="G1320"/>
    <hyperlink r:id="rId5532" ref="AL1320"/>
    <hyperlink r:id="rId5533" ref="AN1320"/>
    <hyperlink r:id="rId5534" ref="AQ1320"/>
    <hyperlink r:id="rId5535" ref="G1321"/>
    <hyperlink r:id="rId5536" ref="AL1321"/>
    <hyperlink r:id="rId5537" ref="AN1321"/>
    <hyperlink r:id="rId5538" ref="AQ1321"/>
    <hyperlink r:id="rId5539" ref="G1322"/>
    <hyperlink r:id="rId5540" ref="AL1322"/>
    <hyperlink r:id="rId5541" ref="AN1322"/>
    <hyperlink r:id="rId5542" ref="G1323"/>
    <hyperlink r:id="rId5543" ref="AL1323"/>
    <hyperlink r:id="rId5544" ref="AN1323"/>
    <hyperlink r:id="rId5545" ref="AQ1323"/>
    <hyperlink r:id="rId5546" ref="G1324"/>
    <hyperlink r:id="rId5547" ref="AL1324"/>
    <hyperlink r:id="rId5548" ref="AN1324"/>
    <hyperlink r:id="rId5549" ref="G1325"/>
    <hyperlink r:id="rId5550" ref="AL1325"/>
    <hyperlink r:id="rId5551" ref="AN1325"/>
    <hyperlink r:id="rId5552" ref="AQ1325"/>
    <hyperlink r:id="rId5553" ref="G1326"/>
    <hyperlink r:id="rId5554" ref="AL1326"/>
    <hyperlink r:id="rId5555" ref="AN1326"/>
    <hyperlink r:id="rId5556" ref="G1327"/>
    <hyperlink r:id="rId5557" ref="AL1327"/>
    <hyperlink r:id="rId5558" ref="AN1327"/>
    <hyperlink r:id="rId5559" ref="G1328"/>
    <hyperlink r:id="rId5560" ref="AL1328"/>
    <hyperlink r:id="rId5561" ref="AN1328"/>
    <hyperlink r:id="rId5562" ref="AQ1328"/>
    <hyperlink r:id="rId5563" ref="G1329"/>
    <hyperlink r:id="rId5564" ref="AL1329"/>
    <hyperlink r:id="rId5565" ref="AN1329"/>
    <hyperlink r:id="rId5566" ref="AQ1329"/>
    <hyperlink r:id="rId5567" ref="G1330"/>
    <hyperlink r:id="rId5568" ref="AL1330"/>
    <hyperlink r:id="rId5569" ref="AN1330"/>
    <hyperlink r:id="rId5570" ref="AQ1330"/>
    <hyperlink r:id="rId5571" ref="AR1330"/>
    <hyperlink r:id="rId5572" ref="G1331"/>
    <hyperlink r:id="rId5573" ref="AL1331"/>
    <hyperlink r:id="rId5574" ref="AN1331"/>
    <hyperlink r:id="rId5575" ref="AQ1331"/>
    <hyperlink r:id="rId5576" ref="AR1331"/>
    <hyperlink r:id="rId5577" ref="G1332"/>
    <hyperlink r:id="rId5578" ref="AL1332"/>
    <hyperlink r:id="rId5579" ref="AN1332"/>
    <hyperlink r:id="rId5580" ref="AQ1332"/>
    <hyperlink r:id="rId5581" ref="AR1332"/>
    <hyperlink r:id="rId5582" ref="G1333"/>
    <hyperlink r:id="rId5583" ref="AL1333"/>
    <hyperlink r:id="rId5584" ref="AN1333"/>
    <hyperlink r:id="rId5585" ref="G1334"/>
    <hyperlink r:id="rId5586" ref="AL1334"/>
    <hyperlink r:id="rId5587" ref="AN1334"/>
    <hyperlink r:id="rId5588" ref="AQ1334"/>
    <hyperlink r:id="rId5589" ref="AR1334"/>
    <hyperlink r:id="rId5590" ref="G1335"/>
    <hyperlink r:id="rId5591" ref="AL1335"/>
    <hyperlink r:id="rId5592" ref="AN1335"/>
    <hyperlink r:id="rId5593" ref="G1336"/>
    <hyperlink r:id="rId5594" ref="AL1336"/>
    <hyperlink r:id="rId5595" ref="AN1336"/>
    <hyperlink r:id="rId5596" ref="AQ1336"/>
    <hyperlink r:id="rId5597" ref="G1337"/>
    <hyperlink r:id="rId5598" ref="AL1337"/>
    <hyperlink r:id="rId5599" ref="AN1337"/>
    <hyperlink r:id="rId5600" ref="AQ1337"/>
    <hyperlink r:id="rId5601" ref="G1338"/>
    <hyperlink r:id="rId5602" ref="AL1338"/>
    <hyperlink r:id="rId5603" ref="AN1338"/>
    <hyperlink r:id="rId5604" ref="G1339"/>
    <hyperlink r:id="rId5605" ref="AL1339"/>
    <hyperlink r:id="rId5606" ref="AN1339"/>
    <hyperlink r:id="rId5607" ref="AQ1339"/>
    <hyperlink r:id="rId5608" ref="AR1339"/>
    <hyperlink r:id="rId5609" ref="G1340"/>
    <hyperlink r:id="rId5610" ref="AL1340"/>
    <hyperlink r:id="rId5611" ref="AN1340"/>
    <hyperlink r:id="rId5612" ref="AQ1340"/>
    <hyperlink r:id="rId5613" ref="G1341"/>
    <hyperlink r:id="rId5614" ref="AL1341"/>
    <hyperlink r:id="rId5615" ref="AN1341"/>
    <hyperlink r:id="rId5616" ref="G1342"/>
    <hyperlink r:id="rId5617" ref="AL1342"/>
    <hyperlink r:id="rId5618" ref="AN1342"/>
    <hyperlink r:id="rId5619" ref="AQ1342"/>
    <hyperlink r:id="rId5620" ref="G1343"/>
    <hyperlink r:id="rId5621" ref="AL1343"/>
    <hyperlink r:id="rId5622" ref="AN1343"/>
    <hyperlink r:id="rId5623" ref="G1344"/>
    <hyperlink r:id="rId5624" ref="AL1344"/>
    <hyperlink r:id="rId5625" ref="AN1344"/>
    <hyperlink r:id="rId5626" ref="AQ1344"/>
    <hyperlink r:id="rId5627" ref="AR1344"/>
    <hyperlink r:id="rId5628" ref="G1345"/>
    <hyperlink r:id="rId5629" ref="AL1345"/>
    <hyperlink r:id="rId5630" ref="AN1345"/>
    <hyperlink r:id="rId5631" ref="AQ1345"/>
    <hyperlink r:id="rId5632" ref="AR1345"/>
    <hyperlink r:id="rId5633" ref="G1346"/>
    <hyperlink r:id="rId5634" ref="AL1346"/>
    <hyperlink r:id="rId5635" ref="AN1346"/>
    <hyperlink r:id="rId5636" ref="AQ1346"/>
    <hyperlink r:id="rId5637" ref="AR1346"/>
    <hyperlink r:id="rId5638" ref="G1348"/>
    <hyperlink r:id="rId5639" ref="K1348"/>
    <hyperlink r:id="rId5640" ref="AL1348"/>
    <hyperlink r:id="rId5641" ref="AN1348"/>
    <hyperlink r:id="rId5642" ref="AQ1348"/>
    <hyperlink r:id="rId5643" ref="G1349"/>
    <hyperlink r:id="rId5644" ref="AL1349"/>
    <hyperlink r:id="rId5645" ref="AN1349"/>
    <hyperlink r:id="rId5646" ref="AQ1349"/>
    <hyperlink r:id="rId5647" ref="G1350"/>
    <hyperlink r:id="rId5648" ref="K1350"/>
    <hyperlink r:id="rId5649" ref="AL1350"/>
    <hyperlink r:id="rId5650" ref="AN1350"/>
    <hyperlink r:id="rId5651" ref="G1351"/>
    <hyperlink r:id="rId5652" ref="AL1351"/>
    <hyperlink r:id="rId5653" ref="AN1351"/>
    <hyperlink r:id="rId5654" ref="G1352"/>
    <hyperlink r:id="rId5655" ref="K1352"/>
    <hyperlink r:id="rId5656" ref="AL1352"/>
    <hyperlink r:id="rId5657" ref="AN1352"/>
    <hyperlink r:id="rId5658" ref="AQ1352"/>
    <hyperlink r:id="rId5659" ref="G1353"/>
    <hyperlink r:id="rId5660" ref="AL1353"/>
    <hyperlink r:id="rId5661" ref="AN1353"/>
    <hyperlink r:id="rId5662" ref="G1354"/>
    <hyperlink r:id="rId5663" ref="AL1354"/>
    <hyperlink r:id="rId5664" ref="AN1354"/>
    <hyperlink r:id="rId5665" ref="AQ1354"/>
    <hyperlink r:id="rId5666" ref="G1355"/>
    <hyperlink r:id="rId5667" ref="AL1355"/>
    <hyperlink r:id="rId5668" ref="AN1355"/>
    <hyperlink r:id="rId5669" ref="AQ1355"/>
    <hyperlink r:id="rId5670" ref="AR1355"/>
    <hyperlink r:id="rId5671" ref="G1356"/>
    <hyperlink r:id="rId5672" ref="K1356"/>
    <hyperlink r:id="rId5673" ref="AL1356"/>
    <hyperlink r:id="rId5674" ref="AN1356"/>
    <hyperlink r:id="rId5675" ref="AQ1356"/>
    <hyperlink r:id="rId5676" ref="G1357"/>
    <hyperlink r:id="rId5677" ref="AL1357"/>
    <hyperlink r:id="rId5678" ref="AN1357"/>
    <hyperlink r:id="rId5679" ref="AQ1357"/>
    <hyperlink r:id="rId5680" ref="G1358"/>
    <hyperlink r:id="rId5681" ref="AL1358"/>
    <hyperlink r:id="rId5682" ref="AN1358"/>
    <hyperlink r:id="rId5683" ref="G1359"/>
    <hyperlink r:id="rId5684" ref="AL1359"/>
    <hyperlink r:id="rId5685" ref="AN1359"/>
    <hyperlink r:id="rId5686" ref="AQ1359"/>
    <hyperlink r:id="rId5687" ref="G1360"/>
    <hyperlink r:id="rId5688" ref="AL1360"/>
    <hyperlink r:id="rId5689" ref="AN1360"/>
    <hyperlink r:id="rId5690" ref="G1361"/>
    <hyperlink r:id="rId5691" ref="AL1361"/>
    <hyperlink r:id="rId5692" ref="AN1361"/>
    <hyperlink r:id="rId5693" ref="G1362"/>
    <hyperlink r:id="rId5694" ref="AL1362"/>
    <hyperlink r:id="rId5695" ref="AN1362"/>
    <hyperlink r:id="rId5696" ref="G1363"/>
    <hyperlink r:id="rId5697" ref="AL1363"/>
    <hyperlink r:id="rId5698" ref="AN1363"/>
    <hyperlink r:id="rId5699" ref="AQ1363"/>
    <hyperlink r:id="rId5700" ref="G1364"/>
    <hyperlink r:id="rId5701" ref="AL1364"/>
    <hyperlink r:id="rId5702" ref="AN1364"/>
    <hyperlink r:id="rId5703" ref="G1365"/>
    <hyperlink r:id="rId5704" ref="AL1365"/>
    <hyperlink r:id="rId5705" ref="AN1365"/>
    <hyperlink r:id="rId5706" ref="G1366"/>
    <hyperlink r:id="rId5707" ref="G1367"/>
    <hyperlink r:id="rId5708" ref="G1368"/>
    <hyperlink r:id="rId5709" ref="AL1368"/>
    <hyperlink r:id="rId5710" ref="AN1368"/>
    <hyperlink r:id="rId5711" ref="G1369"/>
    <hyperlink r:id="rId5712" ref="AL1369"/>
    <hyperlink r:id="rId5713" ref="AN1369"/>
    <hyperlink r:id="rId5714" ref="G1370"/>
    <hyperlink r:id="rId5715" ref="AL1370"/>
    <hyperlink r:id="rId5716" ref="AN1370"/>
    <hyperlink r:id="rId5717" ref="G1371"/>
    <hyperlink r:id="rId5718" ref="AL1371"/>
    <hyperlink r:id="rId5719" ref="AN1371"/>
    <hyperlink r:id="rId5720" ref="G1372"/>
    <hyperlink r:id="rId5721" ref="AL1372"/>
    <hyperlink r:id="rId5722" ref="AN1372"/>
    <hyperlink r:id="rId5723" ref="G1373"/>
    <hyperlink r:id="rId5724" ref="AL1373"/>
    <hyperlink r:id="rId5725" ref="AN1373"/>
    <hyperlink r:id="rId5726" ref="AQ1373"/>
    <hyperlink r:id="rId5727" ref="AR1373"/>
    <hyperlink r:id="rId5728" ref="G1374"/>
    <hyperlink r:id="rId5729" ref="AL1374"/>
    <hyperlink r:id="rId5730" ref="AN1374"/>
    <hyperlink r:id="rId5731" ref="AQ1374"/>
    <hyperlink r:id="rId5732" ref="G1375"/>
    <hyperlink r:id="rId5733" ref="AL1375"/>
    <hyperlink r:id="rId5734" ref="AN1375"/>
    <hyperlink r:id="rId5735" ref="G1376"/>
    <hyperlink r:id="rId5736" ref="AL1376"/>
    <hyperlink r:id="rId5737" ref="AN1376"/>
    <hyperlink r:id="rId5738" ref="AQ1376"/>
    <hyperlink r:id="rId5739" ref="G1377"/>
    <hyperlink r:id="rId5740" ref="AL1377"/>
    <hyperlink r:id="rId5741" ref="AN1377"/>
    <hyperlink r:id="rId5742" ref="AQ1377"/>
    <hyperlink r:id="rId5743" ref="G1378"/>
    <hyperlink r:id="rId5744" ref="AL1378"/>
    <hyperlink r:id="rId5745" ref="AN1378"/>
    <hyperlink r:id="rId5746" ref="G1379"/>
    <hyperlink r:id="rId5747" ref="AL1379"/>
    <hyperlink r:id="rId5748" ref="AN1379"/>
    <hyperlink r:id="rId5749" ref="G1380"/>
    <hyperlink r:id="rId5750" ref="AL1380"/>
    <hyperlink r:id="rId5751" ref="AN1380"/>
    <hyperlink r:id="rId5752" ref="G1381"/>
    <hyperlink r:id="rId5753" ref="AL1381"/>
    <hyperlink r:id="rId5754" ref="AN1381"/>
    <hyperlink r:id="rId5755" ref="AQ1381"/>
    <hyperlink r:id="rId5756" ref="G1382"/>
    <hyperlink r:id="rId5757" ref="AL1382"/>
    <hyperlink r:id="rId5758" ref="AN1382"/>
    <hyperlink r:id="rId5759" ref="G1383"/>
    <hyperlink r:id="rId5760" ref="AL1383"/>
    <hyperlink r:id="rId5761" ref="AN1383"/>
    <hyperlink r:id="rId5762" ref="AQ1383"/>
    <hyperlink r:id="rId5763" ref="G1384"/>
    <hyperlink r:id="rId5764" ref="AL1384"/>
    <hyperlink r:id="rId5765" ref="AN1384"/>
    <hyperlink r:id="rId5766" ref="AQ1384"/>
    <hyperlink r:id="rId5767" ref="G1385"/>
    <hyperlink r:id="rId5768" ref="AL1385"/>
    <hyperlink r:id="rId5769" ref="AN1385"/>
    <hyperlink r:id="rId5770" ref="G1386"/>
    <hyperlink r:id="rId5771" ref="AL1386"/>
    <hyperlink r:id="rId5772" ref="AN1386"/>
    <hyperlink r:id="rId5773" ref="G1387"/>
    <hyperlink r:id="rId5774" ref="AL1387"/>
    <hyperlink r:id="rId5775" ref="AN1387"/>
    <hyperlink r:id="rId5776" ref="AQ1387"/>
    <hyperlink r:id="rId5777" ref="G1388"/>
    <hyperlink r:id="rId5778" ref="AL1388"/>
    <hyperlink r:id="rId5779" ref="AN1388"/>
    <hyperlink r:id="rId5780" ref="AQ1388"/>
    <hyperlink r:id="rId5781" ref="G1389"/>
    <hyperlink r:id="rId5782" ref="AL1389"/>
    <hyperlink r:id="rId5783" ref="AN1389"/>
    <hyperlink r:id="rId5784" ref="AQ1389"/>
    <hyperlink r:id="rId5785" ref="G1390"/>
    <hyperlink r:id="rId5786" ref="AL1390"/>
    <hyperlink r:id="rId5787" ref="AN1390"/>
    <hyperlink r:id="rId5788" ref="AQ1390"/>
    <hyperlink r:id="rId5789" ref="G1391"/>
    <hyperlink r:id="rId5790" ref="AL1391"/>
    <hyperlink r:id="rId5791" ref="AN1391"/>
    <hyperlink r:id="rId5792" ref="AQ1391"/>
    <hyperlink r:id="rId5793" ref="G1392"/>
    <hyperlink r:id="rId5794" ref="AL1392"/>
    <hyperlink r:id="rId5795" ref="AN1392"/>
    <hyperlink r:id="rId5796" ref="G1393"/>
    <hyperlink r:id="rId5797" ref="AL1393"/>
    <hyperlink r:id="rId5798" ref="AN1393"/>
    <hyperlink r:id="rId5799" ref="AQ1393"/>
    <hyperlink r:id="rId5800" ref="G1394"/>
    <hyperlink r:id="rId5801" ref="AL1394"/>
    <hyperlink r:id="rId5802" ref="AN1394"/>
    <hyperlink r:id="rId5803" ref="G1395"/>
    <hyperlink r:id="rId5804" ref="AL1395"/>
    <hyperlink r:id="rId5805" ref="AN1395"/>
    <hyperlink r:id="rId5806" ref="AQ1395"/>
    <hyperlink r:id="rId5807" ref="G1396"/>
    <hyperlink r:id="rId5808" ref="AL1396"/>
    <hyperlink r:id="rId5809" ref="AN1396"/>
    <hyperlink r:id="rId5810" ref="AQ1396"/>
    <hyperlink r:id="rId5811" ref="AR1396"/>
    <hyperlink r:id="rId5812" ref="G1397"/>
    <hyperlink r:id="rId5813" ref="AL1397"/>
    <hyperlink r:id="rId5814" ref="AN1397"/>
    <hyperlink r:id="rId5815" ref="AQ1397"/>
    <hyperlink r:id="rId5816" ref="G1398"/>
    <hyperlink r:id="rId5817" ref="AL1398"/>
    <hyperlink r:id="rId5818" ref="AN1398"/>
    <hyperlink r:id="rId5819" ref="AQ1398"/>
    <hyperlink r:id="rId5820" ref="G1399"/>
    <hyperlink r:id="rId5821" ref="AL1399"/>
    <hyperlink r:id="rId5822" ref="AN1399"/>
    <hyperlink r:id="rId5823" ref="AQ1399"/>
    <hyperlink r:id="rId5824" ref="G1400"/>
    <hyperlink r:id="rId5825" ref="AL1400"/>
    <hyperlink r:id="rId5826" ref="AN1400"/>
    <hyperlink r:id="rId5827" ref="G1401"/>
    <hyperlink r:id="rId5828" ref="AL1401"/>
    <hyperlink r:id="rId5829" ref="AN1401"/>
    <hyperlink r:id="rId5830" ref="AQ1401"/>
    <hyperlink r:id="rId5831" ref="G1402"/>
    <hyperlink r:id="rId5832" ref="AL1402"/>
    <hyperlink r:id="rId5833" ref="AN1402"/>
    <hyperlink r:id="rId5834" ref="G1403"/>
    <hyperlink r:id="rId5835" ref="AL1403"/>
    <hyperlink r:id="rId5836" ref="AN1403"/>
    <hyperlink r:id="rId5837" ref="AQ1403"/>
    <hyperlink r:id="rId5838" ref="AR1403"/>
    <hyperlink r:id="rId5839" ref="G1404"/>
    <hyperlink r:id="rId5840" ref="AL1404"/>
    <hyperlink r:id="rId5841" ref="AN1404"/>
    <hyperlink r:id="rId5842" ref="AQ1404"/>
    <hyperlink r:id="rId5843" ref="AR1404"/>
    <hyperlink r:id="rId5844" ref="G1405"/>
    <hyperlink r:id="rId5845" ref="AL1405"/>
    <hyperlink r:id="rId5846" ref="AN1405"/>
    <hyperlink r:id="rId5847" ref="G1406"/>
    <hyperlink r:id="rId5848" ref="AL1406"/>
    <hyperlink r:id="rId5849" ref="AN1406"/>
    <hyperlink r:id="rId5850" ref="AQ1406"/>
    <hyperlink r:id="rId5851" ref="G1407"/>
    <hyperlink r:id="rId5852" ref="AL1407"/>
    <hyperlink r:id="rId5853" ref="AN1407"/>
    <hyperlink r:id="rId5854" ref="AQ1407"/>
    <hyperlink r:id="rId5855" ref="G1408"/>
    <hyperlink r:id="rId5856" ref="AL1408"/>
    <hyperlink r:id="rId5857" ref="AQ1408"/>
    <hyperlink r:id="rId5858" ref="AR1408"/>
    <hyperlink r:id="rId5859" ref="G1409"/>
    <hyperlink r:id="rId5860" ref="AL1409"/>
    <hyperlink r:id="rId5861" ref="AN1409"/>
    <hyperlink r:id="rId5862" ref="AQ1409"/>
    <hyperlink r:id="rId5863" ref="G1410"/>
    <hyperlink r:id="rId5864" ref="AL1410"/>
    <hyperlink r:id="rId5865" ref="AN1410"/>
    <hyperlink r:id="rId5866" ref="AQ1410"/>
    <hyperlink r:id="rId5867" ref="G1411"/>
    <hyperlink r:id="rId5868" ref="AL1411"/>
    <hyperlink r:id="rId5869" ref="AN1411"/>
    <hyperlink r:id="rId5870" ref="G1412"/>
    <hyperlink r:id="rId5871" ref="AL1412"/>
    <hyperlink r:id="rId5872" ref="AN1412"/>
    <hyperlink r:id="rId5873" ref="AQ1412"/>
    <hyperlink r:id="rId5874" ref="G1413"/>
    <hyperlink r:id="rId5875" ref="AL1413"/>
    <hyperlink r:id="rId5876" ref="AN1413"/>
    <hyperlink r:id="rId5877" ref="AQ1413"/>
    <hyperlink r:id="rId5878" ref="AR1413"/>
    <hyperlink r:id="rId5879" ref="G1414"/>
    <hyperlink r:id="rId5880" ref="AL1414"/>
    <hyperlink r:id="rId5881" ref="AN1414"/>
    <hyperlink r:id="rId5882" ref="G1415"/>
    <hyperlink r:id="rId5883" ref="AL1415"/>
    <hyperlink r:id="rId5884" ref="AN1415"/>
    <hyperlink r:id="rId5885" ref="G1416"/>
    <hyperlink r:id="rId5886" ref="AL1416"/>
    <hyperlink r:id="rId5887" ref="AN1416"/>
    <hyperlink r:id="rId5888" ref="G1417"/>
    <hyperlink r:id="rId5889" ref="G1418"/>
    <hyperlink r:id="rId5890" ref="AL1418"/>
    <hyperlink r:id="rId5891" ref="AN1418"/>
    <hyperlink r:id="rId5892" ref="AQ1418"/>
    <hyperlink r:id="rId5893" ref="G1419"/>
    <hyperlink r:id="rId5894" ref="AL1419"/>
    <hyperlink r:id="rId5895" ref="AN1419"/>
    <hyperlink r:id="rId5896" ref="AQ1419"/>
    <hyperlink r:id="rId5897" ref="G1420"/>
    <hyperlink r:id="rId5898" ref="AL1420"/>
    <hyperlink r:id="rId5899" ref="AN1420"/>
    <hyperlink r:id="rId5900" ref="AQ1420"/>
    <hyperlink r:id="rId5901" ref="G1421"/>
    <hyperlink r:id="rId5902" ref="AL1421"/>
    <hyperlink r:id="rId5903" ref="AN1421"/>
    <hyperlink r:id="rId5904" ref="G1422"/>
    <hyperlink r:id="rId5905" ref="AL1422"/>
    <hyperlink r:id="rId5906" ref="AN1422"/>
    <hyperlink r:id="rId5907" ref="G1423"/>
    <hyperlink r:id="rId5908" ref="AL1423"/>
    <hyperlink r:id="rId5909" ref="AN1423"/>
    <hyperlink r:id="rId5910" ref="AQ1423"/>
    <hyperlink r:id="rId5911" ref="AR1423"/>
    <hyperlink r:id="rId5912" ref="G1424"/>
    <hyperlink r:id="rId5913" ref="AL1424"/>
    <hyperlink r:id="rId5914" ref="AN1424"/>
    <hyperlink r:id="rId5915" ref="G1425"/>
    <hyperlink r:id="rId5916" ref="AL1425"/>
    <hyperlink r:id="rId5917" ref="AN1425"/>
    <hyperlink r:id="rId5918" ref="G1426"/>
    <hyperlink r:id="rId5919" ref="AL1426"/>
    <hyperlink r:id="rId5920" ref="AN1426"/>
    <hyperlink r:id="rId5921" ref="AQ1426"/>
    <hyperlink r:id="rId5922" ref="AR1426"/>
    <hyperlink r:id="rId5923" ref="G1427"/>
    <hyperlink r:id="rId5924" ref="AL1427"/>
    <hyperlink r:id="rId5925" ref="AN1427"/>
    <hyperlink r:id="rId5926" ref="G1428"/>
    <hyperlink r:id="rId5927" ref="AL1428"/>
    <hyperlink r:id="rId5928" ref="AN1428"/>
    <hyperlink r:id="rId5929" ref="G1429"/>
    <hyperlink r:id="rId5930" ref="AL1429"/>
    <hyperlink r:id="rId5931" ref="AN1429"/>
    <hyperlink r:id="rId5932" ref="G1430"/>
    <hyperlink r:id="rId5933" ref="AL1430"/>
    <hyperlink r:id="rId5934" ref="AN1430"/>
    <hyperlink r:id="rId5935" ref="AQ1430"/>
    <hyperlink r:id="rId5936" ref="G1431"/>
    <hyperlink r:id="rId5937" ref="AL1431"/>
    <hyperlink r:id="rId5938" ref="AN1431"/>
    <hyperlink r:id="rId5939" ref="G1432"/>
    <hyperlink r:id="rId5940" ref="AL1432"/>
    <hyperlink r:id="rId5941" ref="AN1432"/>
    <hyperlink r:id="rId5942" ref="AQ1432"/>
    <hyperlink r:id="rId5943" ref="AR1432"/>
    <hyperlink r:id="rId5944" ref="G1433"/>
    <hyperlink r:id="rId5945" ref="AL1433"/>
    <hyperlink r:id="rId5946" ref="AN1433"/>
    <hyperlink r:id="rId5947" ref="G1434"/>
    <hyperlink r:id="rId5948" ref="AL1434"/>
    <hyperlink r:id="rId5949" ref="AN1434"/>
    <hyperlink r:id="rId5950" ref="G1435"/>
    <hyperlink r:id="rId5951" ref="AL1435"/>
    <hyperlink r:id="rId5952" ref="AN1435"/>
    <hyperlink r:id="rId5953" ref="G1436"/>
    <hyperlink r:id="rId5954" ref="AL1436"/>
    <hyperlink r:id="rId5955" ref="AN1436"/>
    <hyperlink r:id="rId5956" ref="G1437"/>
    <hyperlink r:id="rId5957" ref="AL1437"/>
    <hyperlink r:id="rId5958" ref="AN1437"/>
    <hyperlink r:id="rId5959" ref="G1438"/>
    <hyperlink r:id="rId5960" ref="AL1438"/>
    <hyperlink r:id="rId5961" ref="AN1438"/>
    <hyperlink r:id="rId5962" ref="G1439"/>
    <hyperlink r:id="rId5963" ref="AL1439"/>
    <hyperlink r:id="rId5964" ref="AN1439"/>
    <hyperlink r:id="rId5965" ref="AQ1439"/>
    <hyperlink r:id="rId5966" ref="G1440"/>
    <hyperlink r:id="rId5967" ref="AL1440"/>
    <hyperlink r:id="rId5968" ref="AN1440"/>
    <hyperlink r:id="rId5969" ref="G1441"/>
    <hyperlink r:id="rId5970" ref="AL1441"/>
    <hyperlink r:id="rId5971" ref="AN1441"/>
    <hyperlink r:id="rId5972" ref="G1442"/>
    <hyperlink r:id="rId5973" ref="AL1442"/>
    <hyperlink r:id="rId5974" ref="AN1442"/>
    <hyperlink r:id="rId5975" ref="G1443"/>
    <hyperlink r:id="rId5976" ref="AL1443"/>
    <hyperlink r:id="rId5977" ref="AN1443"/>
    <hyperlink r:id="rId5978" ref="AQ1443"/>
    <hyperlink r:id="rId5979" ref="G1444"/>
    <hyperlink r:id="rId5980" ref="AL1444"/>
    <hyperlink r:id="rId5981" ref="AN1444"/>
    <hyperlink r:id="rId5982" ref="AQ1444"/>
    <hyperlink r:id="rId5983" ref="G1445"/>
    <hyperlink r:id="rId5984" ref="AL1445"/>
    <hyperlink r:id="rId5985" ref="AN1445"/>
    <hyperlink r:id="rId5986" ref="G1446"/>
    <hyperlink r:id="rId5987" ref="K1446"/>
    <hyperlink r:id="rId5988" ref="AL1446"/>
    <hyperlink r:id="rId5989" ref="AN1446"/>
    <hyperlink r:id="rId5990" ref="AQ1446"/>
    <hyperlink r:id="rId5991" ref="G1447"/>
    <hyperlink r:id="rId5992" ref="K1447"/>
    <hyperlink r:id="rId5993" ref="AL1447"/>
    <hyperlink r:id="rId5994" ref="AN1447"/>
    <hyperlink r:id="rId5995" ref="AQ1447"/>
    <hyperlink r:id="rId5996" ref="G1448"/>
    <hyperlink r:id="rId5997" ref="AL1448"/>
    <hyperlink r:id="rId5998" ref="AN1448"/>
    <hyperlink r:id="rId5999" ref="AQ1448"/>
    <hyperlink r:id="rId6000" ref="G1449"/>
    <hyperlink r:id="rId6001" ref="K1449"/>
    <hyperlink r:id="rId6002" ref="AL1449"/>
    <hyperlink r:id="rId6003" ref="AN1449"/>
    <hyperlink r:id="rId6004" ref="AQ1449"/>
    <hyperlink r:id="rId6005" ref="G1450"/>
    <hyperlink r:id="rId6006" ref="AL1450"/>
    <hyperlink r:id="rId6007" ref="AN1450"/>
    <hyperlink r:id="rId6008" ref="AQ1450"/>
    <hyperlink r:id="rId6009" ref="G1451"/>
    <hyperlink r:id="rId6010" ref="AL1451"/>
    <hyperlink r:id="rId6011" ref="AN1451"/>
    <hyperlink r:id="rId6012" ref="AQ1451"/>
    <hyperlink r:id="rId6013" ref="G1452"/>
    <hyperlink r:id="rId6014" ref="AL1452"/>
    <hyperlink r:id="rId6015" ref="AN1452"/>
    <hyperlink r:id="rId6016" ref="AQ1452"/>
    <hyperlink r:id="rId6017" ref="G1453"/>
    <hyperlink r:id="rId6018" ref="AL1453"/>
    <hyperlink r:id="rId6019" ref="AN1453"/>
    <hyperlink r:id="rId6020" ref="AQ1453"/>
    <hyperlink r:id="rId6021" ref="G1454"/>
    <hyperlink r:id="rId6022" ref="AL1454"/>
    <hyperlink r:id="rId6023" ref="AN1454"/>
    <hyperlink r:id="rId6024" ref="G1455"/>
    <hyperlink r:id="rId6025" ref="AL1455"/>
    <hyperlink r:id="rId6026" ref="AN1455"/>
    <hyperlink r:id="rId6027" ref="AQ1455"/>
    <hyperlink r:id="rId6028" ref="G1456"/>
    <hyperlink r:id="rId6029" ref="K1456"/>
    <hyperlink r:id="rId6030" ref="AL1456"/>
    <hyperlink r:id="rId6031" ref="AN1456"/>
    <hyperlink r:id="rId6032" ref="AQ1456"/>
    <hyperlink r:id="rId6033" ref="G1457"/>
    <hyperlink r:id="rId6034" ref="T1457"/>
    <hyperlink r:id="rId6035" ref="AL1457"/>
    <hyperlink r:id="rId6036" ref="AN1457"/>
    <hyperlink r:id="rId6037" ref="G1458"/>
    <hyperlink r:id="rId6038" ref="K1458"/>
    <hyperlink r:id="rId6039" ref="AL1458"/>
    <hyperlink r:id="rId6040" ref="AN1458"/>
    <hyperlink r:id="rId6041" ref="G1459"/>
    <hyperlink r:id="rId6042" ref="K1459"/>
    <hyperlink r:id="rId6043" ref="AL1459"/>
    <hyperlink r:id="rId6044" ref="AN1459"/>
    <hyperlink r:id="rId6045" ref="AQ1459"/>
    <hyperlink r:id="rId6046" ref="G1460"/>
    <hyperlink r:id="rId6047" ref="AL1460"/>
    <hyperlink r:id="rId6048" ref="AN1460"/>
    <hyperlink r:id="rId6049" ref="AQ1460"/>
    <hyperlink r:id="rId6050" ref="AR1460"/>
    <hyperlink r:id="rId6051" ref="G1461"/>
    <hyperlink r:id="rId6052" ref="AL1461"/>
    <hyperlink r:id="rId6053" ref="AN1461"/>
    <hyperlink r:id="rId6054" ref="AQ1461"/>
    <hyperlink r:id="rId6055" ref="G1462"/>
    <hyperlink r:id="rId6056" ref="AL1462"/>
    <hyperlink r:id="rId6057" ref="AN1462"/>
    <hyperlink r:id="rId6058" ref="G1463"/>
    <hyperlink r:id="rId6059" ref="AL1463"/>
    <hyperlink r:id="rId6060" ref="AN1463"/>
    <hyperlink r:id="rId6061" ref="AQ1463"/>
    <hyperlink r:id="rId6062" ref="G1464"/>
    <hyperlink r:id="rId6063" ref="AL1464"/>
    <hyperlink r:id="rId6064" ref="AN1464"/>
    <hyperlink r:id="rId6065" ref="AQ1464"/>
    <hyperlink r:id="rId6066" ref="G1465"/>
    <hyperlink r:id="rId6067" ref="AL1465"/>
    <hyperlink r:id="rId6068" ref="AN1465"/>
    <hyperlink r:id="rId6069" ref="G1466"/>
    <hyperlink r:id="rId6070" ref="AL1466"/>
    <hyperlink r:id="rId6071" ref="AN1466"/>
    <hyperlink r:id="rId6072" ref="AQ1466"/>
    <hyperlink r:id="rId6073" ref="G1467"/>
    <hyperlink r:id="rId6074" ref="K1467"/>
    <hyperlink r:id="rId6075" ref="AL1467"/>
    <hyperlink r:id="rId6076" ref="AN1467"/>
    <hyperlink r:id="rId6077" ref="AQ1467"/>
    <hyperlink r:id="rId6078" ref="G1468"/>
    <hyperlink r:id="rId6079" ref="AL1468"/>
    <hyperlink r:id="rId6080" ref="AN1468"/>
    <hyperlink r:id="rId6081" ref="AQ1468"/>
    <hyperlink r:id="rId6082" ref="G1469"/>
    <hyperlink r:id="rId6083" ref="AL1469"/>
    <hyperlink r:id="rId6084" ref="AN1469"/>
    <hyperlink r:id="rId6085" ref="AQ1469"/>
    <hyperlink r:id="rId6086" ref="G1470"/>
    <hyperlink r:id="rId6087" ref="AL1470"/>
    <hyperlink r:id="rId6088" ref="AN1470"/>
    <hyperlink r:id="rId6089" ref="AQ1470"/>
    <hyperlink r:id="rId6090" ref="G1471"/>
    <hyperlink r:id="rId6091" ref="AL1471"/>
    <hyperlink r:id="rId6092" ref="AN1471"/>
    <hyperlink r:id="rId6093" ref="AQ1471"/>
    <hyperlink r:id="rId6094" ref="G1472"/>
    <hyperlink r:id="rId6095" ref="AL1472"/>
    <hyperlink r:id="rId6096" ref="AN1472"/>
    <hyperlink r:id="rId6097" ref="AQ1472"/>
    <hyperlink r:id="rId6098" ref="G1473"/>
    <hyperlink r:id="rId6099" ref="AL1473"/>
    <hyperlink r:id="rId6100" ref="AN1473"/>
    <hyperlink r:id="rId6101" ref="AQ1473"/>
    <hyperlink r:id="rId6102" ref="G1474"/>
    <hyperlink r:id="rId6103" ref="AL1474"/>
    <hyperlink r:id="rId6104" ref="AN1474"/>
    <hyperlink r:id="rId6105" ref="G1475"/>
    <hyperlink r:id="rId6106" ref="AL1475"/>
    <hyperlink r:id="rId6107" ref="AN1475"/>
    <hyperlink r:id="rId6108" ref="AQ1475"/>
    <hyperlink r:id="rId6109" ref="G1477"/>
    <hyperlink r:id="rId6110" ref="K1477"/>
    <hyperlink r:id="rId6111" ref="AL1477"/>
    <hyperlink r:id="rId6112" ref="AN1477"/>
    <hyperlink r:id="rId6113" ref="AQ1477"/>
    <hyperlink r:id="rId6114" ref="G1478"/>
    <hyperlink r:id="rId6115" ref="K1478"/>
    <hyperlink r:id="rId6116" ref="AL1478"/>
    <hyperlink r:id="rId6117" ref="AN1478"/>
    <hyperlink r:id="rId6118" ref="AQ1478"/>
    <hyperlink r:id="rId6119" ref="G1479"/>
    <hyperlink r:id="rId6120" ref="K1479"/>
    <hyperlink r:id="rId6121" ref="T1479"/>
    <hyperlink r:id="rId6122" ref="AL1479"/>
    <hyperlink r:id="rId6123" ref="AN1479"/>
    <hyperlink r:id="rId6124" ref="AQ1479"/>
    <hyperlink r:id="rId6125" ref="AR1479"/>
    <hyperlink r:id="rId6126" ref="G1480"/>
    <hyperlink r:id="rId6127" ref="AL1480"/>
    <hyperlink r:id="rId6128" ref="AN1480"/>
    <hyperlink r:id="rId6129" ref="AQ1480"/>
    <hyperlink r:id="rId6130" ref="AR1480"/>
    <hyperlink r:id="rId6131" ref="G1481"/>
    <hyperlink r:id="rId6132" ref="K1481"/>
    <hyperlink r:id="rId6133" ref="AL1481"/>
    <hyperlink r:id="rId6134" ref="AN1481"/>
    <hyperlink r:id="rId6135" ref="AQ1481"/>
    <hyperlink r:id="rId6136" ref="G1482"/>
    <hyperlink r:id="rId6137" ref="AL1482"/>
    <hyperlink r:id="rId6138" ref="AN1482"/>
    <hyperlink r:id="rId6139" ref="G1483"/>
    <hyperlink r:id="rId6140" ref="K1483"/>
    <hyperlink r:id="rId6141" ref="AL1483"/>
    <hyperlink r:id="rId6142" ref="AN1483"/>
    <hyperlink r:id="rId6143" ref="G1484"/>
    <hyperlink r:id="rId6144" ref="K1484"/>
    <hyperlink r:id="rId6145" ref="AL1484"/>
    <hyperlink r:id="rId6146" ref="AN1484"/>
    <hyperlink r:id="rId6147" ref="AQ1484"/>
    <hyperlink r:id="rId6148" ref="G1485"/>
    <hyperlink r:id="rId6149" ref="T1485"/>
    <hyperlink r:id="rId6150" ref="AL1485"/>
    <hyperlink r:id="rId6151" ref="AN1485"/>
    <hyperlink r:id="rId6152" ref="AQ1485"/>
    <hyperlink r:id="rId6153" ref="G1486"/>
    <hyperlink r:id="rId6154" ref="AL1486"/>
    <hyperlink r:id="rId6155" ref="AN1486"/>
    <hyperlink r:id="rId6156" ref="AQ1486"/>
    <hyperlink r:id="rId6157" ref="G1487"/>
    <hyperlink r:id="rId6158" ref="K1487"/>
    <hyperlink r:id="rId6159" ref="AL1487"/>
    <hyperlink r:id="rId6160" ref="AN1487"/>
    <hyperlink r:id="rId6161" ref="AQ1487"/>
    <hyperlink r:id="rId6162" ref="G1488"/>
    <hyperlink r:id="rId6163" ref="K1488"/>
    <hyperlink r:id="rId6164" ref="AL1488"/>
    <hyperlink r:id="rId6165" ref="AN1488"/>
    <hyperlink r:id="rId6166" ref="AQ1488"/>
    <hyperlink r:id="rId6167" ref="G1489"/>
    <hyperlink r:id="rId6168" ref="K1489"/>
    <hyperlink r:id="rId6169" ref="AL1489"/>
    <hyperlink r:id="rId6170" ref="AN1489"/>
    <hyperlink r:id="rId6171" ref="AQ1489"/>
    <hyperlink r:id="rId6172" ref="G1490"/>
    <hyperlink r:id="rId6173" ref="K1490"/>
    <hyperlink r:id="rId6174" ref="AL1490"/>
    <hyperlink r:id="rId6175" ref="AN1490"/>
    <hyperlink r:id="rId6176" ref="G1492"/>
    <hyperlink r:id="rId6177" ref="K1492"/>
    <hyperlink r:id="rId6178" ref="AL1492"/>
    <hyperlink r:id="rId6179" ref="AN1492"/>
    <hyperlink r:id="rId6180" ref="AQ1492"/>
    <hyperlink r:id="rId6181" ref="G1493"/>
    <hyperlink r:id="rId6182" ref="K1493"/>
    <hyperlink r:id="rId6183" ref="AL1493"/>
    <hyperlink r:id="rId6184" ref="AN1493"/>
    <hyperlink r:id="rId6185" ref="AQ1493"/>
    <hyperlink r:id="rId6186" ref="G1494"/>
    <hyperlink r:id="rId6187" ref="AL1494"/>
    <hyperlink r:id="rId6188" ref="AN1494"/>
    <hyperlink r:id="rId6189" ref="AQ1494"/>
    <hyperlink r:id="rId6190" ref="G1495"/>
    <hyperlink r:id="rId6191" ref="AL1495"/>
    <hyperlink r:id="rId6192" ref="AN1495"/>
    <hyperlink r:id="rId6193" ref="AQ1495"/>
    <hyperlink r:id="rId6194" ref="G1496"/>
    <hyperlink r:id="rId6195" ref="AL1496"/>
    <hyperlink r:id="rId6196" ref="AN1496"/>
    <hyperlink r:id="rId6197" ref="G1497"/>
    <hyperlink r:id="rId6198" ref="AL1497"/>
    <hyperlink r:id="rId6199" ref="AN1497"/>
    <hyperlink r:id="rId6200" ref="G1498"/>
    <hyperlink r:id="rId6201" ref="AL1498"/>
    <hyperlink r:id="rId6202" ref="AN1498"/>
    <hyperlink r:id="rId6203" ref="AQ1498"/>
    <hyperlink r:id="rId6204" ref="G1499"/>
    <hyperlink r:id="rId6205" ref="AL1499"/>
    <hyperlink r:id="rId6206" ref="AN1499"/>
    <hyperlink r:id="rId6207" ref="G1500"/>
    <hyperlink r:id="rId6208" ref="AL1500"/>
    <hyperlink r:id="rId6209" ref="AN1500"/>
    <hyperlink r:id="rId6210" ref="AQ1500"/>
    <hyperlink r:id="rId6211" ref="G1501"/>
    <hyperlink r:id="rId6212" ref="AL1501"/>
    <hyperlink r:id="rId6213" ref="AN1501"/>
    <hyperlink r:id="rId6214" ref="AQ1501"/>
    <hyperlink r:id="rId6215" ref="G1502"/>
    <hyperlink r:id="rId6216" ref="AL1502"/>
    <hyperlink r:id="rId6217" ref="AN1502"/>
    <hyperlink r:id="rId6218" ref="AQ1502"/>
    <hyperlink r:id="rId6219" ref="G1503"/>
    <hyperlink r:id="rId6220" ref="AL1503"/>
    <hyperlink r:id="rId6221" ref="AN1503"/>
    <hyperlink r:id="rId6222" ref="AQ1503"/>
    <hyperlink r:id="rId6223" ref="G1504"/>
    <hyperlink r:id="rId6224" ref="AL1504"/>
    <hyperlink r:id="rId6225" ref="AN1504"/>
    <hyperlink r:id="rId6226" ref="AQ1504"/>
    <hyperlink r:id="rId6227" ref="G1505"/>
    <hyperlink r:id="rId6228" ref="AL1505"/>
    <hyperlink r:id="rId6229" ref="AN1505"/>
    <hyperlink r:id="rId6230" ref="AQ1505"/>
    <hyperlink r:id="rId6231" ref="G1506"/>
    <hyperlink r:id="rId6232" ref="AL1506"/>
    <hyperlink r:id="rId6233" ref="AN1506"/>
    <hyperlink r:id="rId6234" ref="AQ1506"/>
    <hyperlink r:id="rId6235" ref="G1507"/>
    <hyperlink r:id="rId6236" ref="AL1507"/>
    <hyperlink r:id="rId6237" ref="AN1507"/>
    <hyperlink r:id="rId6238" ref="AQ1507"/>
    <hyperlink r:id="rId6239" ref="G1508"/>
    <hyperlink r:id="rId6240" ref="T1508"/>
    <hyperlink r:id="rId6241" ref="AL1508"/>
    <hyperlink r:id="rId6242" ref="AN1508"/>
    <hyperlink r:id="rId6243" ref="G1509"/>
    <hyperlink r:id="rId6244" ref="AL1509"/>
    <hyperlink r:id="rId6245" ref="AN1509"/>
    <hyperlink r:id="rId6246" ref="AQ1509"/>
    <hyperlink r:id="rId6247" ref="G1510"/>
    <hyperlink r:id="rId6248" ref="AL1510"/>
    <hyperlink r:id="rId6249" ref="AN1510"/>
    <hyperlink r:id="rId6250" ref="AQ1510"/>
    <hyperlink r:id="rId6251" ref="G1511"/>
    <hyperlink r:id="rId6252" ref="T1511"/>
    <hyperlink r:id="rId6253" ref="AL1511"/>
    <hyperlink r:id="rId6254" ref="AN1511"/>
    <hyperlink r:id="rId6255" ref="AQ1511"/>
    <hyperlink r:id="rId6256" ref="G1512"/>
    <hyperlink r:id="rId6257" ref="AL1512"/>
    <hyperlink r:id="rId6258" ref="AN1512"/>
    <hyperlink r:id="rId6259" ref="AQ1512"/>
    <hyperlink r:id="rId6260" ref="G1513"/>
    <hyperlink r:id="rId6261" ref="K1513"/>
    <hyperlink r:id="rId6262" ref="AL1513"/>
    <hyperlink r:id="rId6263" ref="AN1513"/>
    <hyperlink r:id="rId6264" ref="G1514"/>
    <hyperlink r:id="rId6265" ref="AL1514"/>
    <hyperlink r:id="rId6266" ref="AN1514"/>
    <hyperlink r:id="rId6267" ref="G1515"/>
    <hyperlink r:id="rId6268" ref="T1515"/>
    <hyperlink r:id="rId6269" ref="AL1515"/>
    <hyperlink r:id="rId6270" ref="AN1515"/>
    <hyperlink r:id="rId6271" ref="G1516"/>
    <hyperlink r:id="rId6272" ref="T1516"/>
    <hyperlink r:id="rId6273" ref="AL1516"/>
    <hyperlink r:id="rId6274" ref="AN1516"/>
    <hyperlink r:id="rId6275" ref="AQ1516"/>
    <hyperlink r:id="rId6276" ref="G1517"/>
    <hyperlink r:id="rId6277" ref="K1517"/>
    <hyperlink r:id="rId6278" ref="AL1517"/>
    <hyperlink r:id="rId6279" ref="AN1517"/>
    <hyperlink r:id="rId6280" ref="AQ1517"/>
    <hyperlink r:id="rId6281" ref="G1518"/>
    <hyperlink r:id="rId6282" ref="K1518"/>
    <hyperlink r:id="rId6283" ref="AL1518"/>
    <hyperlink r:id="rId6284" ref="AN1518"/>
    <hyperlink r:id="rId6285" ref="AQ1518"/>
    <hyperlink r:id="rId6286" ref="G1519"/>
    <hyperlink r:id="rId6287" ref="AL1519"/>
    <hyperlink r:id="rId6288" ref="AN1519"/>
    <hyperlink r:id="rId6289" ref="AQ1519"/>
    <hyperlink r:id="rId6290" ref="G1520"/>
    <hyperlink r:id="rId6291" ref="AL1520"/>
    <hyperlink r:id="rId6292" ref="AN1520"/>
    <hyperlink r:id="rId6293" ref="AQ1520"/>
    <hyperlink r:id="rId6294" ref="G1521"/>
    <hyperlink r:id="rId6295" ref="AL1521"/>
    <hyperlink r:id="rId6296" ref="AN1521"/>
    <hyperlink r:id="rId6297" ref="AQ1521"/>
    <hyperlink r:id="rId6298" ref="G1522"/>
    <hyperlink r:id="rId6299" ref="AL1522"/>
    <hyperlink r:id="rId6300" ref="AN1522"/>
    <hyperlink r:id="rId6301" ref="AQ1522"/>
    <hyperlink r:id="rId6302" ref="G1523"/>
    <hyperlink r:id="rId6303" ref="K1523"/>
    <hyperlink r:id="rId6304" ref="AL1523"/>
    <hyperlink r:id="rId6305" ref="AN1523"/>
    <hyperlink r:id="rId6306" ref="AQ1523"/>
    <hyperlink r:id="rId6307" ref="G1524"/>
    <hyperlink r:id="rId6308" ref="K1524"/>
    <hyperlink r:id="rId6309" ref="AL1524"/>
    <hyperlink r:id="rId6310" ref="AN1524"/>
    <hyperlink r:id="rId6311" ref="AQ1524"/>
    <hyperlink r:id="rId6312" ref="G1525"/>
    <hyperlink r:id="rId6313" ref="K1525"/>
    <hyperlink r:id="rId6314" ref="T1525"/>
    <hyperlink r:id="rId6315" ref="AL1525"/>
    <hyperlink r:id="rId6316" ref="AN1525"/>
    <hyperlink r:id="rId6317" ref="AQ1525"/>
    <hyperlink r:id="rId6318" ref="G1526"/>
    <hyperlink r:id="rId6319" ref="K1526"/>
    <hyperlink r:id="rId6320" ref="T1526"/>
    <hyperlink r:id="rId6321" ref="AL1526"/>
    <hyperlink r:id="rId6322" ref="AN1526"/>
    <hyperlink r:id="rId6323" ref="AQ1526"/>
    <hyperlink r:id="rId6324" ref="G1527"/>
    <hyperlink r:id="rId6325" ref="K1527"/>
    <hyperlink r:id="rId6326" ref="AL1527"/>
    <hyperlink r:id="rId6327" ref="AN1527"/>
    <hyperlink r:id="rId6328" ref="AQ1527"/>
    <hyperlink r:id="rId6329" ref="G1528"/>
    <hyperlink r:id="rId6330" ref="AL1528"/>
    <hyperlink r:id="rId6331" ref="AN1528"/>
    <hyperlink r:id="rId6332" ref="G1529"/>
    <hyperlink r:id="rId6333" ref="AL1529"/>
    <hyperlink r:id="rId6334" ref="AN1529"/>
    <hyperlink r:id="rId6335" ref="AQ1529"/>
    <hyperlink r:id="rId6336" ref="G1530"/>
    <hyperlink r:id="rId6337" ref="K1530"/>
    <hyperlink r:id="rId6338" ref="AL1530"/>
    <hyperlink r:id="rId6339" ref="AN1530"/>
    <hyperlink r:id="rId6340" ref="AQ1530"/>
    <hyperlink r:id="rId6341" ref="G1531"/>
    <hyperlink r:id="rId6342" ref="K1531"/>
    <hyperlink r:id="rId6343" ref="AL1531"/>
    <hyperlink r:id="rId6344" ref="AN1531"/>
    <hyperlink r:id="rId6345" ref="AQ1531"/>
    <hyperlink r:id="rId6346" ref="G1532"/>
    <hyperlink r:id="rId6347" ref="K1532"/>
    <hyperlink r:id="rId6348" ref="AL1532"/>
    <hyperlink r:id="rId6349" ref="AN1532"/>
    <hyperlink r:id="rId6350" ref="AQ1532"/>
    <hyperlink r:id="rId6351" ref="G1533"/>
    <hyperlink r:id="rId6352" ref="AL1533"/>
    <hyperlink r:id="rId6353" ref="AN1533"/>
    <hyperlink r:id="rId6354" ref="G1534"/>
    <hyperlink r:id="rId6355" ref="K1534"/>
    <hyperlink r:id="rId6356" ref="AL1534"/>
    <hyperlink r:id="rId6357" ref="AN1534"/>
    <hyperlink r:id="rId6358" ref="G1535"/>
    <hyperlink r:id="rId6359" ref="K1535"/>
    <hyperlink r:id="rId6360" ref="AL1535"/>
    <hyperlink r:id="rId6361" ref="AN1535"/>
    <hyperlink r:id="rId6362" ref="AQ1535"/>
    <hyperlink r:id="rId6363" ref="G1536"/>
    <hyperlink r:id="rId6364" ref="K1536"/>
    <hyperlink r:id="rId6365" ref="AL1536"/>
    <hyperlink r:id="rId6366" ref="AN1536"/>
    <hyperlink r:id="rId6367" ref="AQ1536"/>
    <hyperlink r:id="rId6368" ref="G1537"/>
    <hyperlink r:id="rId6369" ref="T1537"/>
    <hyperlink r:id="rId6370" ref="AL1537"/>
    <hyperlink r:id="rId6371" ref="AN1537"/>
    <hyperlink r:id="rId6372" ref="G1538"/>
    <hyperlink r:id="rId6373" ref="AL1538"/>
    <hyperlink r:id="rId6374" ref="AN1538"/>
    <hyperlink r:id="rId6375" ref="G1539"/>
    <hyperlink r:id="rId6376" ref="K1539"/>
    <hyperlink r:id="rId6377" ref="AL1539"/>
    <hyperlink r:id="rId6378" ref="AN1539"/>
    <hyperlink r:id="rId6379" ref="AQ1539"/>
    <hyperlink r:id="rId6380" ref="G1540"/>
    <hyperlink r:id="rId6381" ref="AL1540"/>
    <hyperlink r:id="rId6382" ref="AN1540"/>
    <hyperlink r:id="rId6383" ref="G1541"/>
    <hyperlink r:id="rId6384" ref="AL1541"/>
    <hyperlink r:id="rId6385" ref="AN1541"/>
    <hyperlink r:id="rId6386" ref="AQ1541"/>
    <hyperlink r:id="rId6387" ref="AR1541"/>
    <hyperlink r:id="rId6388" ref="G1542"/>
    <hyperlink r:id="rId6389" ref="AL1542"/>
    <hyperlink r:id="rId6390" ref="AN1542"/>
    <hyperlink r:id="rId6391" ref="AQ1542"/>
    <hyperlink r:id="rId6392" ref="AR1542"/>
    <hyperlink r:id="rId6393" ref="G1543"/>
    <hyperlink r:id="rId6394" ref="K1543"/>
    <hyperlink r:id="rId6395" ref="AL1543"/>
    <hyperlink r:id="rId6396" ref="AN1543"/>
    <hyperlink r:id="rId6397" ref="G1544"/>
    <hyperlink r:id="rId6398" ref="AL1544"/>
    <hyperlink r:id="rId6399" ref="AN1544"/>
    <hyperlink r:id="rId6400" ref="AQ1544"/>
    <hyperlink r:id="rId6401" ref="G1545"/>
    <hyperlink r:id="rId6402" ref="AL1545"/>
    <hyperlink r:id="rId6403" ref="AN1545"/>
    <hyperlink r:id="rId6404" ref="AQ1545"/>
    <hyperlink r:id="rId6405" ref="G1546"/>
    <hyperlink r:id="rId6406" ref="K1546"/>
    <hyperlink r:id="rId6407" ref="AL1546"/>
    <hyperlink r:id="rId6408" ref="AN1546"/>
    <hyperlink r:id="rId6409" ref="AQ1546"/>
    <hyperlink r:id="rId6410" ref="AR1546"/>
    <hyperlink r:id="rId6411" ref="G1547"/>
    <hyperlink r:id="rId6412" ref="K1547"/>
    <hyperlink r:id="rId6413" ref="AL1547"/>
    <hyperlink r:id="rId6414" ref="AN1547"/>
    <hyperlink r:id="rId6415" ref="AQ1547"/>
    <hyperlink r:id="rId6416" ref="G1548"/>
    <hyperlink r:id="rId6417" ref="AL1548"/>
    <hyperlink r:id="rId6418" ref="AN1548"/>
    <hyperlink r:id="rId6419" ref="G1549"/>
    <hyperlink r:id="rId6420" ref="AL1549"/>
    <hyperlink r:id="rId6421" ref="AN1549"/>
    <hyperlink r:id="rId6422" ref="AQ1549"/>
    <hyperlink r:id="rId6423" ref="G1550"/>
    <hyperlink r:id="rId6424" ref="K1550"/>
    <hyperlink r:id="rId6425" ref="AL1550"/>
    <hyperlink r:id="rId6426" ref="AN1550"/>
    <hyperlink r:id="rId6427" ref="AQ1550"/>
    <hyperlink r:id="rId6428" ref="G1551"/>
    <hyperlink r:id="rId6429" ref="AL1551"/>
    <hyperlink r:id="rId6430" ref="AN1551"/>
    <hyperlink r:id="rId6431" ref="G1552"/>
    <hyperlink r:id="rId6432" ref="AL1552"/>
    <hyperlink r:id="rId6433" ref="AN1552"/>
    <hyperlink r:id="rId6434" ref="AQ1552"/>
    <hyperlink r:id="rId6435" ref="G1553"/>
    <hyperlink r:id="rId6436" ref="AL1553"/>
    <hyperlink r:id="rId6437" ref="AN1553"/>
    <hyperlink r:id="rId6438" ref="AQ1553"/>
    <hyperlink r:id="rId6439" ref="G1554"/>
    <hyperlink r:id="rId6440" ref="AL1554"/>
    <hyperlink r:id="rId6441" ref="AN1554"/>
    <hyperlink r:id="rId6442" ref="AQ1554"/>
    <hyperlink r:id="rId6443" ref="G1555"/>
    <hyperlink r:id="rId6444" ref="AL1555"/>
    <hyperlink r:id="rId6445" ref="AN1555"/>
    <hyperlink r:id="rId6446" ref="AQ1555"/>
    <hyperlink r:id="rId6447" ref="AR1555"/>
    <hyperlink r:id="rId6448" ref="G1556"/>
    <hyperlink r:id="rId6449" ref="K1556"/>
    <hyperlink r:id="rId6450" ref="AL1556"/>
    <hyperlink r:id="rId6451" ref="AN1556"/>
    <hyperlink r:id="rId6452" ref="AQ1556"/>
    <hyperlink r:id="rId6453" ref="G1557"/>
    <hyperlink r:id="rId6454" ref="AL1557"/>
    <hyperlink r:id="rId6455" ref="AN1557"/>
    <hyperlink r:id="rId6456" ref="AQ1557"/>
    <hyperlink r:id="rId6457" ref="AR1557"/>
    <hyperlink r:id="rId6458" ref="G1558"/>
    <hyperlink r:id="rId6459" ref="T1558"/>
    <hyperlink r:id="rId6460" ref="AL1558"/>
    <hyperlink r:id="rId6461" ref="AN1558"/>
    <hyperlink r:id="rId6462" ref="G1559"/>
    <hyperlink r:id="rId6463" ref="AL1559"/>
    <hyperlink r:id="rId6464" ref="AN1559"/>
    <hyperlink r:id="rId6465" ref="AQ1559"/>
    <hyperlink r:id="rId6466" ref="AR1559"/>
    <hyperlink r:id="rId6467" ref="G1560"/>
    <hyperlink r:id="rId6468" ref="AL1560"/>
    <hyperlink r:id="rId6469" ref="AN1560"/>
    <hyperlink r:id="rId6470" ref="AQ1560"/>
    <hyperlink r:id="rId6471" ref="G1561"/>
    <hyperlink r:id="rId6472" ref="K1561"/>
    <hyperlink r:id="rId6473" ref="AL1561"/>
    <hyperlink r:id="rId6474" ref="AN1561"/>
    <hyperlink r:id="rId6475" ref="AQ1561"/>
    <hyperlink r:id="rId6476" ref="AR1561"/>
    <hyperlink r:id="rId6477" ref="G1562"/>
    <hyperlink r:id="rId6478" ref="AL1562"/>
    <hyperlink r:id="rId6479" ref="AN1562"/>
    <hyperlink r:id="rId6480" ref="G1563"/>
    <hyperlink r:id="rId6481" ref="AL1563"/>
    <hyperlink r:id="rId6482" ref="AN1563"/>
    <hyperlink r:id="rId6483" ref="AQ1563"/>
    <hyperlink r:id="rId6484" ref="G1564"/>
    <hyperlink r:id="rId6485" ref="AL1564"/>
    <hyperlink r:id="rId6486" ref="AN1564"/>
    <hyperlink r:id="rId6487" ref="AQ1564"/>
    <hyperlink r:id="rId6488" ref="G1565"/>
    <hyperlink r:id="rId6489" ref="AL1565"/>
    <hyperlink r:id="rId6490" ref="AN1565"/>
    <hyperlink r:id="rId6491" ref="AQ1565"/>
    <hyperlink r:id="rId6492" ref="G1566"/>
    <hyperlink r:id="rId6493" ref="AL1566"/>
    <hyperlink r:id="rId6494" ref="AN1566"/>
    <hyperlink r:id="rId6495" ref="AQ1566"/>
    <hyperlink r:id="rId6496" ref="G1567"/>
    <hyperlink r:id="rId6497" ref="AL1567"/>
    <hyperlink r:id="rId6498" ref="AN1567"/>
    <hyperlink r:id="rId6499" ref="AQ1567"/>
    <hyperlink r:id="rId6500" ref="G1568"/>
    <hyperlink r:id="rId6501" ref="AL1568"/>
    <hyperlink r:id="rId6502" ref="AN1568"/>
    <hyperlink r:id="rId6503" ref="AQ1568"/>
    <hyperlink r:id="rId6504" ref="G1569"/>
    <hyperlink r:id="rId6505" ref="AL1569"/>
    <hyperlink r:id="rId6506" ref="AN1569"/>
    <hyperlink r:id="rId6507" ref="G1570"/>
    <hyperlink r:id="rId6508" ref="AL1570"/>
    <hyperlink r:id="rId6509" ref="AN1570"/>
    <hyperlink r:id="rId6510" ref="G1571"/>
    <hyperlink r:id="rId6511" ref="AL1571"/>
    <hyperlink r:id="rId6512" ref="AN1571"/>
    <hyperlink r:id="rId6513" ref="AQ1571"/>
    <hyperlink r:id="rId6514" ref="G1572"/>
    <hyperlink r:id="rId6515" ref="AL1572"/>
    <hyperlink r:id="rId6516" ref="AN1572"/>
    <hyperlink r:id="rId6517" ref="G1573"/>
    <hyperlink r:id="rId6518" ref="K1573"/>
    <hyperlink r:id="rId6519" ref="AL1573"/>
    <hyperlink r:id="rId6520" ref="AN1573"/>
    <hyperlink r:id="rId6521" ref="G1574"/>
    <hyperlink r:id="rId6522" ref="T1574"/>
    <hyperlink r:id="rId6523" ref="AL1574"/>
    <hyperlink r:id="rId6524" ref="AN1574"/>
    <hyperlink r:id="rId6525" ref="G1575"/>
    <hyperlink r:id="rId6526" ref="AL1575"/>
    <hyperlink r:id="rId6527" ref="AN1575"/>
    <hyperlink r:id="rId6528" ref="G1576"/>
    <hyperlink r:id="rId6529" ref="AL1576"/>
    <hyperlink r:id="rId6530" ref="AN1576"/>
    <hyperlink r:id="rId6531" ref="AQ1576"/>
    <hyperlink r:id="rId6532" ref="AR1576"/>
    <hyperlink r:id="rId6533" ref="G1577"/>
    <hyperlink r:id="rId6534" ref="AL1577"/>
    <hyperlink r:id="rId6535" ref="AN1577"/>
    <hyperlink r:id="rId6536" ref="G1578"/>
    <hyperlink r:id="rId6537" ref="AL1578"/>
    <hyperlink r:id="rId6538" ref="AN1578"/>
    <hyperlink r:id="rId6539" ref="AQ1578"/>
    <hyperlink r:id="rId6540" ref="G1579"/>
    <hyperlink r:id="rId6541" ref="T1579"/>
    <hyperlink r:id="rId6542" ref="AL1579"/>
    <hyperlink r:id="rId6543" ref="AN1579"/>
    <hyperlink r:id="rId6544" ref="AQ1579"/>
    <hyperlink r:id="rId6545" ref="AR1579"/>
    <hyperlink r:id="rId6546" ref="G1580"/>
    <hyperlink r:id="rId6547" ref="AL1580"/>
    <hyperlink r:id="rId6548" ref="AN1580"/>
    <hyperlink r:id="rId6549" ref="AQ1580"/>
    <hyperlink r:id="rId6550" ref="G1581"/>
    <hyperlink r:id="rId6551" ref="AL1581"/>
    <hyperlink r:id="rId6552" ref="AN1581"/>
    <hyperlink r:id="rId6553" ref="AQ1581"/>
    <hyperlink r:id="rId6554" ref="G1582"/>
    <hyperlink r:id="rId6555" ref="AL1582"/>
    <hyperlink r:id="rId6556" ref="AN1582"/>
    <hyperlink r:id="rId6557" ref="G1583"/>
    <hyperlink r:id="rId6558" ref="AL1583"/>
    <hyperlink r:id="rId6559" ref="AN1583"/>
    <hyperlink r:id="rId6560" ref="AQ1583"/>
    <hyperlink r:id="rId6561" ref="G1584"/>
    <hyperlink r:id="rId6562" ref="AL1584"/>
    <hyperlink r:id="rId6563" ref="AN1584"/>
    <hyperlink r:id="rId6564" ref="AQ1584"/>
    <hyperlink r:id="rId6565" ref="G1585"/>
    <hyperlink r:id="rId6566" ref="T1585"/>
    <hyperlink r:id="rId6567" ref="AL1585"/>
    <hyperlink r:id="rId6568" ref="AN1585"/>
    <hyperlink r:id="rId6569" ref="AQ1585"/>
    <hyperlink r:id="rId6570" ref="G1586"/>
    <hyperlink r:id="rId6571" ref="T1586"/>
    <hyperlink r:id="rId6572" ref="AL1586"/>
    <hyperlink r:id="rId6573" ref="AN1586"/>
    <hyperlink r:id="rId6574" ref="AQ1586"/>
    <hyperlink r:id="rId6575" ref="G1587"/>
    <hyperlink r:id="rId6576" ref="AL1587"/>
    <hyperlink r:id="rId6577" ref="AN1587"/>
    <hyperlink r:id="rId6578" ref="AQ1587"/>
    <hyperlink r:id="rId6579" ref="G1588"/>
    <hyperlink r:id="rId6580" ref="AL1588"/>
    <hyperlink r:id="rId6581" ref="AN1588"/>
    <hyperlink r:id="rId6582" ref="AQ1588"/>
    <hyperlink r:id="rId6583" ref="G1589"/>
    <hyperlink r:id="rId6584" ref="AL1589"/>
    <hyperlink r:id="rId6585" ref="AN1589"/>
    <hyperlink r:id="rId6586" ref="G1590"/>
    <hyperlink r:id="rId6587" ref="AL1590"/>
    <hyperlink r:id="rId6588" ref="AN1590"/>
    <hyperlink r:id="rId6589" ref="AQ1590"/>
    <hyperlink r:id="rId6590" ref="G1591"/>
    <hyperlink r:id="rId6591" ref="AL1591"/>
    <hyperlink r:id="rId6592" ref="AN1591"/>
    <hyperlink r:id="rId6593" ref="AQ1591"/>
    <hyperlink r:id="rId6594" ref="G1592"/>
    <hyperlink r:id="rId6595" ref="AL1592"/>
    <hyperlink r:id="rId6596" ref="AN1592"/>
    <hyperlink r:id="rId6597" ref="AQ1592"/>
    <hyperlink r:id="rId6598" ref="G1593"/>
    <hyperlink r:id="rId6599" ref="AL1593"/>
    <hyperlink r:id="rId6600" ref="AN1593"/>
    <hyperlink r:id="rId6601" ref="AQ1593"/>
    <hyperlink r:id="rId6602" ref="G1594"/>
    <hyperlink r:id="rId6603" ref="AL1594"/>
    <hyperlink r:id="rId6604" ref="AN1594"/>
    <hyperlink r:id="rId6605" ref="G1595"/>
    <hyperlink r:id="rId6606" ref="AL1595"/>
    <hyperlink r:id="rId6607" ref="AN1595"/>
    <hyperlink r:id="rId6608" ref="AQ1595"/>
    <hyperlink r:id="rId6609" ref="G1596"/>
    <hyperlink r:id="rId6610" ref="AL1596"/>
    <hyperlink r:id="rId6611" ref="AN1596"/>
    <hyperlink r:id="rId6612" ref="AQ1596"/>
    <hyperlink r:id="rId6613" ref="G1597"/>
    <hyperlink r:id="rId6614" ref="AL1597"/>
    <hyperlink r:id="rId6615" ref="AN1597"/>
    <hyperlink r:id="rId6616" ref="AQ1597"/>
    <hyperlink r:id="rId6617" ref="G1598"/>
    <hyperlink r:id="rId6618" ref="AL1598"/>
    <hyperlink r:id="rId6619" ref="AN1598"/>
    <hyperlink r:id="rId6620" ref="AQ1598"/>
    <hyperlink r:id="rId6621" ref="G1599"/>
    <hyperlink r:id="rId6622" ref="AL1599"/>
    <hyperlink r:id="rId6623" ref="AN1599"/>
    <hyperlink r:id="rId6624" ref="AQ1599"/>
    <hyperlink r:id="rId6625" ref="G1600"/>
    <hyperlink r:id="rId6626" ref="K1600"/>
    <hyperlink r:id="rId6627" ref="AL1600"/>
    <hyperlink r:id="rId6628" ref="AN1600"/>
    <hyperlink r:id="rId6629" ref="AQ1600"/>
    <hyperlink r:id="rId6630" ref="G1601"/>
    <hyperlink r:id="rId6631" ref="AL1601"/>
    <hyperlink r:id="rId6632" ref="AN1601"/>
    <hyperlink r:id="rId6633" ref="G1602"/>
    <hyperlink r:id="rId6634" ref="AL1602"/>
    <hyperlink r:id="rId6635" ref="AN1602"/>
    <hyperlink r:id="rId6636" ref="AQ1602"/>
    <hyperlink r:id="rId6637" ref="G1603"/>
    <hyperlink r:id="rId6638" ref="AL1603"/>
    <hyperlink r:id="rId6639" ref="AN1603"/>
    <hyperlink r:id="rId6640" ref="G1604"/>
    <hyperlink r:id="rId6641" ref="AL1604"/>
    <hyperlink r:id="rId6642" ref="AN1604"/>
    <hyperlink r:id="rId6643" ref="G1605"/>
    <hyperlink r:id="rId6644" ref="AL1605"/>
    <hyperlink r:id="rId6645" ref="AN1605"/>
    <hyperlink r:id="rId6646" ref="AQ1605"/>
    <hyperlink r:id="rId6647" ref="AR1605"/>
    <hyperlink r:id="rId6648" ref="G1606"/>
    <hyperlink r:id="rId6649" ref="K1606"/>
    <hyperlink r:id="rId6650" ref="AL1606"/>
    <hyperlink r:id="rId6651" ref="AN1606"/>
    <hyperlink r:id="rId6652" ref="G1607"/>
    <hyperlink r:id="rId6653" ref="K1607"/>
    <hyperlink r:id="rId6654" ref="AL1607"/>
    <hyperlink r:id="rId6655" ref="AN1607"/>
    <hyperlink r:id="rId6656" ref="AQ1607"/>
    <hyperlink r:id="rId6657" ref="G1608"/>
    <hyperlink r:id="rId6658" ref="K1608"/>
    <hyperlink r:id="rId6659" ref="AL1608"/>
    <hyperlink r:id="rId6660" ref="AN1608"/>
    <hyperlink r:id="rId6661" ref="AQ1608"/>
    <hyperlink r:id="rId6662" ref="G1609"/>
    <hyperlink r:id="rId6663" ref="AL1609"/>
    <hyperlink r:id="rId6664" ref="AN1609"/>
    <hyperlink r:id="rId6665" ref="G1610"/>
    <hyperlink r:id="rId6666" ref="AL1610"/>
    <hyperlink r:id="rId6667" ref="AN1610"/>
    <hyperlink r:id="rId6668" ref="AQ1610"/>
    <hyperlink r:id="rId6669" ref="G1611"/>
    <hyperlink r:id="rId6670" ref="AL1611"/>
    <hyperlink r:id="rId6671" ref="AN1611"/>
    <hyperlink r:id="rId6672" ref="AQ1611"/>
    <hyperlink r:id="rId6673" ref="G1613"/>
    <hyperlink r:id="rId6674" ref="AL1613"/>
    <hyperlink r:id="rId6675" ref="AN1613"/>
    <hyperlink r:id="rId6676" ref="G1614"/>
    <hyperlink r:id="rId6677" ref="AL1614"/>
    <hyperlink r:id="rId6678" ref="AN1614"/>
    <hyperlink r:id="rId6679" ref="G1615"/>
    <hyperlink r:id="rId6680" ref="AL1615"/>
    <hyperlink r:id="rId6681" ref="AN1615"/>
    <hyperlink r:id="rId6682" ref="AQ1615"/>
    <hyperlink r:id="rId6683" ref="G1616"/>
    <hyperlink r:id="rId6684" ref="AL1616"/>
    <hyperlink r:id="rId6685" ref="AN1616"/>
    <hyperlink r:id="rId6686" ref="AQ1616"/>
    <hyperlink r:id="rId6687" ref="G1617"/>
    <hyperlink r:id="rId6688" ref="AL1617"/>
    <hyperlink r:id="rId6689" ref="AN1617"/>
    <hyperlink r:id="rId6690" ref="AQ1617"/>
    <hyperlink r:id="rId6691" ref="G1618"/>
    <hyperlink r:id="rId6692" ref="AL1618"/>
    <hyperlink r:id="rId6693" ref="AN1618"/>
    <hyperlink r:id="rId6694" ref="G1619"/>
    <hyperlink r:id="rId6695" ref="AL1619"/>
    <hyperlink r:id="rId6696" ref="AN1619"/>
    <hyperlink r:id="rId6697" ref="G1620"/>
    <hyperlink r:id="rId6698" ref="G1621"/>
    <hyperlink r:id="rId6699" ref="AL1621"/>
    <hyperlink r:id="rId6700" ref="AN1621"/>
    <hyperlink r:id="rId6701" ref="G1622"/>
    <hyperlink r:id="rId6702" ref="AL1622"/>
    <hyperlink r:id="rId6703" ref="AN1622"/>
    <hyperlink r:id="rId6704" ref="AQ1622"/>
    <hyperlink r:id="rId6705" ref="AR1622"/>
    <hyperlink r:id="rId6706" ref="G1623"/>
    <hyperlink r:id="rId6707" ref="AL1623"/>
    <hyperlink r:id="rId6708" ref="AN1623"/>
    <hyperlink r:id="rId6709" ref="G1625"/>
    <hyperlink r:id="rId6710" ref="AL1625"/>
    <hyperlink r:id="rId6711" ref="AN1625"/>
    <hyperlink r:id="rId6712" ref="G1626"/>
    <hyperlink r:id="rId6713" ref="AL1626"/>
    <hyperlink r:id="rId6714" ref="AN1626"/>
    <hyperlink r:id="rId6715" ref="G1627"/>
    <hyperlink r:id="rId6716" ref="K1627"/>
    <hyperlink r:id="rId6717" ref="AL1627"/>
    <hyperlink r:id="rId6718" ref="AN1627"/>
    <hyperlink r:id="rId6719" ref="G1628"/>
    <hyperlink r:id="rId6720" ref="AL1628"/>
    <hyperlink r:id="rId6721" ref="AN1628"/>
    <hyperlink r:id="rId6722" ref="G1629"/>
    <hyperlink r:id="rId6723" ref="AL1629"/>
    <hyperlink r:id="rId6724" ref="AN1629"/>
    <hyperlink r:id="rId6725" ref="G1630"/>
    <hyperlink r:id="rId6726" ref="AL1630"/>
    <hyperlink r:id="rId6727" ref="AN1630"/>
    <hyperlink r:id="rId6728" ref="AQ1630"/>
    <hyperlink r:id="rId6729" ref="G1631"/>
    <hyperlink r:id="rId6730" ref="AL1631"/>
    <hyperlink r:id="rId6731" ref="AN1631"/>
    <hyperlink r:id="rId6732" ref="G1632"/>
    <hyperlink r:id="rId6733" ref="AL1632"/>
    <hyperlink r:id="rId6734" ref="AN1632"/>
    <hyperlink r:id="rId6735" ref="G1633"/>
    <hyperlink r:id="rId6736" ref="K1633"/>
    <hyperlink r:id="rId6737" ref="AL1633"/>
    <hyperlink r:id="rId6738" ref="AN1633"/>
    <hyperlink r:id="rId6739" ref="G1634"/>
    <hyperlink r:id="rId6740" ref="AL1634"/>
    <hyperlink r:id="rId6741" ref="AN1634"/>
    <hyperlink r:id="rId6742" ref="AL1635"/>
    <hyperlink r:id="rId6743" ref="AN1635"/>
    <hyperlink r:id="rId6744" ref="G1636"/>
    <hyperlink r:id="rId6745" ref="K1636"/>
    <hyperlink r:id="rId6746" ref="AL1636"/>
    <hyperlink r:id="rId6747" ref="AN1636"/>
    <hyperlink r:id="rId6748" ref="AQ1636"/>
    <hyperlink r:id="rId6749" ref="G1637"/>
    <hyperlink r:id="rId6750" ref="AL1637"/>
    <hyperlink r:id="rId6751" ref="AN1637"/>
    <hyperlink r:id="rId6752" ref="G1638"/>
    <hyperlink r:id="rId6753" ref="AL1638"/>
    <hyperlink r:id="rId6754" ref="AN1638"/>
    <hyperlink r:id="rId6755" ref="G1639"/>
    <hyperlink r:id="rId6756" ref="AL1639"/>
    <hyperlink r:id="rId6757" ref="AN1639"/>
    <hyperlink r:id="rId6758" ref="G1640"/>
    <hyperlink r:id="rId6759" ref="AL1640"/>
    <hyperlink r:id="rId6760" ref="AN1640"/>
    <hyperlink r:id="rId6761" ref="G1641"/>
    <hyperlink r:id="rId6762" ref="AL1641"/>
    <hyperlink r:id="rId6763" ref="AN1641"/>
    <hyperlink r:id="rId6764" ref="G1642"/>
    <hyperlink r:id="rId6765" ref="AL1642"/>
    <hyperlink r:id="rId6766" ref="AN1642"/>
    <hyperlink r:id="rId6767" ref="G1643"/>
    <hyperlink r:id="rId6768" ref="AL1643"/>
    <hyperlink r:id="rId6769" ref="AN1643"/>
    <hyperlink r:id="rId6770" ref="G1644"/>
    <hyperlink r:id="rId6771" ref="AL1644"/>
    <hyperlink r:id="rId6772" ref="AN1644"/>
    <hyperlink r:id="rId6773" ref="AQ1644"/>
    <hyperlink r:id="rId6774" ref="G1645"/>
    <hyperlink r:id="rId6775" ref="AL1645"/>
    <hyperlink r:id="rId6776" ref="AN1645"/>
    <hyperlink r:id="rId6777" ref="G1646"/>
    <hyperlink r:id="rId6778" ref="G1647"/>
    <hyperlink r:id="rId6779" ref="AL1647"/>
    <hyperlink r:id="rId6780" ref="AN1647"/>
    <hyperlink r:id="rId6781" ref="G1648"/>
    <hyperlink r:id="rId6782" ref="AL1648"/>
    <hyperlink r:id="rId6783" ref="AN1648"/>
    <hyperlink r:id="rId6784" ref="G1649"/>
    <hyperlink r:id="rId6785" ref="AL1649"/>
    <hyperlink r:id="rId6786" ref="AN1649"/>
    <hyperlink r:id="rId6787" ref="AQ1649"/>
    <hyperlink r:id="rId6788" ref="AR1649"/>
    <hyperlink r:id="rId6789" ref="G1650"/>
    <hyperlink r:id="rId6790" ref="AL1650"/>
    <hyperlink r:id="rId6791" ref="AN1650"/>
    <hyperlink r:id="rId6792" ref="G1651"/>
    <hyperlink r:id="rId6793" ref="AL1651"/>
    <hyperlink r:id="rId6794" ref="AN1651"/>
    <hyperlink r:id="rId6795" ref="G1652"/>
    <hyperlink r:id="rId6796" ref="AL1652"/>
    <hyperlink r:id="rId6797" ref="AN1652"/>
    <hyperlink r:id="rId6798" ref="AQ1652"/>
    <hyperlink r:id="rId6799" ref="AR1652"/>
    <hyperlink r:id="rId6800" ref="G1653"/>
    <hyperlink r:id="rId6801" ref="AL1653"/>
    <hyperlink r:id="rId6802" ref="AN1653"/>
    <hyperlink r:id="rId6803" ref="AL1654"/>
    <hyperlink r:id="rId6804" ref="AN1654"/>
    <hyperlink r:id="rId6805" ref="AL1655"/>
    <hyperlink r:id="rId6806" ref="AN1655"/>
    <hyperlink r:id="rId6807" ref="G1656"/>
    <hyperlink r:id="rId6808" ref="AL1656"/>
    <hyperlink r:id="rId6809" ref="AN1656"/>
    <hyperlink r:id="rId6810" ref="G1657"/>
    <hyperlink r:id="rId6811" ref="AL1657"/>
    <hyperlink r:id="rId6812" ref="AN1657"/>
    <hyperlink r:id="rId6813" ref="G1658"/>
    <hyperlink r:id="rId6814" ref="AL1658"/>
    <hyperlink r:id="rId6815" ref="AN1658"/>
    <hyperlink r:id="rId6816" ref="AL1659"/>
    <hyperlink r:id="rId6817" ref="AN1659"/>
    <hyperlink r:id="rId6818" ref="G1660"/>
    <hyperlink r:id="rId6819" ref="AL1660"/>
    <hyperlink r:id="rId6820" ref="AN1660"/>
    <hyperlink r:id="rId6821" ref="AQ1660"/>
    <hyperlink r:id="rId6822" ref="G1661"/>
    <hyperlink r:id="rId6823" ref="AL1661"/>
    <hyperlink r:id="rId6824" ref="AN1661"/>
    <hyperlink r:id="rId6825" ref="G1662"/>
    <hyperlink r:id="rId6826" ref="AL1662"/>
    <hyperlink r:id="rId6827" ref="AN1662"/>
    <hyperlink r:id="rId6828" ref="AQ1662"/>
    <hyperlink r:id="rId6829" ref="G1663"/>
    <hyperlink r:id="rId6830" ref="AL1663"/>
    <hyperlink r:id="rId6831" ref="AN1663"/>
    <hyperlink r:id="rId6832" ref="AQ1663"/>
    <hyperlink r:id="rId6833" ref="AR1663"/>
    <hyperlink r:id="rId6834" ref="G1664"/>
    <hyperlink r:id="rId6835" ref="AL1664"/>
    <hyperlink r:id="rId6836" ref="AN1664"/>
    <hyperlink r:id="rId6837" ref="G1665"/>
    <hyperlink r:id="rId6838" ref="AL1665"/>
    <hyperlink r:id="rId6839" ref="AN1665"/>
    <hyperlink r:id="rId6840" ref="AQ1665"/>
    <hyperlink r:id="rId6841" ref="AR1665"/>
    <hyperlink r:id="rId6842" ref="AL1666"/>
    <hyperlink r:id="rId6843" ref="AN1666"/>
    <hyperlink r:id="rId6844" ref="AQ1666"/>
    <hyperlink r:id="rId6845" ref="AR1666"/>
    <hyperlink r:id="rId6846" ref="G1667"/>
    <hyperlink r:id="rId6847" ref="AL1667"/>
    <hyperlink r:id="rId6848" ref="AN1667"/>
    <hyperlink r:id="rId6849" ref="G1668"/>
    <hyperlink r:id="rId6850" ref="AL1668"/>
    <hyperlink r:id="rId6851" ref="AN1668"/>
    <hyperlink r:id="rId6852" ref="AQ1668"/>
    <hyperlink r:id="rId6853" ref="AR1668"/>
    <hyperlink r:id="rId6854" ref="G1669"/>
    <hyperlink r:id="rId6855" ref="AL1669"/>
    <hyperlink r:id="rId6856" ref="AN1669"/>
    <hyperlink r:id="rId6857" ref="G1670"/>
    <hyperlink r:id="rId6858" ref="AL1670"/>
    <hyperlink r:id="rId6859" ref="AN1670"/>
    <hyperlink r:id="rId6860" ref="G1671"/>
    <hyperlink r:id="rId6861" ref="AL1671"/>
    <hyperlink r:id="rId6862" ref="AN1671"/>
    <hyperlink r:id="rId6863" ref="G1672"/>
    <hyperlink r:id="rId6864" ref="AL1672"/>
    <hyperlink r:id="rId6865" ref="AN1672"/>
    <hyperlink r:id="rId6866" ref="G1673"/>
    <hyperlink r:id="rId6867" ref="AL1673"/>
    <hyperlink r:id="rId6868" ref="AN1673"/>
    <hyperlink r:id="rId6869" ref="G1674"/>
    <hyperlink r:id="rId6870" ref="AL1674"/>
    <hyperlink r:id="rId6871" ref="AN1674"/>
    <hyperlink r:id="rId6872" ref="G1675"/>
    <hyperlink r:id="rId6873" ref="AL1675"/>
    <hyperlink r:id="rId6874" ref="AN1675"/>
    <hyperlink r:id="rId6875" ref="G1676"/>
    <hyperlink r:id="rId6876" ref="AL1676"/>
    <hyperlink r:id="rId6877" ref="AN1676"/>
    <hyperlink r:id="rId6878" ref="AQ1676"/>
    <hyperlink r:id="rId6879" ref="AR1676"/>
    <hyperlink r:id="rId6880" ref="G1677"/>
    <hyperlink r:id="rId6881" ref="AL1677"/>
    <hyperlink r:id="rId6882" ref="AN1677"/>
    <hyperlink r:id="rId6883" ref="AQ1677"/>
    <hyperlink r:id="rId6884" ref="G1678"/>
    <hyperlink r:id="rId6885" ref="AL1678"/>
    <hyperlink r:id="rId6886" ref="AN1678"/>
    <hyperlink r:id="rId6887" ref="G1679"/>
    <hyperlink r:id="rId6888" ref="AL1679"/>
    <hyperlink r:id="rId6889" ref="AN1679"/>
    <hyperlink r:id="rId6890" ref="G1680"/>
    <hyperlink r:id="rId6891" ref="AL1680"/>
    <hyperlink r:id="rId6892" ref="AN1680"/>
    <hyperlink r:id="rId6893" ref="AQ1680"/>
    <hyperlink r:id="rId6894" ref="G1681"/>
    <hyperlink r:id="rId6895" ref="AL1681"/>
    <hyperlink r:id="rId6896" ref="AN1681"/>
    <hyperlink r:id="rId6897" ref="AQ1681"/>
    <hyperlink r:id="rId6898" ref="G1682"/>
    <hyperlink r:id="rId6899" ref="AL1682"/>
    <hyperlink r:id="rId6900" ref="AN1682"/>
    <hyperlink r:id="rId6901" ref="G1683"/>
    <hyperlink r:id="rId6902" ref="AL1683"/>
    <hyperlink r:id="rId6903" ref="AN1683"/>
    <hyperlink r:id="rId6904" ref="AQ1683"/>
    <hyperlink r:id="rId6905" ref="AR1683"/>
    <hyperlink r:id="rId6906" ref="G1684"/>
    <hyperlink r:id="rId6907" ref="AL1684"/>
    <hyperlink r:id="rId6908" ref="AN1684"/>
    <hyperlink r:id="rId6909" ref="G1685"/>
    <hyperlink r:id="rId6910" ref="AL1685"/>
    <hyperlink r:id="rId6911" ref="AN1685"/>
    <hyperlink r:id="rId6912" ref="AQ1685"/>
    <hyperlink r:id="rId6913" ref="G1686"/>
    <hyperlink r:id="rId6914" ref="AL1686"/>
    <hyperlink r:id="rId6915" ref="AN1686"/>
    <hyperlink r:id="rId6916" ref="G1687"/>
    <hyperlink r:id="rId6917" ref="AL1687"/>
    <hyperlink r:id="rId6918" ref="AN1687"/>
    <hyperlink r:id="rId6919" ref="AQ1687"/>
    <hyperlink r:id="rId6920" ref="G1688"/>
    <hyperlink r:id="rId6921" ref="AL1688"/>
    <hyperlink r:id="rId6922" ref="AN1688"/>
    <hyperlink r:id="rId6923" ref="G1689"/>
    <hyperlink r:id="rId6924" ref="AL1689"/>
    <hyperlink r:id="rId6925" ref="AN1689"/>
    <hyperlink r:id="rId6926" ref="G1690"/>
    <hyperlink r:id="rId6927" ref="AL1690"/>
    <hyperlink r:id="rId6928" ref="AN1690"/>
    <hyperlink r:id="rId6929" ref="G1691"/>
    <hyperlink r:id="rId6930" ref="AL1691"/>
    <hyperlink r:id="rId6931" ref="AN1691"/>
    <hyperlink r:id="rId6932" ref="G1692"/>
    <hyperlink r:id="rId6933" ref="AL1692"/>
    <hyperlink r:id="rId6934" ref="AN1692"/>
    <hyperlink r:id="rId6935" ref="G1693"/>
    <hyperlink r:id="rId6936" ref="AL1693"/>
    <hyperlink r:id="rId6937" ref="AN1693"/>
    <hyperlink r:id="rId6938" ref="G1694"/>
    <hyperlink r:id="rId6939" ref="AL1694"/>
    <hyperlink r:id="rId6940" ref="AN1694"/>
    <hyperlink r:id="rId6941" ref="G1695"/>
    <hyperlink r:id="rId6942" ref="AL1695"/>
    <hyperlink r:id="rId6943" ref="AN1695"/>
    <hyperlink r:id="rId6944" ref="G1696"/>
    <hyperlink r:id="rId6945" ref="AL1696"/>
    <hyperlink r:id="rId6946" ref="AN1696"/>
    <hyperlink r:id="rId6947" ref="G1697"/>
    <hyperlink r:id="rId6948" ref="G1698"/>
    <hyperlink r:id="rId6949" ref="AL1698"/>
    <hyperlink r:id="rId6950" ref="AN1698"/>
    <hyperlink r:id="rId6951" ref="AQ1698"/>
    <hyperlink r:id="rId6952" ref="G1699"/>
    <hyperlink r:id="rId6953" ref="AL1699"/>
    <hyperlink r:id="rId6954" ref="AN1699"/>
    <hyperlink r:id="rId6955" ref="G1700"/>
    <hyperlink r:id="rId6956" ref="AL1700"/>
    <hyperlink r:id="rId6957" ref="AN1700"/>
    <hyperlink r:id="rId6958" ref="G1701"/>
    <hyperlink r:id="rId6959" ref="AL1701"/>
    <hyperlink r:id="rId6960" ref="AN1701"/>
    <hyperlink r:id="rId6961" ref="G1702"/>
    <hyperlink r:id="rId6962" ref="AL1702"/>
    <hyperlink r:id="rId6963" ref="AN1702"/>
    <hyperlink r:id="rId6964" ref="G1703"/>
    <hyperlink r:id="rId6965" ref="AL1703"/>
    <hyperlink r:id="rId6966" ref="AN1703"/>
    <hyperlink r:id="rId6967" ref="AQ1703"/>
    <hyperlink r:id="rId6968" ref="AR1703"/>
    <hyperlink r:id="rId6969" ref="G1704"/>
    <hyperlink r:id="rId6970" ref="AL1704"/>
    <hyperlink r:id="rId6971" ref="AN1704"/>
    <hyperlink r:id="rId6972" ref="AQ1704"/>
    <hyperlink r:id="rId6973" ref="G1705"/>
    <hyperlink r:id="rId6974" ref="AL1705"/>
    <hyperlink r:id="rId6975" ref="AN1705"/>
    <hyperlink r:id="rId6976" ref="G1706"/>
    <hyperlink r:id="rId6977" ref="AL1706"/>
    <hyperlink r:id="rId6978" ref="AN1706"/>
    <hyperlink r:id="rId6979" ref="G1707"/>
    <hyperlink r:id="rId6980" ref="AL1707"/>
    <hyperlink r:id="rId6981" ref="AN1707"/>
    <hyperlink r:id="rId6982" ref="G1708"/>
    <hyperlink r:id="rId6983" ref="AL1708"/>
    <hyperlink r:id="rId6984" ref="AN1708"/>
    <hyperlink r:id="rId6985" ref="G1709"/>
    <hyperlink r:id="rId6986" ref="AL1709"/>
    <hyperlink r:id="rId6987" ref="AN1709"/>
    <hyperlink r:id="rId6988" ref="G1710"/>
    <hyperlink r:id="rId6989" ref="AL1710"/>
    <hyperlink r:id="rId6990" ref="AN1710"/>
    <hyperlink r:id="rId6991" ref="G1711"/>
    <hyperlink r:id="rId6992" ref="AL1711"/>
    <hyperlink r:id="rId6993" ref="AN1711"/>
    <hyperlink r:id="rId6994" ref="G1712"/>
    <hyperlink r:id="rId6995" ref="AL1712"/>
    <hyperlink r:id="rId6996" ref="AN1712"/>
    <hyperlink r:id="rId6997" ref="G1713"/>
    <hyperlink r:id="rId6998" ref="AL1713"/>
    <hyperlink r:id="rId6999" ref="AN1713"/>
    <hyperlink r:id="rId7000" ref="G1714"/>
    <hyperlink r:id="rId7001" ref="AL1714"/>
    <hyperlink r:id="rId7002" ref="AN1714"/>
    <hyperlink r:id="rId7003" ref="G1715"/>
    <hyperlink r:id="rId7004" ref="AL1715"/>
    <hyperlink r:id="rId7005" ref="AN1715"/>
    <hyperlink r:id="rId7006" ref="G1716"/>
    <hyperlink r:id="rId7007" ref="AL1716"/>
    <hyperlink r:id="rId7008" ref="AN1716"/>
    <hyperlink r:id="rId7009" ref="G1717"/>
    <hyperlink r:id="rId7010" ref="AL1717"/>
    <hyperlink r:id="rId7011" ref="AN1717"/>
    <hyperlink r:id="rId7012" ref="G1718"/>
    <hyperlink r:id="rId7013" ref="AL1718"/>
    <hyperlink r:id="rId7014" ref="AN1718"/>
    <hyperlink r:id="rId7015" ref="G1719"/>
    <hyperlink r:id="rId7016" ref="AL1719"/>
    <hyperlink r:id="rId7017" ref="AN1719"/>
    <hyperlink r:id="rId7018" ref="G1720"/>
    <hyperlink r:id="rId7019" ref="AL1720"/>
    <hyperlink r:id="rId7020" ref="AN1720"/>
    <hyperlink r:id="rId7021" ref="AQ1720"/>
    <hyperlink r:id="rId7022" ref="AR1720"/>
    <hyperlink r:id="rId7023" ref="G1721"/>
    <hyperlink r:id="rId7024" ref="AL1721"/>
    <hyperlink r:id="rId7025" ref="AN1721"/>
    <hyperlink r:id="rId7026" ref="G1722"/>
    <hyperlink r:id="rId7027" ref="AL1722"/>
    <hyperlink r:id="rId7028" ref="AN1722"/>
    <hyperlink r:id="rId7029" ref="AQ1722"/>
    <hyperlink r:id="rId7030" ref="AR1722"/>
    <hyperlink r:id="rId7031" ref="G1723"/>
    <hyperlink r:id="rId7032" ref="AL1723"/>
    <hyperlink r:id="rId7033" ref="AN1723"/>
    <hyperlink r:id="rId7034" ref="G1724"/>
    <hyperlink r:id="rId7035" ref="AL1724"/>
    <hyperlink r:id="rId7036" ref="AN1724"/>
    <hyperlink r:id="rId7037" ref="G1725"/>
    <hyperlink r:id="rId7038" ref="AL1725"/>
    <hyperlink r:id="rId7039" ref="AN1725"/>
    <hyperlink r:id="rId7040" ref="G1726"/>
    <hyperlink r:id="rId7041" ref="AL1726"/>
    <hyperlink r:id="rId7042" ref="AN1726"/>
    <hyperlink r:id="rId7043" ref="AQ1726"/>
    <hyperlink r:id="rId7044" ref="G1727"/>
    <hyperlink r:id="rId7045" ref="AL1727"/>
    <hyperlink r:id="rId7046" ref="AN1727"/>
    <hyperlink r:id="rId7047" ref="G1728"/>
    <hyperlink r:id="rId7048" ref="AL1728"/>
    <hyperlink r:id="rId7049" ref="AN1728"/>
    <hyperlink r:id="rId7050" ref="G1729"/>
    <hyperlink r:id="rId7051" ref="AL1729"/>
    <hyperlink r:id="rId7052" ref="AN1729"/>
    <hyperlink r:id="rId7053" ref="G1730"/>
    <hyperlink r:id="rId7054" ref="AL1730"/>
    <hyperlink r:id="rId7055" ref="AN1730"/>
    <hyperlink r:id="rId7056" ref="AQ1730"/>
    <hyperlink r:id="rId7057" ref="G1731"/>
    <hyperlink r:id="rId7058" ref="AL1731"/>
    <hyperlink r:id="rId7059" ref="AN1731"/>
    <hyperlink r:id="rId7060" ref="AQ1731"/>
    <hyperlink r:id="rId7061" ref="G1732"/>
    <hyperlink r:id="rId7062" ref="AL1732"/>
    <hyperlink r:id="rId7063" ref="AN1732"/>
    <hyperlink r:id="rId7064" ref="AQ1732"/>
    <hyperlink r:id="rId7065" ref="G1733"/>
    <hyperlink r:id="rId7066" ref="AL1733"/>
    <hyperlink r:id="rId7067" ref="AN1733"/>
    <hyperlink r:id="rId7068" ref="AQ1733"/>
    <hyperlink r:id="rId7069" ref="G1734"/>
    <hyperlink r:id="rId7070" ref="AL1734"/>
    <hyperlink r:id="rId7071" ref="AN1734"/>
    <hyperlink r:id="rId7072" ref="AQ1734"/>
    <hyperlink r:id="rId7073" ref="G1735"/>
    <hyperlink r:id="rId7074" ref="AL1735"/>
    <hyperlink r:id="rId7075" ref="AN1735"/>
    <hyperlink r:id="rId7076" ref="G1736"/>
    <hyperlink r:id="rId7077" ref="AL1736"/>
    <hyperlink r:id="rId7078" ref="AN1736"/>
    <hyperlink r:id="rId7079" ref="AQ1736"/>
    <hyperlink r:id="rId7080" ref="G1737"/>
    <hyperlink r:id="rId7081" ref="AL1737"/>
    <hyperlink r:id="rId7082" ref="AN1737"/>
    <hyperlink r:id="rId7083" ref="AQ1737"/>
    <hyperlink r:id="rId7084" ref="G1738"/>
    <hyperlink r:id="rId7085" ref="AL1738"/>
    <hyperlink r:id="rId7086" ref="AN1738"/>
    <hyperlink r:id="rId7087" ref="AQ1738"/>
    <hyperlink r:id="rId7088" ref="G1739"/>
    <hyperlink r:id="rId7089" ref="AL1739"/>
    <hyperlink r:id="rId7090" ref="AN1739"/>
    <hyperlink r:id="rId7091" ref="G1740"/>
    <hyperlink r:id="rId7092" ref="AL1740"/>
    <hyperlink r:id="rId7093" ref="AN1740"/>
    <hyperlink r:id="rId7094" ref="AQ1740"/>
    <hyperlink r:id="rId7095" ref="G1741"/>
    <hyperlink r:id="rId7096" ref="AL1741"/>
    <hyperlink r:id="rId7097" ref="AN1741"/>
    <hyperlink r:id="rId7098" ref="G1742"/>
    <hyperlink r:id="rId7099" ref="AL1742"/>
    <hyperlink r:id="rId7100" ref="AN1742"/>
    <hyperlink r:id="rId7101" ref="AQ1742"/>
    <hyperlink r:id="rId7102" ref="G1743"/>
    <hyperlink r:id="rId7103" ref="AL1743"/>
    <hyperlink r:id="rId7104" ref="AN1743"/>
    <hyperlink r:id="rId7105" ref="AQ1743"/>
    <hyperlink r:id="rId7106" ref="G1744"/>
    <hyperlink r:id="rId7107" ref="AL1744"/>
    <hyperlink r:id="rId7108" ref="AN1744"/>
    <hyperlink r:id="rId7109" ref="G1745"/>
    <hyperlink r:id="rId7110" ref="K1745"/>
    <hyperlink r:id="rId7111" ref="AL1745"/>
    <hyperlink r:id="rId7112" ref="AN1745"/>
    <hyperlink r:id="rId7113" ref="G1746"/>
    <hyperlink r:id="rId7114" ref="K1746"/>
    <hyperlink r:id="rId7115" ref="AL1746"/>
    <hyperlink r:id="rId7116" ref="AN1746"/>
    <hyperlink r:id="rId7117" ref="AQ1746"/>
    <hyperlink r:id="rId7118" ref="G1747"/>
    <hyperlink r:id="rId7119" ref="K1747"/>
    <hyperlink r:id="rId7120" ref="AL1747"/>
    <hyperlink r:id="rId7121" ref="AN1747"/>
    <hyperlink r:id="rId7122" ref="AQ1747"/>
    <hyperlink r:id="rId7123" ref="G1748"/>
    <hyperlink r:id="rId7124" ref="K1748"/>
    <hyperlink r:id="rId7125" ref="AL1748"/>
    <hyperlink r:id="rId7126" ref="AN1748"/>
    <hyperlink r:id="rId7127" ref="AQ1748"/>
    <hyperlink r:id="rId7128" ref="G1749"/>
    <hyperlink r:id="rId7129" ref="AL1749"/>
    <hyperlink r:id="rId7130" ref="AN1749"/>
    <hyperlink r:id="rId7131" ref="AQ1749"/>
    <hyperlink r:id="rId7132" ref="G1750"/>
    <hyperlink r:id="rId7133" ref="AL1750"/>
    <hyperlink r:id="rId7134" ref="AN1750"/>
    <hyperlink r:id="rId7135" ref="AQ1750"/>
    <hyperlink r:id="rId7136" ref="AR1750"/>
    <hyperlink r:id="rId7137" ref="G1751"/>
    <hyperlink r:id="rId7138" ref="AL1751"/>
    <hyperlink r:id="rId7139" ref="AN1751"/>
    <hyperlink r:id="rId7140" ref="G1752"/>
    <hyperlink r:id="rId7141" ref="AL1752"/>
    <hyperlink r:id="rId7142" ref="AN1752"/>
    <hyperlink r:id="rId7143" ref="G1753"/>
    <hyperlink r:id="rId7144" ref="AL1753"/>
    <hyperlink r:id="rId7145" ref="AN1753"/>
    <hyperlink r:id="rId7146" ref="G1754"/>
    <hyperlink r:id="rId7147" ref="AL1754"/>
    <hyperlink r:id="rId7148" ref="AN1754"/>
    <hyperlink r:id="rId7149" ref="G1755"/>
    <hyperlink r:id="rId7150" ref="AL1755"/>
    <hyperlink r:id="rId7151" ref="AN1755"/>
    <hyperlink r:id="rId7152" ref="G1756"/>
    <hyperlink r:id="rId7153" ref="AL1756"/>
    <hyperlink r:id="rId7154" ref="AN1756"/>
    <hyperlink r:id="rId7155" ref="AQ1756"/>
    <hyperlink r:id="rId7156" ref="G1757"/>
    <hyperlink r:id="rId7157" ref="AL1757"/>
    <hyperlink r:id="rId7158" ref="AN1757"/>
    <hyperlink r:id="rId7159" ref="AQ1757"/>
    <hyperlink r:id="rId7160" ref="AR1757"/>
    <hyperlink r:id="rId7161" ref="G1758"/>
    <hyperlink r:id="rId7162" ref="AL1758"/>
    <hyperlink r:id="rId7163" ref="AN1758"/>
    <hyperlink r:id="rId7164" ref="G1759"/>
    <hyperlink r:id="rId7165" ref="AL1759"/>
    <hyperlink r:id="rId7166" ref="AN1759"/>
    <hyperlink r:id="rId7167" ref="AQ1759"/>
    <hyperlink r:id="rId7168" ref="G1760"/>
    <hyperlink r:id="rId7169" ref="AL1760"/>
    <hyperlink r:id="rId7170" ref="AN1760"/>
    <hyperlink r:id="rId7171" ref="AQ1760"/>
    <hyperlink r:id="rId7172" ref="G1761"/>
    <hyperlink r:id="rId7173" ref="AL1761"/>
    <hyperlink r:id="rId7174" ref="AN1761"/>
    <hyperlink r:id="rId7175" ref="AQ1761"/>
    <hyperlink r:id="rId7176" ref="G1762"/>
    <hyperlink r:id="rId7177" ref="AL1762"/>
    <hyperlink r:id="rId7178" ref="AN1762"/>
    <hyperlink r:id="rId7179" ref="G1763"/>
    <hyperlink r:id="rId7180" ref="AL1763"/>
    <hyperlink r:id="rId7181" ref="AN1763"/>
    <hyperlink r:id="rId7182" ref="AQ1763"/>
    <hyperlink r:id="rId7183" ref="AR1763"/>
    <hyperlink r:id="rId7184" ref="G1764"/>
    <hyperlink r:id="rId7185" ref="AL1764"/>
    <hyperlink r:id="rId7186" ref="AN1764"/>
    <hyperlink r:id="rId7187" ref="G1765"/>
    <hyperlink r:id="rId7188" ref="AL1765"/>
    <hyperlink r:id="rId7189" ref="AN1765"/>
    <hyperlink r:id="rId7190" ref="AQ1765"/>
    <hyperlink r:id="rId7191" ref="AR1765"/>
    <hyperlink r:id="rId7192" ref="G1766"/>
    <hyperlink r:id="rId7193" ref="AL1766"/>
    <hyperlink r:id="rId7194" ref="AN1766"/>
    <hyperlink r:id="rId7195" ref="G1767"/>
    <hyperlink r:id="rId7196" ref="AL1767"/>
    <hyperlink r:id="rId7197" ref="AN1767"/>
    <hyperlink r:id="rId7198" ref="G1768"/>
    <hyperlink r:id="rId7199" ref="AL1768"/>
    <hyperlink r:id="rId7200" ref="AN1768"/>
    <hyperlink r:id="rId7201" ref="AQ1768"/>
    <hyperlink r:id="rId7202" ref="G1769"/>
    <hyperlink r:id="rId7203" ref="AL1769"/>
    <hyperlink r:id="rId7204" ref="AN1769"/>
    <hyperlink r:id="rId7205" ref="AQ1769"/>
    <hyperlink r:id="rId7206" ref="G1770"/>
    <hyperlink r:id="rId7207" ref="AL1770"/>
    <hyperlink r:id="rId7208" ref="AN1770"/>
    <hyperlink r:id="rId7209" ref="AQ1770"/>
    <hyperlink r:id="rId7210" ref="G1771"/>
    <hyperlink r:id="rId7211" ref="AL1771"/>
    <hyperlink r:id="rId7212" ref="AN1771"/>
    <hyperlink r:id="rId7213" ref="AQ1771"/>
    <hyperlink r:id="rId7214" ref="G1772"/>
    <hyperlink r:id="rId7215" ref="AL1772"/>
    <hyperlink r:id="rId7216" ref="AN1772"/>
    <hyperlink r:id="rId7217" ref="AQ1772"/>
    <hyperlink r:id="rId7218" ref="AR1772"/>
    <hyperlink r:id="rId7219" ref="G1773"/>
    <hyperlink r:id="rId7220" ref="AL1773"/>
    <hyperlink r:id="rId7221" ref="AN1773"/>
    <hyperlink r:id="rId7222" ref="G1774"/>
    <hyperlink r:id="rId7223" ref="AL1774"/>
    <hyperlink r:id="rId7224" ref="AN1774"/>
    <hyperlink r:id="rId7225" ref="AQ1774"/>
    <hyperlink r:id="rId7226" ref="G1775"/>
    <hyperlink r:id="rId7227" ref="AL1775"/>
    <hyperlink r:id="rId7228" ref="AN1775"/>
    <hyperlink r:id="rId7229" ref="G1776"/>
    <hyperlink r:id="rId7230" ref="AL1776"/>
    <hyperlink r:id="rId7231" ref="AN1776"/>
    <hyperlink r:id="rId7232" ref="G1777"/>
    <hyperlink r:id="rId7233" ref="AL1777"/>
    <hyperlink r:id="rId7234" ref="AN1777"/>
    <hyperlink r:id="rId7235" ref="G1778"/>
    <hyperlink r:id="rId7236" ref="AL1778"/>
    <hyperlink r:id="rId7237" ref="AN1778"/>
    <hyperlink r:id="rId7238" ref="G1779"/>
    <hyperlink r:id="rId7239" ref="AL1779"/>
    <hyperlink r:id="rId7240" ref="AN1779"/>
    <hyperlink r:id="rId7241" ref="AQ1779"/>
    <hyperlink r:id="rId7242" ref="G1780"/>
    <hyperlink r:id="rId7243" ref="AL1780"/>
    <hyperlink r:id="rId7244" ref="AN1780"/>
    <hyperlink r:id="rId7245" ref="AQ1780"/>
    <hyperlink r:id="rId7246" ref="G1781"/>
    <hyperlink r:id="rId7247" ref="AL1781"/>
    <hyperlink r:id="rId7248" ref="AN1781"/>
    <hyperlink r:id="rId7249" ref="AQ1781"/>
    <hyperlink r:id="rId7250" ref="G1782"/>
    <hyperlink r:id="rId7251" ref="AL1782"/>
    <hyperlink r:id="rId7252" ref="AN1782"/>
    <hyperlink r:id="rId7253" ref="AQ1782"/>
    <hyperlink r:id="rId7254" ref="G1783"/>
    <hyperlink r:id="rId7255" ref="AL1783"/>
    <hyperlink r:id="rId7256" ref="AN1783"/>
    <hyperlink r:id="rId7257" ref="G1784"/>
    <hyperlink r:id="rId7258" ref="AL1784"/>
    <hyperlink r:id="rId7259" ref="AN1784"/>
    <hyperlink r:id="rId7260" ref="AQ1784"/>
    <hyperlink r:id="rId7261" ref="AR1784"/>
    <hyperlink r:id="rId7262" ref="G1785"/>
    <hyperlink r:id="rId7263" ref="AL1785"/>
    <hyperlink r:id="rId7264" ref="AN1785"/>
    <hyperlink r:id="rId7265" ref="G1786"/>
    <hyperlink r:id="rId7266" ref="AL1786"/>
    <hyperlink r:id="rId7267" ref="AN1786"/>
    <hyperlink r:id="rId7268" ref="AQ1786"/>
    <hyperlink r:id="rId7269" ref="G1787"/>
    <hyperlink r:id="rId7270" ref="AL1787"/>
    <hyperlink r:id="rId7271" ref="AN1787"/>
    <hyperlink r:id="rId7272" ref="G1788"/>
    <hyperlink r:id="rId7273" ref="AL1788"/>
    <hyperlink r:id="rId7274" ref="AN1788"/>
    <hyperlink r:id="rId7275" ref="AQ1788"/>
    <hyperlink r:id="rId7276" ref="AR1788"/>
    <hyperlink r:id="rId7277" ref="G1789"/>
    <hyperlink r:id="rId7278" ref="AL1789"/>
    <hyperlink r:id="rId7279" ref="AN1789"/>
    <hyperlink r:id="rId7280" ref="AQ1789"/>
    <hyperlink r:id="rId7281" ref="G1790"/>
    <hyperlink r:id="rId7282" ref="AL1790"/>
    <hyperlink r:id="rId7283" ref="AN1790"/>
    <hyperlink r:id="rId7284" ref="G1791"/>
    <hyperlink r:id="rId7285" ref="AL1791"/>
    <hyperlink r:id="rId7286" ref="AN1791"/>
    <hyperlink r:id="rId7287" ref="G1792"/>
    <hyperlink r:id="rId7288" ref="AL1792"/>
    <hyperlink r:id="rId7289" ref="AN1792"/>
    <hyperlink r:id="rId7290" ref="AQ1792"/>
    <hyperlink r:id="rId7291" ref="AR1792"/>
    <hyperlink r:id="rId7292" ref="G1793"/>
    <hyperlink r:id="rId7293" ref="AL1793"/>
    <hyperlink r:id="rId7294" ref="AN1793"/>
    <hyperlink r:id="rId7295" ref="G1794"/>
    <hyperlink r:id="rId7296" ref="AL1794"/>
    <hyperlink r:id="rId7297" ref="AN1794"/>
    <hyperlink r:id="rId7298" ref="AQ1794"/>
    <hyperlink r:id="rId7299" ref="AR1794"/>
    <hyperlink r:id="rId7300" ref="G1795"/>
    <hyperlink r:id="rId7301" ref="AL1795"/>
    <hyperlink r:id="rId7302" ref="AN1795"/>
    <hyperlink r:id="rId7303" ref="AQ1795"/>
    <hyperlink r:id="rId7304" ref="AR1795"/>
    <hyperlink r:id="rId7305" ref="G1796"/>
    <hyperlink r:id="rId7306" ref="AL1796"/>
    <hyperlink r:id="rId7307" ref="AN1796"/>
    <hyperlink r:id="rId7308" ref="G1797"/>
    <hyperlink r:id="rId7309" ref="AL1797"/>
    <hyperlink r:id="rId7310" ref="AN1797"/>
    <hyperlink r:id="rId7311" ref="AQ1797"/>
    <hyperlink r:id="rId7312" ref="AR1797"/>
    <hyperlink r:id="rId7313" ref="G1798"/>
    <hyperlink r:id="rId7314" ref="AL1798"/>
    <hyperlink r:id="rId7315" ref="AN1798"/>
    <hyperlink r:id="rId7316" ref="AQ1798"/>
    <hyperlink r:id="rId7317" ref="AR1798"/>
    <hyperlink r:id="rId7318" ref="G1799"/>
    <hyperlink r:id="rId7319" ref="AL1799"/>
    <hyperlink r:id="rId7320" ref="AN1799"/>
    <hyperlink r:id="rId7321" ref="AQ1799"/>
    <hyperlink r:id="rId7322" ref="AR1799"/>
    <hyperlink r:id="rId7323" ref="G1800"/>
    <hyperlink r:id="rId7324" ref="G1801"/>
    <hyperlink r:id="rId7325" ref="AL1801"/>
    <hyperlink r:id="rId7326" ref="AN1801"/>
    <hyperlink r:id="rId7327" ref="G1802"/>
    <hyperlink r:id="rId7328" ref="AL1802"/>
    <hyperlink r:id="rId7329" ref="AN1802"/>
    <hyperlink r:id="rId7330" ref="G1803"/>
    <hyperlink r:id="rId7331" ref="AL1803"/>
    <hyperlink r:id="rId7332" ref="AN1803"/>
    <hyperlink r:id="rId7333" ref="G1804"/>
    <hyperlink r:id="rId7334" ref="AL1804"/>
    <hyperlink r:id="rId7335" ref="AN1804"/>
    <hyperlink r:id="rId7336" ref="G1805"/>
    <hyperlink r:id="rId7337" ref="AL1805"/>
    <hyperlink r:id="rId7338" ref="AN1805"/>
    <hyperlink r:id="rId7339" ref="G1806"/>
    <hyperlink r:id="rId7340" ref="AL1806"/>
    <hyperlink r:id="rId7341" ref="AN1806"/>
    <hyperlink r:id="rId7342" ref="G1807"/>
    <hyperlink r:id="rId7343" ref="AL1807"/>
    <hyperlink r:id="rId7344" ref="AN1807"/>
    <hyperlink r:id="rId7345" ref="G1808"/>
    <hyperlink r:id="rId7346" ref="AL1808"/>
    <hyperlink r:id="rId7347" ref="AN1808"/>
    <hyperlink r:id="rId7348" ref="AQ1808"/>
    <hyperlink r:id="rId7349" ref="G1809"/>
    <hyperlink r:id="rId7350" ref="AL1809"/>
    <hyperlink r:id="rId7351" ref="AN1809"/>
    <hyperlink r:id="rId7352" ref="G1810"/>
    <hyperlink r:id="rId7353" ref="AL1810"/>
    <hyperlink r:id="rId7354" ref="AN1810"/>
    <hyperlink r:id="rId7355" ref="G1811"/>
    <hyperlink r:id="rId7356" ref="AL1811"/>
    <hyperlink r:id="rId7357" ref="AN1811"/>
    <hyperlink r:id="rId7358" ref="AQ1811"/>
    <hyperlink r:id="rId7359" ref="G1812"/>
    <hyperlink r:id="rId7360" ref="AL1812"/>
    <hyperlink r:id="rId7361" ref="AN1812"/>
    <hyperlink r:id="rId7362" ref="G1813"/>
    <hyperlink r:id="rId7363" ref="AL1813"/>
    <hyperlink r:id="rId7364" ref="AN1813"/>
    <hyperlink r:id="rId7365" ref="AQ1813"/>
    <hyperlink r:id="rId7366" ref="AR1813"/>
    <hyperlink r:id="rId7367" ref="G1814"/>
    <hyperlink r:id="rId7368" ref="AL1814"/>
    <hyperlink r:id="rId7369" ref="AN1814"/>
    <hyperlink r:id="rId7370" ref="G1815"/>
    <hyperlink r:id="rId7371" ref="AL1815"/>
    <hyperlink r:id="rId7372" ref="AN1815"/>
    <hyperlink r:id="rId7373" ref="G1816"/>
    <hyperlink r:id="rId7374" ref="AL1816"/>
    <hyperlink r:id="rId7375" ref="AN1816"/>
    <hyperlink r:id="rId7376" ref="AQ1816"/>
    <hyperlink r:id="rId7377" ref="AR1816"/>
    <hyperlink r:id="rId7378" ref="G1817"/>
    <hyperlink r:id="rId7379" ref="AL1817"/>
    <hyperlink r:id="rId7380" ref="AN1817"/>
    <hyperlink r:id="rId7381" ref="G1818"/>
    <hyperlink r:id="rId7382" ref="AL1818"/>
    <hyperlink r:id="rId7383" ref="AN1818"/>
    <hyperlink r:id="rId7384" ref="AQ1818"/>
    <hyperlink r:id="rId7385" ref="AR1818"/>
    <hyperlink r:id="rId7386" ref="G1819"/>
    <hyperlink r:id="rId7387" ref="G1820"/>
    <hyperlink r:id="rId7388" ref="AL1820"/>
    <hyperlink r:id="rId7389" ref="AN1820"/>
    <hyperlink r:id="rId7390" ref="AQ1820"/>
    <hyperlink r:id="rId7391" ref="AR1820"/>
    <hyperlink r:id="rId7392" ref="G1821"/>
    <hyperlink r:id="rId7393" ref="AL1821"/>
    <hyperlink r:id="rId7394" ref="AN1821"/>
    <hyperlink r:id="rId7395" ref="G1822"/>
    <hyperlink r:id="rId7396" ref="AL1822"/>
    <hyperlink r:id="rId7397" ref="AN1822"/>
    <hyperlink r:id="rId7398" ref="AQ1822"/>
    <hyperlink r:id="rId7399" ref="AR1822"/>
    <hyperlink r:id="rId7400" ref="G1823"/>
    <hyperlink r:id="rId7401" ref="AL1823"/>
    <hyperlink r:id="rId7402" ref="AN1823"/>
    <hyperlink r:id="rId7403" ref="G1824"/>
    <hyperlink r:id="rId7404" ref="AL1824"/>
    <hyperlink r:id="rId7405" ref="AN1824"/>
    <hyperlink r:id="rId7406" ref="G1825"/>
    <hyperlink r:id="rId7407" ref="AL1825"/>
    <hyperlink r:id="rId7408" ref="AN1825"/>
    <hyperlink r:id="rId7409" ref="G1826"/>
    <hyperlink r:id="rId7410" ref="AL1826"/>
    <hyperlink r:id="rId7411" ref="AN1826"/>
    <hyperlink r:id="rId7412" ref="AQ1826"/>
    <hyperlink r:id="rId7413" ref="AR1826"/>
    <hyperlink r:id="rId7414" ref="G1827"/>
    <hyperlink r:id="rId7415" ref="AL1827"/>
    <hyperlink r:id="rId7416" ref="AN1827"/>
    <hyperlink r:id="rId7417" ref="G1828"/>
    <hyperlink r:id="rId7418" ref="AL1828"/>
    <hyperlink r:id="rId7419" ref="AN1828"/>
    <hyperlink r:id="rId7420" ref="AQ1828"/>
    <hyperlink r:id="rId7421" ref="AR1828"/>
    <hyperlink r:id="rId7422" ref="G1829"/>
    <hyperlink r:id="rId7423" ref="AL1829"/>
    <hyperlink r:id="rId7424" ref="AN1829"/>
    <hyperlink r:id="rId7425" ref="G1830"/>
    <hyperlink r:id="rId7426" ref="AL1830"/>
    <hyperlink r:id="rId7427" ref="AN1830"/>
    <hyperlink r:id="rId7428" ref="AQ1830"/>
    <hyperlink r:id="rId7429" ref="AR1830"/>
    <hyperlink r:id="rId7430" ref="G1831"/>
    <hyperlink r:id="rId7431" ref="AL1831"/>
    <hyperlink r:id="rId7432" ref="AN1831"/>
    <hyperlink r:id="rId7433" ref="G1832"/>
    <hyperlink r:id="rId7434" ref="AL1832"/>
    <hyperlink r:id="rId7435" ref="AN1832"/>
    <hyperlink r:id="rId7436" ref="AQ1832"/>
    <hyperlink r:id="rId7437" ref="AR1832"/>
    <hyperlink r:id="rId7438" ref="G1833"/>
    <hyperlink r:id="rId7439" ref="AL1833"/>
    <hyperlink r:id="rId7440" ref="AN1833"/>
    <hyperlink r:id="rId7441" ref="G1834"/>
    <hyperlink r:id="rId7442" ref="G1835"/>
    <hyperlink r:id="rId7443" ref="AL1835"/>
    <hyperlink r:id="rId7444" ref="AN1835"/>
    <hyperlink r:id="rId7445" ref="G1836"/>
    <hyperlink r:id="rId7446" ref="AL1836"/>
    <hyperlink r:id="rId7447" ref="AN1836"/>
    <hyperlink r:id="rId7448" ref="AQ1836"/>
    <hyperlink r:id="rId7449" ref="G1837"/>
    <hyperlink r:id="rId7450" ref="AL1837"/>
    <hyperlink r:id="rId7451" ref="AN1837"/>
    <hyperlink r:id="rId7452" ref="G1838"/>
    <hyperlink r:id="rId7453" ref="AL1838"/>
    <hyperlink r:id="rId7454" ref="AN1838"/>
    <hyperlink r:id="rId7455" ref="G1839"/>
    <hyperlink r:id="rId7456" ref="AL1839"/>
    <hyperlink r:id="rId7457" ref="AN1839"/>
    <hyperlink r:id="rId7458" ref="G1840"/>
    <hyperlink r:id="rId7459" ref="AL1840"/>
    <hyperlink r:id="rId7460" ref="AN1840"/>
    <hyperlink r:id="rId7461" ref="G1841"/>
    <hyperlink r:id="rId7462" ref="AL1841"/>
    <hyperlink r:id="rId7463" ref="AN1841"/>
    <hyperlink r:id="rId7464" ref="G1842"/>
    <hyperlink r:id="rId7465" ref="AL1842"/>
    <hyperlink r:id="rId7466" ref="AN1842"/>
    <hyperlink r:id="rId7467" ref="G1843"/>
    <hyperlink r:id="rId7468" ref="G1844"/>
    <hyperlink r:id="rId7469" ref="AL1844"/>
    <hyperlink r:id="rId7470" ref="AN1844"/>
    <hyperlink r:id="rId7471" ref="G1845"/>
    <hyperlink r:id="rId7472" ref="AL1845"/>
    <hyperlink r:id="rId7473" ref="AN1845"/>
    <hyperlink r:id="rId7474" ref="G1846"/>
    <hyperlink r:id="rId7475" ref="AL1846"/>
    <hyperlink r:id="rId7476" ref="AN1846"/>
    <hyperlink r:id="rId7477" ref="G1847"/>
    <hyperlink r:id="rId7478" ref="AL1847"/>
    <hyperlink r:id="rId7479" ref="AN1847"/>
    <hyperlink r:id="rId7480" ref="G1848"/>
    <hyperlink r:id="rId7481" ref="AL1848"/>
    <hyperlink r:id="rId7482" ref="AN1848"/>
    <hyperlink r:id="rId7483" ref="G1849"/>
    <hyperlink r:id="rId7484" ref="AL1849"/>
    <hyperlink r:id="rId7485" ref="AN1849"/>
    <hyperlink r:id="rId7486" ref="G1850"/>
    <hyperlink r:id="rId7487" ref="AL1850"/>
    <hyperlink r:id="rId7488" ref="AN1850"/>
    <hyperlink r:id="rId7489" ref="G1851"/>
    <hyperlink r:id="rId7490" ref="AL1851"/>
    <hyperlink r:id="rId7491" ref="AN1851"/>
    <hyperlink r:id="rId7492" ref="G1852"/>
    <hyperlink r:id="rId7493" ref="AL1852"/>
    <hyperlink r:id="rId7494" ref="AN1852"/>
    <hyperlink r:id="rId7495" ref="G1853"/>
    <hyperlink r:id="rId7496" ref="AL1853"/>
    <hyperlink r:id="rId7497" ref="AN1853"/>
    <hyperlink r:id="rId7498" ref="G1854"/>
    <hyperlink r:id="rId7499" ref="AL1854"/>
    <hyperlink r:id="rId7500" ref="AN1854"/>
    <hyperlink r:id="rId7501" ref="AQ1854"/>
    <hyperlink r:id="rId7502" ref="AR1854"/>
    <hyperlink r:id="rId7503" ref="G1855"/>
    <hyperlink r:id="rId7504" ref="AL1855"/>
    <hyperlink r:id="rId7505" ref="AN1855"/>
    <hyperlink r:id="rId7506" ref="G1856"/>
    <hyperlink r:id="rId7507" ref="AL1856"/>
    <hyperlink r:id="rId7508" ref="AN1856"/>
    <hyperlink r:id="rId7509" ref="G1857"/>
    <hyperlink r:id="rId7510" ref="AL1857"/>
    <hyperlink r:id="rId7511" ref="AN1857"/>
    <hyperlink r:id="rId7512" ref="AQ1857"/>
    <hyperlink r:id="rId7513" ref="G1858"/>
    <hyperlink r:id="rId7514" ref="AL1858"/>
    <hyperlink r:id="rId7515" ref="AN1858"/>
    <hyperlink r:id="rId7516" ref="AQ1858"/>
    <hyperlink r:id="rId7517" ref="AR1858"/>
    <hyperlink r:id="rId7518" ref="G1859"/>
    <hyperlink r:id="rId7519" ref="AL1859"/>
    <hyperlink r:id="rId7520" ref="AN1859"/>
    <hyperlink r:id="rId7521" ref="G1860"/>
    <hyperlink r:id="rId7522" ref="AL1860"/>
    <hyperlink r:id="rId7523" ref="AN1860"/>
    <hyperlink r:id="rId7524" ref="G1861"/>
    <hyperlink r:id="rId7525" ref="AL1861"/>
    <hyperlink r:id="rId7526" ref="AN1861"/>
    <hyperlink r:id="rId7527" ref="G1862"/>
    <hyperlink r:id="rId7528" ref="AL1862"/>
    <hyperlink r:id="rId7529" ref="AN1862"/>
    <hyperlink r:id="rId7530" ref="G1863"/>
    <hyperlink r:id="rId7531" ref="AL1863"/>
    <hyperlink r:id="rId7532" ref="AN1863"/>
    <hyperlink r:id="rId7533" ref="AQ1863"/>
    <hyperlink r:id="rId7534" ref="AR1863"/>
    <hyperlink r:id="rId7535" ref="G1864"/>
    <hyperlink r:id="rId7536" ref="AL1864"/>
    <hyperlink r:id="rId7537" ref="AN1864"/>
    <hyperlink r:id="rId7538" ref="G1865"/>
    <hyperlink r:id="rId7539" ref="AL1865"/>
    <hyperlink r:id="rId7540" ref="AN1865"/>
    <hyperlink r:id="rId7541" ref="G1866"/>
    <hyperlink r:id="rId7542" ref="G1867"/>
    <hyperlink r:id="rId7543" ref="AL1867"/>
    <hyperlink r:id="rId7544" ref="AN1867"/>
    <hyperlink r:id="rId7545" ref="AQ1867"/>
    <hyperlink r:id="rId7546" ref="G1868"/>
    <hyperlink r:id="rId7547" ref="AL1868"/>
    <hyperlink r:id="rId7548" ref="AN1868"/>
    <hyperlink r:id="rId7549" ref="AQ1868"/>
    <hyperlink r:id="rId7550" ref="AR1868"/>
    <hyperlink r:id="rId7551" ref="G1869"/>
    <hyperlink r:id="rId7552" ref="AL1869"/>
    <hyperlink r:id="rId7553" ref="AN1869"/>
    <hyperlink r:id="rId7554" ref="G1870"/>
    <hyperlink r:id="rId7555" ref="AL1870"/>
    <hyperlink r:id="rId7556" ref="AN1870"/>
    <hyperlink r:id="rId7557" ref="G1871"/>
    <hyperlink r:id="rId7558" ref="AL1871"/>
    <hyperlink r:id="rId7559" ref="AN1871"/>
    <hyperlink r:id="rId7560" ref="AQ1871"/>
    <hyperlink r:id="rId7561" ref="G1872"/>
    <hyperlink r:id="rId7562" ref="AL1872"/>
    <hyperlink r:id="rId7563" ref="AN1872"/>
    <hyperlink r:id="rId7564" ref="G1873"/>
    <hyperlink r:id="rId7565" ref="AL1873"/>
    <hyperlink r:id="rId7566" ref="AN1873"/>
    <hyperlink r:id="rId7567" ref="AQ1873"/>
    <hyperlink r:id="rId7568" ref="G1874"/>
    <hyperlink r:id="rId7569" ref="AL1874"/>
    <hyperlink r:id="rId7570" ref="AN1874"/>
    <hyperlink r:id="rId7571" ref="AQ1874"/>
    <hyperlink r:id="rId7572" ref="G1875"/>
    <hyperlink r:id="rId7573" ref="AL1875"/>
    <hyperlink r:id="rId7574" ref="AN1875"/>
    <hyperlink r:id="rId7575" ref="AQ1875"/>
    <hyperlink r:id="rId7576" ref="G1876"/>
    <hyperlink r:id="rId7577" ref="AL1876"/>
    <hyperlink r:id="rId7578" ref="AN1876"/>
    <hyperlink r:id="rId7579" ref="AQ1876"/>
    <hyperlink r:id="rId7580" ref="AR1876"/>
    <hyperlink r:id="rId7581" ref="G1877"/>
    <hyperlink r:id="rId7582" ref="AL1877"/>
    <hyperlink r:id="rId7583" ref="AN1877"/>
    <hyperlink r:id="rId7584" ref="AQ1877"/>
    <hyperlink r:id="rId7585" ref="G1878"/>
    <hyperlink r:id="rId7586" ref="AL1878"/>
    <hyperlink r:id="rId7587" ref="AN1878"/>
    <hyperlink r:id="rId7588" ref="AQ1878"/>
    <hyperlink r:id="rId7589" ref="AR1878"/>
    <hyperlink r:id="rId7590" ref="G1879"/>
    <hyperlink r:id="rId7591" ref="AL1879"/>
    <hyperlink r:id="rId7592" ref="AN1879"/>
    <hyperlink r:id="rId7593" ref="AQ1879"/>
    <hyperlink r:id="rId7594" ref="AR1879"/>
    <hyperlink r:id="rId7595" ref="G1880"/>
    <hyperlink r:id="rId7596" ref="AL1880"/>
    <hyperlink r:id="rId7597" ref="AN1880"/>
    <hyperlink r:id="rId7598" ref="AQ1880"/>
    <hyperlink r:id="rId7599" ref="AR1880"/>
    <hyperlink r:id="rId7600" ref="G1881"/>
    <hyperlink r:id="rId7601" ref="AL1881"/>
    <hyperlink r:id="rId7602" ref="AN1881"/>
    <hyperlink r:id="rId7603" ref="G1882"/>
    <hyperlink r:id="rId7604" ref="AL1882"/>
    <hyperlink r:id="rId7605" ref="AN1882"/>
    <hyperlink r:id="rId7606" ref="G1883"/>
    <hyperlink r:id="rId7607" ref="AL1883"/>
    <hyperlink r:id="rId7608" ref="AN1883"/>
    <hyperlink r:id="rId7609" ref="G1884"/>
    <hyperlink r:id="rId7610" ref="AL1884"/>
    <hyperlink r:id="rId7611" ref="AN1884"/>
    <hyperlink r:id="rId7612" ref="G1885"/>
    <hyperlink r:id="rId7613" ref="AL1885"/>
    <hyperlink r:id="rId7614" ref="AN1885"/>
    <hyperlink r:id="rId7615" ref="AQ1885"/>
    <hyperlink r:id="rId7616" ref="G1886"/>
    <hyperlink r:id="rId7617" ref="AL1886"/>
    <hyperlink r:id="rId7618" ref="AN1886"/>
    <hyperlink r:id="rId7619" ref="AQ1886"/>
    <hyperlink r:id="rId7620" ref="G1887"/>
    <hyperlink r:id="rId7621" ref="AL1887"/>
    <hyperlink r:id="rId7622" ref="AN1887"/>
    <hyperlink r:id="rId7623" ref="AQ1887"/>
    <hyperlink r:id="rId7624" ref="G1888"/>
    <hyperlink r:id="rId7625" ref="AL1888"/>
    <hyperlink r:id="rId7626" ref="AN1888"/>
    <hyperlink r:id="rId7627" ref="G1889"/>
    <hyperlink r:id="rId7628" ref="AL1889"/>
    <hyperlink r:id="rId7629" ref="AN1889"/>
    <hyperlink r:id="rId7630" ref="AQ1889"/>
    <hyperlink r:id="rId7631" ref="G1890"/>
    <hyperlink r:id="rId7632" ref="AL1890"/>
    <hyperlink r:id="rId7633" ref="AN1890"/>
    <hyperlink r:id="rId7634" ref="G1891"/>
    <hyperlink r:id="rId7635" ref="K1891"/>
    <hyperlink r:id="rId7636" ref="AL1891"/>
    <hyperlink r:id="rId7637" ref="AN1891"/>
    <hyperlink r:id="rId7638" ref="AQ1891"/>
    <hyperlink r:id="rId7639" ref="G1892"/>
    <hyperlink r:id="rId7640" ref="AL1892"/>
    <hyperlink r:id="rId7641" ref="AN1892"/>
    <hyperlink r:id="rId7642" ref="AQ1892"/>
    <hyperlink r:id="rId7643" ref="G1893"/>
    <hyperlink r:id="rId7644" ref="T1893"/>
    <hyperlink r:id="rId7645" ref="AL1893"/>
    <hyperlink r:id="rId7646" ref="AN1893"/>
    <hyperlink r:id="rId7647" ref="G1894"/>
    <hyperlink r:id="rId7648" ref="T1894"/>
    <hyperlink r:id="rId7649" ref="AL1894"/>
    <hyperlink r:id="rId7650" ref="AN1894"/>
    <hyperlink r:id="rId7651" ref="AQ1894"/>
    <hyperlink r:id="rId7652" ref="AR1894"/>
    <hyperlink r:id="rId7653" ref="G1895"/>
    <hyperlink r:id="rId7654" ref="T1895"/>
    <hyperlink r:id="rId7655" ref="AL1895"/>
    <hyperlink r:id="rId7656" ref="AN1895"/>
    <hyperlink r:id="rId7657" ref="G1896"/>
    <hyperlink r:id="rId7658" ref="K1896"/>
    <hyperlink r:id="rId7659" ref="AL1896"/>
    <hyperlink r:id="rId7660" ref="AN1896"/>
    <hyperlink r:id="rId7661" ref="AQ1896"/>
    <hyperlink r:id="rId7662" ref="AR1896"/>
    <hyperlink r:id="rId7663" ref="G1897"/>
    <hyperlink r:id="rId7664" ref="K1897"/>
    <hyperlink r:id="rId7665" ref="AL1897"/>
    <hyperlink r:id="rId7666" ref="AN1897"/>
    <hyperlink r:id="rId7667" ref="G1898"/>
    <hyperlink r:id="rId7668" ref="K1898"/>
    <hyperlink r:id="rId7669" ref="T1898"/>
    <hyperlink r:id="rId7670" ref="AL1898"/>
    <hyperlink r:id="rId7671" ref="AN1898"/>
    <hyperlink r:id="rId7672" ref="AQ1898"/>
    <hyperlink r:id="rId7673" ref="G1899"/>
    <hyperlink r:id="rId7674" ref="AL1899"/>
    <hyperlink r:id="rId7675" ref="AN1899"/>
    <hyperlink r:id="rId7676" ref="AQ1899"/>
    <hyperlink r:id="rId7677" ref="G1900"/>
    <hyperlink r:id="rId7678" ref="AL1900"/>
    <hyperlink r:id="rId7679" ref="AN1900"/>
    <hyperlink r:id="rId7680" ref="AQ1900"/>
    <hyperlink r:id="rId7681" ref="G1901"/>
    <hyperlink r:id="rId7682" ref="AL1901"/>
    <hyperlink r:id="rId7683" ref="AN1901"/>
    <hyperlink r:id="rId7684" ref="G1902"/>
    <hyperlink r:id="rId7685" ref="AL1902"/>
    <hyperlink r:id="rId7686" ref="AN1902"/>
    <hyperlink r:id="rId7687" ref="AQ1902"/>
    <hyperlink r:id="rId7688" ref="G1903"/>
    <hyperlink r:id="rId7689" ref="AL1903"/>
    <hyperlink r:id="rId7690" ref="AN1903"/>
    <hyperlink r:id="rId7691" ref="AQ1903"/>
    <hyperlink r:id="rId7692" ref="G1904"/>
    <hyperlink r:id="rId7693" ref="AL1904"/>
    <hyperlink r:id="rId7694" ref="AN1904"/>
    <hyperlink r:id="rId7695" ref="AQ1904"/>
    <hyperlink r:id="rId7696" ref="G1905"/>
    <hyperlink r:id="rId7697" ref="AL1905"/>
    <hyperlink r:id="rId7698" ref="AN1905"/>
    <hyperlink r:id="rId7699" ref="AQ1905"/>
    <hyperlink r:id="rId7700" ref="G1906"/>
    <hyperlink r:id="rId7701" ref="AL1906"/>
    <hyperlink r:id="rId7702" ref="AN1906"/>
    <hyperlink r:id="rId7703" ref="AQ1906"/>
    <hyperlink r:id="rId7704" ref="G1907"/>
    <hyperlink r:id="rId7705" ref="AL1907"/>
    <hyperlink r:id="rId7706" ref="AN1907"/>
    <hyperlink r:id="rId7707" ref="AQ1907"/>
    <hyperlink r:id="rId7708" ref="G1908"/>
    <hyperlink r:id="rId7709" ref="AL1908"/>
    <hyperlink r:id="rId7710" ref="AN1908"/>
    <hyperlink r:id="rId7711" ref="G1909"/>
    <hyperlink r:id="rId7712" ref="AL1909"/>
    <hyperlink r:id="rId7713" ref="AN1909"/>
    <hyperlink r:id="rId7714" ref="G1911"/>
    <hyperlink r:id="rId7715" ref="AL1911"/>
    <hyperlink r:id="rId7716" ref="AN1911"/>
    <hyperlink r:id="rId7717" ref="G1912"/>
    <hyperlink r:id="rId7718" ref="AL1912"/>
    <hyperlink r:id="rId7719" ref="AN1912"/>
    <hyperlink r:id="rId7720" ref="AQ1912"/>
    <hyperlink r:id="rId7721" ref="G1913"/>
    <hyperlink r:id="rId7722" ref="AL1913"/>
    <hyperlink r:id="rId7723" ref="AN1913"/>
    <hyperlink r:id="rId7724" ref="G1914"/>
    <hyperlink r:id="rId7725" ref="AL1914"/>
    <hyperlink r:id="rId7726" ref="AN1914"/>
    <hyperlink r:id="rId7727" ref="G1915"/>
    <hyperlink r:id="rId7728" ref="AL1915"/>
    <hyperlink r:id="rId7729" ref="AN1915"/>
    <hyperlink r:id="rId7730" ref="G1916"/>
    <hyperlink r:id="rId7731" ref="AL1916"/>
    <hyperlink r:id="rId7732" ref="AN1916"/>
    <hyperlink r:id="rId7733" ref="G1917"/>
    <hyperlink r:id="rId7734" ref="AL1917"/>
    <hyperlink r:id="rId7735" ref="AN1917"/>
    <hyperlink r:id="rId7736" ref="G1918"/>
    <hyperlink r:id="rId7737" ref="AL1918"/>
    <hyperlink r:id="rId7738" ref="AN1918"/>
    <hyperlink r:id="rId7739" ref="G1919"/>
    <hyperlink r:id="rId7740" ref="AL1919"/>
    <hyperlink r:id="rId7741" ref="AN1919"/>
    <hyperlink r:id="rId7742" ref="AQ1919"/>
    <hyperlink r:id="rId7743" ref="AR1919"/>
    <hyperlink r:id="rId7744" ref="G1920"/>
    <hyperlink r:id="rId7745" ref="AL1920"/>
    <hyperlink r:id="rId7746" ref="AN1920"/>
    <hyperlink r:id="rId7747" ref="G1921"/>
    <hyperlink r:id="rId7748" ref="AL1921"/>
    <hyperlink r:id="rId7749" ref="AN1921"/>
    <hyperlink r:id="rId7750" ref="G1922"/>
    <hyperlink r:id="rId7751" ref="AL1922"/>
    <hyperlink r:id="rId7752" ref="AN1922"/>
    <hyperlink r:id="rId7753" ref="G1923"/>
    <hyperlink r:id="rId7754" ref="AL1923"/>
    <hyperlink r:id="rId7755" ref="AN1923"/>
    <hyperlink r:id="rId7756" ref="AQ1923"/>
    <hyperlink r:id="rId7757" ref="G1924"/>
    <hyperlink r:id="rId7758" ref="G1925"/>
    <hyperlink r:id="rId7759" ref="AL1925"/>
    <hyperlink r:id="rId7760" ref="AN1925"/>
    <hyperlink r:id="rId7761" ref="G1926"/>
    <hyperlink r:id="rId7762" ref="AL1926"/>
    <hyperlink r:id="rId7763" ref="AN1926"/>
    <hyperlink r:id="rId7764" ref="G1927"/>
    <hyperlink r:id="rId7765" ref="K1927"/>
    <hyperlink r:id="rId7766" ref="AL1927"/>
    <hyperlink r:id="rId7767" ref="AN1927"/>
    <hyperlink r:id="rId7768" ref="AQ1927"/>
    <hyperlink r:id="rId7769" ref="G1928"/>
    <hyperlink r:id="rId7770" ref="AL1928"/>
    <hyperlink r:id="rId7771" ref="AN1928"/>
    <hyperlink r:id="rId7772" ref="AQ1928"/>
    <hyperlink r:id="rId7773" ref="G1929"/>
    <hyperlink r:id="rId7774" ref="AL1929"/>
    <hyperlink r:id="rId7775" ref="AN1929"/>
    <hyperlink r:id="rId7776" ref="AQ1929"/>
    <hyperlink r:id="rId7777" ref="G1930"/>
    <hyperlink r:id="rId7778" ref="AL1930"/>
    <hyperlink r:id="rId7779" ref="AN1930"/>
    <hyperlink r:id="rId7780" ref="AQ1930"/>
    <hyperlink r:id="rId7781" ref="G1931"/>
    <hyperlink r:id="rId7782" ref="AL1931"/>
    <hyperlink r:id="rId7783" ref="AN1931"/>
    <hyperlink r:id="rId7784" ref="AQ1931"/>
    <hyperlink r:id="rId7785" ref="G1933"/>
    <hyperlink r:id="rId7786" ref="K1933"/>
    <hyperlink r:id="rId7787" ref="AL1933"/>
    <hyperlink r:id="rId7788" ref="AN1933"/>
    <hyperlink r:id="rId7789" ref="AQ1933"/>
    <hyperlink r:id="rId7790" ref="AR1933"/>
    <hyperlink r:id="rId7791" ref="G1934"/>
    <hyperlink r:id="rId7792" ref="AL1934"/>
    <hyperlink r:id="rId7793" ref="AN1934"/>
    <hyperlink r:id="rId7794" ref="AQ1934"/>
    <hyperlink r:id="rId7795" ref="G1935"/>
    <hyperlink r:id="rId7796" ref="K1935"/>
    <hyperlink r:id="rId7797" ref="AL1935"/>
    <hyperlink r:id="rId7798" ref="AN1935"/>
    <hyperlink r:id="rId7799" ref="AQ1935"/>
    <hyperlink r:id="rId7800" ref="G1936"/>
    <hyperlink r:id="rId7801" ref="K1936"/>
    <hyperlink r:id="rId7802" ref="AL1936"/>
    <hyperlink r:id="rId7803" ref="AN1936"/>
    <hyperlink r:id="rId7804" ref="AQ1936"/>
    <hyperlink r:id="rId7805" ref="G1937"/>
    <hyperlink r:id="rId7806" ref="K1937"/>
    <hyperlink r:id="rId7807" ref="AL1937"/>
    <hyperlink r:id="rId7808" ref="AN1937"/>
    <hyperlink r:id="rId7809" ref="G1938"/>
    <hyperlink r:id="rId7810" ref="K1938"/>
    <hyperlink r:id="rId7811" ref="AL1938"/>
    <hyperlink r:id="rId7812" ref="AN1938"/>
    <hyperlink r:id="rId7813" ref="G1939"/>
    <hyperlink r:id="rId7814" ref="AL1939"/>
    <hyperlink r:id="rId7815" ref="AN1939"/>
    <hyperlink r:id="rId7816" ref="G1940"/>
    <hyperlink r:id="rId7817" ref="AL1940"/>
    <hyperlink r:id="rId7818" ref="AN1940"/>
    <hyperlink r:id="rId7819" ref="AQ1940"/>
    <hyperlink r:id="rId7820" ref="G1941"/>
    <hyperlink r:id="rId7821" ref="K1941"/>
    <hyperlink r:id="rId7822" ref="AL1941"/>
    <hyperlink r:id="rId7823" ref="AN1941"/>
    <hyperlink r:id="rId7824" ref="AQ1941"/>
    <hyperlink r:id="rId7825" ref="G1942"/>
    <hyperlink r:id="rId7826" ref="K1942"/>
    <hyperlink r:id="rId7827" ref="AL1942"/>
    <hyperlink r:id="rId7828" ref="AN1942"/>
    <hyperlink r:id="rId7829" ref="G1943"/>
    <hyperlink r:id="rId7830" ref="K1943"/>
    <hyperlink r:id="rId7831" ref="AL1943"/>
    <hyperlink r:id="rId7832" ref="AN1943"/>
    <hyperlink r:id="rId7833" ref="AQ1943"/>
    <hyperlink r:id="rId7834" ref="G1944"/>
    <hyperlink r:id="rId7835" ref="K1944"/>
    <hyperlink r:id="rId7836" ref="AL1944"/>
    <hyperlink r:id="rId7837" ref="AN1944"/>
    <hyperlink r:id="rId7838" ref="AQ1944"/>
    <hyperlink r:id="rId7839" ref="G1945"/>
    <hyperlink r:id="rId7840" ref="K1945"/>
    <hyperlink r:id="rId7841" ref="AL1945"/>
    <hyperlink r:id="rId7842" ref="AN1945"/>
    <hyperlink r:id="rId7843" ref="AQ1945"/>
    <hyperlink r:id="rId7844" ref="G1946"/>
    <hyperlink r:id="rId7845" ref="K1946"/>
    <hyperlink r:id="rId7846" ref="AL1946"/>
    <hyperlink r:id="rId7847" ref="AN1946"/>
    <hyperlink r:id="rId7848" ref="G1947"/>
    <hyperlink r:id="rId7849" ref="K1947"/>
    <hyperlink r:id="rId7850" ref="AL1947"/>
    <hyperlink r:id="rId7851" ref="AN1947"/>
    <hyperlink r:id="rId7852" ref="AQ1947"/>
    <hyperlink r:id="rId7853" ref="G1948"/>
    <hyperlink r:id="rId7854" ref="K1948"/>
    <hyperlink r:id="rId7855" ref="AL1948"/>
    <hyperlink r:id="rId7856" ref="AN1948"/>
    <hyperlink r:id="rId7857" ref="G1949"/>
    <hyperlink r:id="rId7858" ref="K1949"/>
    <hyperlink r:id="rId7859" ref="AL1949"/>
    <hyperlink r:id="rId7860" ref="AN1949"/>
    <hyperlink r:id="rId7861" ref="G1950"/>
    <hyperlink r:id="rId7862" ref="K1950"/>
    <hyperlink r:id="rId7863" ref="AL1950"/>
    <hyperlink r:id="rId7864" ref="AN1950"/>
    <hyperlink r:id="rId7865" ref="G1951"/>
    <hyperlink r:id="rId7866" ref="K1951"/>
    <hyperlink r:id="rId7867" ref="AL1951"/>
    <hyperlink r:id="rId7868" ref="AN1951"/>
    <hyperlink r:id="rId7869" ref="G1952"/>
    <hyperlink r:id="rId7870" ref="AL1952"/>
    <hyperlink r:id="rId7871" ref="AN1952"/>
    <hyperlink r:id="rId7872" ref="AQ1952"/>
    <hyperlink r:id="rId7873" ref="G1953"/>
    <hyperlink r:id="rId7874" ref="K1953"/>
    <hyperlink r:id="rId7875" ref="T1953"/>
    <hyperlink r:id="rId7876" ref="AL1953"/>
    <hyperlink r:id="rId7877" ref="AN1953"/>
    <hyperlink r:id="rId7878" ref="G1954"/>
    <hyperlink r:id="rId7879" ref="K1954"/>
    <hyperlink r:id="rId7880" ref="AL1954"/>
    <hyperlink r:id="rId7881" ref="AN1954"/>
    <hyperlink r:id="rId7882" ref="AQ1954"/>
    <hyperlink r:id="rId7883" ref="AR1954"/>
    <hyperlink r:id="rId7884" ref="G1955"/>
    <hyperlink r:id="rId7885" ref="K1955"/>
    <hyperlink r:id="rId7886" ref="AL1955"/>
    <hyperlink r:id="rId7887" ref="AN1955"/>
    <hyperlink r:id="rId7888" ref="G1956"/>
    <hyperlink r:id="rId7889" ref="AL1956"/>
    <hyperlink r:id="rId7890" ref="AN1956"/>
    <hyperlink r:id="rId7891" ref="AQ1956"/>
    <hyperlink r:id="rId7892" ref="G1957"/>
    <hyperlink r:id="rId7893" ref="K1957"/>
    <hyperlink r:id="rId7894" ref="AL1957"/>
    <hyperlink r:id="rId7895" ref="AN1957"/>
    <hyperlink r:id="rId7896" ref="AQ1957"/>
    <hyperlink r:id="rId7897" ref="G1958"/>
    <hyperlink r:id="rId7898" ref="K1958"/>
    <hyperlink r:id="rId7899" ref="AL1958"/>
    <hyperlink r:id="rId7900" ref="AN1958"/>
    <hyperlink r:id="rId7901" ref="G1959"/>
    <hyperlink r:id="rId7902" ref="K1959"/>
    <hyperlink r:id="rId7903" ref="AL1959"/>
    <hyperlink r:id="rId7904" ref="AN1959"/>
    <hyperlink r:id="rId7905" ref="AQ1959"/>
    <hyperlink r:id="rId7906" ref="G1960"/>
    <hyperlink r:id="rId7907" ref="AL1960"/>
    <hyperlink r:id="rId7908" ref="AN1960"/>
    <hyperlink r:id="rId7909" ref="AQ1960"/>
    <hyperlink r:id="rId7910" ref="G1961"/>
    <hyperlink r:id="rId7911" ref="K1961"/>
    <hyperlink r:id="rId7912" ref="AL1961"/>
    <hyperlink r:id="rId7913" ref="AN1961"/>
    <hyperlink r:id="rId7914" ref="AQ1961"/>
    <hyperlink r:id="rId7915" ref="G1962"/>
    <hyperlink r:id="rId7916" ref="AL1962"/>
    <hyperlink r:id="rId7917" ref="AN1962"/>
    <hyperlink r:id="rId7918" ref="G1963"/>
    <hyperlink r:id="rId7919" ref="AL1963"/>
    <hyperlink r:id="rId7920" ref="AN1963"/>
    <hyperlink r:id="rId7921" ref="G1964"/>
    <hyperlink r:id="rId7922" ref="AL1964"/>
    <hyperlink r:id="rId7923" ref="AN1964"/>
    <hyperlink r:id="rId7924" ref="AQ1964"/>
    <hyperlink r:id="rId7925" ref="G1965"/>
    <hyperlink r:id="rId7926" ref="AL1965"/>
    <hyperlink r:id="rId7927" ref="AN1965"/>
    <hyperlink r:id="rId7928" ref="AQ1965"/>
    <hyperlink r:id="rId7929" ref="G1966"/>
    <hyperlink r:id="rId7930" ref="AL1966"/>
    <hyperlink r:id="rId7931" ref="AN1966"/>
    <hyperlink r:id="rId7932" ref="AQ1966"/>
    <hyperlink r:id="rId7933" ref="AR1966"/>
    <hyperlink r:id="rId7934" ref="G1967"/>
    <hyperlink r:id="rId7935" ref="AL1967"/>
    <hyperlink r:id="rId7936" ref="AN1967"/>
    <hyperlink r:id="rId7937" ref="G1968"/>
    <hyperlink r:id="rId7938" ref="AL1968"/>
    <hyperlink r:id="rId7939" ref="AN1968"/>
    <hyperlink r:id="rId7940" ref="G1969"/>
    <hyperlink r:id="rId7941" ref="AL1969"/>
    <hyperlink r:id="rId7942" ref="AN1969"/>
    <hyperlink r:id="rId7943" ref="G1970"/>
    <hyperlink r:id="rId7944" ref="AL1970"/>
    <hyperlink r:id="rId7945" ref="AN1970"/>
    <hyperlink r:id="rId7946" ref="G1971"/>
    <hyperlink r:id="rId7947" ref="AL1971"/>
    <hyperlink r:id="rId7948" ref="AN1971"/>
    <hyperlink r:id="rId7949" ref="G1972"/>
    <hyperlink r:id="rId7950" ref="T1972"/>
    <hyperlink r:id="rId7951" ref="AL1972"/>
    <hyperlink r:id="rId7952" ref="AN1972"/>
    <hyperlink r:id="rId7953" ref="AQ1972"/>
    <hyperlink r:id="rId7954" ref="G1973"/>
    <hyperlink r:id="rId7955" ref="T1973"/>
    <hyperlink r:id="rId7956" ref="AL1973"/>
    <hyperlink r:id="rId7957" ref="AN1973"/>
    <hyperlink r:id="rId7958" ref="AQ1973"/>
    <hyperlink r:id="rId7959" ref="G1974"/>
    <hyperlink r:id="rId7960" ref="T1974"/>
    <hyperlink r:id="rId7961" ref="AL1974"/>
    <hyperlink r:id="rId7962" ref="AN1974"/>
    <hyperlink r:id="rId7963" ref="G1975"/>
    <hyperlink r:id="rId7964" ref="T1975"/>
    <hyperlink r:id="rId7965" ref="AL1975"/>
    <hyperlink r:id="rId7966" ref="AN1975"/>
    <hyperlink r:id="rId7967" ref="AQ1975"/>
    <hyperlink r:id="rId7968" ref="AR1975"/>
    <hyperlink r:id="rId7969" ref="G1976"/>
    <hyperlink r:id="rId7970" ref="AL1976"/>
    <hyperlink r:id="rId7971" ref="AN1976"/>
    <hyperlink r:id="rId7972" ref="AQ1976"/>
    <hyperlink r:id="rId7973" ref="G1977"/>
    <hyperlink r:id="rId7974" ref="AL1977"/>
    <hyperlink r:id="rId7975" ref="AN1977"/>
    <hyperlink r:id="rId7976" ref="G1978"/>
    <hyperlink r:id="rId7977" ref="AL1978"/>
    <hyperlink r:id="rId7978" ref="AN1978"/>
    <hyperlink r:id="rId7979" ref="AQ1978"/>
    <hyperlink r:id="rId7980" ref="G1979"/>
    <hyperlink r:id="rId7981" ref="T1979"/>
    <hyperlink r:id="rId7982" ref="AL1979"/>
    <hyperlink r:id="rId7983" ref="AN1979"/>
    <hyperlink r:id="rId7984" ref="AQ1979"/>
    <hyperlink r:id="rId7985" ref="G1980"/>
    <hyperlink r:id="rId7986" ref="K1980"/>
    <hyperlink r:id="rId7987" ref="T1980"/>
    <hyperlink r:id="rId7988" ref="AL1980"/>
    <hyperlink r:id="rId7989" ref="AN1980"/>
    <hyperlink r:id="rId7990" ref="AQ1980"/>
    <hyperlink r:id="rId7991" ref="G1981"/>
    <hyperlink r:id="rId7992" ref="AL1981"/>
    <hyperlink r:id="rId7993" ref="AN1981"/>
    <hyperlink r:id="rId7994" ref="AQ1981"/>
    <hyperlink r:id="rId7995" ref="G1982"/>
    <hyperlink r:id="rId7996" ref="K1982"/>
    <hyperlink r:id="rId7997" ref="AL1982"/>
    <hyperlink r:id="rId7998" ref="AN1982"/>
    <hyperlink r:id="rId7999" ref="AQ1982"/>
    <hyperlink r:id="rId8000" ref="G1983"/>
    <hyperlink r:id="rId8001" ref="K1983"/>
    <hyperlink r:id="rId8002" ref="AL1983"/>
    <hyperlink r:id="rId8003" ref="AN1983"/>
    <hyperlink r:id="rId8004" ref="AQ1983"/>
    <hyperlink r:id="rId8005" ref="AR1983"/>
    <hyperlink r:id="rId8006" ref="G1984"/>
    <hyperlink r:id="rId8007" ref="K1984"/>
    <hyperlink r:id="rId8008" ref="AL1984"/>
    <hyperlink r:id="rId8009" ref="AN1984"/>
    <hyperlink r:id="rId8010" ref="G1985"/>
    <hyperlink r:id="rId8011" ref="K1985"/>
    <hyperlink r:id="rId8012" ref="AL1985"/>
    <hyperlink r:id="rId8013" ref="AN1985"/>
    <hyperlink r:id="rId8014" ref="AQ1985"/>
    <hyperlink r:id="rId8015" ref="G1986"/>
    <hyperlink r:id="rId8016" ref="K1986"/>
    <hyperlink r:id="rId8017" ref="T1986"/>
    <hyperlink r:id="rId8018" ref="AL1986"/>
    <hyperlink r:id="rId8019" ref="AN1986"/>
    <hyperlink r:id="rId8020" ref="AQ1986"/>
    <hyperlink r:id="rId8021" ref="G1987"/>
    <hyperlink r:id="rId8022" ref="K1987"/>
    <hyperlink r:id="rId8023" ref="T1987"/>
    <hyperlink r:id="rId8024" ref="AL1987"/>
    <hyperlink r:id="rId8025" ref="AN1987"/>
    <hyperlink r:id="rId8026" ref="AQ1987"/>
    <hyperlink r:id="rId8027" ref="AR1987"/>
    <hyperlink r:id="rId8028" ref="G1988"/>
    <hyperlink r:id="rId8029" ref="K1988"/>
    <hyperlink r:id="rId8030" ref="AL1988"/>
    <hyperlink r:id="rId8031" ref="AN1988"/>
    <hyperlink r:id="rId8032" ref="G1989"/>
    <hyperlink r:id="rId8033" ref="K1989"/>
    <hyperlink r:id="rId8034" ref="AL1989"/>
    <hyperlink r:id="rId8035" ref="AN1989"/>
    <hyperlink r:id="rId8036" ref="AQ1989"/>
    <hyperlink r:id="rId8037" ref="G1990"/>
    <hyperlink r:id="rId8038" ref="K1990"/>
    <hyperlink r:id="rId8039" ref="AL1990"/>
    <hyperlink r:id="rId8040" ref="AN1990"/>
    <hyperlink r:id="rId8041" ref="G1991"/>
    <hyperlink r:id="rId8042" ref="K1991"/>
    <hyperlink r:id="rId8043" ref="AL1991"/>
    <hyperlink r:id="rId8044" ref="AN1991"/>
    <hyperlink r:id="rId8045" ref="G1992"/>
    <hyperlink r:id="rId8046" ref="K1992"/>
    <hyperlink r:id="rId8047" ref="AL1992"/>
    <hyperlink r:id="rId8048" ref="AN1992"/>
    <hyperlink r:id="rId8049" ref="AQ1992"/>
    <hyperlink r:id="rId8050" ref="G1993"/>
    <hyperlink r:id="rId8051" ref="K1993"/>
    <hyperlink r:id="rId8052" ref="AL1993"/>
    <hyperlink r:id="rId8053" ref="AN1993"/>
    <hyperlink r:id="rId8054" ref="AQ1993"/>
    <hyperlink r:id="rId8055" ref="G1994"/>
    <hyperlink r:id="rId8056" ref="AL1994"/>
    <hyperlink r:id="rId8057" ref="AN1994"/>
    <hyperlink r:id="rId8058" ref="G1995"/>
    <hyperlink r:id="rId8059" ref="AL1995"/>
    <hyperlink r:id="rId8060" ref="AN1995"/>
    <hyperlink r:id="rId8061" ref="G1996"/>
    <hyperlink r:id="rId8062" ref="K1996"/>
    <hyperlink r:id="rId8063" ref="AL1996"/>
    <hyperlink r:id="rId8064" ref="AN1996"/>
    <hyperlink r:id="rId8065" ref="G1997"/>
    <hyperlink r:id="rId8066" ref="K1997"/>
    <hyperlink r:id="rId8067" ref="AL1997"/>
    <hyperlink r:id="rId8068" ref="AN1997"/>
    <hyperlink r:id="rId8069" ref="AQ1997"/>
    <hyperlink r:id="rId8070" ref="G1998"/>
    <hyperlink r:id="rId8071" ref="K1998"/>
    <hyperlink r:id="rId8072" ref="AL1998"/>
    <hyperlink r:id="rId8073" ref="AN1998"/>
    <hyperlink r:id="rId8074" ref="AQ1998"/>
    <hyperlink r:id="rId8075" ref="AR1998"/>
    <hyperlink r:id="rId8076" ref="G1999"/>
    <hyperlink r:id="rId8077" ref="K1999"/>
    <hyperlink r:id="rId8078" ref="AL1999"/>
    <hyperlink r:id="rId8079" ref="AN1999"/>
    <hyperlink r:id="rId8080" ref="AQ1999"/>
    <hyperlink r:id="rId8081" ref="G2000"/>
    <hyperlink r:id="rId8082" ref="K2000"/>
    <hyperlink r:id="rId8083" ref="AL2000"/>
    <hyperlink r:id="rId8084" ref="AN2000"/>
    <hyperlink r:id="rId8085" ref="AQ2000"/>
    <hyperlink r:id="rId8086" ref="G2001"/>
    <hyperlink r:id="rId8087" ref="AL2001"/>
    <hyperlink r:id="rId8088" ref="AN2001"/>
    <hyperlink r:id="rId8089" ref="G2002"/>
    <hyperlink r:id="rId8090" ref="K2002"/>
    <hyperlink r:id="rId8091" ref="AL2002"/>
    <hyperlink r:id="rId8092" ref="AN2002"/>
    <hyperlink r:id="rId8093" ref="AQ2002"/>
    <hyperlink r:id="rId8094" ref="G2003"/>
    <hyperlink r:id="rId8095" ref="K2003"/>
    <hyperlink r:id="rId8096" ref="AL2003"/>
    <hyperlink r:id="rId8097" ref="AN2003"/>
    <hyperlink r:id="rId8098" ref="AQ2003"/>
    <hyperlink r:id="rId8099" ref="G2004"/>
    <hyperlink r:id="rId8100" ref="K2004"/>
    <hyperlink r:id="rId8101" ref="AL2004"/>
    <hyperlink r:id="rId8102" ref="AN2004"/>
    <hyperlink r:id="rId8103" ref="AQ2004"/>
    <hyperlink r:id="rId8104" ref="G2005"/>
    <hyperlink r:id="rId8105" ref="AL2005"/>
    <hyperlink r:id="rId8106" ref="AN2005"/>
    <hyperlink r:id="rId8107" ref="G2006"/>
    <hyperlink r:id="rId8108" ref="AL2006"/>
    <hyperlink r:id="rId8109" ref="AN2006"/>
    <hyperlink r:id="rId8110" ref="G2007"/>
    <hyperlink r:id="rId8111" ref="AL2007"/>
    <hyperlink r:id="rId8112" ref="AN2007"/>
    <hyperlink r:id="rId8113" ref="G2008"/>
    <hyperlink r:id="rId8114" ref="K2008"/>
    <hyperlink r:id="rId8115" ref="AL2008"/>
    <hyperlink r:id="rId8116" ref="AN2008"/>
    <hyperlink r:id="rId8117" ref="G2009"/>
    <hyperlink r:id="rId8118" ref="AL2009"/>
    <hyperlink r:id="rId8119" ref="AN2009"/>
    <hyperlink r:id="rId8120" ref="G2010"/>
    <hyperlink r:id="rId8121" ref="AL2010"/>
    <hyperlink r:id="rId8122" ref="AN2010"/>
    <hyperlink r:id="rId8123" ref="G2011"/>
    <hyperlink r:id="rId8124" ref="K2011"/>
    <hyperlink r:id="rId8125" ref="AL2011"/>
    <hyperlink r:id="rId8126" ref="AN2011"/>
    <hyperlink r:id="rId8127" ref="AQ2011"/>
    <hyperlink r:id="rId8128" ref="AR2011"/>
    <hyperlink r:id="rId8129" ref="G2012"/>
    <hyperlink r:id="rId8130" ref="K2012"/>
    <hyperlink r:id="rId8131" ref="AL2012"/>
    <hyperlink r:id="rId8132" ref="AN2012"/>
    <hyperlink r:id="rId8133" ref="AQ2012"/>
    <hyperlink r:id="rId8134" ref="AR2012"/>
    <hyperlink r:id="rId8135" ref="G2013"/>
    <hyperlink r:id="rId8136" ref="AL2013"/>
    <hyperlink r:id="rId8137" ref="AN2013"/>
    <hyperlink r:id="rId8138" ref="G2014"/>
    <hyperlink r:id="rId8139" ref="AL2014"/>
    <hyperlink r:id="rId8140" ref="AN2014"/>
    <hyperlink r:id="rId8141" ref="AQ2014"/>
    <hyperlink r:id="rId8142" ref="G2015"/>
    <hyperlink r:id="rId8143" ref="AL2015"/>
    <hyperlink r:id="rId8144" ref="AN2015"/>
    <hyperlink r:id="rId8145" ref="G2016"/>
    <hyperlink r:id="rId8146" ref="AL2016"/>
    <hyperlink r:id="rId8147" ref="AN2016"/>
    <hyperlink r:id="rId8148" ref="AQ2016"/>
    <hyperlink r:id="rId8149" ref="G2017"/>
    <hyperlink r:id="rId8150" ref="T2017"/>
    <hyperlink r:id="rId8151" ref="AL2017"/>
    <hyperlink r:id="rId8152" ref="AN2017"/>
    <hyperlink r:id="rId8153" ref="G2018"/>
    <hyperlink r:id="rId8154" ref="T2018"/>
    <hyperlink r:id="rId8155" ref="AL2018"/>
    <hyperlink r:id="rId8156" ref="AN2018"/>
    <hyperlink r:id="rId8157" ref="G2020"/>
    <hyperlink r:id="rId8158" ref="AL2020"/>
    <hyperlink r:id="rId8159" ref="AN2020"/>
    <hyperlink r:id="rId8160" ref="AQ2020"/>
    <hyperlink r:id="rId8161" ref="G2021"/>
    <hyperlink r:id="rId8162" ref="AL2021"/>
    <hyperlink r:id="rId8163" ref="AN2021"/>
    <hyperlink r:id="rId8164" ref="G2022"/>
    <hyperlink r:id="rId8165" ref="AL2022"/>
    <hyperlink r:id="rId8166" ref="AN2022"/>
    <hyperlink r:id="rId8167" ref="G2023"/>
    <hyperlink r:id="rId8168" ref="AL2023"/>
    <hyperlink r:id="rId8169" ref="AN2023"/>
    <hyperlink r:id="rId8170" ref="G2024"/>
    <hyperlink r:id="rId8171" ref="T2024"/>
    <hyperlink r:id="rId8172" ref="AL2024"/>
    <hyperlink r:id="rId8173" ref="AN2024"/>
    <hyperlink r:id="rId8174" ref="AQ2024"/>
    <hyperlink r:id="rId8175" ref="G2025"/>
    <hyperlink r:id="rId8176" ref="AL2025"/>
    <hyperlink r:id="rId8177" ref="AN2025"/>
    <hyperlink r:id="rId8178" ref="AQ2025"/>
    <hyperlink r:id="rId8179" ref="G2026"/>
    <hyperlink r:id="rId8180" ref="AL2026"/>
    <hyperlink r:id="rId8181" ref="AN2026"/>
    <hyperlink r:id="rId8182" ref="G2027"/>
    <hyperlink r:id="rId8183" ref="AL2027"/>
    <hyperlink r:id="rId8184" ref="AN2027"/>
    <hyperlink r:id="rId8185" ref="G2028"/>
    <hyperlink r:id="rId8186" ref="AL2028"/>
    <hyperlink r:id="rId8187" ref="AN2028"/>
    <hyperlink r:id="rId8188" ref="AQ2028"/>
    <hyperlink r:id="rId8189" ref="G2029"/>
    <hyperlink r:id="rId8190" ref="AL2029"/>
    <hyperlink r:id="rId8191" ref="AN2029"/>
    <hyperlink r:id="rId8192" ref="G2030"/>
    <hyperlink r:id="rId8193" ref="AL2030"/>
    <hyperlink r:id="rId8194" ref="AN2030"/>
    <hyperlink r:id="rId8195" ref="G2031"/>
    <hyperlink r:id="rId8196" ref="AL2031"/>
    <hyperlink r:id="rId8197" ref="AN2031"/>
    <hyperlink r:id="rId8198" ref="G2032"/>
    <hyperlink r:id="rId8199" ref="AL2032"/>
    <hyperlink r:id="rId8200" ref="AN2032"/>
    <hyperlink r:id="rId8201" ref="G2033"/>
    <hyperlink r:id="rId8202" ref="AL2033"/>
    <hyperlink r:id="rId8203" ref="AN2033"/>
    <hyperlink r:id="rId8204" ref="AQ2033"/>
    <hyperlink r:id="rId8205" ref="G2034"/>
    <hyperlink r:id="rId8206" ref="AL2034"/>
    <hyperlink r:id="rId8207" ref="AN2034"/>
    <hyperlink r:id="rId8208" ref="AQ2034"/>
    <hyperlink r:id="rId8209" ref="G2035"/>
    <hyperlink r:id="rId8210" ref="AL2035"/>
    <hyperlink r:id="rId8211" ref="AN2035"/>
    <hyperlink r:id="rId8212" ref="AQ2035"/>
    <hyperlink r:id="rId8213" ref="G2036"/>
    <hyperlink r:id="rId8214" ref="AL2036"/>
    <hyperlink r:id="rId8215" ref="AN2036"/>
    <hyperlink r:id="rId8216" ref="AQ2036"/>
    <hyperlink r:id="rId8217" ref="AR2036"/>
    <hyperlink r:id="rId8218" ref="G2037"/>
    <hyperlink r:id="rId8219" ref="AL2037"/>
    <hyperlink r:id="rId8220" ref="AN2037"/>
    <hyperlink r:id="rId8221" ref="AQ2037"/>
    <hyperlink r:id="rId8222" ref="G2038"/>
    <hyperlink r:id="rId8223" ref="AL2038"/>
    <hyperlink r:id="rId8224" ref="AN2038"/>
    <hyperlink r:id="rId8225" ref="AQ2038"/>
    <hyperlink r:id="rId8226" ref="G2039"/>
    <hyperlink r:id="rId8227" ref="AL2039"/>
    <hyperlink r:id="rId8228" ref="AN2039"/>
    <hyperlink r:id="rId8229" ref="G2040"/>
    <hyperlink r:id="rId8230" ref="K2040"/>
    <hyperlink r:id="rId8231" ref="AL2040"/>
    <hyperlink r:id="rId8232" ref="AN2040"/>
    <hyperlink r:id="rId8233" ref="AQ2040"/>
    <hyperlink r:id="rId8234" ref="AR2040"/>
    <hyperlink r:id="rId8235" ref="G2041"/>
    <hyperlink r:id="rId8236" ref="AL2041"/>
    <hyperlink r:id="rId8237" ref="AN2041"/>
    <hyperlink r:id="rId8238" ref="AQ2041"/>
    <hyperlink r:id="rId8239" ref="G2042"/>
    <hyperlink r:id="rId8240" ref="K2042"/>
    <hyperlink r:id="rId8241" ref="AL2042"/>
    <hyperlink r:id="rId8242" ref="AN2042"/>
    <hyperlink r:id="rId8243" ref="AQ2042"/>
    <hyperlink r:id="rId8244" ref="G2043"/>
    <hyperlink r:id="rId8245" ref="AL2043"/>
    <hyperlink r:id="rId8246" ref="AN2043"/>
    <hyperlink r:id="rId8247" ref="AQ2043"/>
    <hyperlink r:id="rId8248" ref="G2044"/>
    <hyperlink r:id="rId8249" ref="AL2044"/>
    <hyperlink r:id="rId8250" ref="AN2044"/>
    <hyperlink r:id="rId8251" ref="AQ2044"/>
    <hyperlink r:id="rId8252" ref="G2045"/>
    <hyperlink r:id="rId8253" ref="AL2045"/>
    <hyperlink r:id="rId8254" ref="AN2045"/>
    <hyperlink r:id="rId8255" ref="AQ2045"/>
    <hyperlink r:id="rId8256" ref="AR2045"/>
    <hyperlink r:id="rId8257" ref="G2046"/>
    <hyperlink r:id="rId8258" ref="K2046"/>
    <hyperlink r:id="rId8259" ref="AL2046"/>
    <hyperlink r:id="rId8260" ref="AN2046"/>
    <hyperlink r:id="rId8261" ref="G2047"/>
    <hyperlink r:id="rId8262" ref="K2047"/>
    <hyperlink r:id="rId8263" ref="AL2047"/>
    <hyperlink r:id="rId8264" ref="AN2047"/>
    <hyperlink r:id="rId8265" ref="G2048"/>
    <hyperlink r:id="rId8266" ref="AL2048"/>
    <hyperlink r:id="rId8267" ref="AN2048"/>
    <hyperlink r:id="rId8268" ref="AQ2048"/>
    <hyperlink r:id="rId8269" ref="G2049"/>
    <hyperlink r:id="rId8270" ref="K2049"/>
    <hyperlink r:id="rId8271" ref="AL2049"/>
    <hyperlink r:id="rId8272" ref="AN2049"/>
    <hyperlink r:id="rId8273" ref="AQ2049"/>
    <hyperlink r:id="rId8274" ref="G2050"/>
    <hyperlink r:id="rId8275" ref="AL2050"/>
    <hyperlink r:id="rId8276" ref="AN2050"/>
    <hyperlink r:id="rId8277" ref="AQ2050"/>
    <hyperlink r:id="rId8278" ref="AR2050"/>
    <hyperlink r:id="rId8279" ref="G2051"/>
    <hyperlink r:id="rId8280" ref="AL2051"/>
    <hyperlink r:id="rId8281" ref="AN2051"/>
    <hyperlink r:id="rId8282" ref="AQ2051"/>
    <hyperlink r:id="rId8283" ref="AR2051"/>
    <hyperlink r:id="rId8284" ref="G2052"/>
    <hyperlink r:id="rId8285" ref="AL2052"/>
    <hyperlink r:id="rId8286" ref="AN2052"/>
    <hyperlink r:id="rId8287" ref="G2053"/>
    <hyperlink r:id="rId8288" ref="T2053"/>
    <hyperlink r:id="rId8289" ref="AL2053"/>
    <hyperlink r:id="rId8290" ref="AN2053"/>
    <hyperlink r:id="rId8291" ref="AQ2053"/>
    <hyperlink r:id="rId8292" ref="AR2053"/>
    <hyperlink r:id="rId8293" ref="G2054"/>
    <hyperlink r:id="rId8294" ref="AL2054"/>
    <hyperlink r:id="rId8295" ref="AN2054"/>
    <hyperlink r:id="rId8296" ref="G2055"/>
    <hyperlink r:id="rId8297" ref="AL2055"/>
    <hyperlink r:id="rId8298" ref="AN2055"/>
    <hyperlink r:id="rId8299" ref="AQ2055"/>
    <hyperlink r:id="rId8300" ref="AR2055"/>
    <hyperlink r:id="rId8301" ref="G2056"/>
    <hyperlink r:id="rId8302" ref="T2056"/>
    <hyperlink r:id="rId8303" ref="AL2056"/>
    <hyperlink r:id="rId8304" ref="AN2056"/>
    <hyperlink r:id="rId8305" ref="AQ2056"/>
    <hyperlink r:id="rId8306" ref="G2057"/>
    <hyperlink r:id="rId8307" ref="AL2057"/>
    <hyperlink r:id="rId8308" ref="AN2057"/>
    <hyperlink r:id="rId8309" ref="AQ2057"/>
    <hyperlink r:id="rId8310" ref="G2058"/>
    <hyperlink r:id="rId8311" ref="AL2058"/>
    <hyperlink r:id="rId8312" ref="AN2058"/>
    <hyperlink r:id="rId8313" ref="AQ2058"/>
    <hyperlink r:id="rId8314" ref="G2059"/>
    <hyperlink r:id="rId8315" ref="AL2059"/>
    <hyperlink r:id="rId8316" ref="AN2059"/>
    <hyperlink r:id="rId8317" ref="AQ2059"/>
    <hyperlink r:id="rId8318" ref="AR2059"/>
    <hyperlink r:id="rId8319" ref="G2066"/>
    <hyperlink r:id="rId8320" ref="AL2066"/>
    <hyperlink r:id="rId8321" ref="AN2066"/>
    <hyperlink r:id="rId8322" ref="G2067"/>
    <hyperlink r:id="rId8323" ref="K2067"/>
    <hyperlink r:id="rId8324" ref="AL2067"/>
    <hyperlink r:id="rId8325" ref="AN2067"/>
    <hyperlink r:id="rId8326" ref="AQ2067"/>
  </hyperlinks>
  <printOptions/>
  <pageMargins bottom="0.75" footer="0.0" header="0.0" left="0.7" right="0.7" top="0.75"/>
  <pageSetup orientation="landscape"/>
  <drawing r:id="rId832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7" max="7" width="21.89"/>
  </cols>
  <sheetData>
    <row r="1">
      <c r="A1" s="576" t="s">
        <v>14</v>
      </c>
      <c r="B1" s="577" t="s">
        <v>15</v>
      </c>
      <c r="C1" s="578" t="s">
        <v>16</v>
      </c>
      <c r="D1" s="577" t="s">
        <v>17</v>
      </c>
      <c r="E1" s="577" t="s">
        <v>18</v>
      </c>
      <c r="F1" s="579" t="s">
        <v>20</v>
      </c>
      <c r="G1" s="580" t="s">
        <v>23</v>
      </c>
      <c r="H1" s="579" t="s">
        <v>19994</v>
      </c>
      <c r="I1" s="579" t="s">
        <v>24</v>
      </c>
      <c r="J1" s="577" t="s">
        <v>25</v>
      </c>
      <c r="K1" s="577" t="s">
        <v>26</v>
      </c>
      <c r="L1" s="577" t="s">
        <v>27</v>
      </c>
      <c r="M1" s="577" t="s">
        <v>28</v>
      </c>
      <c r="N1" s="577" t="s">
        <v>19995</v>
      </c>
      <c r="O1" s="580" t="s">
        <v>34</v>
      </c>
      <c r="P1" s="579" t="s">
        <v>19</v>
      </c>
      <c r="Q1" s="581" t="s">
        <v>35</v>
      </c>
      <c r="R1" s="582" t="s">
        <v>19996</v>
      </c>
    </row>
    <row r="2">
      <c r="A2" s="583"/>
      <c r="B2" s="583"/>
      <c r="C2" s="583" t="s">
        <v>5586</v>
      </c>
      <c r="D2" s="584">
        <v>50.567716</v>
      </c>
      <c r="E2" s="585">
        <v>30.203996</v>
      </c>
      <c r="F2" s="586" t="s">
        <v>19997</v>
      </c>
      <c r="G2" s="587" t="s">
        <v>19998</v>
      </c>
      <c r="H2" s="583"/>
      <c r="I2" s="588" t="s">
        <v>5867</v>
      </c>
      <c r="J2" s="583" t="s">
        <v>3542</v>
      </c>
      <c r="K2" s="583" t="s">
        <v>5827</v>
      </c>
      <c r="L2" s="583"/>
      <c r="M2" s="583" t="s">
        <v>5868</v>
      </c>
      <c r="N2" s="589" t="s">
        <v>19999</v>
      </c>
      <c r="O2" s="583"/>
      <c r="P2" s="590">
        <v>2.0</v>
      </c>
      <c r="Q2" s="583" t="s">
        <v>20000</v>
      </c>
      <c r="R2" s="583"/>
    </row>
    <row r="3">
      <c r="A3" s="583"/>
      <c r="B3" s="583"/>
      <c r="C3" s="583" t="s">
        <v>5586</v>
      </c>
      <c r="D3" s="583"/>
      <c r="E3" s="583"/>
      <c r="F3" s="586" t="s">
        <v>20001</v>
      </c>
      <c r="G3" s="591" t="s">
        <v>20002</v>
      </c>
      <c r="H3" s="583" t="s">
        <v>20003</v>
      </c>
      <c r="I3" s="583"/>
      <c r="J3" s="583"/>
      <c r="K3" s="583"/>
      <c r="L3" s="583"/>
      <c r="M3" s="583"/>
      <c r="N3" s="583"/>
      <c r="O3" s="583"/>
      <c r="P3" s="583"/>
      <c r="Q3" s="583"/>
      <c r="R3" s="583"/>
    </row>
    <row r="4">
      <c r="A4" s="583"/>
      <c r="B4" s="583"/>
      <c r="C4" s="583" t="s">
        <v>5586</v>
      </c>
      <c r="D4" s="453">
        <v>50.238472</v>
      </c>
      <c r="E4" s="453">
        <v>30.725583</v>
      </c>
      <c r="F4" s="586" t="s">
        <v>20004</v>
      </c>
      <c r="G4" s="587" t="s">
        <v>20005</v>
      </c>
      <c r="H4" s="583"/>
      <c r="I4" s="588" t="s">
        <v>5966</v>
      </c>
      <c r="J4" s="583" t="s">
        <v>3542</v>
      </c>
      <c r="K4" s="583" t="s">
        <v>5827</v>
      </c>
      <c r="L4" s="583"/>
      <c r="M4" s="583" t="s">
        <v>5967</v>
      </c>
      <c r="N4" s="592" t="s">
        <v>20006</v>
      </c>
      <c r="O4" s="583"/>
      <c r="P4" s="590">
        <v>2.0</v>
      </c>
      <c r="Q4" s="583" t="s">
        <v>20007</v>
      </c>
      <c r="R4" s="583"/>
    </row>
    <row r="5">
      <c r="A5" s="583"/>
      <c r="B5" s="583"/>
      <c r="C5" s="583" t="s">
        <v>5586</v>
      </c>
      <c r="D5" s="583"/>
      <c r="E5" s="583"/>
      <c r="F5" s="586" t="s">
        <v>20008</v>
      </c>
      <c r="G5" s="591" t="s">
        <v>20009</v>
      </c>
      <c r="H5" s="583" t="s">
        <v>20003</v>
      </c>
      <c r="I5" s="583"/>
      <c r="J5" s="583"/>
      <c r="K5" s="583"/>
      <c r="L5" s="583"/>
      <c r="M5" s="583"/>
      <c r="N5" s="583"/>
      <c r="O5" s="583"/>
      <c r="P5" s="583"/>
      <c r="Q5" s="583"/>
      <c r="R5" s="583"/>
    </row>
    <row r="6">
      <c r="A6" s="583"/>
      <c r="B6" s="583"/>
      <c r="C6" s="583" t="s">
        <v>5586</v>
      </c>
      <c r="D6" s="583"/>
      <c r="E6" s="583"/>
      <c r="F6" s="586" t="s">
        <v>20010</v>
      </c>
      <c r="G6" s="587" t="s">
        <v>20005</v>
      </c>
      <c r="H6" s="583"/>
      <c r="I6" s="583"/>
      <c r="J6" s="583"/>
      <c r="K6" s="583"/>
      <c r="L6" s="583"/>
      <c r="M6" s="583"/>
      <c r="N6" s="583"/>
      <c r="O6" s="583"/>
      <c r="P6" s="583"/>
      <c r="Q6" s="583"/>
      <c r="R6" s="583"/>
    </row>
    <row r="7">
      <c r="A7" s="583"/>
      <c r="B7" s="583"/>
      <c r="C7" s="583" t="s">
        <v>5586</v>
      </c>
      <c r="D7" s="584">
        <v>50.269454</v>
      </c>
      <c r="E7" s="585">
        <v>36.285998</v>
      </c>
      <c r="F7" s="586" t="s">
        <v>20011</v>
      </c>
      <c r="G7" s="587" t="s">
        <v>20009</v>
      </c>
      <c r="H7" s="583"/>
      <c r="I7" s="588" t="s">
        <v>5736</v>
      </c>
      <c r="J7" s="583" t="s">
        <v>3542</v>
      </c>
      <c r="K7" s="583" t="s">
        <v>5590</v>
      </c>
      <c r="L7" s="453" t="s">
        <v>5737</v>
      </c>
      <c r="M7" s="583"/>
      <c r="N7" s="592" t="s">
        <v>20012</v>
      </c>
      <c r="O7" s="583"/>
      <c r="P7" s="593">
        <v>1.0</v>
      </c>
      <c r="Q7" s="583" t="s">
        <v>20013</v>
      </c>
      <c r="R7" s="583"/>
    </row>
    <row r="8">
      <c r="A8" s="583"/>
      <c r="B8" s="583"/>
      <c r="C8" s="583" t="s">
        <v>5586</v>
      </c>
      <c r="D8" s="583"/>
      <c r="E8" s="583"/>
      <c r="F8" s="594" t="s">
        <v>20014</v>
      </c>
      <c r="G8" s="587"/>
      <c r="H8" s="595"/>
      <c r="I8" s="595"/>
      <c r="J8" s="595"/>
      <c r="K8" s="595"/>
      <c r="L8" s="583"/>
      <c r="M8" s="583"/>
      <c r="N8" s="583"/>
      <c r="O8" s="583"/>
      <c r="P8" s="583"/>
      <c r="Q8" s="583"/>
      <c r="R8" s="583"/>
    </row>
    <row r="9">
      <c r="A9" s="583"/>
      <c r="B9" s="583"/>
      <c r="C9" s="583" t="s">
        <v>5586</v>
      </c>
      <c r="D9" s="583"/>
      <c r="E9" s="583"/>
      <c r="F9" s="586" t="s">
        <v>20015</v>
      </c>
      <c r="G9" s="587" t="s">
        <v>20016</v>
      </c>
      <c r="H9" s="583"/>
      <c r="I9" s="583"/>
      <c r="J9" s="583"/>
      <c r="K9" s="583"/>
      <c r="L9" s="583"/>
      <c r="M9" s="583"/>
      <c r="N9" s="583"/>
      <c r="O9" s="583"/>
      <c r="P9" s="583"/>
      <c r="Q9" s="583"/>
      <c r="R9" s="583"/>
    </row>
    <row r="10">
      <c r="A10" s="583"/>
      <c r="B10" s="583"/>
      <c r="C10" s="583" t="s">
        <v>5586</v>
      </c>
      <c r="D10" s="583"/>
      <c r="E10" s="583"/>
      <c r="F10" s="594" t="s">
        <v>20017</v>
      </c>
      <c r="G10" s="587"/>
      <c r="H10" s="595"/>
      <c r="I10" s="595"/>
      <c r="J10" s="595"/>
      <c r="K10" s="583"/>
      <c r="L10" s="583"/>
      <c r="M10" s="583"/>
      <c r="N10" s="583"/>
      <c r="O10" s="583"/>
      <c r="P10" s="583"/>
      <c r="Q10" s="583"/>
      <c r="R10" s="583"/>
    </row>
    <row r="11">
      <c r="A11" s="583"/>
      <c r="B11" s="583"/>
      <c r="C11" s="583" t="s">
        <v>5586</v>
      </c>
      <c r="D11" s="583"/>
      <c r="E11" s="583"/>
      <c r="F11" s="586" t="s">
        <v>20018</v>
      </c>
      <c r="G11" s="587" t="s">
        <v>20019</v>
      </c>
      <c r="H11" s="595"/>
      <c r="I11" s="595"/>
      <c r="J11" s="595"/>
      <c r="K11" s="583"/>
      <c r="L11" s="583"/>
      <c r="M11" s="583"/>
      <c r="N11" s="583"/>
      <c r="O11" s="583"/>
      <c r="P11" s="583"/>
      <c r="Q11" s="583"/>
      <c r="R11" s="583"/>
    </row>
    <row r="12">
      <c r="A12" s="583"/>
      <c r="B12" s="583"/>
      <c r="C12" s="583"/>
      <c r="D12" s="583"/>
      <c r="E12" s="583"/>
      <c r="F12" s="586" t="s">
        <v>20020</v>
      </c>
      <c r="G12" s="591" t="s">
        <v>20021</v>
      </c>
      <c r="H12" s="583" t="s">
        <v>15851</v>
      </c>
      <c r="I12" s="583"/>
      <c r="J12" s="583" t="s">
        <v>3542</v>
      </c>
      <c r="K12" s="583"/>
      <c r="L12" s="583"/>
      <c r="M12" s="583"/>
      <c r="N12" s="583"/>
      <c r="O12" s="583" t="s">
        <v>20022</v>
      </c>
      <c r="P12" s="583"/>
      <c r="Q12" s="583"/>
      <c r="R12" s="583"/>
    </row>
    <row r="13">
      <c r="A13" s="583"/>
      <c r="B13" s="583"/>
      <c r="C13" s="583"/>
      <c r="D13" s="583"/>
      <c r="E13" s="583"/>
      <c r="F13" s="586" t="s">
        <v>20023</v>
      </c>
      <c r="G13" s="587" t="s">
        <v>20024</v>
      </c>
      <c r="H13" s="583"/>
      <c r="I13" s="583"/>
      <c r="J13" s="583"/>
      <c r="K13" s="583"/>
      <c r="L13" s="583"/>
      <c r="M13" s="583"/>
      <c r="N13" s="583"/>
      <c r="O13" s="583"/>
      <c r="P13" s="583"/>
      <c r="Q13" s="583"/>
      <c r="R13" s="583"/>
    </row>
    <row r="14">
      <c r="A14" s="583"/>
      <c r="B14" s="583"/>
      <c r="C14" s="583"/>
      <c r="D14" s="583"/>
      <c r="E14" s="583"/>
      <c r="F14" s="586" t="s">
        <v>20025</v>
      </c>
      <c r="G14" s="591" t="s">
        <v>20026</v>
      </c>
      <c r="H14" s="583" t="s">
        <v>20003</v>
      </c>
      <c r="I14" s="583"/>
      <c r="J14" s="583" t="s">
        <v>3542</v>
      </c>
      <c r="K14" s="583"/>
      <c r="L14" s="583"/>
      <c r="M14" s="583"/>
      <c r="N14" s="583"/>
      <c r="O14" s="583"/>
      <c r="P14" s="583"/>
      <c r="Q14" s="583"/>
      <c r="R14" s="583"/>
    </row>
    <row r="15">
      <c r="A15" s="583"/>
      <c r="B15" s="583"/>
      <c r="C15" s="583"/>
      <c r="D15" s="583"/>
      <c r="E15" s="583"/>
      <c r="F15" s="586" t="s">
        <v>20027</v>
      </c>
      <c r="G15" s="591" t="s">
        <v>20028</v>
      </c>
      <c r="H15" s="583" t="s">
        <v>20003</v>
      </c>
      <c r="I15" s="583"/>
      <c r="J15" s="583" t="s">
        <v>3542</v>
      </c>
      <c r="K15" s="583"/>
      <c r="L15" s="583"/>
      <c r="M15" s="583"/>
      <c r="N15" s="583"/>
      <c r="O15" s="583"/>
      <c r="P15" s="583"/>
      <c r="Q15" s="583"/>
      <c r="R15" s="583"/>
    </row>
  </sheetData>
  <hyperlinks>
    <hyperlink r:id="rId1" ref="F2"/>
    <hyperlink r:id="rId2" ref="I2"/>
    <hyperlink r:id="rId3" ref="F3"/>
    <hyperlink r:id="rId4" ref="F4"/>
    <hyperlink r:id="rId5" ref="I4"/>
    <hyperlink r:id="rId6" ref="F5"/>
    <hyperlink r:id="rId7" ref="F6"/>
    <hyperlink r:id="rId8" ref="F7"/>
    <hyperlink r:id="rId9" ref="I7"/>
    <hyperlink r:id="rId10" ref="F8"/>
    <hyperlink r:id="rId11" ref="F9"/>
    <hyperlink r:id="rId12" ref="F10"/>
    <hyperlink r:id="rId13" ref="F11"/>
    <hyperlink r:id="rId14" ref="F12"/>
    <hyperlink r:id="rId15" ref="F13"/>
    <hyperlink r:id="rId16" ref="F14"/>
    <hyperlink r:id="rId17" ref="F15"/>
  </hyperlinks>
  <drawing r:id="rId1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6.89"/>
    <col customWidth="1" min="2" max="2" width="17.89"/>
    <col customWidth="1" min="3" max="4" width="7.67"/>
    <col customWidth="1" min="5" max="5" width="9.89"/>
    <col customWidth="1" min="6" max="6" width="9.0"/>
    <col customWidth="1" min="7" max="7" width="8.0"/>
    <col customWidth="1" min="8" max="8" width="12.44"/>
    <col customWidth="1" min="12" max="12" width="19.0"/>
    <col customWidth="1" min="13" max="13" width="30.0"/>
    <col customWidth="1" min="14" max="15" width="5.22"/>
    <col customWidth="1" min="16" max="16" width="5.11"/>
    <col customWidth="1" min="17" max="17" width="5.89"/>
    <col customWidth="1" min="18" max="18" width="13.89"/>
    <col customWidth="1" min="19" max="19" width="24.67"/>
    <col customWidth="1" min="20" max="20" width="28.11"/>
    <col customWidth="1" min="22" max="22" width="22.11"/>
    <col customWidth="1" min="25" max="25" width="14.0"/>
    <col customWidth="1" hidden="1" min="29" max="29" width="4.11"/>
    <col customWidth="1" hidden="1" min="30" max="30" width="4.33"/>
    <col customWidth="1" hidden="1" min="31" max="31" width="4.11"/>
    <col customWidth="1" hidden="1" min="32" max="32" width="4.22"/>
    <col customWidth="1" hidden="1" min="33" max="33" width="3.67"/>
    <col customWidth="1" hidden="1" min="34" max="34" width="3.78"/>
    <col customWidth="1" min="37" max="37" width="17.89"/>
    <col customWidth="1" min="38" max="38" width="7.78"/>
    <col customWidth="1" min="39" max="39" width="11.33"/>
  </cols>
  <sheetData>
    <row r="1">
      <c r="A1" s="596" t="s">
        <v>20029</v>
      </c>
      <c r="B1" s="597"/>
      <c r="C1" s="3" t="s">
        <v>0</v>
      </c>
      <c r="D1" s="4"/>
      <c r="E1" s="598"/>
      <c r="F1" s="5" t="s">
        <v>1</v>
      </c>
      <c r="G1" s="599"/>
      <c r="H1" s="599"/>
      <c r="I1" s="7"/>
      <c r="J1" s="7"/>
      <c r="K1" s="7"/>
      <c r="L1" s="14" t="s">
        <v>2</v>
      </c>
      <c r="M1" s="10" t="s">
        <v>3</v>
      </c>
      <c r="N1" s="11" t="s">
        <v>4</v>
      </c>
      <c r="O1" s="2"/>
      <c r="P1" s="2"/>
      <c r="Q1" s="2"/>
      <c r="R1" s="2"/>
      <c r="S1" s="600"/>
      <c r="T1" s="601" t="s">
        <v>7</v>
      </c>
      <c r="U1" s="15" t="s">
        <v>8</v>
      </c>
      <c r="V1" s="7"/>
      <c r="W1" s="602" t="s">
        <v>12</v>
      </c>
      <c r="X1" s="18" t="s">
        <v>7</v>
      </c>
      <c r="Y1" s="19"/>
      <c r="Z1" s="20" t="s">
        <v>10</v>
      </c>
      <c r="AA1" s="20" t="s">
        <v>10</v>
      </c>
      <c r="AB1" s="20"/>
      <c r="AC1" s="19"/>
      <c r="AD1" s="19"/>
      <c r="AE1" s="19"/>
      <c r="AF1" s="19"/>
      <c r="AG1" s="19"/>
      <c r="AH1" s="19"/>
      <c r="AI1" s="19"/>
      <c r="AJ1" s="603"/>
      <c r="AK1" s="604" t="s">
        <v>11</v>
      </c>
      <c r="AL1" s="605" t="s">
        <v>13</v>
      </c>
      <c r="AM1" s="606"/>
    </row>
    <row r="2" ht="38.25" customHeight="1">
      <c r="A2" s="607" t="s">
        <v>14</v>
      </c>
      <c r="B2" s="608"/>
      <c r="C2" s="609" t="s">
        <v>16</v>
      </c>
      <c r="D2" s="610" t="s">
        <v>17</v>
      </c>
      <c r="E2" s="611" t="s">
        <v>18</v>
      </c>
      <c r="F2" s="612" t="s">
        <v>19</v>
      </c>
      <c r="G2" s="613"/>
      <c r="H2" s="613" t="s">
        <v>20030</v>
      </c>
      <c r="I2" s="614" t="s">
        <v>20</v>
      </c>
      <c r="J2" s="615" t="s">
        <v>21</v>
      </c>
      <c r="K2" s="615" t="s">
        <v>22</v>
      </c>
      <c r="L2" s="616" t="s">
        <v>23</v>
      </c>
      <c r="M2" s="617" t="s">
        <v>24</v>
      </c>
      <c r="N2" s="618" t="s">
        <v>25</v>
      </c>
      <c r="O2" s="619" t="s">
        <v>26</v>
      </c>
      <c r="P2" s="619" t="s">
        <v>27</v>
      </c>
      <c r="Q2" s="619" t="s">
        <v>28</v>
      </c>
      <c r="R2" s="619" t="s">
        <v>19995</v>
      </c>
      <c r="S2" s="620" t="s">
        <v>20031</v>
      </c>
      <c r="T2" s="621" t="s">
        <v>34</v>
      </c>
      <c r="U2" s="622" t="s">
        <v>35</v>
      </c>
      <c r="V2" s="614" t="s">
        <v>36</v>
      </c>
      <c r="W2" s="623" t="s">
        <v>37</v>
      </c>
      <c r="X2" s="624" t="s">
        <v>38</v>
      </c>
      <c r="Y2" s="624" t="s">
        <v>39</v>
      </c>
      <c r="Z2" s="624" t="s">
        <v>40</v>
      </c>
      <c r="AA2" s="624" t="s">
        <v>41</v>
      </c>
      <c r="AB2" s="624"/>
      <c r="AC2" s="625" t="s">
        <v>42</v>
      </c>
      <c r="AD2" s="625" t="s">
        <v>43</v>
      </c>
      <c r="AE2" s="625" t="s">
        <v>44</v>
      </c>
      <c r="AF2" s="625" t="s">
        <v>45</v>
      </c>
      <c r="AG2" s="625" t="s">
        <v>46</v>
      </c>
      <c r="AH2" s="625" t="s">
        <v>47</v>
      </c>
      <c r="AI2" s="624" t="s">
        <v>48</v>
      </c>
      <c r="AJ2" s="626" t="s">
        <v>49</v>
      </c>
      <c r="AK2" s="627" t="s">
        <v>50</v>
      </c>
      <c r="AL2" s="628" t="s">
        <v>60</v>
      </c>
      <c r="AM2" s="629" t="s">
        <v>61</v>
      </c>
    </row>
    <row r="3">
      <c r="A3" s="630" t="s">
        <v>20032</v>
      </c>
      <c r="C3" s="631" t="s">
        <v>20033</v>
      </c>
      <c r="D3" s="632" t="s">
        <v>20034</v>
      </c>
      <c r="E3" s="633" t="s">
        <v>20035</v>
      </c>
      <c r="F3" s="634">
        <v>1.0</v>
      </c>
      <c r="G3" s="634" t="s">
        <v>47</v>
      </c>
      <c r="H3" s="635" t="s">
        <v>20036</v>
      </c>
      <c r="I3" s="632" t="s">
        <v>20037</v>
      </c>
      <c r="J3" s="632" t="s">
        <v>66</v>
      </c>
      <c r="K3" s="632" t="s">
        <v>20038</v>
      </c>
      <c r="L3" s="636" t="s">
        <v>20039</v>
      </c>
      <c r="M3" s="632" t="s">
        <v>20040</v>
      </c>
      <c r="N3" s="631" t="s">
        <v>20041</v>
      </c>
      <c r="O3" s="632" t="s">
        <v>20041</v>
      </c>
      <c r="P3" s="632" t="s">
        <v>20041</v>
      </c>
      <c r="Q3" s="632" t="s">
        <v>20041</v>
      </c>
      <c r="R3" s="632" t="s">
        <v>20042</v>
      </c>
      <c r="S3" s="633" t="s">
        <v>20043</v>
      </c>
      <c r="T3" s="632" t="s">
        <v>20044</v>
      </c>
      <c r="U3" s="631" t="s">
        <v>20045</v>
      </c>
      <c r="V3" s="637" t="s">
        <v>74</v>
      </c>
      <c r="W3" s="638"/>
      <c r="X3" s="632" t="s">
        <v>9879</v>
      </c>
      <c r="Y3" s="632"/>
      <c r="Z3" s="632" t="s">
        <v>20046</v>
      </c>
      <c r="AA3" s="492" t="s">
        <v>20047</v>
      </c>
      <c r="AB3" s="632"/>
      <c r="AC3" s="639"/>
      <c r="AD3" s="639"/>
      <c r="AE3" s="639"/>
      <c r="AF3" s="639"/>
      <c r="AG3" s="639"/>
      <c r="AH3" s="639"/>
      <c r="AI3" s="632" t="s">
        <v>20048</v>
      </c>
      <c r="AJ3" s="632" t="s">
        <v>20049</v>
      </c>
      <c r="AK3" s="636" t="s">
        <v>20050</v>
      </c>
      <c r="AL3" s="632" t="s">
        <v>20051</v>
      </c>
      <c r="AM3" s="632" t="s">
        <v>20052</v>
      </c>
    </row>
    <row r="4">
      <c r="A4" s="640" t="s">
        <v>20053</v>
      </c>
      <c r="B4" s="632" t="s">
        <v>20054</v>
      </c>
      <c r="C4" s="641"/>
      <c r="D4" s="639"/>
      <c r="E4" s="638"/>
      <c r="F4" s="642">
        <v>2.0</v>
      </c>
      <c r="G4" s="642" t="s">
        <v>20055</v>
      </c>
      <c r="H4" s="643" t="s">
        <v>20056</v>
      </c>
      <c r="I4" s="639"/>
      <c r="J4" s="632" t="s">
        <v>5368</v>
      </c>
      <c r="K4" s="644" t="s">
        <v>20057</v>
      </c>
      <c r="L4" s="645"/>
      <c r="M4" s="632" t="s">
        <v>20058</v>
      </c>
      <c r="N4" s="641"/>
      <c r="O4" s="639"/>
      <c r="P4" s="639"/>
      <c r="Q4" s="639"/>
      <c r="R4" s="639"/>
      <c r="S4" s="638"/>
      <c r="T4" s="632" t="s">
        <v>20059</v>
      </c>
      <c r="U4" s="641"/>
      <c r="V4" s="646" t="s">
        <v>5904</v>
      </c>
      <c r="W4" s="638"/>
      <c r="X4" s="632" t="s">
        <v>5504</v>
      </c>
      <c r="Y4" s="632" t="s">
        <v>20060</v>
      </c>
      <c r="Z4" s="639"/>
      <c r="AA4" s="647" t="s">
        <v>20061</v>
      </c>
      <c r="AB4" s="648"/>
      <c r="AC4" s="639"/>
      <c r="AD4" s="639"/>
      <c r="AE4" s="639"/>
      <c r="AF4" s="639"/>
      <c r="AG4" s="639"/>
      <c r="AH4" s="639"/>
      <c r="AI4" s="639"/>
      <c r="AJ4" s="639"/>
      <c r="AK4" s="645"/>
      <c r="AL4" s="639"/>
      <c r="AM4" s="632" t="s">
        <v>20062</v>
      </c>
    </row>
    <row r="5">
      <c r="A5" s="520"/>
      <c r="B5" s="632" t="s">
        <v>20063</v>
      </c>
      <c r="C5" s="641"/>
      <c r="D5" s="639"/>
      <c r="E5" s="638"/>
      <c r="F5" s="649">
        <v>3.0</v>
      </c>
      <c r="G5" s="649" t="s">
        <v>20064</v>
      </c>
      <c r="H5" s="650" t="s">
        <v>20065</v>
      </c>
      <c r="I5" s="639"/>
      <c r="J5" s="632" t="s">
        <v>20066</v>
      </c>
      <c r="K5" s="639"/>
      <c r="L5" s="645"/>
      <c r="M5" s="639"/>
      <c r="N5" s="641"/>
      <c r="O5" s="639"/>
      <c r="P5" s="639"/>
      <c r="Q5" s="639"/>
      <c r="R5" s="639"/>
      <c r="S5" s="638"/>
      <c r="T5" s="639"/>
      <c r="U5" s="641"/>
      <c r="V5" s="651" t="s">
        <v>3546</v>
      </c>
      <c r="W5" s="638"/>
      <c r="X5" s="639"/>
      <c r="Y5" s="632" t="s">
        <v>20067</v>
      </c>
      <c r="Z5" s="639"/>
      <c r="AA5" s="61" t="s">
        <v>20068</v>
      </c>
      <c r="AB5" s="648"/>
      <c r="AC5" s="639"/>
      <c r="AD5" s="639"/>
      <c r="AE5" s="639"/>
      <c r="AF5" s="639"/>
      <c r="AG5" s="639"/>
      <c r="AH5" s="639"/>
      <c r="AI5" s="639"/>
      <c r="AJ5" s="639"/>
      <c r="AK5" s="645"/>
      <c r="AL5" s="639"/>
      <c r="AM5" s="632" t="s">
        <v>20069</v>
      </c>
    </row>
    <row r="6">
      <c r="A6" s="652"/>
      <c r="B6" s="632" t="s">
        <v>20070</v>
      </c>
      <c r="C6" s="641"/>
      <c r="D6" s="639"/>
      <c r="E6" s="638"/>
      <c r="F6" s="653">
        <v>4.0</v>
      </c>
      <c r="G6" s="653" t="s">
        <v>20071</v>
      </c>
      <c r="H6" s="654"/>
      <c r="I6" s="639"/>
      <c r="J6" s="632" t="s">
        <v>20072</v>
      </c>
      <c r="K6" s="639"/>
      <c r="L6" s="645"/>
      <c r="M6" s="639"/>
      <c r="N6" s="641"/>
      <c r="O6" s="639"/>
      <c r="P6" s="639"/>
      <c r="Q6" s="639"/>
      <c r="R6" s="639"/>
      <c r="S6" s="638"/>
      <c r="T6" s="639"/>
      <c r="U6" s="641"/>
      <c r="V6" s="646" t="s">
        <v>8546</v>
      </c>
      <c r="W6" s="638"/>
      <c r="X6" s="639"/>
      <c r="Y6" s="632" t="s">
        <v>20073</v>
      </c>
      <c r="Z6" s="639"/>
      <c r="AA6" s="61" t="s">
        <v>10251</v>
      </c>
      <c r="AB6" s="639"/>
      <c r="AC6" s="639"/>
      <c r="AD6" s="639"/>
      <c r="AE6" s="639"/>
      <c r="AF6" s="639"/>
      <c r="AG6" s="639"/>
      <c r="AH6" s="639"/>
      <c r="AI6" s="639"/>
      <c r="AJ6" s="639"/>
      <c r="AK6" s="645"/>
      <c r="AL6" s="639"/>
      <c r="AM6" s="104" t="s">
        <v>20074</v>
      </c>
    </row>
    <row r="7">
      <c r="A7" s="527"/>
      <c r="B7" s="632" t="s">
        <v>20075</v>
      </c>
      <c r="C7" s="641"/>
      <c r="D7" s="639"/>
      <c r="E7" s="638"/>
      <c r="F7" s="655">
        <v>5.0</v>
      </c>
      <c r="G7" s="655" t="s">
        <v>20076</v>
      </c>
      <c r="H7" s="656" t="s">
        <v>20077</v>
      </c>
      <c r="I7" s="639"/>
      <c r="J7" s="632" t="s">
        <v>20078</v>
      </c>
      <c r="K7" s="639"/>
      <c r="L7" s="645"/>
      <c r="M7" s="639"/>
      <c r="N7" s="641"/>
      <c r="O7" s="639"/>
      <c r="P7" s="639"/>
      <c r="Q7" s="639"/>
      <c r="R7" s="639"/>
      <c r="S7" s="638"/>
      <c r="T7" s="639"/>
      <c r="U7" s="641"/>
      <c r="V7" s="646" t="s">
        <v>7695</v>
      </c>
      <c r="W7" s="638"/>
      <c r="X7" s="639"/>
      <c r="Y7" s="639"/>
      <c r="Z7" s="639"/>
      <c r="AA7" s="632" t="s">
        <v>20079</v>
      </c>
      <c r="AB7" s="639"/>
      <c r="AC7" s="639"/>
      <c r="AD7" s="639"/>
      <c r="AE7" s="639"/>
      <c r="AF7" s="639"/>
      <c r="AG7" s="639"/>
      <c r="AH7" s="639"/>
      <c r="AI7" s="639"/>
      <c r="AJ7" s="639"/>
      <c r="AK7" s="645"/>
      <c r="AL7" s="639"/>
      <c r="AM7" s="639"/>
    </row>
    <row r="8">
      <c r="C8" s="641"/>
      <c r="D8" s="639"/>
      <c r="E8" s="638"/>
      <c r="F8" s="657" t="s">
        <v>20080</v>
      </c>
      <c r="G8" s="639"/>
      <c r="H8" s="639"/>
      <c r="I8" s="639"/>
      <c r="J8" s="639"/>
      <c r="K8" s="639"/>
      <c r="L8" s="645"/>
      <c r="M8" s="639"/>
      <c r="N8" s="641"/>
      <c r="O8" s="639"/>
      <c r="P8" s="639"/>
      <c r="Q8" s="639"/>
      <c r="R8" s="639"/>
      <c r="S8" s="638"/>
      <c r="T8" s="639"/>
      <c r="U8" s="641"/>
      <c r="V8" s="646" t="s">
        <v>7571</v>
      </c>
      <c r="W8" s="638"/>
      <c r="X8" s="639"/>
      <c r="Y8" s="639"/>
      <c r="Z8" s="639"/>
      <c r="AA8" s="61" t="s">
        <v>20081</v>
      </c>
      <c r="AB8" s="639"/>
      <c r="AC8" s="639"/>
      <c r="AD8" s="639"/>
      <c r="AE8" s="639"/>
      <c r="AF8" s="639"/>
      <c r="AG8" s="639"/>
      <c r="AH8" s="639"/>
      <c r="AI8" s="639"/>
      <c r="AJ8" s="639"/>
      <c r="AK8" s="645"/>
      <c r="AL8" s="639"/>
      <c r="AM8" s="639"/>
    </row>
    <row r="9">
      <c r="A9" s="630" t="s">
        <v>20082</v>
      </c>
      <c r="C9" s="658"/>
      <c r="D9" s="659"/>
      <c r="E9" s="660"/>
      <c r="F9" s="659"/>
      <c r="G9" s="659"/>
      <c r="H9" s="659"/>
      <c r="I9" s="659"/>
      <c r="J9" s="659"/>
      <c r="K9" s="659"/>
      <c r="L9" s="661"/>
      <c r="M9" s="659"/>
      <c r="N9" s="658"/>
      <c r="O9" s="659"/>
      <c r="P9" s="659"/>
      <c r="Q9" s="659"/>
      <c r="R9" s="659"/>
      <c r="S9" s="660"/>
      <c r="T9" s="659"/>
      <c r="U9" s="658"/>
      <c r="V9" s="646" t="s">
        <v>6641</v>
      </c>
      <c r="W9" s="660"/>
      <c r="X9" s="659"/>
      <c r="Y9" s="659"/>
      <c r="Z9" s="659"/>
      <c r="AA9" s="61" t="s">
        <v>20083</v>
      </c>
      <c r="AB9" s="659"/>
      <c r="AC9" s="659"/>
      <c r="AD9" s="659"/>
      <c r="AE9" s="659"/>
      <c r="AF9" s="659"/>
      <c r="AG9" s="659"/>
      <c r="AH9" s="659"/>
      <c r="AI9" s="659"/>
      <c r="AJ9" s="659"/>
      <c r="AK9" s="661"/>
      <c r="AL9" s="659"/>
      <c r="AM9" s="659"/>
    </row>
    <row r="10">
      <c r="A10" s="525"/>
      <c r="B10" s="632" t="s">
        <v>20084</v>
      </c>
      <c r="C10" s="662"/>
      <c r="E10" s="663"/>
      <c r="L10" s="316"/>
      <c r="N10" s="662"/>
      <c r="S10" s="663"/>
      <c r="U10" s="662"/>
      <c r="V10" s="664" t="s">
        <v>6014</v>
      </c>
      <c r="W10" s="663"/>
      <c r="AA10" s="492" t="s">
        <v>20085</v>
      </c>
      <c r="AK10" s="316"/>
    </row>
    <row r="11">
      <c r="A11" s="518"/>
      <c r="B11" s="632" t="s">
        <v>20084</v>
      </c>
      <c r="C11" s="662"/>
      <c r="E11" s="663"/>
      <c r="L11" s="316"/>
      <c r="N11" s="662"/>
      <c r="S11" s="663"/>
      <c r="U11" s="662"/>
      <c r="V11" s="665" t="s">
        <v>10760</v>
      </c>
      <c r="W11" s="663"/>
      <c r="AA11" s="492" t="s">
        <v>20086</v>
      </c>
      <c r="AK11" s="316"/>
    </row>
    <row r="12">
      <c r="A12" s="666"/>
      <c r="B12" s="61" t="s">
        <v>20087</v>
      </c>
      <c r="C12" s="662"/>
      <c r="E12" s="663"/>
      <c r="L12" s="316"/>
      <c r="N12" s="662"/>
      <c r="S12" s="663"/>
      <c r="U12" s="662"/>
      <c r="V12" s="71" t="s">
        <v>12840</v>
      </c>
      <c r="W12" s="663"/>
      <c r="AK12" s="316"/>
    </row>
    <row r="13">
      <c r="A13" s="667"/>
      <c r="B13" s="632" t="s">
        <v>20088</v>
      </c>
      <c r="C13" s="662"/>
      <c r="E13" s="663"/>
      <c r="L13" s="316"/>
      <c r="N13" s="662"/>
      <c r="S13" s="663"/>
      <c r="U13" s="662"/>
      <c r="W13" s="663"/>
      <c r="AA13" s="668" t="s">
        <v>20089</v>
      </c>
      <c r="AK13" s="316"/>
    </row>
    <row r="14">
      <c r="A14" s="662"/>
      <c r="C14" s="662"/>
      <c r="E14" s="663"/>
      <c r="L14" s="316"/>
      <c r="N14" s="662"/>
      <c r="S14" s="663"/>
      <c r="U14" s="662"/>
      <c r="W14" s="663"/>
      <c r="AA14" s="61" t="s">
        <v>20090</v>
      </c>
      <c r="AK14" s="316"/>
    </row>
    <row r="15">
      <c r="C15" s="662"/>
      <c r="E15" s="663"/>
      <c r="L15" s="316"/>
      <c r="N15" s="662"/>
      <c r="S15" s="663"/>
      <c r="U15" s="662"/>
      <c r="W15" s="663"/>
      <c r="AA15" s="61" t="s">
        <v>5904</v>
      </c>
      <c r="AK15" s="316"/>
    </row>
    <row r="16">
      <c r="AA16" s="61" t="s">
        <v>10396</v>
      </c>
    </row>
    <row r="17">
      <c r="A17" s="662"/>
      <c r="AA17" s="61" t="s">
        <v>20091</v>
      </c>
    </row>
    <row r="18">
      <c r="A18" s="662"/>
      <c r="AA18" s="61" t="s">
        <v>20092</v>
      </c>
    </row>
    <row r="19">
      <c r="A19" s="662"/>
      <c r="AA19" s="61" t="s">
        <v>20093</v>
      </c>
    </row>
    <row r="20">
      <c r="A20" s="662"/>
      <c r="AA20" s="61" t="s">
        <v>10049</v>
      </c>
    </row>
    <row r="21">
      <c r="A21" s="662"/>
      <c r="V21" s="492" t="s">
        <v>20094</v>
      </c>
      <c r="AA21" s="492" t="s">
        <v>20086</v>
      </c>
    </row>
    <row r="22">
      <c r="A22" s="662"/>
      <c r="V22" s="637" t="s">
        <v>20095</v>
      </c>
    </row>
    <row r="23">
      <c r="A23" s="662"/>
      <c r="V23" s="637" t="s">
        <v>20096</v>
      </c>
      <c r="AA23" s="668" t="s">
        <v>20097</v>
      </c>
    </row>
    <row r="24">
      <c r="A24" s="662"/>
      <c r="V24" s="630" t="s">
        <v>9711</v>
      </c>
      <c r="AA24" s="61" t="s">
        <v>20098</v>
      </c>
    </row>
    <row r="25">
      <c r="A25" s="662"/>
      <c r="V25" s="630" t="s">
        <v>811</v>
      </c>
      <c r="AA25" s="61" t="s">
        <v>20099</v>
      </c>
    </row>
    <row r="26">
      <c r="A26" s="662"/>
      <c r="V26" s="630" t="s">
        <v>19290</v>
      </c>
      <c r="AA26" s="61" t="s">
        <v>20100</v>
      </c>
    </row>
    <row r="27">
      <c r="A27" s="662"/>
      <c r="V27" s="646" t="s">
        <v>8546</v>
      </c>
      <c r="AA27" s="669" t="s">
        <v>20101</v>
      </c>
    </row>
    <row r="28">
      <c r="A28" s="662"/>
      <c r="V28" s="646" t="s">
        <v>7571</v>
      </c>
      <c r="AA28" s="61" t="s">
        <v>20102</v>
      </c>
    </row>
    <row r="29">
      <c r="A29" s="662"/>
      <c r="V29" s="646" t="s">
        <v>6641</v>
      </c>
      <c r="AA29" s="61" t="s">
        <v>20103</v>
      </c>
    </row>
    <row r="30">
      <c r="A30" s="662"/>
      <c r="V30" s="664" t="s">
        <v>6014</v>
      </c>
      <c r="AA30" s="492" t="s">
        <v>20104</v>
      </c>
    </row>
    <row r="31">
      <c r="A31" s="662"/>
      <c r="V31" s="71" t="s">
        <v>12840</v>
      </c>
      <c r="AA31" s="492" t="s">
        <v>20105</v>
      </c>
    </row>
    <row r="32">
      <c r="A32" s="662"/>
      <c r="AA32" s="492" t="s">
        <v>20106</v>
      </c>
    </row>
    <row r="33">
      <c r="A33" s="662"/>
      <c r="AA33" s="492" t="s">
        <v>20086</v>
      </c>
    </row>
    <row r="34">
      <c r="A34" s="662"/>
    </row>
    <row r="35">
      <c r="A35" s="662"/>
      <c r="AA35" s="668" t="s">
        <v>20107</v>
      </c>
    </row>
    <row r="36">
      <c r="A36" s="662"/>
      <c r="AA36" s="492" t="s">
        <v>20108</v>
      </c>
    </row>
    <row r="37">
      <c r="A37" s="662"/>
      <c r="AA37" s="492" t="s">
        <v>20109</v>
      </c>
    </row>
    <row r="38">
      <c r="A38" s="662"/>
      <c r="I38" s="670"/>
      <c r="J38" s="670"/>
      <c r="K38" s="671"/>
      <c r="AA38" s="492" t="s">
        <v>20110</v>
      </c>
    </row>
    <row r="39">
      <c r="A39" s="662"/>
      <c r="I39" s="671"/>
      <c r="J39" s="672"/>
      <c r="K39" s="671"/>
      <c r="M39" s="254"/>
      <c r="AA39" s="492" t="s">
        <v>20111</v>
      </c>
    </row>
    <row r="40">
      <c r="A40" s="662"/>
      <c r="I40" s="671"/>
      <c r="J40" s="672"/>
      <c r="K40" s="671"/>
      <c r="M40" s="254"/>
      <c r="AA40" s="492" t="s">
        <v>20112</v>
      </c>
    </row>
    <row r="41">
      <c r="A41" s="662"/>
      <c r="I41" s="671"/>
      <c r="J41" s="672"/>
      <c r="K41" s="671"/>
      <c r="M41" s="254"/>
      <c r="AA41" s="492" t="s">
        <v>20113</v>
      </c>
    </row>
    <row r="42">
      <c r="A42" s="662"/>
      <c r="I42" s="671"/>
      <c r="J42" s="672"/>
      <c r="K42" s="671"/>
      <c r="M42" s="254"/>
      <c r="AA42" s="492" t="s">
        <v>20114</v>
      </c>
    </row>
    <row r="43">
      <c r="A43" s="662"/>
      <c r="I43" s="671"/>
      <c r="J43" s="672"/>
      <c r="K43" s="671"/>
      <c r="M43" s="254"/>
      <c r="AA43" s="492" t="s">
        <v>20115</v>
      </c>
    </row>
    <row r="44">
      <c r="A44" s="662"/>
      <c r="AA44" s="492" t="s">
        <v>20116</v>
      </c>
    </row>
    <row r="45">
      <c r="A45" s="662"/>
      <c r="I45" s="673"/>
      <c r="J45" s="673"/>
      <c r="L45" s="673"/>
      <c r="AA45" s="492" t="s">
        <v>20117</v>
      </c>
    </row>
    <row r="46">
      <c r="A46" s="662"/>
    </row>
    <row r="47">
      <c r="A47" s="662"/>
      <c r="I47" s="199"/>
      <c r="J47" s="199"/>
    </row>
    <row r="48">
      <c r="A48" s="662"/>
      <c r="I48" s="674"/>
      <c r="J48" s="674"/>
    </row>
    <row r="49">
      <c r="A49" s="662"/>
      <c r="I49" s="675"/>
      <c r="J49" s="675"/>
    </row>
    <row r="50">
      <c r="A50" s="662"/>
      <c r="I50" s="674"/>
      <c r="J50" s="674"/>
    </row>
    <row r="51">
      <c r="A51" s="662"/>
      <c r="I51" s="674"/>
      <c r="J51" s="674"/>
    </row>
    <row r="52">
      <c r="A52" s="662"/>
      <c r="I52" s="674"/>
      <c r="J52" s="674"/>
    </row>
    <row r="53">
      <c r="A53" s="662"/>
      <c r="I53" s="674"/>
      <c r="J53" s="674"/>
    </row>
    <row r="54">
      <c r="A54" s="662"/>
      <c r="I54" s="91"/>
      <c r="J54" s="91"/>
    </row>
    <row r="55">
      <c r="A55" s="662"/>
    </row>
    <row r="56">
      <c r="A56" s="662"/>
    </row>
    <row r="57">
      <c r="A57" s="662"/>
    </row>
    <row r="58">
      <c r="A58" s="662"/>
    </row>
    <row r="59">
      <c r="A59" s="662"/>
    </row>
    <row r="60">
      <c r="A60" s="662"/>
    </row>
    <row r="61">
      <c r="A61" s="662"/>
    </row>
    <row r="62">
      <c r="A62" s="662"/>
    </row>
    <row r="63">
      <c r="A63" s="662"/>
    </row>
    <row r="64">
      <c r="A64" s="662"/>
    </row>
    <row r="65">
      <c r="A65" s="662"/>
    </row>
    <row r="66">
      <c r="A66" s="662"/>
      <c r="AA66" s="676"/>
    </row>
    <row r="67">
      <c r="A67" s="662"/>
      <c r="AA67" s="677"/>
    </row>
    <row r="68">
      <c r="A68" s="662"/>
      <c r="AA68" s="677"/>
    </row>
    <row r="69">
      <c r="A69" s="662"/>
    </row>
    <row r="70">
      <c r="A70" s="662"/>
    </row>
    <row r="71">
      <c r="A71" s="662"/>
    </row>
    <row r="72">
      <c r="A72" s="662"/>
    </row>
    <row r="73">
      <c r="A73" s="662"/>
    </row>
    <row r="74">
      <c r="A74" s="662"/>
    </row>
    <row r="75">
      <c r="A75" s="662"/>
    </row>
    <row r="76">
      <c r="A76" s="662"/>
    </row>
    <row r="77">
      <c r="A77" s="662"/>
    </row>
    <row r="78">
      <c r="A78" s="662"/>
    </row>
    <row r="79">
      <c r="A79" s="662"/>
    </row>
    <row r="80">
      <c r="A80" s="662"/>
    </row>
    <row r="81">
      <c r="A81" s="662"/>
    </row>
    <row r="82">
      <c r="A82" s="662"/>
    </row>
    <row r="83">
      <c r="A83" s="662"/>
    </row>
    <row r="84">
      <c r="A84" s="662"/>
    </row>
    <row r="85">
      <c r="A85" s="662"/>
    </row>
    <row r="86">
      <c r="A86" s="662"/>
    </row>
    <row r="87">
      <c r="A87" s="662"/>
    </row>
    <row r="88">
      <c r="A88" s="662"/>
    </row>
    <row r="89">
      <c r="A89" s="662"/>
    </row>
    <row r="90">
      <c r="A90" s="662"/>
    </row>
    <row r="91">
      <c r="A91" s="662"/>
    </row>
    <row r="92">
      <c r="A92" s="662"/>
    </row>
    <row r="93">
      <c r="A93" s="662"/>
    </row>
    <row r="94">
      <c r="A94" s="662"/>
    </row>
    <row r="95">
      <c r="A95" s="662"/>
    </row>
    <row r="96">
      <c r="A96" s="662"/>
    </row>
    <row r="97">
      <c r="A97" s="662"/>
    </row>
    <row r="98">
      <c r="A98" s="662"/>
    </row>
    <row r="99">
      <c r="A99" s="662"/>
    </row>
    <row r="100">
      <c r="A100" s="662"/>
    </row>
    <row r="101">
      <c r="A101" s="662"/>
    </row>
    <row r="102">
      <c r="A102" s="662"/>
    </row>
    <row r="103">
      <c r="A103" s="662"/>
    </row>
    <row r="104">
      <c r="A104" s="662"/>
    </row>
    <row r="105">
      <c r="A105" s="662"/>
    </row>
    <row r="106">
      <c r="A106" s="662"/>
    </row>
    <row r="107">
      <c r="A107" s="662"/>
    </row>
    <row r="108">
      <c r="A108" s="662"/>
    </row>
    <row r="109">
      <c r="A109" s="662"/>
    </row>
    <row r="110">
      <c r="A110" s="662"/>
    </row>
    <row r="111">
      <c r="A111" s="662"/>
    </row>
    <row r="112">
      <c r="A112" s="662"/>
    </row>
    <row r="113">
      <c r="A113" s="662"/>
    </row>
    <row r="114">
      <c r="A114" s="662"/>
    </row>
    <row r="115">
      <c r="A115" s="662"/>
    </row>
    <row r="116">
      <c r="A116" s="662"/>
    </row>
    <row r="117">
      <c r="A117" s="662"/>
    </row>
    <row r="118">
      <c r="A118" s="662"/>
    </row>
    <row r="119">
      <c r="A119" s="662"/>
    </row>
    <row r="120">
      <c r="A120" s="662"/>
    </row>
    <row r="121">
      <c r="A121" s="662"/>
    </row>
    <row r="122">
      <c r="A122" s="662"/>
    </row>
    <row r="123">
      <c r="A123" s="662"/>
    </row>
    <row r="124">
      <c r="A124" s="662"/>
    </row>
    <row r="125">
      <c r="A125" s="662"/>
    </row>
    <row r="126">
      <c r="A126" s="662"/>
    </row>
    <row r="127">
      <c r="A127" s="662"/>
    </row>
    <row r="128">
      <c r="A128" s="662"/>
    </row>
    <row r="129">
      <c r="A129" s="662"/>
    </row>
    <row r="130">
      <c r="A130" s="662"/>
    </row>
    <row r="131">
      <c r="A131" s="662"/>
    </row>
    <row r="132">
      <c r="A132" s="662"/>
    </row>
    <row r="133">
      <c r="A133" s="662"/>
    </row>
    <row r="134">
      <c r="A134" s="662"/>
    </row>
    <row r="135">
      <c r="A135" s="662"/>
    </row>
    <row r="136">
      <c r="A136" s="662"/>
    </row>
    <row r="137">
      <c r="A137" s="662"/>
    </row>
    <row r="138">
      <c r="A138" s="662"/>
    </row>
    <row r="139">
      <c r="A139" s="662"/>
    </row>
    <row r="140">
      <c r="A140" s="662"/>
    </row>
    <row r="141">
      <c r="A141" s="662"/>
    </row>
    <row r="142">
      <c r="A142" s="662"/>
    </row>
    <row r="143">
      <c r="A143" s="662"/>
    </row>
    <row r="144">
      <c r="A144" s="662"/>
    </row>
    <row r="145">
      <c r="A145" s="662"/>
    </row>
    <row r="146">
      <c r="A146" s="662"/>
    </row>
    <row r="147">
      <c r="A147" s="662"/>
    </row>
    <row r="148">
      <c r="A148" s="662"/>
    </row>
    <row r="149">
      <c r="A149" s="662"/>
    </row>
    <row r="150">
      <c r="A150" s="662"/>
    </row>
    <row r="151">
      <c r="A151" s="662"/>
    </row>
    <row r="152">
      <c r="A152" s="662"/>
    </row>
    <row r="153">
      <c r="A153" s="662"/>
    </row>
    <row r="154">
      <c r="A154" s="662"/>
    </row>
    <row r="155">
      <c r="A155" s="662"/>
    </row>
    <row r="156">
      <c r="A156" s="662"/>
    </row>
    <row r="157">
      <c r="A157" s="662"/>
    </row>
    <row r="158">
      <c r="A158" s="662"/>
    </row>
    <row r="159">
      <c r="A159" s="662"/>
    </row>
    <row r="160">
      <c r="A160" s="662"/>
    </row>
    <row r="161">
      <c r="A161" s="662"/>
    </row>
    <row r="162">
      <c r="A162" s="662"/>
    </row>
    <row r="163">
      <c r="A163" s="662"/>
    </row>
    <row r="164">
      <c r="A164" s="662"/>
    </row>
    <row r="165">
      <c r="A165" s="662"/>
    </row>
    <row r="166">
      <c r="A166" s="662"/>
    </row>
    <row r="167">
      <c r="A167" s="662"/>
    </row>
    <row r="168">
      <c r="A168" s="662"/>
    </row>
    <row r="169">
      <c r="A169" s="662"/>
    </row>
    <row r="170">
      <c r="A170" s="662"/>
    </row>
    <row r="171">
      <c r="A171" s="662"/>
    </row>
    <row r="172">
      <c r="A172" s="662"/>
    </row>
    <row r="173">
      <c r="A173" s="662"/>
    </row>
    <row r="174">
      <c r="A174" s="662"/>
    </row>
    <row r="175">
      <c r="A175" s="662"/>
    </row>
    <row r="176">
      <c r="A176" s="662"/>
    </row>
    <row r="177">
      <c r="A177" s="662"/>
    </row>
    <row r="178">
      <c r="A178" s="662"/>
    </row>
    <row r="179">
      <c r="A179" s="662"/>
    </row>
    <row r="180">
      <c r="A180" s="662"/>
    </row>
    <row r="181">
      <c r="A181" s="662"/>
    </row>
    <row r="182">
      <c r="A182" s="662"/>
    </row>
    <row r="183">
      <c r="A183" s="662"/>
    </row>
    <row r="184">
      <c r="A184" s="662"/>
    </row>
    <row r="185">
      <c r="A185" s="662"/>
    </row>
    <row r="186">
      <c r="A186" s="662"/>
    </row>
    <row r="187">
      <c r="A187" s="662"/>
    </row>
    <row r="188">
      <c r="A188" s="662"/>
    </row>
    <row r="189">
      <c r="A189" s="662"/>
    </row>
    <row r="190">
      <c r="A190" s="662"/>
    </row>
    <row r="191">
      <c r="A191" s="662"/>
    </row>
    <row r="192">
      <c r="A192" s="662"/>
    </row>
    <row r="193">
      <c r="A193" s="662"/>
    </row>
    <row r="194">
      <c r="A194" s="662"/>
    </row>
    <row r="195">
      <c r="A195" s="662"/>
    </row>
    <row r="196">
      <c r="A196" s="662"/>
    </row>
    <row r="197">
      <c r="A197" s="662"/>
    </row>
    <row r="198">
      <c r="A198" s="662"/>
    </row>
    <row r="199">
      <c r="A199" s="662"/>
    </row>
    <row r="200">
      <c r="A200" s="662"/>
    </row>
    <row r="201">
      <c r="A201" s="662"/>
    </row>
    <row r="202">
      <c r="A202" s="662"/>
    </row>
    <row r="203">
      <c r="A203" s="662"/>
    </row>
    <row r="204">
      <c r="A204" s="662"/>
    </row>
    <row r="205">
      <c r="A205" s="662"/>
    </row>
    <row r="206">
      <c r="A206" s="662"/>
    </row>
    <row r="207">
      <c r="A207" s="662"/>
    </row>
    <row r="208">
      <c r="A208" s="662"/>
    </row>
    <row r="209">
      <c r="A209" s="662"/>
    </row>
    <row r="210">
      <c r="A210" s="662"/>
    </row>
    <row r="211">
      <c r="A211" s="662"/>
    </row>
    <row r="212">
      <c r="A212" s="662"/>
    </row>
    <row r="213">
      <c r="A213" s="662"/>
    </row>
    <row r="214">
      <c r="A214" s="662"/>
    </row>
    <row r="215">
      <c r="A215" s="662"/>
    </row>
    <row r="216">
      <c r="A216" s="662"/>
    </row>
    <row r="217">
      <c r="A217" s="662"/>
    </row>
    <row r="218">
      <c r="A218" s="662"/>
    </row>
    <row r="219">
      <c r="A219" s="662"/>
    </row>
    <row r="220">
      <c r="A220" s="662"/>
    </row>
    <row r="221">
      <c r="A221" s="662"/>
    </row>
    <row r="222">
      <c r="A222" s="662"/>
    </row>
    <row r="223">
      <c r="A223" s="662"/>
    </row>
    <row r="224">
      <c r="A224" s="662"/>
    </row>
    <row r="225">
      <c r="A225" s="662"/>
    </row>
    <row r="226">
      <c r="A226" s="662"/>
    </row>
    <row r="227">
      <c r="A227" s="662"/>
    </row>
    <row r="228">
      <c r="A228" s="662"/>
    </row>
    <row r="229">
      <c r="A229" s="662"/>
    </row>
    <row r="230">
      <c r="A230" s="662"/>
    </row>
    <row r="231">
      <c r="A231" s="662"/>
    </row>
    <row r="232">
      <c r="A232" s="662"/>
    </row>
    <row r="233">
      <c r="A233" s="662"/>
    </row>
    <row r="234">
      <c r="A234" s="662"/>
    </row>
    <row r="235">
      <c r="A235" s="662"/>
    </row>
    <row r="236">
      <c r="A236" s="662"/>
    </row>
    <row r="237">
      <c r="A237" s="662"/>
    </row>
    <row r="238">
      <c r="A238" s="662"/>
    </row>
    <row r="239">
      <c r="A239" s="662"/>
    </row>
    <row r="240">
      <c r="A240" s="662"/>
    </row>
    <row r="241">
      <c r="A241" s="662"/>
    </row>
    <row r="242">
      <c r="A242" s="662"/>
    </row>
    <row r="243">
      <c r="A243" s="662"/>
    </row>
    <row r="244">
      <c r="A244" s="662"/>
    </row>
    <row r="245">
      <c r="A245" s="662"/>
    </row>
    <row r="246">
      <c r="A246" s="662"/>
    </row>
    <row r="247">
      <c r="A247" s="662"/>
    </row>
    <row r="248">
      <c r="A248" s="662"/>
    </row>
    <row r="249">
      <c r="A249" s="662"/>
    </row>
    <row r="250">
      <c r="A250" s="662"/>
    </row>
    <row r="251">
      <c r="A251" s="662"/>
    </row>
    <row r="252">
      <c r="A252" s="662"/>
    </row>
    <row r="253">
      <c r="A253" s="662"/>
    </row>
    <row r="254">
      <c r="A254" s="662"/>
    </row>
    <row r="255">
      <c r="A255" s="662"/>
    </row>
    <row r="256">
      <c r="A256" s="662"/>
    </row>
    <row r="257">
      <c r="A257" s="662"/>
    </row>
    <row r="258">
      <c r="A258" s="662"/>
    </row>
    <row r="259">
      <c r="A259" s="662"/>
    </row>
    <row r="260">
      <c r="A260" s="662"/>
    </row>
    <row r="261">
      <c r="A261" s="662"/>
    </row>
    <row r="262">
      <c r="A262" s="662"/>
    </row>
    <row r="263">
      <c r="A263" s="662"/>
    </row>
    <row r="264">
      <c r="A264" s="662"/>
    </row>
    <row r="265">
      <c r="A265" s="662"/>
    </row>
    <row r="266">
      <c r="A266" s="662"/>
    </row>
    <row r="267">
      <c r="A267" s="662"/>
    </row>
    <row r="268">
      <c r="A268" s="662"/>
    </row>
    <row r="269">
      <c r="A269" s="662"/>
    </row>
    <row r="270">
      <c r="A270" s="662"/>
    </row>
    <row r="271">
      <c r="A271" s="662"/>
    </row>
    <row r="272">
      <c r="A272" s="662"/>
    </row>
    <row r="273">
      <c r="A273" s="662"/>
    </row>
    <row r="274">
      <c r="A274" s="662"/>
    </row>
    <row r="275">
      <c r="A275" s="662"/>
    </row>
    <row r="276">
      <c r="A276" s="662"/>
    </row>
    <row r="277">
      <c r="A277" s="662"/>
    </row>
    <row r="278">
      <c r="A278" s="662"/>
    </row>
    <row r="279">
      <c r="A279" s="662"/>
    </row>
    <row r="280">
      <c r="A280" s="662"/>
    </row>
    <row r="281">
      <c r="A281" s="662"/>
    </row>
    <row r="282">
      <c r="A282" s="662"/>
    </row>
    <row r="283">
      <c r="A283" s="662"/>
    </row>
    <row r="284">
      <c r="A284" s="662"/>
    </row>
    <row r="285">
      <c r="A285" s="662"/>
    </row>
    <row r="286">
      <c r="A286" s="662"/>
    </row>
    <row r="287">
      <c r="A287" s="662"/>
    </row>
    <row r="288">
      <c r="A288" s="662"/>
    </row>
    <row r="289">
      <c r="A289" s="662"/>
    </row>
    <row r="290">
      <c r="A290" s="662"/>
    </row>
    <row r="291">
      <c r="A291" s="662"/>
    </row>
    <row r="292">
      <c r="A292" s="662"/>
    </row>
    <row r="293">
      <c r="A293" s="662"/>
    </row>
    <row r="294">
      <c r="A294" s="662"/>
    </row>
    <row r="295">
      <c r="A295" s="662"/>
    </row>
    <row r="296">
      <c r="A296" s="662"/>
    </row>
    <row r="297">
      <c r="A297" s="662"/>
    </row>
    <row r="298">
      <c r="A298" s="662"/>
    </row>
    <row r="299">
      <c r="A299" s="662"/>
    </row>
    <row r="300">
      <c r="A300" s="662"/>
    </row>
    <row r="301">
      <c r="A301" s="662"/>
    </row>
    <row r="302">
      <c r="A302" s="662"/>
    </row>
    <row r="303">
      <c r="A303" s="662"/>
    </row>
    <row r="304">
      <c r="A304" s="662"/>
    </row>
    <row r="305">
      <c r="A305" s="662"/>
    </row>
    <row r="306">
      <c r="A306" s="662"/>
    </row>
    <row r="307">
      <c r="A307" s="662"/>
    </row>
    <row r="308">
      <c r="A308" s="662"/>
    </row>
    <row r="309">
      <c r="A309" s="662"/>
    </row>
    <row r="310">
      <c r="A310" s="662"/>
    </row>
    <row r="311">
      <c r="A311" s="662"/>
    </row>
    <row r="312">
      <c r="A312" s="662"/>
    </row>
    <row r="313">
      <c r="A313" s="662"/>
    </row>
    <row r="314">
      <c r="A314" s="662"/>
    </row>
    <row r="315">
      <c r="A315" s="662"/>
    </row>
    <row r="316">
      <c r="A316" s="662"/>
    </row>
    <row r="317">
      <c r="A317" s="662"/>
    </row>
    <row r="318">
      <c r="A318" s="662"/>
    </row>
    <row r="319">
      <c r="A319" s="662"/>
    </row>
    <row r="320">
      <c r="A320" s="662"/>
    </row>
    <row r="321">
      <c r="A321" s="662"/>
    </row>
    <row r="322">
      <c r="A322" s="662"/>
    </row>
    <row r="323">
      <c r="A323" s="662"/>
    </row>
    <row r="324">
      <c r="A324" s="662"/>
    </row>
    <row r="325">
      <c r="A325" s="662"/>
    </row>
    <row r="326">
      <c r="A326" s="662"/>
    </row>
    <row r="327">
      <c r="A327" s="662"/>
    </row>
    <row r="328">
      <c r="A328" s="662"/>
    </row>
    <row r="329">
      <c r="A329" s="662"/>
    </row>
    <row r="330">
      <c r="A330" s="662"/>
    </row>
    <row r="331">
      <c r="A331" s="662"/>
    </row>
    <row r="332">
      <c r="A332" s="662"/>
    </row>
    <row r="333">
      <c r="A333" s="662"/>
    </row>
    <row r="334">
      <c r="A334" s="662"/>
    </row>
    <row r="335">
      <c r="A335" s="662"/>
    </row>
    <row r="336">
      <c r="A336" s="662"/>
    </row>
    <row r="337">
      <c r="A337" s="662"/>
    </row>
    <row r="338">
      <c r="A338" s="662"/>
    </row>
    <row r="339">
      <c r="A339" s="662"/>
    </row>
    <row r="340">
      <c r="A340" s="662"/>
    </row>
    <row r="341">
      <c r="A341" s="662"/>
    </row>
    <row r="342">
      <c r="A342" s="662"/>
    </row>
    <row r="343">
      <c r="A343" s="662"/>
    </row>
    <row r="344">
      <c r="A344" s="662"/>
    </row>
    <row r="345">
      <c r="A345" s="662"/>
    </row>
    <row r="346">
      <c r="A346" s="662"/>
    </row>
    <row r="347">
      <c r="A347" s="662"/>
    </row>
    <row r="348">
      <c r="A348" s="662"/>
    </row>
    <row r="349">
      <c r="A349" s="662"/>
    </row>
    <row r="350">
      <c r="A350" s="662"/>
    </row>
    <row r="351">
      <c r="A351" s="662"/>
    </row>
    <row r="352">
      <c r="A352" s="662"/>
    </row>
    <row r="353">
      <c r="A353" s="662"/>
    </row>
    <row r="354">
      <c r="A354" s="662"/>
    </row>
    <row r="355">
      <c r="A355" s="662"/>
    </row>
    <row r="356">
      <c r="A356" s="662"/>
    </row>
    <row r="357">
      <c r="A357" s="662"/>
    </row>
    <row r="358">
      <c r="A358" s="662"/>
    </row>
    <row r="359">
      <c r="A359" s="662"/>
    </row>
    <row r="360">
      <c r="A360" s="662"/>
    </row>
    <row r="361">
      <c r="A361" s="662"/>
    </row>
    <row r="362">
      <c r="A362" s="662"/>
    </row>
    <row r="363">
      <c r="A363" s="662"/>
    </row>
    <row r="364">
      <c r="A364" s="662"/>
    </row>
    <row r="365">
      <c r="A365" s="662"/>
    </row>
    <row r="366">
      <c r="A366" s="662"/>
    </row>
    <row r="367">
      <c r="A367" s="662"/>
    </row>
    <row r="368">
      <c r="A368" s="662"/>
    </row>
    <row r="369">
      <c r="A369" s="662"/>
    </row>
    <row r="370">
      <c r="A370" s="662"/>
    </row>
    <row r="371">
      <c r="A371" s="662"/>
    </row>
    <row r="372">
      <c r="A372" s="662"/>
    </row>
    <row r="373">
      <c r="A373" s="662"/>
    </row>
    <row r="374">
      <c r="A374" s="662"/>
    </row>
    <row r="375">
      <c r="A375" s="662"/>
    </row>
    <row r="376">
      <c r="A376" s="662"/>
    </row>
    <row r="377">
      <c r="A377" s="662"/>
    </row>
    <row r="378">
      <c r="A378" s="662"/>
    </row>
    <row r="379">
      <c r="A379" s="662"/>
    </row>
    <row r="380">
      <c r="A380" s="662"/>
    </row>
    <row r="381">
      <c r="A381" s="662"/>
    </row>
    <row r="382">
      <c r="A382" s="662"/>
    </row>
    <row r="383">
      <c r="A383" s="662"/>
    </row>
    <row r="384">
      <c r="A384" s="662"/>
    </row>
    <row r="385">
      <c r="A385" s="662"/>
    </row>
    <row r="386">
      <c r="A386" s="662"/>
    </row>
    <row r="387">
      <c r="A387" s="662"/>
    </row>
    <row r="388">
      <c r="A388" s="662"/>
    </row>
    <row r="389">
      <c r="A389" s="662"/>
    </row>
    <row r="390">
      <c r="A390" s="662"/>
    </row>
    <row r="391">
      <c r="A391" s="662"/>
    </row>
    <row r="392">
      <c r="A392" s="662"/>
    </row>
    <row r="393">
      <c r="A393" s="662"/>
    </row>
    <row r="394">
      <c r="A394" s="662"/>
    </row>
    <row r="395">
      <c r="A395" s="662"/>
    </row>
    <row r="396">
      <c r="A396" s="662"/>
    </row>
    <row r="397">
      <c r="A397" s="662"/>
    </row>
    <row r="398">
      <c r="A398" s="662"/>
    </row>
    <row r="399">
      <c r="A399" s="662"/>
    </row>
    <row r="400">
      <c r="A400" s="662"/>
    </row>
    <row r="401">
      <c r="A401" s="662"/>
    </row>
    <row r="402">
      <c r="A402" s="662"/>
    </row>
    <row r="403">
      <c r="A403" s="662"/>
    </row>
    <row r="404">
      <c r="A404" s="662"/>
    </row>
    <row r="405">
      <c r="A405" s="662"/>
    </row>
    <row r="406">
      <c r="A406" s="662"/>
    </row>
    <row r="407">
      <c r="A407" s="662"/>
    </row>
    <row r="408">
      <c r="A408" s="662"/>
    </row>
    <row r="409">
      <c r="A409" s="662"/>
    </row>
    <row r="410">
      <c r="A410" s="662"/>
    </row>
    <row r="411">
      <c r="A411" s="662"/>
    </row>
    <row r="412">
      <c r="A412" s="662"/>
    </row>
    <row r="413">
      <c r="A413" s="662"/>
    </row>
    <row r="414">
      <c r="A414" s="662"/>
    </row>
    <row r="415">
      <c r="A415" s="662"/>
    </row>
    <row r="416">
      <c r="A416" s="662"/>
    </row>
    <row r="417">
      <c r="A417" s="662"/>
    </row>
    <row r="418">
      <c r="A418" s="662"/>
    </row>
    <row r="419">
      <c r="A419" s="662"/>
    </row>
    <row r="420">
      <c r="A420" s="662"/>
    </row>
    <row r="421">
      <c r="A421" s="662"/>
    </row>
    <row r="422">
      <c r="A422" s="662"/>
    </row>
    <row r="423">
      <c r="A423" s="662"/>
    </row>
    <row r="424">
      <c r="A424" s="662"/>
    </row>
    <row r="425">
      <c r="A425" s="662"/>
    </row>
    <row r="426">
      <c r="A426" s="662"/>
    </row>
    <row r="427">
      <c r="A427" s="662"/>
    </row>
    <row r="428">
      <c r="A428" s="662"/>
    </row>
    <row r="429">
      <c r="A429" s="662"/>
    </row>
    <row r="430">
      <c r="A430" s="662"/>
    </row>
    <row r="431">
      <c r="A431" s="662"/>
    </row>
    <row r="432">
      <c r="A432" s="662"/>
    </row>
    <row r="433">
      <c r="A433" s="662"/>
    </row>
    <row r="434">
      <c r="A434" s="662"/>
    </row>
    <row r="435">
      <c r="A435" s="662"/>
    </row>
    <row r="436">
      <c r="A436" s="662"/>
    </row>
    <row r="437">
      <c r="A437" s="662"/>
    </row>
    <row r="438">
      <c r="A438" s="662"/>
    </row>
    <row r="439">
      <c r="A439" s="662"/>
    </row>
    <row r="440">
      <c r="A440" s="662"/>
    </row>
    <row r="441">
      <c r="A441" s="662"/>
    </row>
    <row r="442">
      <c r="A442" s="662"/>
    </row>
    <row r="443">
      <c r="A443" s="662"/>
    </row>
    <row r="444">
      <c r="A444" s="662"/>
    </row>
    <row r="445">
      <c r="A445" s="662"/>
    </row>
    <row r="446">
      <c r="A446" s="662"/>
    </row>
    <row r="447">
      <c r="A447" s="662"/>
    </row>
    <row r="448">
      <c r="A448" s="662"/>
    </row>
    <row r="449">
      <c r="A449" s="662"/>
    </row>
    <row r="450">
      <c r="A450" s="662"/>
    </row>
    <row r="451">
      <c r="A451" s="662"/>
    </row>
    <row r="452">
      <c r="A452" s="662"/>
    </row>
    <row r="453">
      <c r="A453" s="662"/>
    </row>
    <row r="454">
      <c r="A454" s="662"/>
    </row>
    <row r="455">
      <c r="A455" s="662"/>
    </row>
    <row r="456">
      <c r="A456" s="662"/>
    </row>
    <row r="457">
      <c r="A457" s="662"/>
    </row>
    <row r="458">
      <c r="A458" s="662"/>
    </row>
    <row r="459">
      <c r="A459" s="662"/>
    </row>
    <row r="460">
      <c r="A460" s="662"/>
    </row>
    <row r="461">
      <c r="A461" s="662"/>
    </row>
    <row r="462">
      <c r="A462" s="662"/>
    </row>
    <row r="463">
      <c r="A463" s="662"/>
    </row>
    <row r="464">
      <c r="A464" s="662"/>
    </row>
    <row r="465">
      <c r="A465" s="662"/>
    </row>
    <row r="466">
      <c r="A466" s="662"/>
    </row>
    <row r="467">
      <c r="A467" s="662"/>
    </row>
    <row r="468">
      <c r="A468" s="662"/>
    </row>
    <row r="469">
      <c r="A469" s="662"/>
    </row>
    <row r="470">
      <c r="A470" s="662"/>
    </row>
    <row r="471">
      <c r="A471" s="662"/>
    </row>
    <row r="472">
      <c r="A472" s="662"/>
    </row>
    <row r="473">
      <c r="A473" s="662"/>
    </row>
    <row r="474">
      <c r="A474" s="662"/>
    </row>
    <row r="475">
      <c r="A475" s="662"/>
    </row>
    <row r="476">
      <c r="A476" s="662"/>
    </row>
    <row r="477">
      <c r="A477" s="662"/>
    </row>
    <row r="478">
      <c r="A478" s="662"/>
    </row>
    <row r="479">
      <c r="A479" s="662"/>
    </row>
    <row r="480">
      <c r="A480" s="662"/>
    </row>
    <row r="481">
      <c r="A481" s="662"/>
    </row>
    <row r="482">
      <c r="A482" s="662"/>
    </row>
    <row r="483">
      <c r="A483" s="662"/>
    </row>
    <row r="484">
      <c r="A484" s="662"/>
    </row>
    <row r="485">
      <c r="A485" s="662"/>
    </row>
    <row r="486">
      <c r="A486" s="662"/>
    </row>
    <row r="487">
      <c r="A487" s="662"/>
    </row>
    <row r="488">
      <c r="A488" s="662"/>
    </row>
    <row r="489">
      <c r="A489" s="662"/>
    </row>
    <row r="490">
      <c r="A490" s="662"/>
    </row>
    <row r="491">
      <c r="A491" s="662"/>
    </row>
    <row r="492">
      <c r="A492" s="662"/>
    </row>
    <row r="493">
      <c r="A493" s="662"/>
    </row>
    <row r="494">
      <c r="A494" s="662"/>
    </row>
    <row r="495">
      <c r="A495" s="662"/>
    </row>
    <row r="496">
      <c r="A496" s="662"/>
    </row>
    <row r="497">
      <c r="A497" s="662"/>
    </row>
    <row r="498">
      <c r="A498" s="662"/>
    </row>
    <row r="499">
      <c r="A499" s="662"/>
    </row>
    <row r="500">
      <c r="A500" s="662"/>
    </row>
    <row r="501">
      <c r="A501" s="662"/>
    </row>
    <row r="502">
      <c r="A502" s="662"/>
    </row>
    <row r="503">
      <c r="A503" s="662"/>
    </row>
    <row r="504">
      <c r="A504" s="662"/>
    </row>
    <row r="505">
      <c r="A505" s="662"/>
    </row>
    <row r="506">
      <c r="A506" s="662"/>
    </row>
    <row r="507">
      <c r="A507" s="662"/>
    </row>
    <row r="508">
      <c r="A508" s="662"/>
    </row>
    <row r="509">
      <c r="A509" s="662"/>
    </row>
    <row r="510">
      <c r="A510" s="662"/>
    </row>
    <row r="511">
      <c r="A511" s="662"/>
    </row>
    <row r="512">
      <c r="A512" s="662"/>
    </row>
    <row r="513">
      <c r="A513" s="662"/>
    </row>
    <row r="514">
      <c r="A514" s="662"/>
    </row>
    <row r="515">
      <c r="A515" s="662"/>
    </row>
    <row r="516">
      <c r="A516" s="662"/>
    </row>
    <row r="517">
      <c r="A517" s="662"/>
    </row>
    <row r="518">
      <c r="A518" s="662"/>
    </row>
    <row r="519">
      <c r="A519" s="662"/>
    </row>
    <row r="520">
      <c r="A520" s="662"/>
    </row>
    <row r="521">
      <c r="A521" s="662"/>
    </row>
    <row r="522">
      <c r="A522" s="662"/>
    </row>
    <row r="523">
      <c r="A523" s="662"/>
    </row>
    <row r="524">
      <c r="A524" s="662"/>
    </row>
    <row r="525">
      <c r="A525" s="662"/>
    </row>
    <row r="526">
      <c r="A526" s="662"/>
    </row>
    <row r="527">
      <c r="A527" s="662"/>
    </row>
    <row r="528">
      <c r="A528" s="662"/>
    </row>
    <row r="529">
      <c r="A529" s="662"/>
    </row>
    <row r="530">
      <c r="A530" s="662"/>
    </row>
    <row r="531">
      <c r="A531" s="662"/>
    </row>
    <row r="532">
      <c r="A532" s="662"/>
    </row>
    <row r="533">
      <c r="A533" s="662"/>
    </row>
    <row r="534">
      <c r="A534" s="662"/>
    </row>
    <row r="535">
      <c r="A535" s="662"/>
    </row>
    <row r="536">
      <c r="A536" s="662"/>
    </row>
    <row r="537">
      <c r="A537" s="662"/>
    </row>
    <row r="538">
      <c r="A538" s="662"/>
    </row>
    <row r="539">
      <c r="A539" s="662"/>
    </row>
    <row r="540">
      <c r="A540" s="662"/>
    </row>
    <row r="541">
      <c r="A541" s="662"/>
    </row>
    <row r="542">
      <c r="A542" s="662"/>
    </row>
    <row r="543">
      <c r="A543" s="662"/>
    </row>
    <row r="544">
      <c r="A544" s="662"/>
    </row>
    <row r="545">
      <c r="A545" s="662"/>
    </row>
    <row r="546">
      <c r="A546" s="662"/>
    </row>
    <row r="547">
      <c r="A547" s="662"/>
    </row>
    <row r="548">
      <c r="A548" s="662"/>
    </row>
    <row r="549">
      <c r="A549" s="662"/>
    </row>
    <row r="550">
      <c r="A550" s="662"/>
    </row>
    <row r="551">
      <c r="A551" s="662"/>
    </row>
    <row r="552">
      <c r="A552" s="662"/>
    </row>
    <row r="553">
      <c r="A553" s="662"/>
    </row>
    <row r="554">
      <c r="A554" s="662"/>
    </row>
    <row r="555">
      <c r="A555" s="662"/>
    </row>
    <row r="556">
      <c r="A556" s="662"/>
    </row>
    <row r="557">
      <c r="A557" s="662"/>
    </row>
    <row r="558">
      <c r="A558" s="662"/>
    </row>
    <row r="559">
      <c r="A559" s="662"/>
    </row>
    <row r="560">
      <c r="A560" s="662"/>
    </row>
    <row r="561">
      <c r="A561" s="662"/>
    </row>
    <row r="562">
      <c r="A562" s="662"/>
    </row>
    <row r="563">
      <c r="A563" s="662"/>
    </row>
    <row r="564">
      <c r="A564" s="662"/>
    </row>
    <row r="565">
      <c r="A565" s="662"/>
    </row>
    <row r="566">
      <c r="A566" s="662"/>
    </row>
    <row r="567">
      <c r="A567" s="662"/>
    </row>
    <row r="568">
      <c r="A568" s="662"/>
    </row>
    <row r="569">
      <c r="A569" s="662"/>
    </row>
    <row r="570">
      <c r="A570" s="662"/>
    </row>
    <row r="571">
      <c r="A571" s="662"/>
    </row>
    <row r="572">
      <c r="A572" s="662"/>
    </row>
    <row r="573">
      <c r="A573" s="662"/>
    </row>
    <row r="574">
      <c r="A574" s="662"/>
    </row>
    <row r="575">
      <c r="A575" s="662"/>
    </row>
    <row r="576">
      <c r="A576" s="662"/>
    </row>
    <row r="577">
      <c r="A577" s="662"/>
    </row>
    <row r="578">
      <c r="A578" s="662"/>
    </row>
    <row r="579">
      <c r="A579" s="662"/>
    </row>
    <row r="580">
      <c r="A580" s="662"/>
    </row>
    <row r="581">
      <c r="A581" s="662"/>
    </row>
    <row r="582">
      <c r="A582" s="662"/>
    </row>
    <row r="583">
      <c r="A583" s="662"/>
    </row>
    <row r="584">
      <c r="A584" s="662"/>
    </row>
    <row r="585">
      <c r="A585" s="662"/>
    </row>
    <row r="586">
      <c r="A586" s="662"/>
    </row>
    <row r="587">
      <c r="A587" s="662"/>
    </row>
    <row r="588">
      <c r="A588" s="662"/>
    </row>
    <row r="589">
      <c r="A589" s="662"/>
    </row>
    <row r="590">
      <c r="A590" s="662"/>
    </row>
    <row r="591">
      <c r="A591" s="662"/>
    </row>
    <row r="592">
      <c r="A592" s="662"/>
    </row>
    <row r="593">
      <c r="A593" s="662"/>
    </row>
    <row r="594">
      <c r="A594" s="662"/>
    </row>
    <row r="595">
      <c r="A595" s="662"/>
    </row>
    <row r="596">
      <c r="A596" s="662"/>
    </row>
    <row r="597">
      <c r="A597" s="662"/>
    </row>
    <row r="598">
      <c r="A598" s="662"/>
    </row>
    <row r="599">
      <c r="A599" s="662"/>
    </row>
    <row r="600">
      <c r="A600" s="662"/>
    </row>
    <row r="601">
      <c r="A601" s="662"/>
    </row>
    <row r="602">
      <c r="A602" s="662"/>
    </row>
    <row r="603">
      <c r="A603" s="662"/>
    </row>
    <row r="604">
      <c r="A604" s="662"/>
    </row>
    <row r="605">
      <c r="A605" s="662"/>
    </row>
    <row r="606">
      <c r="A606" s="662"/>
    </row>
    <row r="607">
      <c r="A607" s="662"/>
    </row>
    <row r="608">
      <c r="A608" s="662"/>
    </row>
    <row r="609">
      <c r="A609" s="662"/>
    </row>
    <row r="610">
      <c r="A610" s="662"/>
    </row>
    <row r="611">
      <c r="A611" s="662"/>
    </row>
    <row r="612">
      <c r="A612" s="662"/>
    </row>
    <row r="613">
      <c r="A613" s="662"/>
    </row>
    <row r="614">
      <c r="A614" s="662"/>
    </row>
    <row r="615">
      <c r="A615" s="662"/>
    </row>
    <row r="616">
      <c r="A616" s="662"/>
    </row>
    <row r="617">
      <c r="A617" s="662"/>
    </row>
    <row r="618">
      <c r="A618" s="662"/>
    </row>
    <row r="619">
      <c r="A619" s="662"/>
    </row>
    <row r="620">
      <c r="A620" s="662"/>
    </row>
    <row r="621">
      <c r="A621" s="662"/>
    </row>
    <row r="622">
      <c r="A622" s="662"/>
    </row>
    <row r="623">
      <c r="A623" s="662"/>
    </row>
    <row r="624">
      <c r="A624" s="662"/>
    </row>
    <row r="625">
      <c r="A625" s="662"/>
    </row>
    <row r="626">
      <c r="A626" s="662"/>
    </row>
    <row r="627">
      <c r="A627" s="662"/>
    </row>
    <row r="628">
      <c r="A628" s="662"/>
    </row>
    <row r="629">
      <c r="A629" s="662"/>
    </row>
    <row r="630">
      <c r="A630" s="662"/>
    </row>
    <row r="631">
      <c r="A631" s="662"/>
    </row>
    <row r="632">
      <c r="A632" s="662"/>
    </row>
    <row r="633">
      <c r="A633" s="662"/>
    </row>
    <row r="634">
      <c r="A634" s="662"/>
    </row>
    <row r="635">
      <c r="A635" s="662"/>
    </row>
    <row r="636">
      <c r="A636" s="662"/>
    </row>
    <row r="637">
      <c r="A637" s="662"/>
    </row>
    <row r="638">
      <c r="A638" s="662"/>
    </row>
    <row r="639">
      <c r="A639" s="662"/>
    </row>
    <row r="640">
      <c r="A640" s="662"/>
    </row>
    <row r="641">
      <c r="A641" s="662"/>
    </row>
    <row r="642">
      <c r="A642" s="662"/>
    </row>
    <row r="643">
      <c r="A643" s="662"/>
    </row>
    <row r="644">
      <c r="A644" s="662"/>
    </row>
    <row r="645">
      <c r="A645" s="662"/>
    </row>
    <row r="646">
      <c r="A646" s="662"/>
    </row>
    <row r="647">
      <c r="A647" s="662"/>
    </row>
    <row r="648">
      <c r="A648" s="662"/>
    </row>
    <row r="649">
      <c r="A649" s="662"/>
    </row>
    <row r="650">
      <c r="A650" s="662"/>
    </row>
    <row r="651">
      <c r="A651" s="662"/>
    </row>
    <row r="652">
      <c r="A652" s="662"/>
    </row>
    <row r="653">
      <c r="A653" s="662"/>
    </row>
    <row r="654">
      <c r="A654" s="662"/>
    </row>
    <row r="655">
      <c r="A655" s="662"/>
    </row>
    <row r="656">
      <c r="A656" s="662"/>
    </row>
    <row r="657">
      <c r="A657" s="662"/>
    </row>
    <row r="658">
      <c r="A658" s="662"/>
    </row>
    <row r="659">
      <c r="A659" s="662"/>
    </row>
    <row r="660">
      <c r="A660" s="662"/>
    </row>
    <row r="661">
      <c r="A661" s="662"/>
    </row>
    <row r="662">
      <c r="A662" s="662"/>
    </row>
    <row r="663">
      <c r="A663" s="662"/>
    </row>
    <row r="664">
      <c r="A664" s="662"/>
    </row>
    <row r="665">
      <c r="A665" s="662"/>
    </row>
    <row r="666">
      <c r="A666" s="662"/>
    </row>
    <row r="667">
      <c r="A667" s="662"/>
    </row>
    <row r="668">
      <c r="A668" s="662"/>
    </row>
    <row r="669">
      <c r="A669" s="662"/>
    </row>
    <row r="670">
      <c r="A670" s="662"/>
    </row>
    <row r="671">
      <c r="A671" s="662"/>
    </row>
    <row r="672">
      <c r="A672" s="662"/>
    </row>
    <row r="673">
      <c r="A673" s="662"/>
    </row>
    <row r="674">
      <c r="A674" s="662"/>
    </row>
    <row r="675">
      <c r="A675" s="662"/>
    </row>
    <row r="676">
      <c r="A676" s="662"/>
    </row>
    <row r="677">
      <c r="A677" s="662"/>
    </row>
    <row r="678">
      <c r="A678" s="662"/>
    </row>
    <row r="679">
      <c r="A679" s="662"/>
    </row>
    <row r="680">
      <c r="A680" s="662"/>
    </row>
    <row r="681">
      <c r="A681" s="662"/>
    </row>
    <row r="682">
      <c r="A682" s="662"/>
    </row>
    <row r="683">
      <c r="A683" s="662"/>
    </row>
    <row r="684">
      <c r="A684" s="662"/>
    </row>
    <row r="685">
      <c r="A685" s="662"/>
    </row>
    <row r="686">
      <c r="A686" s="662"/>
    </row>
    <row r="687">
      <c r="A687" s="662"/>
    </row>
    <row r="688">
      <c r="A688" s="662"/>
    </row>
    <row r="689">
      <c r="A689" s="662"/>
    </row>
    <row r="690">
      <c r="A690" s="662"/>
    </row>
    <row r="691">
      <c r="A691" s="662"/>
    </row>
    <row r="692">
      <c r="A692" s="662"/>
    </row>
    <row r="693">
      <c r="A693" s="662"/>
    </row>
    <row r="694">
      <c r="A694" s="662"/>
    </row>
    <row r="695">
      <c r="A695" s="662"/>
    </row>
    <row r="696">
      <c r="A696" s="662"/>
    </row>
    <row r="697">
      <c r="A697" s="662"/>
    </row>
    <row r="698">
      <c r="A698" s="662"/>
    </row>
    <row r="699">
      <c r="A699" s="662"/>
    </row>
    <row r="700">
      <c r="A700" s="662"/>
    </row>
    <row r="701">
      <c r="A701" s="662"/>
    </row>
    <row r="702">
      <c r="A702" s="662"/>
    </row>
    <row r="703">
      <c r="A703" s="662"/>
    </row>
    <row r="704">
      <c r="A704" s="662"/>
    </row>
    <row r="705">
      <c r="A705" s="662"/>
    </row>
    <row r="706">
      <c r="A706" s="662"/>
    </row>
    <row r="707">
      <c r="A707" s="662"/>
    </row>
    <row r="708">
      <c r="A708" s="662"/>
    </row>
    <row r="709">
      <c r="A709" s="662"/>
    </row>
    <row r="710">
      <c r="A710" s="662"/>
    </row>
    <row r="711">
      <c r="A711" s="662"/>
    </row>
    <row r="712">
      <c r="A712" s="662"/>
    </row>
    <row r="713">
      <c r="A713" s="662"/>
    </row>
    <row r="714">
      <c r="A714" s="662"/>
    </row>
    <row r="715">
      <c r="A715" s="662"/>
    </row>
    <row r="716">
      <c r="A716" s="662"/>
    </row>
    <row r="717">
      <c r="A717" s="662"/>
    </row>
    <row r="718">
      <c r="A718" s="662"/>
    </row>
    <row r="719">
      <c r="A719" s="662"/>
    </row>
    <row r="720">
      <c r="A720" s="662"/>
    </row>
    <row r="721">
      <c r="A721" s="662"/>
    </row>
    <row r="722">
      <c r="A722" s="662"/>
    </row>
    <row r="723">
      <c r="A723" s="662"/>
    </row>
    <row r="724">
      <c r="A724" s="662"/>
    </row>
    <row r="725">
      <c r="A725" s="662"/>
    </row>
    <row r="726">
      <c r="A726" s="662"/>
    </row>
    <row r="727">
      <c r="A727" s="662"/>
    </row>
    <row r="728">
      <c r="A728" s="662"/>
    </row>
    <row r="729">
      <c r="A729" s="662"/>
    </row>
    <row r="730">
      <c r="A730" s="662"/>
    </row>
    <row r="731">
      <c r="A731" s="662"/>
    </row>
    <row r="732">
      <c r="A732" s="662"/>
    </row>
    <row r="733">
      <c r="A733" s="662"/>
    </row>
    <row r="734">
      <c r="A734" s="662"/>
    </row>
    <row r="735">
      <c r="A735" s="662"/>
    </row>
    <row r="736">
      <c r="A736" s="662"/>
    </row>
    <row r="737">
      <c r="A737" s="662"/>
    </row>
    <row r="738">
      <c r="A738" s="662"/>
    </row>
    <row r="739">
      <c r="A739" s="662"/>
    </row>
    <row r="740">
      <c r="A740" s="662"/>
    </row>
    <row r="741">
      <c r="A741" s="662"/>
    </row>
    <row r="742">
      <c r="A742" s="662"/>
    </row>
    <row r="743">
      <c r="A743" s="662"/>
    </row>
    <row r="744">
      <c r="A744" s="662"/>
    </row>
    <row r="745">
      <c r="A745" s="662"/>
    </row>
    <row r="746">
      <c r="A746" s="662"/>
    </row>
    <row r="747">
      <c r="A747" s="662"/>
    </row>
    <row r="748">
      <c r="A748" s="662"/>
    </row>
    <row r="749">
      <c r="A749" s="662"/>
    </row>
    <row r="750">
      <c r="A750" s="662"/>
    </row>
    <row r="751">
      <c r="A751" s="662"/>
    </row>
    <row r="752">
      <c r="A752" s="662"/>
    </row>
    <row r="753">
      <c r="A753" s="662"/>
    </row>
    <row r="754">
      <c r="A754" s="662"/>
    </row>
    <row r="755">
      <c r="A755" s="662"/>
    </row>
    <row r="756">
      <c r="A756" s="662"/>
    </row>
    <row r="757">
      <c r="A757" s="662"/>
    </row>
    <row r="758">
      <c r="A758" s="662"/>
    </row>
    <row r="759">
      <c r="A759" s="662"/>
    </row>
    <row r="760">
      <c r="A760" s="662"/>
    </row>
    <row r="761">
      <c r="A761" s="662"/>
    </row>
    <row r="762">
      <c r="A762" s="662"/>
    </row>
    <row r="763">
      <c r="A763" s="662"/>
    </row>
    <row r="764">
      <c r="A764" s="662"/>
    </row>
    <row r="765">
      <c r="A765" s="662"/>
    </row>
    <row r="766">
      <c r="A766" s="662"/>
    </row>
    <row r="767">
      <c r="A767" s="662"/>
    </row>
    <row r="768">
      <c r="A768" s="662"/>
    </row>
    <row r="769">
      <c r="A769" s="662"/>
    </row>
    <row r="770">
      <c r="A770" s="662"/>
    </row>
    <row r="771">
      <c r="A771" s="662"/>
    </row>
    <row r="772">
      <c r="A772" s="662"/>
    </row>
    <row r="773">
      <c r="A773" s="662"/>
    </row>
    <row r="774">
      <c r="A774" s="662"/>
    </row>
    <row r="775">
      <c r="A775" s="662"/>
    </row>
    <row r="776">
      <c r="A776" s="662"/>
    </row>
    <row r="777">
      <c r="A777" s="662"/>
    </row>
    <row r="778">
      <c r="A778" s="662"/>
    </row>
    <row r="779">
      <c r="A779" s="662"/>
    </row>
    <row r="780">
      <c r="A780" s="662"/>
    </row>
    <row r="781">
      <c r="A781" s="662"/>
    </row>
    <row r="782">
      <c r="A782" s="662"/>
    </row>
    <row r="783">
      <c r="A783" s="662"/>
    </row>
    <row r="784">
      <c r="A784" s="662"/>
    </row>
    <row r="785">
      <c r="A785" s="662"/>
    </row>
    <row r="786">
      <c r="A786" s="662"/>
    </row>
    <row r="787">
      <c r="A787" s="662"/>
    </row>
    <row r="788">
      <c r="A788" s="662"/>
    </row>
    <row r="789">
      <c r="A789" s="662"/>
    </row>
    <row r="790">
      <c r="A790" s="662"/>
    </row>
    <row r="791">
      <c r="A791" s="662"/>
    </row>
    <row r="792">
      <c r="A792" s="662"/>
    </row>
    <row r="793">
      <c r="A793" s="662"/>
    </row>
    <row r="794">
      <c r="A794" s="662"/>
    </row>
    <row r="795">
      <c r="A795" s="662"/>
    </row>
    <row r="796">
      <c r="A796" s="662"/>
    </row>
    <row r="797">
      <c r="A797" s="662"/>
    </row>
    <row r="798">
      <c r="A798" s="662"/>
    </row>
    <row r="799">
      <c r="A799" s="662"/>
    </row>
    <row r="800">
      <c r="A800" s="662"/>
    </row>
    <row r="801">
      <c r="A801" s="662"/>
    </row>
    <row r="802">
      <c r="A802" s="662"/>
    </row>
    <row r="803">
      <c r="A803" s="662"/>
    </row>
    <row r="804">
      <c r="A804" s="662"/>
    </row>
    <row r="805">
      <c r="A805" s="662"/>
    </row>
    <row r="806">
      <c r="A806" s="662"/>
    </row>
    <row r="807">
      <c r="A807" s="662"/>
    </row>
    <row r="808">
      <c r="A808" s="662"/>
    </row>
    <row r="809">
      <c r="A809" s="662"/>
    </row>
    <row r="810">
      <c r="A810" s="662"/>
    </row>
    <row r="811">
      <c r="A811" s="662"/>
    </row>
    <row r="812">
      <c r="A812" s="662"/>
    </row>
    <row r="813">
      <c r="A813" s="662"/>
    </row>
    <row r="814">
      <c r="A814" s="662"/>
    </row>
    <row r="815">
      <c r="A815" s="662"/>
    </row>
    <row r="816">
      <c r="A816" s="662"/>
    </row>
    <row r="817">
      <c r="A817" s="662"/>
    </row>
    <row r="818">
      <c r="A818" s="662"/>
    </row>
    <row r="819">
      <c r="A819" s="662"/>
    </row>
    <row r="820">
      <c r="A820" s="662"/>
    </row>
    <row r="821">
      <c r="A821" s="662"/>
    </row>
    <row r="822">
      <c r="A822" s="662"/>
    </row>
    <row r="823">
      <c r="A823" s="662"/>
    </row>
    <row r="824">
      <c r="A824" s="662"/>
    </row>
    <row r="825">
      <c r="A825" s="662"/>
    </row>
    <row r="826">
      <c r="A826" s="662"/>
    </row>
    <row r="827">
      <c r="A827" s="662"/>
    </row>
    <row r="828">
      <c r="A828" s="662"/>
    </row>
    <row r="829">
      <c r="A829" s="662"/>
    </row>
    <row r="830">
      <c r="A830" s="662"/>
    </row>
    <row r="831">
      <c r="A831" s="662"/>
    </row>
    <row r="832">
      <c r="A832" s="662"/>
    </row>
    <row r="833">
      <c r="A833" s="662"/>
    </row>
    <row r="834">
      <c r="A834" s="662"/>
    </row>
    <row r="835">
      <c r="A835" s="662"/>
    </row>
    <row r="836">
      <c r="A836" s="662"/>
    </row>
    <row r="837">
      <c r="A837" s="662"/>
    </row>
    <row r="838">
      <c r="A838" s="662"/>
    </row>
    <row r="839">
      <c r="A839" s="662"/>
    </row>
    <row r="840">
      <c r="A840" s="662"/>
    </row>
    <row r="841">
      <c r="A841" s="662"/>
    </row>
    <row r="842">
      <c r="A842" s="662"/>
    </row>
    <row r="843">
      <c r="A843" s="662"/>
    </row>
    <row r="844">
      <c r="A844" s="662"/>
    </row>
    <row r="845">
      <c r="A845" s="662"/>
    </row>
    <row r="846">
      <c r="A846" s="662"/>
    </row>
    <row r="847">
      <c r="A847" s="662"/>
    </row>
    <row r="848">
      <c r="A848" s="662"/>
    </row>
    <row r="849">
      <c r="A849" s="662"/>
    </row>
    <row r="850">
      <c r="A850" s="662"/>
    </row>
    <row r="851">
      <c r="A851" s="662"/>
    </row>
    <row r="852">
      <c r="A852" s="662"/>
    </row>
    <row r="853">
      <c r="A853" s="662"/>
    </row>
    <row r="854">
      <c r="A854" s="662"/>
    </row>
    <row r="855">
      <c r="A855" s="662"/>
    </row>
    <row r="856">
      <c r="A856" s="662"/>
    </row>
    <row r="857">
      <c r="A857" s="662"/>
    </row>
    <row r="858">
      <c r="A858" s="662"/>
    </row>
    <row r="859">
      <c r="A859" s="662"/>
    </row>
    <row r="860">
      <c r="A860" s="662"/>
    </row>
    <row r="861">
      <c r="A861" s="662"/>
    </row>
    <row r="862">
      <c r="A862" s="662"/>
    </row>
    <row r="863">
      <c r="A863" s="662"/>
    </row>
    <row r="864">
      <c r="A864" s="662"/>
    </row>
    <row r="865">
      <c r="A865" s="662"/>
    </row>
    <row r="866">
      <c r="A866" s="662"/>
    </row>
    <row r="867">
      <c r="A867" s="662"/>
    </row>
    <row r="868">
      <c r="A868" s="662"/>
    </row>
    <row r="869">
      <c r="A869" s="662"/>
    </row>
    <row r="870">
      <c r="A870" s="662"/>
    </row>
    <row r="871">
      <c r="A871" s="662"/>
    </row>
    <row r="872">
      <c r="A872" s="662"/>
    </row>
    <row r="873">
      <c r="A873" s="662"/>
    </row>
    <row r="874">
      <c r="A874" s="662"/>
    </row>
    <row r="875">
      <c r="A875" s="662"/>
    </row>
    <row r="876">
      <c r="A876" s="662"/>
    </row>
    <row r="877">
      <c r="A877" s="662"/>
    </row>
    <row r="878">
      <c r="A878" s="662"/>
    </row>
    <row r="879">
      <c r="A879" s="662"/>
    </row>
    <row r="880">
      <c r="A880" s="662"/>
    </row>
    <row r="881">
      <c r="A881" s="662"/>
    </row>
    <row r="882">
      <c r="A882" s="662"/>
    </row>
    <row r="883">
      <c r="A883" s="662"/>
    </row>
    <row r="884">
      <c r="A884" s="662"/>
    </row>
    <row r="885">
      <c r="A885" s="662"/>
    </row>
    <row r="886">
      <c r="A886" s="662"/>
    </row>
    <row r="887">
      <c r="A887" s="662"/>
    </row>
    <row r="888">
      <c r="A888" s="662"/>
    </row>
    <row r="889">
      <c r="A889" s="662"/>
    </row>
    <row r="890">
      <c r="A890" s="662"/>
    </row>
    <row r="891">
      <c r="A891" s="662"/>
    </row>
    <row r="892">
      <c r="A892" s="662"/>
    </row>
    <row r="893">
      <c r="A893" s="662"/>
    </row>
    <row r="894">
      <c r="A894" s="662"/>
    </row>
    <row r="895">
      <c r="A895" s="662"/>
    </row>
    <row r="896">
      <c r="A896" s="662"/>
    </row>
    <row r="897">
      <c r="A897" s="662"/>
    </row>
    <row r="898">
      <c r="A898" s="662"/>
    </row>
    <row r="899">
      <c r="A899" s="662"/>
    </row>
    <row r="900">
      <c r="A900" s="662"/>
    </row>
    <row r="901">
      <c r="A901" s="662"/>
    </row>
    <row r="902">
      <c r="A902" s="662"/>
    </row>
    <row r="903">
      <c r="A903" s="662"/>
    </row>
    <row r="904">
      <c r="A904" s="662"/>
    </row>
    <row r="905">
      <c r="A905" s="662"/>
    </row>
    <row r="906">
      <c r="A906" s="662"/>
    </row>
    <row r="907">
      <c r="A907" s="662"/>
    </row>
    <row r="908">
      <c r="A908" s="662"/>
    </row>
    <row r="909">
      <c r="A909" s="662"/>
    </row>
    <row r="910">
      <c r="A910" s="662"/>
    </row>
    <row r="911">
      <c r="A911" s="662"/>
    </row>
    <row r="912">
      <c r="A912" s="662"/>
    </row>
    <row r="913">
      <c r="A913" s="662"/>
    </row>
    <row r="914">
      <c r="A914" s="662"/>
    </row>
    <row r="915">
      <c r="A915" s="662"/>
    </row>
    <row r="916">
      <c r="A916" s="662"/>
    </row>
    <row r="917">
      <c r="A917" s="662"/>
    </row>
    <row r="918">
      <c r="A918" s="662"/>
    </row>
    <row r="919">
      <c r="A919" s="662"/>
    </row>
    <row r="920">
      <c r="A920" s="662"/>
    </row>
    <row r="921">
      <c r="A921" s="662"/>
    </row>
    <row r="922">
      <c r="A922" s="662"/>
    </row>
    <row r="923">
      <c r="A923" s="662"/>
    </row>
    <row r="924">
      <c r="A924" s="662"/>
    </row>
    <row r="925">
      <c r="A925" s="662"/>
    </row>
    <row r="926">
      <c r="A926" s="662"/>
    </row>
    <row r="927">
      <c r="A927" s="662"/>
    </row>
    <row r="928">
      <c r="A928" s="662"/>
    </row>
    <row r="929">
      <c r="A929" s="662"/>
    </row>
    <row r="930">
      <c r="A930" s="662"/>
    </row>
    <row r="931">
      <c r="A931" s="662"/>
    </row>
    <row r="932">
      <c r="A932" s="662"/>
    </row>
    <row r="933">
      <c r="A933" s="662"/>
    </row>
    <row r="934">
      <c r="A934" s="662"/>
    </row>
    <row r="935">
      <c r="A935" s="662"/>
    </row>
    <row r="936">
      <c r="A936" s="662"/>
    </row>
    <row r="937">
      <c r="A937" s="662"/>
    </row>
    <row r="938">
      <c r="A938" s="662"/>
    </row>
    <row r="939">
      <c r="A939" s="662"/>
    </row>
    <row r="940">
      <c r="A940" s="662"/>
    </row>
    <row r="941">
      <c r="A941" s="662"/>
    </row>
    <row r="942">
      <c r="A942" s="662"/>
    </row>
    <row r="943">
      <c r="A943" s="662"/>
    </row>
    <row r="944">
      <c r="A944" s="662"/>
    </row>
    <row r="945">
      <c r="A945" s="662"/>
    </row>
    <row r="946">
      <c r="A946" s="662"/>
    </row>
    <row r="947">
      <c r="A947" s="662"/>
    </row>
    <row r="948">
      <c r="A948" s="662"/>
    </row>
    <row r="949">
      <c r="A949" s="662"/>
    </row>
    <row r="950">
      <c r="A950" s="662"/>
    </row>
    <row r="951">
      <c r="A951" s="662"/>
    </row>
    <row r="952">
      <c r="A952" s="662"/>
    </row>
    <row r="953">
      <c r="A953" s="662"/>
    </row>
    <row r="954">
      <c r="A954" s="662"/>
    </row>
    <row r="955">
      <c r="A955" s="662"/>
    </row>
    <row r="956">
      <c r="A956" s="662"/>
    </row>
    <row r="957">
      <c r="A957" s="662"/>
    </row>
    <row r="958">
      <c r="A958" s="662"/>
    </row>
    <row r="959">
      <c r="A959" s="662"/>
    </row>
    <row r="960">
      <c r="A960" s="662"/>
    </row>
    <row r="961">
      <c r="A961" s="662"/>
    </row>
    <row r="962">
      <c r="A962" s="662"/>
    </row>
    <row r="963">
      <c r="A963" s="662"/>
    </row>
    <row r="964">
      <c r="A964" s="662"/>
    </row>
    <row r="965">
      <c r="A965" s="662"/>
    </row>
    <row r="966">
      <c r="A966" s="662"/>
    </row>
    <row r="967">
      <c r="A967" s="662"/>
    </row>
    <row r="968">
      <c r="A968" s="662"/>
    </row>
    <row r="969">
      <c r="A969" s="662"/>
    </row>
    <row r="970">
      <c r="A970" s="662"/>
    </row>
    <row r="971">
      <c r="A971" s="662"/>
    </row>
    <row r="972">
      <c r="A972" s="662"/>
    </row>
    <row r="973">
      <c r="A973" s="662"/>
    </row>
    <row r="974">
      <c r="A974" s="662"/>
    </row>
    <row r="975">
      <c r="A975" s="662"/>
    </row>
    <row r="976">
      <c r="A976" s="662"/>
    </row>
    <row r="977">
      <c r="A977" s="662"/>
    </row>
    <row r="978">
      <c r="A978" s="662"/>
    </row>
    <row r="979">
      <c r="A979" s="662"/>
    </row>
    <row r="980">
      <c r="A980" s="662"/>
    </row>
    <row r="981">
      <c r="A981" s="662"/>
    </row>
    <row r="982">
      <c r="A982" s="662"/>
    </row>
    <row r="983">
      <c r="A983" s="662"/>
    </row>
    <row r="984">
      <c r="A984" s="662"/>
    </row>
    <row r="985">
      <c r="A985" s="662"/>
    </row>
    <row r="986">
      <c r="A986" s="662"/>
    </row>
    <row r="987">
      <c r="A987" s="662"/>
    </row>
    <row r="988">
      <c r="A988" s="662"/>
    </row>
    <row r="989">
      <c r="A989" s="662"/>
    </row>
    <row r="990">
      <c r="A990" s="662"/>
    </row>
    <row r="991">
      <c r="A991" s="662"/>
    </row>
    <row r="992">
      <c r="A992" s="662"/>
    </row>
    <row r="993">
      <c r="A993" s="662"/>
    </row>
    <row r="994">
      <c r="A994" s="662"/>
    </row>
    <row r="995">
      <c r="A995" s="662"/>
    </row>
  </sheetData>
  <conditionalFormatting sqref="F1:H2">
    <cfRule type="cellIs" dxfId="6" priority="1" operator="equal">
      <formula>1</formula>
    </cfRule>
  </conditionalFormatting>
  <conditionalFormatting sqref="F1:H2">
    <cfRule type="cellIs" dxfId="7" priority="2" operator="equal">
      <formula>2</formula>
    </cfRule>
  </conditionalFormatting>
  <conditionalFormatting sqref="F1:H2">
    <cfRule type="cellIs" dxfId="8" priority="3" operator="equal">
      <formula>3</formula>
    </cfRule>
  </conditionalFormatting>
  <conditionalFormatting sqref="F1:H2">
    <cfRule type="cellIs" dxfId="9" priority="4" operator="equal">
      <formula>4</formula>
    </cfRule>
  </conditionalFormatting>
  <conditionalFormatting sqref="F1:H2">
    <cfRule type="cellIs" dxfId="10" priority="5" operator="equal">
      <formula>5</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7.0"/>
    <col customWidth="1" min="2" max="2" width="19.0"/>
    <col customWidth="1" min="5" max="5" width="59.44"/>
  </cols>
  <sheetData>
    <row r="1">
      <c r="A1" s="678" t="s">
        <v>20118</v>
      </c>
      <c r="B1" s="679" t="s">
        <v>20119</v>
      </c>
      <c r="C1" s="679" t="s">
        <v>20120</v>
      </c>
      <c r="D1" s="679" t="s">
        <v>19996</v>
      </c>
      <c r="E1" s="679" t="s">
        <v>20121</v>
      </c>
      <c r="F1" s="680"/>
      <c r="G1" s="680"/>
      <c r="H1" s="680"/>
      <c r="I1" s="680"/>
      <c r="J1" s="680"/>
      <c r="K1" s="680"/>
      <c r="L1" s="680"/>
      <c r="M1" s="680"/>
      <c r="N1" s="680"/>
      <c r="O1" s="680"/>
      <c r="P1" s="680"/>
      <c r="Q1" s="680"/>
      <c r="R1" s="680"/>
      <c r="S1" s="680"/>
      <c r="T1" s="680"/>
      <c r="U1" s="680"/>
      <c r="V1" s="680"/>
      <c r="W1" s="680"/>
      <c r="X1" s="680"/>
      <c r="Y1" s="680"/>
      <c r="Z1" s="680"/>
    </row>
    <row r="2">
      <c r="A2" s="303" t="s">
        <v>20122</v>
      </c>
      <c r="B2" s="492" t="s">
        <v>20123</v>
      </c>
      <c r="C2" s="492" t="s">
        <v>10489</v>
      </c>
      <c r="D2" s="492" t="s">
        <v>20124</v>
      </c>
      <c r="E2" s="457" t="s">
        <v>20125</v>
      </c>
      <c r="G2" s="672"/>
      <c r="H2" s="672"/>
      <c r="I2" s="671"/>
      <c r="J2" s="681"/>
    </row>
    <row r="3">
      <c r="A3" s="682" t="s">
        <v>20126</v>
      </c>
      <c r="B3" s="492" t="s">
        <v>20127</v>
      </c>
      <c r="C3" s="492" t="s">
        <v>10489</v>
      </c>
      <c r="E3" s="683"/>
      <c r="G3" s="672"/>
      <c r="H3" s="672"/>
      <c r="I3" s="671"/>
      <c r="J3" s="681"/>
    </row>
    <row r="4">
      <c r="A4" s="684" t="s">
        <v>20128</v>
      </c>
      <c r="B4" s="492" t="s">
        <v>20129</v>
      </c>
      <c r="C4" s="492" t="s">
        <v>10489</v>
      </c>
      <c r="D4" s="492" t="s">
        <v>20124</v>
      </c>
      <c r="E4" s="457" t="s">
        <v>20130</v>
      </c>
      <c r="G4" s="672"/>
      <c r="H4" s="672"/>
      <c r="I4" s="671"/>
      <c r="J4" s="681"/>
    </row>
    <row r="5">
      <c r="A5" s="303" t="s">
        <v>20131</v>
      </c>
      <c r="B5" s="492" t="s">
        <v>20132</v>
      </c>
      <c r="C5" s="492" t="s">
        <v>7184</v>
      </c>
      <c r="D5" s="492" t="s">
        <v>20124</v>
      </c>
      <c r="E5" s="457" t="s">
        <v>20130</v>
      </c>
      <c r="G5" s="672"/>
      <c r="H5" s="672"/>
      <c r="I5" s="671"/>
      <c r="J5" s="681"/>
    </row>
    <row r="6">
      <c r="A6" s="682" t="s">
        <v>20133</v>
      </c>
      <c r="B6" s="492" t="s">
        <v>20134</v>
      </c>
      <c r="C6" s="492" t="s">
        <v>10489</v>
      </c>
      <c r="E6" s="683"/>
      <c r="G6" s="672"/>
      <c r="H6" s="672"/>
      <c r="I6" s="671"/>
      <c r="J6" s="681"/>
    </row>
    <row r="7">
      <c r="A7" s="682" t="s">
        <v>20135</v>
      </c>
      <c r="B7" s="492" t="s">
        <v>20136</v>
      </c>
      <c r="C7" s="492" t="s">
        <v>10489</v>
      </c>
      <c r="E7" s="683"/>
      <c r="G7" s="685" t="s">
        <v>20137</v>
      </c>
    </row>
    <row r="8">
      <c r="A8" s="303" t="s">
        <v>20138</v>
      </c>
      <c r="B8" s="492" t="s">
        <v>20139</v>
      </c>
      <c r="C8" s="492" t="s">
        <v>362</v>
      </c>
      <c r="D8" s="492" t="s">
        <v>20140</v>
      </c>
      <c r="E8" s="457" t="s">
        <v>20141</v>
      </c>
    </row>
    <row r="9">
      <c r="A9" s="303" t="s">
        <v>20142</v>
      </c>
      <c r="B9" s="492" t="s">
        <v>20143</v>
      </c>
      <c r="C9" s="492" t="s">
        <v>10489</v>
      </c>
      <c r="D9" s="492" t="s">
        <v>20140</v>
      </c>
      <c r="E9" s="457" t="s">
        <v>20125</v>
      </c>
    </row>
    <row r="10">
      <c r="A10" s="303" t="s">
        <v>20144</v>
      </c>
      <c r="B10" s="492" t="s">
        <v>20145</v>
      </c>
      <c r="C10" s="492" t="s">
        <v>10489</v>
      </c>
      <c r="D10" s="492" t="s">
        <v>20146</v>
      </c>
      <c r="E10" s="457" t="s">
        <v>20147</v>
      </c>
    </row>
    <row r="11">
      <c r="A11" s="303" t="s">
        <v>20148</v>
      </c>
      <c r="B11" s="492" t="s">
        <v>20149</v>
      </c>
      <c r="C11" s="492" t="s">
        <v>10489</v>
      </c>
      <c r="D11" s="492" t="s">
        <v>20140</v>
      </c>
      <c r="E11" s="457" t="s">
        <v>20150</v>
      </c>
    </row>
    <row r="12">
      <c r="A12" s="303" t="s">
        <v>20151</v>
      </c>
      <c r="B12" s="492" t="s">
        <v>20152</v>
      </c>
      <c r="C12" s="492" t="s">
        <v>10489</v>
      </c>
      <c r="D12" s="492" t="s">
        <v>20140</v>
      </c>
      <c r="E12" s="457" t="s">
        <v>20153</v>
      </c>
    </row>
    <row r="13">
      <c r="A13" s="303" t="s">
        <v>20154</v>
      </c>
      <c r="B13" s="492" t="s">
        <v>20155</v>
      </c>
      <c r="C13" s="492" t="s">
        <v>10489</v>
      </c>
      <c r="D13" s="492" t="s">
        <v>20140</v>
      </c>
      <c r="E13" s="457" t="s">
        <v>20156</v>
      </c>
    </row>
    <row r="14">
      <c r="A14" s="303" t="s">
        <v>20157</v>
      </c>
      <c r="B14" s="492" t="s">
        <v>20158</v>
      </c>
      <c r="C14" s="492" t="s">
        <v>10489</v>
      </c>
      <c r="D14" s="492" t="s">
        <v>20140</v>
      </c>
      <c r="E14" s="683"/>
    </row>
    <row r="15">
      <c r="A15" s="303" t="s">
        <v>20159</v>
      </c>
      <c r="B15" s="492" t="s">
        <v>20160</v>
      </c>
      <c r="C15" s="492" t="s">
        <v>20161</v>
      </c>
      <c r="E15" s="457" t="s">
        <v>20162</v>
      </c>
    </row>
    <row r="16">
      <c r="A16" s="303" t="s">
        <v>20163</v>
      </c>
      <c r="B16" s="492" t="s">
        <v>20164</v>
      </c>
      <c r="C16" s="492" t="s">
        <v>10489</v>
      </c>
      <c r="D16" s="492" t="s">
        <v>20146</v>
      </c>
      <c r="E16" s="457" t="s">
        <v>20165</v>
      </c>
    </row>
    <row r="17">
      <c r="A17" s="303" t="s">
        <v>20166</v>
      </c>
      <c r="B17" s="492" t="s">
        <v>20167</v>
      </c>
      <c r="C17" s="492" t="s">
        <v>362</v>
      </c>
      <c r="D17" s="686" t="s">
        <v>20146</v>
      </c>
      <c r="E17" s="687" t="s">
        <v>20168</v>
      </c>
    </row>
    <row r="18">
      <c r="A18" s="303" t="s">
        <v>20169</v>
      </c>
      <c r="B18" s="492" t="s">
        <v>20170</v>
      </c>
      <c r="C18" s="492" t="s">
        <v>10489</v>
      </c>
      <c r="D18" s="686" t="s">
        <v>20146</v>
      </c>
      <c r="E18" s="688" t="s">
        <v>20171</v>
      </c>
    </row>
    <row r="19">
      <c r="A19" s="303" t="s">
        <v>20172</v>
      </c>
      <c r="B19" s="492" t="s">
        <v>20173</v>
      </c>
      <c r="C19" s="492" t="s">
        <v>362</v>
      </c>
      <c r="E19" s="689" t="s">
        <v>20174</v>
      </c>
    </row>
    <row r="20">
      <c r="A20" s="303" t="s">
        <v>20175</v>
      </c>
      <c r="B20" s="690" t="s">
        <v>20176</v>
      </c>
      <c r="C20" s="492" t="s">
        <v>362</v>
      </c>
      <c r="D20" s="686" t="s">
        <v>3542</v>
      </c>
      <c r="E20" s="492"/>
    </row>
    <row r="21">
      <c r="A21" s="303" t="s">
        <v>20177</v>
      </c>
      <c r="B21" s="690" t="s">
        <v>20178</v>
      </c>
      <c r="C21" s="492" t="s">
        <v>362</v>
      </c>
      <c r="D21" s="686" t="s">
        <v>3542</v>
      </c>
      <c r="E21" s="691" t="s">
        <v>20179</v>
      </c>
    </row>
    <row r="22">
      <c r="A22" s="303" t="s">
        <v>20180</v>
      </c>
      <c r="B22" s="692" t="s">
        <v>20181</v>
      </c>
      <c r="C22" s="492" t="s">
        <v>10489</v>
      </c>
      <c r="D22" s="686" t="s">
        <v>20182</v>
      </c>
      <c r="E22" s="457" t="s">
        <v>20183</v>
      </c>
    </row>
    <row r="23">
      <c r="A23" s="303" t="s">
        <v>20157</v>
      </c>
      <c r="B23" s="492" t="s">
        <v>20184</v>
      </c>
      <c r="C23" s="492" t="s">
        <v>10489</v>
      </c>
      <c r="E23" s="683"/>
    </row>
    <row r="24">
      <c r="A24" s="303" t="s">
        <v>20185</v>
      </c>
      <c r="B24" s="492" t="s">
        <v>20186</v>
      </c>
      <c r="C24" s="492" t="s">
        <v>362</v>
      </c>
      <c r="E24" s="683"/>
    </row>
    <row r="25">
      <c r="A25" s="693" t="s">
        <v>20187</v>
      </c>
      <c r="B25" s="492" t="s">
        <v>20188</v>
      </c>
      <c r="C25" s="492" t="s">
        <v>362</v>
      </c>
      <c r="E25" s="683"/>
    </row>
    <row r="26">
      <c r="A26" s="694" t="s">
        <v>20189</v>
      </c>
      <c r="E26" s="683"/>
    </row>
    <row r="27">
      <c r="A27" s="695" t="s">
        <v>20190</v>
      </c>
      <c r="E27" s="683"/>
    </row>
    <row r="28">
      <c r="A28" s="695" t="s">
        <v>20191</v>
      </c>
      <c r="E28" s="683"/>
    </row>
    <row r="29">
      <c r="A29" s="696" t="s">
        <v>20192</v>
      </c>
      <c r="E29" s="683"/>
    </row>
    <row r="30">
      <c r="A30" s="697" t="s">
        <v>20193</v>
      </c>
      <c r="E30" s="683"/>
    </row>
    <row r="31">
      <c r="A31" s="697" t="s">
        <v>20194</v>
      </c>
      <c r="E31" s="683"/>
    </row>
    <row r="32">
      <c r="A32" s="697" t="s">
        <v>20195</v>
      </c>
      <c r="E32" s="683"/>
    </row>
    <row r="33">
      <c r="A33" s="694" t="s">
        <v>20196</v>
      </c>
      <c r="E33" s="683"/>
    </row>
    <row r="34">
      <c r="A34" s="697" t="s">
        <v>20197</v>
      </c>
      <c r="E34" s="683"/>
    </row>
    <row r="35">
      <c r="A35" s="683"/>
      <c r="E35" s="683"/>
    </row>
    <row r="36">
      <c r="A36" s="683"/>
      <c r="E36" s="683"/>
    </row>
    <row r="37">
      <c r="A37" s="683"/>
      <c r="E37" s="683"/>
    </row>
    <row r="38">
      <c r="A38" s="683"/>
      <c r="E38" s="683"/>
    </row>
    <row r="39">
      <c r="A39" s="683"/>
      <c r="E39" s="683"/>
    </row>
    <row r="40">
      <c r="A40" s="683"/>
      <c r="E40" s="683"/>
    </row>
    <row r="41">
      <c r="A41" s="683"/>
      <c r="E41" s="683"/>
    </row>
    <row r="42">
      <c r="A42" s="683"/>
      <c r="E42" s="683"/>
    </row>
    <row r="43">
      <c r="A43" s="683"/>
      <c r="E43" s="683"/>
    </row>
    <row r="44">
      <c r="A44" s="683"/>
      <c r="E44" s="683"/>
    </row>
    <row r="45">
      <c r="A45" s="683"/>
      <c r="E45" s="683"/>
    </row>
    <row r="46">
      <c r="A46" s="683"/>
      <c r="E46" s="683"/>
    </row>
    <row r="47">
      <c r="A47" s="683"/>
      <c r="E47" s="683"/>
    </row>
    <row r="48">
      <c r="A48" s="683"/>
      <c r="E48" s="683"/>
    </row>
    <row r="49">
      <c r="A49" s="683"/>
      <c r="E49" s="683"/>
    </row>
    <row r="50">
      <c r="A50" s="683"/>
      <c r="E50" s="683"/>
    </row>
    <row r="51">
      <c r="A51" s="683"/>
      <c r="E51" s="683"/>
    </row>
    <row r="52">
      <c r="A52" s="683"/>
      <c r="E52" s="683"/>
    </row>
    <row r="53">
      <c r="A53" s="683"/>
      <c r="E53" s="683"/>
    </row>
    <row r="54">
      <c r="A54" s="683"/>
      <c r="E54" s="683"/>
    </row>
    <row r="55">
      <c r="A55" s="683"/>
      <c r="E55" s="683"/>
    </row>
    <row r="56">
      <c r="A56" s="683"/>
      <c r="E56" s="683"/>
    </row>
    <row r="57">
      <c r="A57" s="683"/>
      <c r="E57" s="683"/>
    </row>
    <row r="58">
      <c r="A58" s="683"/>
      <c r="E58" s="683"/>
    </row>
    <row r="59">
      <c r="A59" s="683"/>
      <c r="E59" s="683"/>
    </row>
    <row r="60">
      <c r="A60" s="683"/>
      <c r="E60" s="683"/>
    </row>
    <row r="61">
      <c r="A61" s="683"/>
      <c r="E61" s="683"/>
    </row>
    <row r="62">
      <c r="A62" s="683"/>
      <c r="E62" s="683"/>
    </row>
    <row r="63">
      <c r="A63" s="683"/>
      <c r="E63" s="683"/>
    </row>
    <row r="64">
      <c r="A64" s="683"/>
      <c r="E64" s="683"/>
    </row>
    <row r="65">
      <c r="A65" s="683"/>
      <c r="E65" s="683"/>
    </row>
    <row r="66">
      <c r="A66" s="683"/>
      <c r="E66" s="683"/>
    </row>
    <row r="67">
      <c r="A67" s="683"/>
      <c r="E67" s="683"/>
    </row>
    <row r="68">
      <c r="A68" s="683"/>
      <c r="E68" s="683"/>
    </row>
    <row r="69">
      <c r="A69" s="683"/>
      <c r="E69" s="683"/>
    </row>
    <row r="70">
      <c r="A70" s="683"/>
      <c r="E70" s="683"/>
    </row>
    <row r="71">
      <c r="A71" s="683"/>
      <c r="E71" s="683"/>
    </row>
    <row r="72">
      <c r="A72" s="683"/>
      <c r="E72" s="683"/>
    </row>
    <row r="73">
      <c r="A73" s="683"/>
      <c r="E73" s="683"/>
    </row>
    <row r="74">
      <c r="A74" s="683"/>
      <c r="E74" s="683"/>
    </row>
    <row r="75">
      <c r="A75" s="683"/>
      <c r="E75" s="683"/>
    </row>
    <row r="76">
      <c r="A76" s="683"/>
      <c r="E76" s="683"/>
    </row>
    <row r="77">
      <c r="A77" s="683"/>
      <c r="E77" s="683"/>
    </row>
    <row r="78">
      <c r="A78" s="683"/>
      <c r="E78" s="683"/>
    </row>
    <row r="79">
      <c r="A79" s="683"/>
      <c r="E79" s="683"/>
    </row>
    <row r="80">
      <c r="A80" s="683"/>
      <c r="E80" s="683"/>
    </row>
    <row r="81">
      <c r="A81" s="683"/>
      <c r="E81" s="683"/>
    </row>
    <row r="82">
      <c r="A82" s="683"/>
      <c r="E82" s="683"/>
    </row>
    <row r="83">
      <c r="A83" s="683"/>
    </row>
    <row r="84">
      <c r="A84" s="683"/>
    </row>
    <row r="85">
      <c r="A85" s="683"/>
    </row>
    <row r="86">
      <c r="A86" s="683"/>
    </row>
    <row r="87">
      <c r="A87" s="683"/>
    </row>
    <row r="88">
      <c r="A88" s="683"/>
    </row>
    <row r="89">
      <c r="A89" s="683"/>
    </row>
    <row r="90">
      <c r="A90" s="683"/>
    </row>
    <row r="91">
      <c r="A91" s="683"/>
    </row>
    <row r="92">
      <c r="A92" s="683"/>
    </row>
    <row r="93">
      <c r="A93" s="683"/>
    </row>
    <row r="94">
      <c r="A94" s="683"/>
    </row>
    <row r="95">
      <c r="A95" s="683"/>
    </row>
    <row r="96">
      <c r="A96" s="683"/>
    </row>
    <row r="97">
      <c r="A97" s="683"/>
    </row>
    <row r="98">
      <c r="A98" s="683"/>
    </row>
    <row r="99">
      <c r="A99" s="683"/>
    </row>
    <row r="100">
      <c r="A100" s="683"/>
    </row>
    <row r="101">
      <c r="A101" s="683"/>
    </row>
    <row r="102">
      <c r="A102" s="683"/>
    </row>
    <row r="103">
      <c r="A103" s="683"/>
    </row>
    <row r="104">
      <c r="A104" s="683"/>
    </row>
    <row r="105">
      <c r="A105" s="683"/>
    </row>
    <row r="106">
      <c r="A106" s="683"/>
    </row>
    <row r="107">
      <c r="A107" s="683"/>
    </row>
    <row r="108">
      <c r="A108" s="683"/>
    </row>
    <row r="109">
      <c r="A109" s="683"/>
    </row>
    <row r="110">
      <c r="A110" s="683"/>
    </row>
    <row r="111">
      <c r="A111" s="683"/>
    </row>
    <row r="112">
      <c r="A112" s="683"/>
    </row>
    <row r="113">
      <c r="A113" s="683"/>
    </row>
    <row r="114">
      <c r="A114" s="683"/>
    </row>
    <row r="115">
      <c r="A115" s="683"/>
    </row>
    <row r="116">
      <c r="A116" s="683"/>
    </row>
    <row r="117">
      <c r="A117" s="683"/>
    </row>
    <row r="118">
      <c r="A118" s="683"/>
    </row>
    <row r="119">
      <c r="A119" s="683"/>
    </row>
    <row r="120">
      <c r="A120" s="683"/>
    </row>
    <row r="121">
      <c r="A121" s="683"/>
    </row>
    <row r="122">
      <c r="A122" s="683"/>
    </row>
    <row r="123">
      <c r="A123" s="683"/>
    </row>
    <row r="124">
      <c r="A124" s="683"/>
    </row>
    <row r="125">
      <c r="A125" s="683"/>
    </row>
    <row r="126">
      <c r="A126" s="683"/>
    </row>
    <row r="127">
      <c r="A127" s="683"/>
    </row>
    <row r="128">
      <c r="A128" s="683"/>
    </row>
    <row r="129">
      <c r="A129" s="683"/>
    </row>
    <row r="130">
      <c r="A130" s="683"/>
    </row>
    <row r="131">
      <c r="A131" s="683"/>
    </row>
    <row r="132">
      <c r="A132" s="683"/>
    </row>
    <row r="133">
      <c r="A133" s="683"/>
    </row>
    <row r="134">
      <c r="A134" s="683"/>
    </row>
    <row r="135">
      <c r="A135" s="683"/>
    </row>
    <row r="136">
      <c r="A136" s="683"/>
    </row>
    <row r="137">
      <c r="A137" s="683"/>
    </row>
    <row r="138">
      <c r="A138" s="683"/>
    </row>
    <row r="139">
      <c r="A139" s="683"/>
    </row>
    <row r="140">
      <c r="A140" s="683"/>
    </row>
    <row r="141">
      <c r="A141" s="683"/>
    </row>
    <row r="142">
      <c r="A142" s="683"/>
    </row>
    <row r="143">
      <c r="A143" s="683"/>
    </row>
    <row r="144">
      <c r="A144" s="683"/>
    </row>
    <row r="145">
      <c r="A145" s="683"/>
    </row>
    <row r="146">
      <c r="A146" s="683"/>
    </row>
    <row r="147">
      <c r="A147" s="683"/>
    </row>
    <row r="148">
      <c r="A148" s="683"/>
    </row>
    <row r="149">
      <c r="A149" s="683"/>
    </row>
    <row r="150">
      <c r="A150" s="683"/>
    </row>
    <row r="151">
      <c r="A151" s="683"/>
    </row>
    <row r="152">
      <c r="A152" s="683"/>
    </row>
    <row r="153">
      <c r="A153" s="683"/>
    </row>
    <row r="154">
      <c r="A154" s="683"/>
    </row>
    <row r="155">
      <c r="A155" s="683"/>
    </row>
    <row r="156">
      <c r="A156" s="683"/>
    </row>
    <row r="157">
      <c r="A157" s="683"/>
    </row>
    <row r="158">
      <c r="A158" s="683"/>
    </row>
    <row r="159">
      <c r="A159" s="683"/>
    </row>
    <row r="160">
      <c r="A160" s="683"/>
    </row>
    <row r="161">
      <c r="A161" s="683"/>
    </row>
    <row r="162">
      <c r="A162" s="683"/>
    </row>
    <row r="163">
      <c r="A163" s="683"/>
    </row>
    <row r="164">
      <c r="A164" s="683"/>
    </row>
    <row r="165">
      <c r="A165" s="683"/>
    </row>
    <row r="166">
      <c r="A166" s="683"/>
    </row>
    <row r="167">
      <c r="A167" s="683"/>
    </row>
    <row r="168">
      <c r="A168" s="683"/>
    </row>
    <row r="169">
      <c r="A169" s="683"/>
    </row>
    <row r="170">
      <c r="A170" s="683"/>
    </row>
    <row r="171">
      <c r="A171" s="683"/>
    </row>
    <row r="172">
      <c r="A172" s="683"/>
    </row>
    <row r="173">
      <c r="A173" s="683"/>
    </row>
    <row r="174">
      <c r="A174" s="683"/>
    </row>
    <row r="175">
      <c r="A175" s="683"/>
    </row>
    <row r="176">
      <c r="A176" s="683"/>
    </row>
    <row r="177">
      <c r="A177" s="683"/>
    </row>
    <row r="178">
      <c r="A178" s="683"/>
    </row>
    <row r="179">
      <c r="A179" s="683"/>
    </row>
    <row r="180">
      <c r="A180" s="683"/>
    </row>
    <row r="181">
      <c r="A181" s="683"/>
    </row>
    <row r="182">
      <c r="A182" s="683"/>
    </row>
    <row r="183">
      <c r="A183" s="683"/>
    </row>
    <row r="184">
      <c r="A184" s="683"/>
    </row>
    <row r="185">
      <c r="A185" s="683"/>
    </row>
    <row r="186">
      <c r="A186" s="683"/>
    </row>
    <row r="187">
      <c r="A187" s="683"/>
    </row>
    <row r="188">
      <c r="A188" s="683"/>
    </row>
    <row r="189">
      <c r="A189" s="683"/>
    </row>
    <row r="190">
      <c r="A190" s="683"/>
    </row>
    <row r="191">
      <c r="A191" s="683"/>
    </row>
    <row r="192">
      <c r="A192" s="683"/>
    </row>
    <row r="193">
      <c r="A193" s="683"/>
    </row>
    <row r="194">
      <c r="A194" s="683"/>
    </row>
    <row r="195">
      <c r="A195" s="683"/>
    </row>
    <row r="196">
      <c r="A196" s="683"/>
    </row>
    <row r="197">
      <c r="A197" s="683"/>
    </row>
    <row r="198">
      <c r="A198" s="683"/>
    </row>
    <row r="199">
      <c r="A199" s="683"/>
    </row>
    <row r="200">
      <c r="A200" s="683"/>
    </row>
    <row r="201">
      <c r="A201" s="683"/>
    </row>
    <row r="202">
      <c r="A202" s="683"/>
    </row>
    <row r="203">
      <c r="A203" s="683"/>
    </row>
    <row r="204">
      <c r="A204" s="683"/>
    </row>
    <row r="205">
      <c r="A205" s="683"/>
    </row>
    <row r="206">
      <c r="A206" s="683"/>
    </row>
    <row r="207">
      <c r="A207" s="683"/>
    </row>
    <row r="208">
      <c r="A208" s="683"/>
    </row>
    <row r="209">
      <c r="A209" s="683"/>
    </row>
    <row r="210">
      <c r="A210" s="683"/>
    </row>
    <row r="211">
      <c r="A211" s="683"/>
    </row>
    <row r="212">
      <c r="A212" s="683"/>
    </row>
    <row r="213">
      <c r="A213" s="683"/>
    </row>
    <row r="214">
      <c r="A214" s="683"/>
    </row>
    <row r="215">
      <c r="A215" s="683"/>
    </row>
    <row r="216">
      <c r="A216" s="683"/>
    </row>
    <row r="217">
      <c r="A217" s="683"/>
    </row>
    <row r="218">
      <c r="A218" s="683"/>
    </row>
    <row r="219">
      <c r="A219" s="683"/>
    </row>
    <row r="220">
      <c r="A220" s="683"/>
    </row>
    <row r="221">
      <c r="A221" s="683"/>
    </row>
    <row r="222">
      <c r="A222" s="683"/>
    </row>
    <row r="223">
      <c r="A223" s="683"/>
    </row>
    <row r="224">
      <c r="A224" s="683"/>
    </row>
    <row r="225">
      <c r="A225" s="683"/>
    </row>
    <row r="226">
      <c r="A226" s="683"/>
    </row>
    <row r="227">
      <c r="A227" s="683"/>
    </row>
    <row r="228">
      <c r="A228" s="683"/>
    </row>
    <row r="229">
      <c r="A229" s="683"/>
    </row>
    <row r="230">
      <c r="A230" s="683"/>
    </row>
    <row r="231">
      <c r="A231" s="683"/>
    </row>
    <row r="232">
      <c r="A232" s="683"/>
    </row>
    <row r="233">
      <c r="A233" s="683"/>
    </row>
    <row r="234">
      <c r="A234" s="683"/>
    </row>
    <row r="235">
      <c r="A235" s="683"/>
    </row>
    <row r="236">
      <c r="A236" s="683"/>
    </row>
    <row r="237">
      <c r="A237" s="683"/>
    </row>
    <row r="238">
      <c r="A238" s="683"/>
    </row>
    <row r="239">
      <c r="A239" s="683"/>
    </row>
    <row r="240">
      <c r="A240" s="683"/>
    </row>
    <row r="241">
      <c r="A241" s="683"/>
    </row>
    <row r="242">
      <c r="A242" s="683"/>
    </row>
    <row r="243">
      <c r="A243" s="683"/>
    </row>
    <row r="244">
      <c r="A244" s="683"/>
    </row>
    <row r="245">
      <c r="A245" s="683"/>
    </row>
    <row r="246">
      <c r="A246" s="683"/>
    </row>
    <row r="247">
      <c r="A247" s="683"/>
    </row>
    <row r="248">
      <c r="A248" s="683"/>
    </row>
    <row r="249">
      <c r="A249" s="683"/>
    </row>
    <row r="250">
      <c r="A250" s="683"/>
    </row>
    <row r="251">
      <c r="A251" s="683"/>
    </row>
    <row r="252">
      <c r="A252" s="683"/>
    </row>
    <row r="253">
      <c r="A253" s="683"/>
    </row>
    <row r="254">
      <c r="A254" s="683"/>
    </row>
    <row r="255">
      <c r="A255" s="683"/>
    </row>
    <row r="256">
      <c r="A256" s="683"/>
    </row>
    <row r="257">
      <c r="A257" s="683"/>
    </row>
    <row r="258">
      <c r="A258" s="683"/>
    </row>
    <row r="259">
      <c r="A259" s="683"/>
    </row>
    <row r="260">
      <c r="A260" s="683"/>
    </row>
    <row r="261">
      <c r="A261" s="683"/>
    </row>
    <row r="262">
      <c r="A262" s="683"/>
    </row>
    <row r="263">
      <c r="A263" s="683"/>
    </row>
    <row r="264">
      <c r="A264" s="683"/>
    </row>
    <row r="265">
      <c r="A265" s="683"/>
    </row>
    <row r="266">
      <c r="A266" s="683"/>
    </row>
    <row r="267">
      <c r="A267" s="683"/>
    </row>
    <row r="268">
      <c r="A268" s="683"/>
    </row>
    <row r="269">
      <c r="A269" s="683"/>
    </row>
    <row r="270">
      <c r="A270" s="683"/>
    </row>
    <row r="271">
      <c r="A271" s="683"/>
    </row>
    <row r="272">
      <c r="A272" s="683"/>
    </row>
    <row r="273">
      <c r="A273" s="683"/>
    </row>
    <row r="274">
      <c r="A274" s="683"/>
    </row>
    <row r="275">
      <c r="A275" s="683"/>
    </row>
    <row r="276">
      <c r="A276" s="683"/>
    </row>
    <row r="277">
      <c r="A277" s="683"/>
    </row>
    <row r="278">
      <c r="A278" s="683"/>
    </row>
    <row r="279">
      <c r="A279" s="683"/>
    </row>
    <row r="280">
      <c r="A280" s="683"/>
    </row>
    <row r="281">
      <c r="A281" s="683"/>
    </row>
    <row r="282">
      <c r="A282" s="683"/>
    </row>
    <row r="283">
      <c r="A283" s="683"/>
    </row>
    <row r="284">
      <c r="A284" s="683"/>
    </row>
    <row r="285">
      <c r="A285" s="683"/>
    </row>
    <row r="286">
      <c r="A286" s="683"/>
    </row>
    <row r="287">
      <c r="A287" s="683"/>
    </row>
    <row r="288">
      <c r="A288" s="683"/>
    </row>
    <row r="289">
      <c r="A289" s="683"/>
    </row>
    <row r="290">
      <c r="A290" s="683"/>
    </row>
    <row r="291">
      <c r="A291" s="683"/>
    </row>
    <row r="292">
      <c r="A292" s="683"/>
    </row>
    <row r="293">
      <c r="A293" s="683"/>
    </row>
    <row r="294">
      <c r="A294" s="683"/>
    </row>
    <row r="295">
      <c r="A295" s="683"/>
    </row>
    <row r="296">
      <c r="A296" s="683"/>
    </row>
    <row r="297">
      <c r="A297" s="683"/>
    </row>
    <row r="298">
      <c r="A298" s="683"/>
    </row>
    <row r="299">
      <c r="A299" s="683"/>
    </row>
    <row r="300">
      <c r="A300" s="683"/>
    </row>
    <row r="301">
      <c r="A301" s="683"/>
    </row>
    <row r="302">
      <c r="A302" s="683"/>
    </row>
    <row r="303">
      <c r="A303" s="683"/>
    </row>
    <row r="304">
      <c r="A304" s="683"/>
    </row>
    <row r="305">
      <c r="A305" s="683"/>
    </row>
    <row r="306">
      <c r="A306" s="683"/>
    </row>
    <row r="307">
      <c r="A307" s="683"/>
    </row>
    <row r="308">
      <c r="A308" s="683"/>
    </row>
    <row r="309">
      <c r="A309" s="683"/>
    </row>
    <row r="310">
      <c r="A310" s="683"/>
    </row>
    <row r="311">
      <c r="A311" s="683"/>
    </row>
    <row r="312">
      <c r="A312" s="683"/>
    </row>
    <row r="313">
      <c r="A313" s="683"/>
    </row>
    <row r="314">
      <c r="A314" s="683"/>
    </row>
    <row r="315">
      <c r="A315" s="683"/>
    </row>
    <row r="316">
      <c r="A316" s="683"/>
    </row>
    <row r="317">
      <c r="A317" s="683"/>
    </row>
    <row r="318">
      <c r="A318" s="683"/>
    </row>
    <row r="319">
      <c r="A319" s="683"/>
    </row>
    <row r="320">
      <c r="A320" s="683"/>
    </row>
    <row r="321">
      <c r="A321" s="683"/>
    </row>
    <row r="322">
      <c r="A322" s="683"/>
    </row>
    <row r="323">
      <c r="A323" s="683"/>
    </row>
    <row r="324">
      <c r="A324" s="683"/>
    </row>
    <row r="325">
      <c r="A325" s="683"/>
    </row>
    <row r="326">
      <c r="A326" s="683"/>
    </row>
    <row r="327">
      <c r="A327" s="683"/>
    </row>
    <row r="328">
      <c r="A328" s="683"/>
    </row>
    <row r="329">
      <c r="A329" s="683"/>
    </row>
    <row r="330">
      <c r="A330" s="683"/>
    </row>
    <row r="331">
      <c r="A331" s="683"/>
    </row>
    <row r="332">
      <c r="A332" s="683"/>
    </row>
    <row r="333">
      <c r="A333" s="683"/>
    </row>
    <row r="334">
      <c r="A334" s="683"/>
    </row>
    <row r="335">
      <c r="A335" s="683"/>
    </row>
    <row r="336">
      <c r="A336" s="683"/>
    </row>
    <row r="337">
      <c r="A337" s="683"/>
    </row>
    <row r="338">
      <c r="A338" s="683"/>
    </row>
    <row r="339">
      <c r="A339" s="683"/>
    </row>
    <row r="340">
      <c r="A340" s="683"/>
    </row>
    <row r="341">
      <c r="A341" s="683"/>
    </row>
    <row r="342">
      <c r="A342" s="683"/>
    </row>
    <row r="343">
      <c r="A343" s="683"/>
    </row>
    <row r="344">
      <c r="A344" s="683"/>
    </row>
    <row r="345">
      <c r="A345" s="683"/>
    </row>
    <row r="346">
      <c r="A346" s="683"/>
    </row>
    <row r="347">
      <c r="A347" s="683"/>
    </row>
    <row r="348">
      <c r="A348" s="683"/>
    </row>
    <row r="349">
      <c r="A349" s="683"/>
    </row>
    <row r="350">
      <c r="A350" s="683"/>
    </row>
    <row r="351">
      <c r="A351" s="683"/>
    </row>
    <row r="352">
      <c r="A352" s="683"/>
    </row>
    <row r="353">
      <c r="A353" s="683"/>
    </row>
    <row r="354">
      <c r="A354" s="683"/>
    </row>
    <row r="355">
      <c r="A355" s="683"/>
    </row>
    <row r="356">
      <c r="A356" s="683"/>
    </row>
    <row r="357">
      <c r="A357" s="683"/>
    </row>
    <row r="358">
      <c r="A358" s="683"/>
    </row>
    <row r="359">
      <c r="A359" s="683"/>
    </row>
    <row r="360">
      <c r="A360" s="683"/>
    </row>
    <row r="361">
      <c r="A361" s="683"/>
    </row>
    <row r="362">
      <c r="A362" s="683"/>
    </row>
    <row r="363">
      <c r="A363" s="683"/>
    </row>
    <row r="364">
      <c r="A364" s="683"/>
    </row>
    <row r="365">
      <c r="A365" s="683"/>
    </row>
    <row r="366">
      <c r="A366" s="683"/>
    </row>
    <row r="367">
      <c r="A367" s="683"/>
    </row>
    <row r="368">
      <c r="A368" s="683"/>
    </row>
    <row r="369">
      <c r="A369" s="683"/>
    </row>
    <row r="370">
      <c r="A370" s="683"/>
    </row>
    <row r="371">
      <c r="A371" s="683"/>
    </row>
    <row r="372">
      <c r="A372" s="683"/>
    </row>
    <row r="373">
      <c r="A373" s="683"/>
    </row>
    <row r="374">
      <c r="A374" s="683"/>
    </row>
    <row r="375">
      <c r="A375" s="683"/>
    </row>
    <row r="376">
      <c r="A376" s="683"/>
    </row>
    <row r="377">
      <c r="A377" s="683"/>
    </row>
    <row r="378">
      <c r="A378" s="683"/>
    </row>
    <row r="379">
      <c r="A379" s="683"/>
    </row>
    <row r="380">
      <c r="A380" s="683"/>
    </row>
    <row r="381">
      <c r="A381" s="683"/>
    </row>
    <row r="382">
      <c r="A382" s="683"/>
    </row>
    <row r="383">
      <c r="A383" s="683"/>
    </row>
    <row r="384">
      <c r="A384" s="683"/>
    </row>
    <row r="385">
      <c r="A385" s="683"/>
    </row>
    <row r="386">
      <c r="A386" s="683"/>
    </row>
    <row r="387">
      <c r="A387" s="683"/>
    </row>
    <row r="388">
      <c r="A388" s="683"/>
    </row>
    <row r="389">
      <c r="A389" s="683"/>
    </row>
    <row r="390">
      <c r="A390" s="683"/>
    </row>
    <row r="391">
      <c r="A391" s="683"/>
    </row>
    <row r="392">
      <c r="A392" s="683"/>
    </row>
    <row r="393">
      <c r="A393" s="683"/>
    </row>
    <row r="394">
      <c r="A394" s="683"/>
    </row>
    <row r="395">
      <c r="A395" s="683"/>
    </row>
    <row r="396">
      <c r="A396" s="683"/>
    </row>
    <row r="397">
      <c r="A397" s="683"/>
    </row>
    <row r="398">
      <c r="A398" s="683"/>
    </row>
    <row r="399">
      <c r="A399" s="683"/>
    </row>
    <row r="400">
      <c r="A400" s="683"/>
    </row>
    <row r="401">
      <c r="A401" s="683"/>
    </row>
    <row r="402">
      <c r="A402" s="683"/>
    </row>
    <row r="403">
      <c r="A403" s="683"/>
    </row>
    <row r="404">
      <c r="A404" s="683"/>
    </row>
    <row r="405">
      <c r="A405" s="683"/>
    </row>
    <row r="406">
      <c r="A406" s="683"/>
    </row>
    <row r="407">
      <c r="A407" s="683"/>
    </row>
    <row r="408">
      <c r="A408" s="683"/>
    </row>
    <row r="409">
      <c r="A409" s="683"/>
    </row>
    <row r="410">
      <c r="A410" s="683"/>
    </row>
    <row r="411">
      <c r="A411" s="683"/>
    </row>
    <row r="412">
      <c r="A412" s="683"/>
    </row>
    <row r="413">
      <c r="A413" s="683"/>
    </row>
    <row r="414">
      <c r="A414" s="683"/>
    </row>
    <row r="415">
      <c r="A415" s="683"/>
    </row>
    <row r="416">
      <c r="A416" s="683"/>
    </row>
    <row r="417">
      <c r="A417" s="683"/>
    </row>
    <row r="418">
      <c r="A418" s="683"/>
    </row>
    <row r="419">
      <c r="A419" s="683"/>
    </row>
    <row r="420">
      <c r="A420" s="683"/>
    </row>
    <row r="421">
      <c r="A421" s="683"/>
    </row>
    <row r="422">
      <c r="A422" s="683"/>
    </row>
    <row r="423">
      <c r="A423" s="683"/>
    </row>
    <row r="424">
      <c r="A424" s="683"/>
    </row>
    <row r="425">
      <c r="A425" s="683"/>
    </row>
    <row r="426">
      <c r="A426" s="683"/>
    </row>
    <row r="427">
      <c r="A427" s="683"/>
    </row>
    <row r="428">
      <c r="A428" s="683"/>
    </row>
    <row r="429">
      <c r="A429" s="683"/>
    </row>
    <row r="430">
      <c r="A430" s="683"/>
    </row>
    <row r="431">
      <c r="A431" s="683"/>
    </row>
    <row r="432">
      <c r="A432" s="683"/>
    </row>
    <row r="433">
      <c r="A433" s="683"/>
    </row>
    <row r="434">
      <c r="A434" s="683"/>
    </row>
    <row r="435">
      <c r="A435" s="683"/>
    </row>
    <row r="436">
      <c r="A436" s="683"/>
    </row>
    <row r="437">
      <c r="A437" s="683"/>
    </row>
    <row r="438">
      <c r="A438" s="683"/>
    </row>
    <row r="439">
      <c r="A439" s="683"/>
    </row>
    <row r="440">
      <c r="A440" s="683"/>
    </row>
    <row r="441">
      <c r="A441" s="683"/>
    </row>
    <row r="442">
      <c r="A442" s="683"/>
    </row>
    <row r="443">
      <c r="A443" s="683"/>
    </row>
    <row r="444">
      <c r="A444" s="683"/>
    </row>
    <row r="445">
      <c r="A445" s="683"/>
    </row>
    <row r="446">
      <c r="A446" s="683"/>
    </row>
    <row r="447">
      <c r="A447" s="683"/>
    </row>
    <row r="448">
      <c r="A448" s="683"/>
    </row>
    <row r="449">
      <c r="A449" s="683"/>
    </row>
    <row r="450">
      <c r="A450" s="683"/>
    </row>
    <row r="451">
      <c r="A451" s="683"/>
    </row>
    <row r="452">
      <c r="A452" s="683"/>
    </row>
    <row r="453">
      <c r="A453" s="683"/>
    </row>
    <row r="454">
      <c r="A454" s="683"/>
    </row>
    <row r="455">
      <c r="A455" s="683"/>
    </row>
    <row r="456">
      <c r="A456" s="683"/>
    </row>
    <row r="457">
      <c r="A457" s="683"/>
    </row>
    <row r="458">
      <c r="A458" s="683"/>
    </row>
    <row r="459">
      <c r="A459" s="683"/>
    </row>
    <row r="460">
      <c r="A460" s="683"/>
    </row>
    <row r="461">
      <c r="A461" s="683"/>
    </row>
    <row r="462">
      <c r="A462" s="683"/>
    </row>
    <row r="463">
      <c r="A463" s="683"/>
    </row>
    <row r="464">
      <c r="A464" s="683"/>
    </row>
    <row r="465">
      <c r="A465" s="683"/>
    </row>
    <row r="466">
      <c r="A466" s="683"/>
    </row>
    <row r="467">
      <c r="A467" s="683"/>
    </row>
    <row r="468">
      <c r="A468" s="683"/>
    </row>
    <row r="469">
      <c r="A469" s="683"/>
    </row>
    <row r="470">
      <c r="A470" s="683"/>
    </row>
    <row r="471">
      <c r="A471" s="683"/>
    </row>
    <row r="472">
      <c r="A472" s="683"/>
    </row>
    <row r="473">
      <c r="A473" s="683"/>
    </row>
    <row r="474">
      <c r="A474" s="683"/>
    </row>
    <row r="475">
      <c r="A475" s="683"/>
    </row>
    <row r="476">
      <c r="A476" s="683"/>
    </row>
    <row r="477">
      <c r="A477" s="683"/>
    </row>
    <row r="478">
      <c r="A478" s="683"/>
    </row>
    <row r="479">
      <c r="A479" s="683"/>
    </row>
    <row r="480">
      <c r="A480" s="683"/>
    </row>
    <row r="481">
      <c r="A481" s="683"/>
    </row>
    <row r="482">
      <c r="A482" s="683"/>
    </row>
    <row r="483">
      <c r="A483" s="683"/>
    </row>
    <row r="484">
      <c r="A484" s="683"/>
    </row>
    <row r="485">
      <c r="A485" s="683"/>
    </row>
    <row r="486">
      <c r="A486" s="683"/>
    </row>
    <row r="487">
      <c r="A487" s="683"/>
    </row>
    <row r="488">
      <c r="A488" s="683"/>
    </row>
    <row r="489">
      <c r="A489" s="683"/>
    </row>
    <row r="490">
      <c r="A490" s="683"/>
    </row>
    <row r="491">
      <c r="A491" s="683"/>
    </row>
    <row r="492">
      <c r="A492" s="683"/>
    </row>
    <row r="493">
      <c r="A493" s="683"/>
    </row>
    <row r="494">
      <c r="A494" s="683"/>
    </row>
    <row r="495">
      <c r="A495" s="683"/>
    </row>
    <row r="496">
      <c r="A496" s="683"/>
    </row>
    <row r="497">
      <c r="A497" s="683"/>
    </row>
    <row r="498">
      <c r="A498" s="683"/>
    </row>
    <row r="499">
      <c r="A499" s="683"/>
    </row>
    <row r="500">
      <c r="A500" s="683"/>
    </row>
    <row r="501">
      <c r="A501" s="683"/>
    </row>
    <row r="502">
      <c r="A502" s="683"/>
    </row>
    <row r="503">
      <c r="A503" s="683"/>
    </row>
    <row r="504">
      <c r="A504" s="683"/>
    </row>
    <row r="505">
      <c r="A505" s="683"/>
    </row>
    <row r="506">
      <c r="A506" s="683"/>
    </row>
    <row r="507">
      <c r="A507" s="683"/>
    </row>
    <row r="508">
      <c r="A508" s="683"/>
    </row>
    <row r="509">
      <c r="A509" s="683"/>
    </row>
    <row r="510">
      <c r="A510" s="683"/>
    </row>
    <row r="511">
      <c r="A511" s="683"/>
    </row>
    <row r="512">
      <c r="A512" s="683"/>
    </row>
    <row r="513">
      <c r="A513" s="683"/>
    </row>
    <row r="514">
      <c r="A514" s="683"/>
    </row>
    <row r="515">
      <c r="A515" s="683"/>
    </row>
    <row r="516">
      <c r="A516" s="683"/>
    </row>
    <row r="517">
      <c r="A517" s="683"/>
    </row>
    <row r="518">
      <c r="A518" s="683"/>
    </row>
    <row r="519">
      <c r="A519" s="683"/>
    </row>
    <row r="520">
      <c r="A520" s="683"/>
    </row>
    <row r="521">
      <c r="A521" s="683"/>
    </row>
    <row r="522">
      <c r="A522" s="683"/>
    </row>
    <row r="523">
      <c r="A523" s="683"/>
    </row>
    <row r="524">
      <c r="A524" s="683"/>
    </row>
    <row r="525">
      <c r="A525" s="683"/>
    </row>
    <row r="526">
      <c r="A526" s="683"/>
    </row>
    <row r="527">
      <c r="A527" s="683"/>
    </row>
    <row r="528">
      <c r="A528" s="683"/>
    </row>
    <row r="529">
      <c r="A529" s="683"/>
    </row>
    <row r="530">
      <c r="A530" s="683"/>
    </row>
    <row r="531">
      <c r="A531" s="683"/>
    </row>
    <row r="532">
      <c r="A532" s="683"/>
    </row>
    <row r="533">
      <c r="A533" s="683"/>
    </row>
    <row r="534">
      <c r="A534" s="683"/>
    </row>
    <row r="535">
      <c r="A535" s="683"/>
    </row>
    <row r="536">
      <c r="A536" s="683"/>
    </row>
    <row r="537">
      <c r="A537" s="683"/>
    </row>
    <row r="538">
      <c r="A538" s="683"/>
    </row>
    <row r="539">
      <c r="A539" s="683"/>
    </row>
    <row r="540">
      <c r="A540" s="683"/>
    </row>
    <row r="541">
      <c r="A541" s="683"/>
    </row>
    <row r="542">
      <c r="A542" s="683"/>
    </row>
    <row r="543">
      <c r="A543" s="683"/>
    </row>
    <row r="544">
      <c r="A544" s="683"/>
    </row>
    <row r="545">
      <c r="A545" s="683"/>
    </row>
    <row r="546">
      <c r="A546" s="683"/>
    </row>
    <row r="547">
      <c r="A547" s="683"/>
    </row>
    <row r="548">
      <c r="A548" s="683"/>
    </row>
    <row r="549">
      <c r="A549" s="683"/>
    </row>
    <row r="550">
      <c r="A550" s="683"/>
    </row>
    <row r="551">
      <c r="A551" s="683"/>
    </row>
    <row r="552">
      <c r="A552" s="683"/>
    </row>
    <row r="553">
      <c r="A553" s="683"/>
    </row>
    <row r="554">
      <c r="A554" s="683"/>
    </row>
    <row r="555">
      <c r="A555" s="683"/>
    </row>
    <row r="556">
      <c r="A556" s="683"/>
    </row>
    <row r="557">
      <c r="A557" s="683"/>
    </row>
    <row r="558">
      <c r="A558" s="683"/>
    </row>
    <row r="559">
      <c r="A559" s="683"/>
    </row>
    <row r="560">
      <c r="A560" s="683"/>
    </row>
    <row r="561">
      <c r="A561" s="683"/>
    </row>
    <row r="562">
      <c r="A562" s="683"/>
    </row>
    <row r="563">
      <c r="A563" s="683"/>
    </row>
    <row r="564">
      <c r="A564" s="683"/>
    </row>
    <row r="565">
      <c r="A565" s="683"/>
    </row>
    <row r="566">
      <c r="A566" s="683"/>
    </row>
    <row r="567">
      <c r="A567" s="683"/>
    </row>
    <row r="568">
      <c r="A568" s="683"/>
    </row>
    <row r="569">
      <c r="A569" s="683"/>
    </row>
    <row r="570">
      <c r="A570" s="683"/>
    </row>
    <row r="571">
      <c r="A571" s="683"/>
    </row>
    <row r="572">
      <c r="A572" s="683"/>
    </row>
    <row r="573">
      <c r="A573" s="683"/>
    </row>
    <row r="574">
      <c r="A574" s="683"/>
    </row>
    <row r="575">
      <c r="A575" s="683"/>
    </row>
    <row r="576">
      <c r="A576" s="683"/>
    </row>
    <row r="577">
      <c r="A577" s="683"/>
    </row>
    <row r="578">
      <c r="A578" s="683"/>
    </row>
    <row r="579">
      <c r="A579" s="683"/>
    </row>
    <row r="580">
      <c r="A580" s="683"/>
    </row>
    <row r="581">
      <c r="A581" s="683"/>
    </row>
    <row r="582">
      <c r="A582" s="683"/>
    </row>
    <row r="583">
      <c r="A583" s="683"/>
    </row>
    <row r="584">
      <c r="A584" s="683"/>
    </row>
    <row r="585">
      <c r="A585" s="683"/>
    </row>
    <row r="586">
      <c r="A586" s="683"/>
    </row>
    <row r="587">
      <c r="A587" s="683"/>
    </row>
    <row r="588">
      <c r="A588" s="683"/>
    </row>
    <row r="589">
      <c r="A589" s="683"/>
    </row>
    <row r="590">
      <c r="A590" s="683"/>
    </row>
    <row r="591">
      <c r="A591" s="683"/>
    </row>
    <row r="592">
      <c r="A592" s="683"/>
    </row>
    <row r="593">
      <c r="A593" s="683"/>
    </row>
    <row r="594">
      <c r="A594" s="683"/>
    </row>
    <row r="595">
      <c r="A595" s="683"/>
    </row>
    <row r="596">
      <c r="A596" s="683"/>
    </row>
    <row r="597">
      <c r="A597" s="683"/>
    </row>
    <row r="598">
      <c r="A598" s="683"/>
    </row>
    <row r="599">
      <c r="A599" s="683"/>
    </row>
    <row r="600">
      <c r="A600" s="683"/>
    </row>
    <row r="601">
      <c r="A601" s="683"/>
    </row>
    <row r="602">
      <c r="A602" s="683"/>
    </row>
    <row r="603">
      <c r="A603" s="683"/>
    </row>
    <row r="604">
      <c r="A604" s="683"/>
    </row>
    <row r="605">
      <c r="A605" s="683"/>
    </row>
    <row r="606">
      <c r="A606" s="683"/>
    </row>
    <row r="607">
      <c r="A607" s="683"/>
    </row>
    <row r="608">
      <c r="A608" s="683"/>
    </row>
    <row r="609">
      <c r="A609" s="683"/>
    </row>
    <row r="610">
      <c r="A610" s="683"/>
    </row>
    <row r="611">
      <c r="A611" s="683"/>
    </row>
    <row r="612">
      <c r="A612" s="683"/>
    </row>
    <row r="613">
      <c r="A613" s="683"/>
    </row>
    <row r="614">
      <c r="A614" s="683"/>
    </row>
    <row r="615">
      <c r="A615" s="683"/>
    </row>
    <row r="616">
      <c r="A616" s="683"/>
    </row>
    <row r="617">
      <c r="A617" s="683"/>
    </row>
    <row r="618">
      <c r="A618" s="683"/>
    </row>
    <row r="619">
      <c r="A619" s="683"/>
    </row>
    <row r="620">
      <c r="A620" s="683"/>
    </row>
    <row r="621">
      <c r="A621" s="683"/>
    </row>
    <row r="622">
      <c r="A622" s="683"/>
    </row>
    <row r="623">
      <c r="A623" s="683"/>
    </row>
    <row r="624">
      <c r="A624" s="683"/>
    </row>
    <row r="625">
      <c r="A625" s="683"/>
    </row>
    <row r="626">
      <c r="A626" s="683"/>
    </row>
    <row r="627">
      <c r="A627" s="683"/>
    </row>
    <row r="628">
      <c r="A628" s="683"/>
    </row>
    <row r="629">
      <c r="A629" s="683"/>
    </row>
    <row r="630">
      <c r="A630" s="683"/>
    </row>
    <row r="631">
      <c r="A631" s="683"/>
    </row>
    <row r="632">
      <c r="A632" s="683"/>
    </row>
    <row r="633">
      <c r="A633" s="683"/>
    </row>
    <row r="634">
      <c r="A634" s="683"/>
    </row>
    <row r="635">
      <c r="A635" s="683"/>
    </row>
    <row r="636">
      <c r="A636" s="683"/>
    </row>
    <row r="637">
      <c r="A637" s="683"/>
    </row>
    <row r="638">
      <c r="A638" s="683"/>
    </row>
    <row r="639">
      <c r="A639" s="683"/>
    </row>
    <row r="640">
      <c r="A640" s="683"/>
    </row>
    <row r="641">
      <c r="A641" s="683"/>
    </row>
    <row r="642">
      <c r="A642" s="683"/>
    </row>
    <row r="643">
      <c r="A643" s="683"/>
    </row>
    <row r="644">
      <c r="A644" s="683"/>
    </row>
    <row r="645">
      <c r="A645" s="683"/>
    </row>
    <row r="646">
      <c r="A646" s="683"/>
    </row>
    <row r="647">
      <c r="A647" s="683"/>
    </row>
    <row r="648">
      <c r="A648" s="683"/>
    </row>
    <row r="649">
      <c r="A649" s="683"/>
    </row>
    <row r="650">
      <c r="A650" s="683"/>
    </row>
    <row r="651">
      <c r="A651" s="683"/>
    </row>
    <row r="652">
      <c r="A652" s="683"/>
    </row>
    <row r="653">
      <c r="A653" s="683"/>
    </row>
    <row r="654">
      <c r="A654" s="683"/>
    </row>
    <row r="655">
      <c r="A655" s="683"/>
    </row>
    <row r="656">
      <c r="A656" s="683"/>
    </row>
    <row r="657">
      <c r="A657" s="683"/>
    </row>
    <row r="658">
      <c r="A658" s="683"/>
    </row>
    <row r="659">
      <c r="A659" s="683"/>
    </row>
    <row r="660">
      <c r="A660" s="683"/>
    </row>
    <row r="661">
      <c r="A661" s="683"/>
    </row>
    <row r="662">
      <c r="A662" s="683"/>
    </row>
    <row r="663">
      <c r="A663" s="683"/>
    </row>
    <row r="664">
      <c r="A664" s="683"/>
    </row>
    <row r="665">
      <c r="A665" s="683"/>
    </row>
    <row r="666">
      <c r="A666" s="683"/>
    </row>
    <row r="667">
      <c r="A667" s="683"/>
    </row>
    <row r="668">
      <c r="A668" s="683"/>
    </row>
    <row r="669">
      <c r="A669" s="683"/>
    </row>
    <row r="670">
      <c r="A670" s="683"/>
    </row>
    <row r="671">
      <c r="A671" s="683"/>
    </row>
    <row r="672">
      <c r="A672" s="683"/>
    </row>
    <row r="673">
      <c r="A673" s="683"/>
    </row>
    <row r="674">
      <c r="A674" s="683"/>
    </row>
    <row r="675">
      <c r="A675" s="683"/>
    </row>
    <row r="676">
      <c r="A676" s="683"/>
    </row>
    <row r="677">
      <c r="A677" s="683"/>
    </row>
    <row r="678">
      <c r="A678" s="683"/>
    </row>
    <row r="679">
      <c r="A679" s="683"/>
    </row>
    <row r="680">
      <c r="A680" s="683"/>
    </row>
    <row r="681">
      <c r="A681" s="683"/>
    </row>
    <row r="682">
      <c r="A682" s="683"/>
    </row>
    <row r="683">
      <c r="A683" s="683"/>
    </row>
    <row r="684">
      <c r="A684" s="683"/>
    </row>
    <row r="685">
      <c r="A685" s="683"/>
    </row>
    <row r="686">
      <c r="A686" s="683"/>
    </row>
    <row r="687">
      <c r="A687" s="683"/>
    </row>
    <row r="688">
      <c r="A688" s="683"/>
    </row>
    <row r="689">
      <c r="A689" s="683"/>
    </row>
    <row r="690">
      <c r="A690" s="683"/>
    </row>
    <row r="691">
      <c r="A691" s="683"/>
    </row>
    <row r="692">
      <c r="A692" s="683"/>
    </row>
    <row r="693">
      <c r="A693" s="683"/>
    </row>
    <row r="694">
      <c r="A694" s="683"/>
    </row>
    <row r="695">
      <c r="A695" s="683"/>
    </row>
    <row r="696">
      <c r="A696" s="683"/>
    </row>
    <row r="697">
      <c r="A697" s="683"/>
    </row>
    <row r="698">
      <c r="A698" s="683"/>
    </row>
    <row r="699">
      <c r="A699" s="683"/>
    </row>
    <row r="700">
      <c r="A700" s="683"/>
    </row>
    <row r="701">
      <c r="A701" s="683"/>
    </row>
    <row r="702">
      <c r="A702" s="683"/>
    </row>
    <row r="703">
      <c r="A703" s="683"/>
    </row>
    <row r="704">
      <c r="A704" s="683"/>
    </row>
    <row r="705">
      <c r="A705" s="683"/>
    </row>
    <row r="706">
      <c r="A706" s="683"/>
    </row>
    <row r="707">
      <c r="A707" s="683"/>
    </row>
    <row r="708">
      <c r="A708" s="683"/>
    </row>
    <row r="709">
      <c r="A709" s="683"/>
    </row>
    <row r="710">
      <c r="A710" s="683"/>
    </row>
    <row r="711">
      <c r="A711" s="683"/>
    </row>
    <row r="712">
      <c r="A712" s="683"/>
    </row>
    <row r="713">
      <c r="A713" s="683"/>
    </row>
    <row r="714">
      <c r="A714" s="683"/>
    </row>
    <row r="715">
      <c r="A715" s="683"/>
    </row>
    <row r="716">
      <c r="A716" s="683"/>
    </row>
    <row r="717">
      <c r="A717" s="683"/>
    </row>
    <row r="718">
      <c r="A718" s="683"/>
    </row>
    <row r="719">
      <c r="A719" s="683"/>
    </row>
    <row r="720">
      <c r="A720" s="683"/>
    </row>
    <row r="721">
      <c r="A721" s="683"/>
    </row>
    <row r="722">
      <c r="A722" s="683"/>
    </row>
    <row r="723">
      <c r="A723" s="683"/>
    </row>
    <row r="724">
      <c r="A724" s="683"/>
    </row>
    <row r="725">
      <c r="A725" s="683"/>
    </row>
    <row r="726">
      <c r="A726" s="683"/>
    </row>
    <row r="727">
      <c r="A727" s="683"/>
    </row>
    <row r="728">
      <c r="A728" s="683"/>
    </row>
    <row r="729">
      <c r="A729" s="683"/>
    </row>
    <row r="730">
      <c r="A730" s="683"/>
    </row>
    <row r="731">
      <c r="A731" s="683"/>
    </row>
    <row r="732">
      <c r="A732" s="683"/>
    </row>
    <row r="733">
      <c r="A733" s="683"/>
    </row>
    <row r="734">
      <c r="A734" s="683"/>
    </row>
    <row r="735">
      <c r="A735" s="683"/>
    </row>
    <row r="736">
      <c r="A736" s="683"/>
    </row>
    <row r="737">
      <c r="A737" s="683"/>
    </row>
    <row r="738">
      <c r="A738" s="683"/>
    </row>
    <row r="739">
      <c r="A739" s="683"/>
    </row>
    <row r="740">
      <c r="A740" s="683"/>
    </row>
    <row r="741">
      <c r="A741" s="683"/>
    </row>
    <row r="742">
      <c r="A742" s="683"/>
    </row>
    <row r="743">
      <c r="A743" s="683"/>
    </row>
    <row r="744">
      <c r="A744" s="683"/>
    </row>
    <row r="745">
      <c r="A745" s="683"/>
    </row>
    <row r="746">
      <c r="A746" s="683"/>
    </row>
    <row r="747">
      <c r="A747" s="683"/>
    </row>
    <row r="748">
      <c r="A748" s="683"/>
    </row>
    <row r="749">
      <c r="A749" s="683"/>
    </row>
    <row r="750">
      <c r="A750" s="683"/>
    </row>
    <row r="751">
      <c r="A751" s="683"/>
    </row>
    <row r="752">
      <c r="A752" s="683"/>
    </row>
    <row r="753">
      <c r="A753" s="683"/>
    </row>
    <row r="754">
      <c r="A754" s="683"/>
    </row>
    <row r="755">
      <c r="A755" s="683"/>
    </row>
    <row r="756">
      <c r="A756" s="683"/>
    </row>
    <row r="757">
      <c r="A757" s="683"/>
    </row>
    <row r="758">
      <c r="A758" s="683"/>
    </row>
    <row r="759">
      <c r="A759" s="683"/>
    </row>
    <row r="760">
      <c r="A760" s="683"/>
    </row>
    <row r="761">
      <c r="A761" s="683"/>
    </row>
    <row r="762">
      <c r="A762" s="683"/>
    </row>
    <row r="763">
      <c r="A763" s="683"/>
    </row>
    <row r="764">
      <c r="A764" s="683"/>
    </row>
    <row r="765">
      <c r="A765" s="683"/>
    </row>
    <row r="766">
      <c r="A766" s="683"/>
    </row>
    <row r="767">
      <c r="A767" s="683"/>
    </row>
    <row r="768">
      <c r="A768" s="683"/>
    </row>
    <row r="769">
      <c r="A769" s="683"/>
    </row>
    <row r="770">
      <c r="A770" s="683"/>
    </row>
    <row r="771">
      <c r="A771" s="683"/>
    </row>
    <row r="772">
      <c r="A772" s="683"/>
    </row>
    <row r="773">
      <c r="A773" s="683"/>
    </row>
    <row r="774">
      <c r="A774" s="683"/>
    </row>
    <row r="775">
      <c r="A775" s="683"/>
    </row>
    <row r="776">
      <c r="A776" s="683"/>
    </row>
    <row r="777">
      <c r="A777" s="683"/>
    </row>
    <row r="778">
      <c r="A778" s="683"/>
    </row>
    <row r="779">
      <c r="A779" s="683"/>
    </row>
    <row r="780">
      <c r="A780" s="683"/>
    </row>
    <row r="781">
      <c r="A781" s="683"/>
    </row>
    <row r="782">
      <c r="A782" s="683"/>
    </row>
    <row r="783">
      <c r="A783" s="683"/>
    </row>
    <row r="784">
      <c r="A784" s="683"/>
    </row>
    <row r="785">
      <c r="A785" s="683"/>
    </row>
    <row r="786">
      <c r="A786" s="683"/>
    </row>
    <row r="787">
      <c r="A787" s="683"/>
    </row>
    <row r="788">
      <c r="A788" s="683"/>
    </row>
    <row r="789">
      <c r="A789" s="683"/>
    </row>
    <row r="790">
      <c r="A790" s="683"/>
    </row>
    <row r="791">
      <c r="A791" s="683"/>
    </row>
    <row r="792">
      <c r="A792" s="683"/>
    </row>
    <row r="793">
      <c r="A793" s="683"/>
    </row>
    <row r="794">
      <c r="A794" s="683"/>
    </row>
    <row r="795">
      <c r="A795" s="683"/>
    </row>
    <row r="796">
      <c r="A796" s="683"/>
    </row>
    <row r="797">
      <c r="A797" s="683"/>
    </row>
    <row r="798">
      <c r="A798" s="683"/>
    </row>
    <row r="799">
      <c r="A799" s="683"/>
    </row>
    <row r="800">
      <c r="A800" s="683"/>
    </row>
    <row r="801">
      <c r="A801" s="683"/>
    </row>
    <row r="802">
      <c r="A802" s="683"/>
    </row>
    <row r="803">
      <c r="A803" s="683"/>
    </row>
    <row r="804">
      <c r="A804" s="683"/>
    </row>
    <row r="805">
      <c r="A805" s="683"/>
    </row>
    <row r="806">
      <c r="A806" s="683"/>
    </row>
    <row r="807">
      <c r="A807" s="683"/>
    </row>
    <row r="808">
      <c r="A808" s="683"/>
    </row>
    <row r="809">
      <c r="A809" s="683"/>
    </row>
    <row r="810">
      <c r="A810" s="683"/>
    </row>
    <row r="811">
      <c r="A811" s="683"/>
    </row>
    <row r="812">
      <c r="A812" s="683"/>
    </row>
    <row r="813">
      <c r="A813" s="683"/>
    </row>
    <row r="814">
      <c r="A814" s="683"/>
    </row>
    <row r="815">
      <c r="A815" s="683"/>
    </row>
    <row r="816">
      <c r="A816" s="683"/>
    </row>
    <row r="817">
      <c r="A817" s="683"/>
    </row>
    <row r="818">
      <c r="A818" s="683"/>
    </row>
    <row r="819">
      <c r="A819" s="683"/>
    </row>
    <row r="820">
      <c r="A820" s="683"/>
    </row>
    <row r="821">
      <c r="A821" s="683"/>
    </row>
    <row r="822">
      <c r="A822" s="683"/>
    </row>
    <row r="823">
      <c r="A823" s="683"/>
    </row>
    <row r="824">
      <c r="A824" s="683"/>
    </row>
    <row r="825">
      <c r="A825" s="683"/>
    </row>
    <row r="826">
      <c r="A826" s="683"/>
    </row>
    <row r="827">
      <c r="A827" s="683"/>
    </row>
    <row r="828">
      <c r="A828" s="683"/>
    </row>
    <row r="829">
      <c r="A829" s="683"/>
    </row>
    <row r="830">
      <c r="A830" s="683"/>
    </row>
    <row r="831">
      <c r="A831" s="683"/>
    </row>
    <row r="832">
      <c r="A832" s="683"/>
    </row>
    <row r="833">
      <c r="A833" s="683"/>
    </row>
    <row r="834">
      <c r="A834" s="683"/>
    </row>
    <row r="835">
      <c r="A835" s="683"/>
    </row>
    <row r="836">
      <c r="A836" s="683"/>
    </row>
    <row r="837">
      <c r="A837" s="683"/>
    </row>
    <row r="838">
      <c r="A838" s="683"/>
    </row>
    <row r="839">
      <c r="A839" s="683"/>
    </row>
    <row r="840">
      <c r="A840" s="683"/>
    </row>
    <row r="841">
      <c r="A841" s="683"/>
    </row>
    <row r="842">
      <c r="A842" s="683"/>
    </row>
    <row r="843">
      <c r="A843" s="683"/>
    </row>
    <row r="844">
      <c r="A844" s="683"/>
    </row>
    <row r="845">
      <c r="A845" s="683"/>
    </row>
    <row r="846">
      <c r="A846" s="683"/>
    </row>
    <row r="847">
      <c r="A847" s="683"/>
    </row>
    <row r="848">
      <c r="A848" s="683"/>
    </row>
    <row r="849">
      <c r="A849" s="683"/>
    </row>
    <row r="850">
      <c r="A850" s="683"/>
    </row>
    <row r="851">
      <c r="A851" s="683"/>
    </row>
    <row r="852">
      <c r="A852" s="683"/>
    </row>
    <row r="853">
      <c r="A853" s="683"/>
    </row>
    <row r="854">
      <c r="A854" s="683"/>
    </row>
    <row r="855">
      <c r="A855" s="683"/>
    </row>
    <row r="856">
      <c r="A856" s="683"/>
    </row>
    <row r="857">
      <c r="A857" s="683"/>
    </row>
    <row r="858">
      <c r="A858" s="683"/>
    </row>
    <row r="859">
      <c r="A859" s="683"/>
    </row>
    <row r="860">
      <c r="A860" s="683"/>
    </row>
    <row r="861">
      <c r="A861" s="683"/>
    </row>
    <row r="862">
      <c r="A862" s="683"/>
    </row>
    <row r="863">
      <c r="A863" s="683"/>
    </row>
    <row r="864">
      <c r="A864" s="683"/>
    </row>
    <row r="865">
      <c r="A865" s="683"/>
    </row>
    <row r="866">
      <c r="A866" s="683"/>
    </row>
    <row r="867">
      <c r="A867" s="683"/>
    </row>
    <row r="868">
      <c r="A868" s="683"/>
    </row>
    <row r="869">
      <c r="A869" s="683"/>
    </row>
    <row r="870">
      <c r="A870" s="683"/>
    </row>
    <row r="871">
      <c r="A871" s="683"/>
    </row>
    <row r="872">
      <c r="A872" s="683"/>
    </row>
    <row r="873">
      <c r="A873" s="683"/>
    </row>
    <row r="874">
      <c r="A874" s="683"/>
    </row>
    <row r="875">
      <c r="A875" s="683"/>
    </row>
    <row r="876">
      <c r="A876" s="683"/>
    </row>
    <row r="877">
      <c r="A877" s="683"/>
    </row>
    <row r="878">
      <c r="A878" s="683"/>
    </row>
    <row r="879">
      <c r="A879" s="683"/>
    </row>
    <row r="880">
      <c r="A880" s="683"/>
    </row>
    <row r="881">
      <c r="A881" s="683"/>
    </row>
    <row r="882">
      <c r="A882" s="683"/>
    </row>
    <row r="883">
      <c r="A883" s="683"/>
    </row>
    <row r="884">
      <c r="A884" s="683"/>
    </row>
    <row r="885">
      <c r="A885" s="683"/>
    </row>
    <row r="886">
      <c r="A886" s="683"/>
    </row>
    <row r="887">
      <c r="A887" s="683"/>
    </row>
    <row r="888">
      <c r="A888" s="683"/>
    </row>
    <row r="889">
      <c r="A889" s="683"/>
    </row>
    <row r="890">
      <c r="A890" s="683"/>
    </row>
    <row r="891">
      <c r="A891" s="683"/>
    </row>
    <row r="892">
      <c r="A892" s="683"/>
    </row>
    <row r="893">
      <c r="A893" s="683"/>
    </row>
    <row r="894">
      <c r="A894" s="683"/>
    </row>
    <row r="895">
      <c r="A895" s="683"/>
    </row>
    <row r="896">
      <c r="A896" s="683"/>
    </row>
    <row r="897">
      <c r="A897" s="683"/>
    </row>
    <row r="898">
      <c r="A898" s="683"/>
    </row>
    <row r="899">
      <c r="A899" s="683"/>
    </row>
    <row r="900">
      <c r="A900" s="683"/>
    </row>
    <row r="901">
      <c r="A901" s="683"/>
    </row>
    <row r="902">
      <c r="A902" s="683"/>
    </row>
    <row r="903">
      <c r="A903" s="683"/>
    </row>
    <row r="904">
      <c r="A904" s="683"/>
    </row>
    <row r="905">
      <c r="A905" s="683"/>
    </row>
    <row r="906">
      <c r="A906" s="683"/>
    </row>
    <row r="907">
      <c r="A907" s="683"/>
    </row>
    <row r="908">
      <c r="A908" s="683"/>
    </row>
    <row r="909">
      <c r="A909" s="683"/>
    </row>
    <row r="910">
      <c r="A910" s="683"/>
    </row>
    <row r="911">
      <c r="A911" s="683"/>
    </row>
    <row r="912">
      <c r="A912" s="683"/>
    </row>
    <row r="913">
      <c r="A913" s="683"/>
    </row>
    <row r="914">
      <c r="A914" s="683"/>
    </row>
    <row r="915">
      <c r="A915" s="683"/>
    </row>
    <row r="916">
      <c r="A916" s="683"/>
    </row>
    <row r="917">
      <c r="A917" s="683"/>
    </row>
    <row r="918">
      <c r="A918" s="683"/>
    </row>
    <row r="919">
      <c r="A919" s="683"/>
    </row>
    <row r="920">
      <c r="A920" s="683"/>
    </row>
    <row r="921">
      <c r="A921" s="683"/>
    </row>
    <row r="922">
      <c r="A922" s="683"/>
    </row>
    <row r="923">
      <c r="A923" s="683"/>
    </row>
    <row r="924">
      <c r="A924" s="683"/>
    </row>
    <row r="925">
      <c r="A925" s="683"/>
    </row>
    <row r="926">
      <c r="A926" s="683"/>
    </row>
    <row r="927">
      <c r="A927" s="683"/>
    </row>
    <row r="928">
      <c r="A928" s="683"/>
    </row>
    <row r="929">
      <c r="A929" s="683"/>
    </row>
    <row r="930">
      <c r="A930" s="683"/>
    </row>
    <row r="931">
      <c r="A931" s="683"/>
    </row>
    <row r="932">
      <c r="A932" s="683"/>
    </row>
    <row r="933">
      <c r="A933" s="683"/>
    </row>
    <row r="934">
      <c r="A934" s="683"/>
    </row>
    <row r="935">
      <c r="A935" s="683"/>
    </row>
    <row r="936">
      <c r="A936" s="683"/>
    </row>
    <row r="937">
      <c r="A937" s="683"/>
    </row>
    <row r="938">
      <c r="A938" s="683"/>
    </row>
    <row r="939">
      <c r="A939" s="683"/>
    </row>
    <row r="940">
      <c r="A940" s="683"/>
    </row>
    <row r="941">
      <c r="A941" s="683"/>
    </row>
    <row r="942">
      <c r="A942" s="683"/>
    </row>
    <row r="943">
      <c r="A943" s="683"/>
    </row>
    <row r="944">
      <c r="A944" s="683"/>
    </row>
    <row r="945">
      <c r="A945" s="683"/>
    </row>
    <row r="946">
      <c r="A946" s="683"/>
    </row>
    <row r="947">
      <c r="A947" s="683"/>
    </row>
    <row r="948">
      <c r="A948" s="683"/>
    </row>
    <row r="949">
      <c r="A949" s="683"/>
    </row>
    <row r="950">
      <c r="A950" s="683"/>
    </row>
    <row r="951">
      <c r="A951" s="683"/>
    </row>
    <row r="952">
      <c r="A952" s="683"/>
    </row>
    <row r="953">
      <c r="A953" s="683"/>
    </row>
    <row r="954">
      <c r="A954" s="683"/>
    </row>
    <row r="955">
      <c r="A955" s="683"/>
    </row>
    <row r="956">
      <c r="A956" s="683"/>
    </row>
    <row r="957">
      <c r="A957" s="683"/>
    </row>
    <row r="958">
      <c r="A958" s="683"/>
    </row>
    <row r="959">
      <c r="A959" s="683"/>
    </row>
    <row r="960">
      <c r="A960" s="683"/>
    </row>
    <row r="961">
      <c r="A961" s="683"/>
    </row>
    <row r="962">
      <c r="A962" s="683"/>
    </row>
    <row r="963">
      <c r="A963" s="683"/>
    </row>
    <row r="964">
      <c r="A964" s="683"/>
    </row>
    <row r="965">
      <c r="A965" s="683"/>
    </row>
    <row r="966">
      <c r="A966" s="683"/>
    </row>
    <row r="967">
      <c r="A967" s="683"/>
    </row>
    <row r="968">
      <c r="A968" s="683"/>
    </row>
    <row r="969">
      <c r="A969" s="683"/>
    </row>
    <row r="970">
      <c r="A970" s="683"/>
    </row>
    <row r="971">
      <c r="A971" s="683"/>
    </row>
    <row r="972">
      <c r="A972" s="683"/>
    </row>
    <row r="973">
      <c r="A973" s="683"/>
    </row>
    <row r="974">
      <c r="A974" s="683"/>
    </row>
    <row r="975">
      <c r="A975" s="683"/>
    </row>
    <row r="976">
      <c r="A976" s="683"/>
    </row>
    <row r="977">
      <c r="A977" s="683"/>
    </row>
    <row r="978">
      <c r="A978" s="683"/>
    </row>
    <row r="979">
      <c r="A979" s="683"/>
    </row>
    <row r="980">
      <c r="A980" s="683"/>
    </row>
    <row r="981">
      <c r="A981" s="683"/>
    </row>
    <row r="982">
      <c r="A982" s="683"/>
    </row>
    <row r="983">
      <c r="A983" s="683"/>
    </row>
    <row r="984">
      <c r="A984" s="683"/>
    </row>
    <row r="985">
      <c r="A985" s="683"/>
    </row>
    <row r="986">
      <c r="A986" s="683"/>
    </row>
    <row r="987">
      <c r="A987" s="683"/>
    </row>
    <row r="988">
      <c r="A988" s="683"/>
    </row>
    <row r="989">
      <c r="A989" s="683"/>
    </row>
    <row r="990">
      <c r="A990" s="683"/>
    </row>
    <row r="991">
      <c r="A991" s="683"/>
    </row>
    <row r="992">
      <c r="A992" s="683"/>
    </row>
    <row r="993">
      <c r="A993" s="683"/>
    </row>
    <row r="994">
      <c r="A994" s="683"/>
    </row>
    <row r="995">
      <c r="A995" s="683"/>
    </row>
    <row r="996">
      <c r="A996" s="683"/>
    </row>
    <row r="997">
      <c r="A997" s="683"/>
    </row>
    <row r="998">
      <c r="A998" s="683"/>
    </row>
    <row r="999">
      <c r="A999" s="683"/>
    </row>
    <row r="1000">
      <c r="A1000" s="683"/>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s>
  <drawing r:id="rId34"/>
</worksheet>
</file>